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015" tabRatio="940" activeTab="2"/>
  </bookViews>
  <sheets>
    <sheet name="Overview" sheetId="1" r:id="rId1"/>
    <sheet name="Picklists" sheetId="2" state="hidden" r:id="rId2"/>
    <sheet name="User Inputs" sheetId="3" r:id="rId3"/>
    <sheet name="1. Feedstock Parameters" sheetId="4" r:id="rId4"/>
    <sheet name="2. Food Waste Feedstock Data" sheetId="5" r:id="rId5"/>
    <sheet name="3. Transportation &amp; Processing" sheetId="6" r:id="rId6"/>
    <sheet name="4. Preproc. &amp; Ancillary Equip." sheetId="7" r:id="rId7"/>
    <sheet name="5. Digester Sizing" sheetId="8" r:id="rId8"/>
    <sheet name="6. Financial Model Output" sheetId="9" r:id="rId9"/>
    <sheet name="1-Page Summary" sheetId="10" r:id="rId10"/>
    <sheet name="Bibliography" sheetId="11" r:id="rId11"/>
  </sheets>
  <definedNames>
    <definedName name="Options">'Picklists'!$C$2:$C$4</definedName>
    <definedName name="_xlnm.Print_Area" localSheetId="3">'1. Feedstock Parameters'!$A$1:$N$61</definedName>
    <definedName name="_xlnm.Print_Area" localSheetId="4">'2. Food Waste Feedstock Data'!$A$1:$K$94</definedName>
    <definedName name="_xlnm.Print_Area" localSheetId="5">'3. Transportation &amp; Processing'!$A$1:$N$62</definedName>
    <definedName name="_xlnm.Print_Area" localSheetId="6">'4. Preproc. &amp; Ancillary Equip.'!$A$1:$L$103</definedName>
    <definedName name="_xlnm.Print_Area" localSheetId="7">'5. Digester Sizing'!$A$1:$J$98</definedName>
    <definedName name="_xlnm.Print_Area" localSheetId="8">'6. Financial Model Output'!$A$2:$S$61</definedName>
    <definedName name="_xlnm.Print_Area" localSheetId="0">'Overview'!$A$1:$V$15</definedName>
    <definedName name="TruckTons">'Picklists'!$B$2:$B$4</definedName>
    <definedName name="YesNo">'Picklists'!$A$2:$A$3</definedName>
  </definedNames>
  <calcPr fullCalcOnLoad="1"/>
</workbook>
</file>

<file path=xl/comments3.xml><?xml version="1.0" encoding="utf-8"?>
<comments xmlns="http://schemas.openxmlformats.org/spreadsheetml/2006/main">
  <authors>
    <author>LMORENO</author>
  </authors>
  <commentList>
    <comment ref="J106" authorId="0">
      <text>
        <r>
          <rPr>
            <b/>
            <sz val="8"/>
            <rFont val="Tahoma"/>
            <family val="2"/>
          </rPr>
          <t xml:space="preserve">Definition: </t>
        </r>
        <r>
          <rPr>
            <sz val="8"/>
            <rFont val="Tahoma"/>
            <family val="2"/>
          </rPr>
          <t xml:space="preserve">Percentage of anaerobic digester vessel capacity that is available for feedstock (sewage sludge and food).  This capacity is determined by dividing the volume that is available for feedstock (sewage sludge and food) by its rated capacity (total volume including equipment such as mixers).
</t>
        </r>
      </text>
    </comment>
    <comment ref="L119" authorId="0">
      <text>
        <r>
          <rPr>
            <b/>
            <sz val="8"/>
            <rFont val="Tahoma"/>
            <family val="2"/>
          </rPr>
          <t xml:space="preserve">Definition: </t>
        </r>
        <r>
          <rPr>
            <sz val="8"/>
            <rFont val="Tahoma"/>
            <family val="2"/>
          </rPr>
          <t xml:space="preserve">Landfill gas can be recovered and used as a source of energy. Go to http://www.epa.gov/lmop/ for more information.   
</t>
        </r>
      </text>
    </comment>
    <comment ref="F153" authorId="0">
      <text>
        <r>
          <rPr>
            <b/>
            <sz val="8"/>
            <rFont val="Tahoma"/>
            <family val="2"/>
          </rPr>
          <t xml:space="preserve">Definition: </t>
        </r>
        <r>
          <rPr>
            <sz val="8"/>
            <rFont val="Tahoma"/>
            <family val="2"/>
          </rPr>
          <t xml:space="preserve">Cost per ton paid at landfill to dispose of waste. 
</t>
        </r>
      </text>
    </comment>
    <comment ref="F172" authorId="0">
      <text>
        <r>
          <rPr>
            <b/>
            <sz val="8"/>
            <rFont val="Tahoma"/>
            <family val="2"/>
          </rPr>
          <t xml:space="preserve">Definition: </t>
        </r>
        <r>
          <rPr>
            <sz val="8"/>
            <rFont val="Tahoma"/>
            <family val="2"/>
          </rPr>
          <t xml:space="preserve">Cost per ton of acquiring organic waste. 
</t>
        </r>
      </text>
    </comment>
    <comment ref="F175" authorId="0">
      <text>
        <r>
          <rPr>
            <b/>
            <sz val="8"/>
            <rFont val="Tahoma"/>
            <family val="2"/>
          </rPr>
          <t xml:space="preserve">Definition: </t>
        </r>
        <r>
          <rPr>
            <sz val="8"/>
            <rFont val="Tahoma"/>
            <family val="2"/>
          </rPr>
          <t xml:space="preserve">Cost/ton/day to process food waste before adding to digester. Can include removal of metals, grdining, and pulping. </t>
        </r>
      </text>
    </comment>
    <comment ref="E262" authorId="0">
      <text>
        <r>
          <rPr>
            <sz val="8"/>
            <rFont val="Tahoma"/>
            <family val="2"/>
          </rPr>
          <t>Total capacity available for biosolids and food waste/FOG</t>
        </r>
      </text>
    </comment>
    <comment ref="E266" authorId="0">
      <text>
        <r>
          <rPr>
            <sz val="8"/>
            <rFont val="Tahoma"/>
            <family val="2"/>
          </rPr>
          <t>Capacity required to process food waste and FOG only</t>
        </r>
        <r>
          <rPr>
            <b/>
            <sz val="8"/>
            <rFont val="Tahoma"/>
            <family val="2"/>
          </rPr>
          <t xml:space="preserve"> </t>
        </r>
        <r>
          <rPr>
            <sz val="8"/>
            <rFont val="Tahoma"/>
            <family val="2"/>
          </rPr>
          <t xml:space="preserve">
</t>
        </r>
      </text>
    </comment>
    <comment ref="E264" authorId="0">
      <text>
        <r>
          <rPr>
            <sz val="8"/>
            <rFont val="Tahoma"/>
            <family val="2"/>
          </rPr>
          <t>Capacity needed to process biosolids only</t>
        </r>
      </text>
    </comment>
    <comment ref="E268" authorId="0">
      <text>
        <r>
          <rPr>
            <sz val="8"/>
            <rFont val="Tahoma"/>
            <family val="2"/>
          </rPr>
          <t xml:space="preserve">Existing digester capacity that can be used for food waste/FOG co-digestion
</t>
        </r>
      </text>
    </comment>
    <comment ref="E270" authorId="0">
      <text>
        <r>
          <rPr>
            <sz val="8"/>
            <rFont val="Tahoma"/>
            <family val="2"/>
          </rPr>
          <t xml:space="preserve">New digester space needed to process food waste/FOG
</t>
        </r>
      </text>
    </comment>
    <comment ref="G189" authorId="0">
      <text>
        <r>
          <rPr>
            <b/>
            <sz val="8"/>
            <rFont val="Tahoma"/>
            <family val="2"/>
          </rPr>
          <t>The Consumer Price Index (CPI)</t>
        </r>
        <r>
          <rPr>
            <sz val="8"/>
            <rFont val="Tahoma"/>
            <family val="2"/>
          </rPr>
          <t xml:space="preserve"> is a measure from estimating the average price of goods and services purchased. (http://www.bls.gov/CPI/)</t>
        </r>
      </text>
    </comment>
  </commentList>
</comments>
</file>

<file path=xl/comments4.xml><?xml version="1.0" encoding="utf-8"?>
<comments xmlns="http://schemas.openxmlformats.org/spreadsheetml/2006/main">
  <authors>
    <author>Ferit.Isik</author>
    <author>Corporate User</author>
  </authors>
  <commentList>
    <comment ref="E35" authorId="0">
      <text>
        <r>
          <rPr>
            <b/>
            <sz val="8"/>
            <rFont val="Tahoma"/>
            <family val="0"/>
          </rPr>
          <t xml:space="preserve">Range:  </t>
        </r>
        <r>
          <rPr>
            <sz val="8"/>
            <rFont val="Tahoma"/>
            <family val="0"/>
          </rPr>
          <t>88.8-92.6%</t>
        </r>
      </text>
    </comment>
    <comment ref="E36" authorId="0">
      <text>
        <r>
          <rPr>
            <b/>
            <sz val="8"/>
            <rFont val="Tahoma"/>
            <family val="0"/>
          </rPr>
          <t xml:space="preserve">Range:  </t>
        </r>
        <r>
          <rPr>
            <sz val="8"/>
            <rFont val="Tahoma"/>
            <family val="0"/>
          </rPr>
          <t>88.8-92.6%</t>
        </r>
      </text>
    </comment>
    <comment ref="E37" authorId="0">
      <text>
        <r>
          <rPr>
            <b/>
            <sz val="8"/>
            <rFont val="Tahoma"/>
            <family val="0"/>
          </rPr>
          <t xml:space="preserve">Range:  </t>
        </r>
        <r>
          <rPr>
            <sz val="8"/>
            <rFont val="Tahoma"/>
            <family val="0"/>
          </rPr>
          <t>80-90%</t>
        </r>
      </text>
    </comment>
    <comment ref="E28" authorId="0">
      <text>
        <r>
          <rPr>
            <b/>
            <sz val="8"/>
            <rFont val="Tahoma"/>
            <family val="0"/>
          </rPr>
          <t xml:space="preserve">Range:  </t>
        </r>
        <r>
          <rPr>
            <sz val="8"/>
            <rFont val="Tahoma"/>
            <family val="0"/>
          </rPr>
          <t>88.8-92.6%</t>
        </r>
      </text>
    </comment>
    <comment ref="E31" authorId="0">
      <text>
        <r>
          <rPr>
            <b/>
            <sz val="8"/>
            <rFont val="Tahoma"/>
            <family val="0"/>
          </rPr>
          <t xml:space="preserve">Range:  </t>
        </r>
        <r>
          <rPr>
            <sz val="8"/>
            <rFont val="Tahoma"/>
            <family val="0"/>
          </rPr>
          <t>88.8-92.6%</t>
        </r>
      </text>
    </comment>
    <comment ref="E33" authorId="0">
      <text>
        <r>
          <rPr>
            <b/>
            <sz val="8"/>
            <rFont val="Tahoma"/>
            <family val="0"/>
          </rPr>
          <t xml:space="preserve">Range:  </t>
        </r>
        <r>
          <rPr>
            <sz val="8"/>
            <rFont val="Tahoma"/>
            <family val="0"/>
          </rPr>
          <t>88.8-92.6%</t>
        </r>
      </text>
    </comment>
    <comment ref="D24" authorId="1">
      <text>
        <r>
          <rPr>
            <b/>
            <sz val="10"/>
            <rFont val="Tahoma"/>
            <family val="0"/>
          </rPr>
          <t>Zhang et. al. 2007</t>
        </r>
        <r>
          <rPr>
            <sz val="10"/>
            <rFont val="Tahoma"/>
            <family val="0"/>
          </rPr>
          <t xml:space="preserve">
"</t>
        </r>
        <r>
          <rPr>
            <i/>
            <sz val="10"/>
            <rFont val="Tahoma"/>
            <family val="2"/>
          </rPr>
          <t>Anaerobic Digestion of Selected Waste Streams</t>
        </r>
        <r>
          <rPr>
            <sz val="10"/>
            <rFont val="Tahoma"/>
            <family val="0"/>
          </rPr>
          <t>"</t>
        </r>
      </text>
    </comment>
    <comment ref="D29" authorId="1">
      <text>
        <r>
          <rPr>
            <b/>
            <sz val="10"/>
            <rFont val="Tahoma"/>
            <family val="0"/>
          </rPr>
          <t>Zhang et. al. 2007</t>
        </r>
        <r>
          <rPr>
            <sz val="10"/>
            <rFont val="Tahoma"/>
            <family val="0"/>
          </rPr>
          <t xml:space="preserve">
</t>
        </r>
      </text>
    </comment>
    <comment ref="I60" authorId="1">
      <text>
        <r>
          <rPr>
            <sz val="10"/>
            <rFont val="Tahoma"/>
            <family val="2"/>
          </rPr>
          <t>Charles Kennedy: This comparison scales the EPA WARM model to the OWD protocol based on the 10 year crediting period for carbon offsets (avoided GHG emissions). Please refer to the OWD protocol for a complete analysis of carbon offsets potential.</t>
        </r>
      </text>
    </comment>
  </commentList>
</comments>
</file>

<file path=xl/comments7.xml><?xml version="1.0" encoding="utf-8"?>
<comments xmlns="http://schemas.openxmlformats.org/spreadsheetml/2006/main">
  <authors>
    <author>Juliette Bohn</author>
  </authors>
  <commentList>
    <comment ref="B77" authorId="0">
      <text>
        <r>
          <rPr>
            <b/>
            <sz val="8"/>
            <rFont val="Tahoma"/>
            <family val="0"/>
          </rPr>
          <t>Juliette Bohn:</t>
        </r>
        <r>
          <rPr>
            <sz val="8"/>
            <rFont val="Tahoma"/>
            <family val="0"/>
          </rPr>
          <t xml:space="preserve">
Do not know if I need this one, but it is sure useful for getting gritty waste into a tank.  Used at EBMUD after pumps were destroyed by grit in food waste.</t>
        </r>
      </text>
    </comment>
    <comment ref="C95" authorId="0">
      <text>
        <r>
          <rPr>
            <b/>
            <sz val="8"/>
            <rFont val="Tahoma"/>
            <family val="2"/>
          </rPr>
          <t>Juliette Bohn:</t>
        </r>
        <r>
          <rPr>
            <sz val="8"/>
            <rFont val="Tahoma"/>
            <family val="2"/>
          </rPr>
          <t xml:space="preserve">
Estimate for $10-$12 /ft2 from Kurt Gierlich City  Engineer - Eureka</t>
        </r>
      </text>
    </comment>
  </commentList>
</comments>
</file>

<file path=xl/sharedStrings.xml><?xml version="1.0" encoding="utf-8"?>
<sst xmlns="http://schemas.openxmlformats.org/spreadsheetml/2006/main" count="1005" uniqueCount="723">
  <si>
    <r>
      <t>Option 1</t>
    </r>
    <r>
      <rPr>
        <b/>
        <sz val="11"/>
        <color indexed="18"/>
        <rFont val="Trebuchet MS"/>
        <family val="2"/>
      </rPr>
      <t xml:space="preserve"> - Food Waste Source Type </t>
    </r>
    <r>
      <rPr>
        <i/>
        <sz val="11"/>
        <color indexed="10"/>
        <rFont val="Trebuchet MS"/>
        <family val="2"/>
      </rPr>
      <t>(</t>
    </r>
    <r>
      <rPr>
        <b/>
        <i/>
        <sz val="11"/>
        <color indexed="10"/>
        <rFont val="Trebuchet MS"/>
        <family val="2"/>
      </rPr>
      <t>select "Yes" or "No" for each question from the dropdown menu.</t>
    </r>
    <r>
      <rPr>
        <i/>
        <sz val="11"/>
        <color indexed="10"/>
        <rFont val="Trebuchet MS"/>
        <family val="2"/>
      </rPr>
      <t>)</t>
    </r>
  </si>
  <si>
    <r>
      <t xml:space="preserve">&gt;&gt;Does your wastewater treatment plant already have an </t>
    </r>
    <r>
      <rPr>
        <b/>
        <sz val="11"/>
        <color indexed="18"/>
        <rFont val="Trebuchet MS"/>
        <family val="2"/>
      </rPr>
      <t>anaerobic digester</t>
    </r>
    <r>
      <rPr>
        <sz val="11"/>
        <color indexed="18"/>
        <rFont val="Trebuchet MS"/>
        <family val="2"/>
      </rPr>
      <t>?</t>
    </r>
  </si>
  <si>
    <r>
      <t xml:space="preserve">&gt;&gt;If </t>
    </r>
    <r>
      <rPr>
        <b/>
        <sz val="11"/>
        <color indexed="18"/>
        <rFont val="Trebuchet MS"/>
        <family val="2"/>
      </rPr>
      <t>yes</t>
    </r>
    <r>
      <rPr>
        <sz val="11"/>
        <color indexed="18"/>
        <rFont val="Trebuchet MS"/>
        <family val="2"/>
      </rPr>
      <t xml:space="preserve">, enter the </t>
    </r>
    <r>
      <rPr>
        <b/>
        <sz val="11"/>
        <color indexed="18"/>
        <rFont val="Trebuchet MS"/>
        <family val="2"/>
      </rPr>
      <t xml:space="preserve">size, effective capacity and number </t>
    </r>
    <r>
      <rPr>
        <sz val="11"/>
        <color indexed="18"/>
        <rFont val="Trebuchet MS"/>
        <family val="2"/>
      </rPr>
      <t>of  existing anaerobic digester(s):</t>
    </r>
  </si>
  <si>
    <t>&gt;&gt;In the absence of co-digestion, does your food waste go to landfill?</t>
  </si>
  <si>
    <r>
      <t>&gt;&gt;</t>
    </r>
    <r>
      <rPr>
        <b/>
        <sz val="11"/>
        <color indexed="18"/>
        <rFont val="Trebuchet MS"/>
        <family val="2"/>
      </rPr>
      <t>This is the cost of providing green bins to households.</t>
    </r>
  </si>
  <si>
    <r>
      <t>&gt;&gt;</t>
    </r>
    <r>
      <rPr>
        <b/>
        <sz val="11"/>
        <color indexed="18"/>
        <rFont val="Trebuchet MS"/>
        <family val="2"/>
      </rPr>
      <t xml:space="preserve">This is the cost of providing collection bins for establishments. </t>
    </r>
  </si>
  <si>
    <r>
      <t xml:space="preserve">&gt;&gt;Enter the </t>
    </r>
    <r>
      <rPr>
        <b/>
        <sz val="11"/>
        <color indexed="18"/>
        <rFont val="Trebuchet MS"/>
        <family val="2"/>
      </rPr>
      <t>average number of miles</t>
    </r>
    <r>
      <rPr>
        <sz val="11"/>
        <color indexed="18"/>
        <rFont val="Trebuchet MS"/>
        <family val="2"/>
      </rPr>
      <t xml:space="preserve"> for each round trip for each truck  to complete a food waste pickup and delivery to the digester :</t>
    </r>
  </si>
  <si>
    <t>The total cost of additional digesters and any ancillary equipment needed to manage available feedstock is included in the Model results.</t>
  </si>
  <si>
    <r>
      <t>&gt;&gt;</t>
    </r>
    <r>
      <rPr>
        <b/>
        <sz val="11"/>
        <color indexed="18"/>
        <rFont val="Trebuchet MS"/>
        <family val="2"/>
      </rPr>
      <t>Option 2: E</t>
    </r>
    <r>
      <rPr>
        <sz val="11"/>
        <color indexed="18"/>
        <rFont val="Trebuchet MS"/>
        <family val="2"/>
      </rPr>
      <t>nter your own digester cost</t>
    </r>
  </si>
  <si>
    <t xml:space="preserve">This worksheet calculates the transportation and disposal costs associated with collecting and processing food waste feedstock and managing resulting biosolids.  Considerations include feedstock collection infrastructure, transportation, access costs, and tipping fees. </t>
  </si>
  <si>
    <t>This worksheet calculates the number of digesters needed to support feedstock input and potential biogas production from two feedstocks:  (1) food waste and (2) wastewater solids.</t>
  </si>
  <si>
    <r>
      <t>Btu/ft</t>
    </r>
    <r>
      <rPr>
        <vertAlign val="superscript"/>
        <sz val="10"/>
        <rFont val="Trebuchet MS"/>
        <family val="2"/>
      </rPr>
      <t>3</t>
    </r>
  </si>
  <si>
    <t>Annual O&amp;M Costs ($/yr)</t>
  </si>
  <si>
    <t>EPA Region 9 - Pacific Southwest Region</t>
  </si>
  <si>
    <t>Co-Digestion Economic Analysis Tool (CoEAT)</t>
  </si>
  <si>
    <t>No Landfill Gas Recovery</t>
  </si>
  <si>
    <t>Landfill Gas Flared</t>
  </si>
  <si>
    <t>Landfill Gas Recovery</t>
  </si>
  <si>
    <r>
      <t xml:space="preserve">&gt;&gt;If </t>
    </r>
    <r>
      <rPr>
        <b/>
        <sz val="11"/>
        <color indexed="18"/>
        <rFont val="Trebuchet MS"/>
        <family val="2"/>
      </rPr>
      <t>yes</t>
    </r>
    <r>
      <rPr>
        <sz val="11"/>
        <color indexed="18"/>
        <rFont val="Trebuchet MS"/>
        <family val="2"/>
      </rPr>
      <t>, indicate what type of landfill gas control technology exists at the landfill where the food waste is disposed.</t>
    </r>
  </si>
  <si>
    <r>
      <t xml:space="preserve">&gt;&gt;Enter the </t>
    </r>
    <r>
      <rPr>
        <b/>
        <sz val="11"/>
        <color indexed="18"/>
        <rFont val="Trebuchet MS"/>
        <family val="2"/>
      </rPr>
      <t>Feedstock Pre-Processing costs based on tons per day</t>
    </r>
    <r>
      <rPr>
        <sz val="11"/>
        <color indexed="18"/>
        <rFont val="Trebuchet MS"/>
        <family val="2"/>
      </rPr>
      <t>:</t>
    </r>
  </si>
  <si>
    <t>Pumps</t>
  </si>
  <si>
    <t>Output Food Waste Mass Loading after Contamination Removed (Solids)</t>
  </si>
  <si>
    <r>
      <t>&gt;&gt;If known, enter the</t>
    </r>
    <r>
      <rPr>
        <b/>
        <sz val="11"/>
        <color indexed="18"/>
        <rFont val="Trebuchet MS"/>
        <family val="2"/>
      </rPr>
      <t xml:space="preserve"> percent</t>
    </r>
    <r>
      <rPr>
        <sz val="11"/>
        <color indexed="18"/>
        <rFont val="Trebuchet MS"/>
        <family val="2"/>
      </rPr>
      <t xml:space="preserve"> of </t>
    </r>
    <r>
      <rPr>
        <b/>
        <sz val="11"/>
        <color indexed="18"/>
        <rFont val="Trebuchet MS"/>
        <family val="2"/>
      </rPr>
      <t>rejected food waste due to contamination</t>
    </r>
    <r>
      <rPr>
        <sz val="11"/>
        <color indexed="18"/>
        <rFont val="Trebuchet MS"/>
        <family val="2"/>
      </rPr>
      <t>:</t>
    </r>
  </si>
  <si>
    <r>
      <t>Feedstock Management Cost (+) or Revenue (-)</t>
    </r>
    <r>
      <rPr>
        <sz val="10"/>
        <color indexed="18"/>
        <rFont val="Trebuchet MS"/>
        <family val="2"/>
      </rPr>
      <t>: Includes  costs and revenues associated with disposal, access, collection, processing, and  transportation of feedstock and biosolids.</t>
    </r>
  </si>
  <si>
    <r>
      <t xml:space="preserve">&gt;&gt;If you would like to calculate a </t>
    </r>
    <r>
      <rPr>
        <i/>
        <sz val="11"/>
        <color indexed="18"/>
        <rFont val="Trebuchet MS"/>
        <family val="2"/>
      </rPr>
      <t>preliminary</t>
    </r>
    <r>
      <rPr>
        <sz val="11"/>
        <color indexed="18"/>
        <rFont val="Trebuchet MS"/>
        <family val="2"/>
      </rPr>
      <t xml:space="preserve"> estimation of carbon offsets available according to the Climate Action Reserve's Organic Waste Digestion (OWD) protocol, please indicate the regional climatic conditions.</t>
    </r>
  </si>
  <si>
    <r>
      <t xml:space="preserve">&gt;&gt;Enter the </t>
    </r>
    <r>
      <rPr>
        <b/>
        <i/>
        <sz val="11"/>
        <color indexed="18"/>
        <rFont val="Trebuchet MS"/>
        <family val="2"/>
      </rPr>
      <t>average</t>
    </r>
    <r>
      <rPr>
        <b/>
        <sz val="11"/>
        <color indexed="18"/>
        <rFont val="Trebuchet MS"/>
        <family val="2"/>
      </rPr>
      <t xml:space="preserve"> number of miles</t>
    </r>
    <r>
      <rPr>
        <sz val="11"/>
        <color indexed="18"/>
        <rFont val="Trebuchet MS"/>
        <family val="2"/>
      </rPr>
      <t xml:space="preserve"> for each round trip  to dispose of the biosolids (landfilled or land applied):</t>
    </r>
  </si>
  <si>
    <t>Green Bins - Household Food Waste Collection (from other entries)</t>
  </si>
  <si>
    <t>O&amp;M Cost (Feedstock)</t>
  </si>
  <si>
    <t>Number of Digester(s) needed</t>
  </si>
  <si>
    <t>number of people</t>
  </si>
  <si>
    <t>number of establishments</t>
  </si>
  <si>
    <t>Biogas Production based on VS Destroyed</t>
  </si>
  <si>
    <r>
      <t xml:space="preserve">&gt;&gt;Enter the </t>
    </r>
    <r>
      <rPr>
        <b/>
        <sz val="11"/>
        <color indexed="18"/>
        <rFont val="Trebuchet MS"/>
        <family val="2"/>
      </rPr>
      <t>the capital cost of your feedstock collection trucks</t>
    </r>
    <r>
      <rPr>
        <sz val="11"/>
        <color indexed="18"/>
        <rFont val="Trebuchet MS"/>
        <family val="2"/>
      </rPr>
      <t>:</t>
    </r>
  </si>
  <si>
    <t>MMBtu per year potentially available</t>
  </si>
  <si>
    <t>ft³/yr</t>
  </si>
  <si>
    <t>High Heat Value of Methane (Btu/cubic foot)</t>
  </si>
  <si>
    <t>MMBtu/yr</t>
  </si>
  <si>
    <t>per MMBtu</t>
  </si>
  <si>
    <t>Million gallons of municipal wastewater available per day.</t>
  </si>
  <si>
    <r>
      <t xml:space="preserve">&gt;&gt;Your organization's </t>
    </r>
    <r>
      <rPr>
        <b/>
        <sz val="11"/>
        <color indexed="18"/>
        <rFont val="Trebuchet MS"/>
        <family val="2"/>
      </rPr>
      <t>annual revenue savings from replacing natural gas with biogas</t>
    </r>
  </si>
  <si>
    <t>Estimated carbon offsets expressed as metric tons of carbon dioxide equivalents [CO2e]</t>
  </si>
  <si>
    <t>You may use the low cost estimation in your model results by inputting the $4.50 per gallon in Option 1.</t>
  </si>
  <si>
    <t>You may add to your estimates by selecting ancillary equipment that supports digester operations.</t>
  </si>
  <si>
    <r>
      <t xml:space="preserve">You may use your </t>
    </r>
    <r>
      <rPr>
        <b/>
        <sz val="11"/>
        <color indexed="18"/>
        <rFont val="Trebuchet MS"/>
        <family val="2"/>
      </rPr>
      <t>own cost estimate based on dollars per gallon of feedstock throughput.</t>
    </r>
  </si>
  <si>
    <t>You may use the high cost estimation in your model results by inputting $9.00 per gallon in Option 1.</t>
  </si>
  <si>
    <t>You may enter your own cost estimate based on dollars per gallon in Option 1.</t>
  </si>
  <si>
    <t xml:space="preserve">Input the cost of the digester per gallon of feedstock throughput. </t>
  </si>
  <si>
    <t>Waste Tons/Truck</t>
  </si>
  <si>
    <r>
      <t xml:space="preserve">&gt;&gt;Enter the </t>
    </r>
    <r>
      <rPr>
        <b/>
        <sz val="11"/>
        <color indexed="18"/>
        <rFont val="Trebuchet MS"/>
        <family val="2"/>
      </rPr>
      <t>tipping fee</t>
    </r>
    <r>
      <rPr>
        <b/>
        <i/>
        <sz val="11"/>
        <color indexed="18"/>
        <rFont val="Trebuchet MS"/>
        <family val="2"/>
      </rPr>
      <t xml:space="preserve"> at the digester:</t>
    </r>
  </si>
  <si>
    <t>Some entries require dimensional inputs. Some entries are based on earlier inputs to the model.</t>
  </si>
  <si>
    <r>
      <t xml:space="preserve">&gt;&gt;Enter the </t>
    </r>
    <r>
      <rPr>
        <b/>
        <sz val="11"/>
        <color indexed="18"/>
        <rFont val="Trebuchet MS"/>
        <family val="2"/>
      </rPr>
      <t xml:space="preserve">Feedstock Access costs (if any) </t>
    </r>
    <r>
      <rPr>
        <sz val="11"/>
        <color indexed="18"/>
        <rFont val="Trebuchet MS"/>
        <family val="2"/>
      </rPr>
      <t>in the service area:</t>
    </r>
  </si>
  <si>
    <t>Environmental Impact Statement</t>
  </si>
  <si>
    <t>Input Parameters</t>
  </si>
  <si>
    <t>Output Food Waste VS Content (%)</t>
  </si>
  <si>
    <t>Output Wastewater VS Content (%)</t>
  </si>
  <si>
    <t>Output Percent Food Waste (% of Total TS)</t>
  </si>
  <si>
    <t>Digester Sizing</t>
  </si>
  <si>
    <t>Value</t>
  </si>
  <si>
    <t>Source</t>
  </si>
  <si>
    <t>Feedstock Parameter</t>
  </si>
  <si>
    <t>Transportation and Processing</t>
  </si>
  <si>
    <t>Feedstock Collection System</t>
  </si>
  <si>
    <t>Percent of total SSOM</t>
  </si>
  <si>
    <t>Manufacturers / Processors</t>
  </si>
  <si>
    <t>Wholesalers / Distributors</t>
  </si>
  <si>
    <t>Hospitals</t>
  </si>
  <si>
    <t>Nursing Homes and Related</t>
  </si>
  <si>
    <t>Colleges, Universities</t>
  </si>
  <si>
    <t>Independent Preparatory Schools</t>
  </si>
  <si>
    <t>Correctional Institutions</t>
  </si>
  <si>
    <t xml:space="preserve"> [cubic feet]</t>
  </si>
  <si>
    <t>Resorts / Conference Facilities</t>
  </si>
  <si>
    <t>Supermarkets</t>
  </si>
  <si>
    <t>Supermarkets (SIC 5411-0100, 0101, 0103, 9901)</t>
  </si>
  <si>
    <t>Grocery Stores (SIC 5411-0000, 9902, 9904, 9905)</t>
  </si>
  <si>
    <t>Restaurants</t>
  </si>
  <si>
    <t>---</t>
  </si>
  <si>
    <t>Food Waste Generation Estimates by Generator Category</t>
  </si>
  <si>
    <t>Food waste (lbs/yr) = N of beds * 5.7 meals/bed/day * 0.6 lbs food waste/meal * 365 days/yr</t>
  </si>
  <si>
    <t>Nursing Homes and Similar Facilities</t>
  </si>
  <si>
    <r>
      <t>&gt;&gt;</t>
    </r>
    <r>
      <rPr>
        <b/>
        <sz val="11"/>
        <color indexed="18"/>
        <rFont val="Trebuchet MS"/>
        <family val="2"/>
      </rPr>
      <t>This is the quantity of carbon offsets according to the OWD protocol [metric tons of CO2e] during the 10 year crediting period</t>
    </r>
  </si>
  <si>
    <t>EPA WARM scaled for 10 year OWD crediting period</t>
  </si>
  <si>
    <r>
      <t>&gt;&gt;</t>
    </r>
    <r>
      <rPr>
        <b/>
        <sz val="11"/>
        <color indexed="18"/>
        <rFont val="Trebuchet MS"/>
        <family val="2"/>
      </rPr>
      <t>This is the quantity of avoided greenhouse gas emissions from landfill according to the U.S. EPA WARM model and expressed as metric tons of carbon dioxide equivalents [metric tons CO2e] for the lifetime of the material</t>
    </r>
  </si>
  <si>
    <r>
      <t>Model Components:</t>
    </r>
    <r>
      <rPr>
        <sz val="12"/>
        <color indexed="12"/>
        <rFont val="Trebuchet MS"/>
        <family val="2"/>
      </rPr>
      <t xml:space="preserve"> </t>
    </r>
    <r>
      <rPr>
        <sz val="12"/>
        <color indexed="8"/>
        <rFont val="Trebuchet MS"/>
        <family val="2"/>
      </rPr>
      <t xml:space="preserve"> 
- </t>
    </r>
    <r>
      <rPr>
        <sz val="12"/>
        <color indexed="18"/>
        <rFont val="Trebuchet MS"/>
        <family val="2"/>
      </rPr>
      <t xml:space="preserve">User Inputs:  Community Data and Food Waste Sources
- Feedstock Parameters
- Food Waste Feedstock Data
- Transportation and Processing
- Pre-processing and Ancillary Equipment
</t>
    </r>
  </si>
  <si>
    <t>Bins for Facility Food Waste Collection</t>
  </si>
  <si>
    <t>Bins for Facility Food Waste Collection (from other entries)</t>
  </si>
  <si>
    <t>Feedstock available (lbs per capita/year)</t>
  </si>
  <si>
    <t>Commercial Bins</t>
  </si>
  <si>
    <t>Units Needed</t>
  </si>
  <si>
    <t>%</t>
  </si>
  <si>
    <t>Max Available Capacity - Total</t>
  </si>
  <si>
    <t>Mass of Biogas</t>
  </si>
  <si>
    <t>Average Cost per Digester w/ ancillary equipment</t>
  </si>
  <si>
    <t>Daily Biogas Production</t>
  </si>
  <si>
    <t>Food waste (lbs/yr = N of beds *3.0 meals/bed/day * 0.6 lbs food waste/meal * 365 days/yr</t>
  </si>
  <si>
    <t>Residential Institutions</t>
  </si>
  <si>
    <t>Food waste (lbs/yr) = 0.35 lbs/meal * N of students * 405 meals/student/yr</t>
  </si>
  <si>
    <t>Non-Residential Institutions (e.g., community colleges)</t>
  </si>
  <si>
    <t>Food waste (lbs/yr) = 0.35 lbs/meal * N of students * 108 meals/student/yr</t>
  </si>
  <si>
    <t>Correctional Facilities</t>
  </si>
  <si>
    <t>Food waste (lbs/yr) = l.0 lb/inmate/day * N of inmates * 365 days/yr</t>
  </si>
  <si>
    <t>Resorts / Conference Properties</t>
  </si>
  <si>
    <t>Food waste (lbs/year) = N of employees * 3,000 lbs/employee/yr</t>
  </si>
  <si>
    <t>Number of Establishments</t>
  </si>
  <si>
    <t>Btu</t>
  </si>
  <si>
    <t>KWh per year potentially available</t>
  </si>
  <si>
    <t>KWh Value Estimate</t>
  </si>
  <si>
    <t>KWh/yr</t>
  </si>
  <si>
    <t>1 KWh=</t>
  </si>
  <si>
    <t>per KWh</t>
  </si>
  <si>
    <t>Btu/yr</t>
  </si>
  <si>
    <t>User Inputs</t>
  </si>
  <si>
    <t>000,000</t>
  </si>
  <si>
    <t>Yes / No</t>
  </si>
  <si>
    <t>Diameter (ft)</t>
  </si>
  <si>
    <t>Height (ft)</t>
  </si>
  <si>
    <t>Effective Capacity (%)</t>
  </si>
  <si>
    <r>
      <t xml:space="preserve">Please scroll down for more user inputs
</t>
    </r>
    <r>
      <rPr>
        <sz val="8"/>
        <color indexed="54"/>
        <rFont val="Wingdings"/>
        <family val="0"/>
      </rPr>
      <t>ò
ò
ò</t>
    </r>
  </si>
  <si>
    <t>Existing Anaerobic Digester</t>
  </si>
  <si>
    <t>TruckTons</t>
  </si>
  <si>
    <t>&gt;&gt;</t>
  </si>
  <si>
    <t>Yes/No</t>
  </si>
  <si>
    <t>Option 1:</t>
  </si>
  <si>
    <t>Option 2:</t>
  </si>
  <si>
    <t>Options</t>
  </si>
  <si>
    <t>Option 1</t>
  </si>
  <si>
    <t>Option 2</t>
  </si>
  <si>
    <t>Option 3</t>
  </si>
  <si>
    <t>Digester Cost</t>
  </si>
  <si>
    <t>Food Waste Source - Population</t>
  </si>
  <si>
    <t>Food Waste Source - Generators</t>
  </si>
  <si>
    <t>&lt;&lt;or&gt;&gt;</t>
  </si>
  <si>
    <t>Generator Establishment Foodwaste Mix</t>
  </si>
  <si>
    <t>Food Processing - Red Meat Rendering Byproducts</t>
  </si>
  <si>
    <t>Pounds Per Capita/Per Year</t>
  </si>
  <si>
    <t>Food Processing - Poultry Rendering Byproducts</t>
  </si>
  <si>
    <t xml:space="preserve">Household Food Scraps - Red Meat </t>
  </si>
  <si>
    <t xml:space="preserve">Household Food Scraps - Poultry </t>
  </si>
  <si>
    <t xml:space="preserve">Household Food Scraps - Fresh and Frozen Fish </t>
  </si>
  <si>
    <t xml:space="preserve">Household Food Scraps - Total Tree Nuts </t>
  </si>
  <si>
    <t>Household Food Scraps - Canned Fish and Shellfish</t>
  </si>
  <si>
    <t xml:space="preserve">Household Food Scraps - Eggs </t>
  </si>
  <si>
    <t xml:space="preserve">Household Food Scraps - Total Dairy </t>
  </si>
  <si>
    <t>Household Food Scraps - Total Fats, Oils, Greases (FOG)</t>
  </si>
  <si>
    <t>Household Food Scraps - Fruit</t>
  </si>
  <si>
    <t>Household Food Scraps - Vegetable</t>
  </si>
  <si>
    <t>Household Food Scraps - Grains</t>
  </si>
  <si>
    <t>Household Food Scraps - Sugars, Honey, Sweeteners</t>
  </si>
  <si>
    <t>Retail Weight (lbs per capita/per year)</t>
  </si>
  <si>
    <t>Weight Available to Consumer (lbs per capita/per year)</t>
  </si>
  <si>
    <t>USDA Analysis Per Capita Retail Loss Rates for Perishables</t>
  </si>
  <si>
    <t>Household Meat Feedstock</t>
  </si>
  <si>
    <t>Household Fats, Oils, Greases (FOG)</t>
  </si>
  <si>
    <t>Diameter [ft]</t>
  </si>
  <si>
    <t>Height [ft]</t>
  </si>
  <si>
    <t>Effective Capacity [%]</t>
  </si>
  <si>
    <t>[miles/roundtrip]</t>
  </si>
  <si>
    <t>[million gal/day]</t>
  </si>
  <si>
    <r>
      <t xml:space="preserve">Data for your situation should be entered into the </t>
    </r>
    <r>
      <rPr>
        <b/>
        <sz val="11"/>
        <color indexed="22"/>
        <rFont val="Trebuchet MS"/>
        <family val="2"/>
      </rPr>
      <t>gray</t>
    </r>
    <r>
      <rPr>
        <b/>
        <sz val="11"/>
        <color indexed="54"/>
        <rFont val="Trebuchet MS"/>
        <family val="2"/>
      </rPr>
      <t xml:space="preserve"> cells.</t>
    </r>
  </si>
  <si>
    <t>Household Fruits and Vegetables Feedstock</t>
  </si>
  <si>
    <t>FOG</t>
  </si>
  <si>
    <t>Fruits, Vegetables, Grains</t>
  </si>
  <si>
    <t>Sugars</t>
  </si>
  <si>
    <t>Household Sugars Feedstock</t>
  </si>
  <si>
    <t>Food Processing - Red Meat Rendering</t>
  </si>
  <si>
    <t>Food Processing - Poultry Rendering</t>
  </si>
  <si>
    <t>Supermarket Meat Feedstock</t>
  </si>
  <si>
    <t>Supermarket Vegetable and Fruit Feedstock</t>
  </si>
  <si>
    <t>Food Processing - Red Meat</t>
  </si>
  <si>
    <t>Food Processing - Poultry</t>
  </si>
  <si>
    <t>Fresh Meats, Poultry, and Seafoods</t>
  </si>
  <si>
    <t>Fresh Vegetables</t>
  </si>
  <si>
    <t>Fresh Fruits</t>
  </si>
  <si>
    <t>Meats, Nuts, Eggs and Dairy</t>
  </si>
  <si>
    <t>metric ton</t>
  </si>
  <si>
    <r>
      <t xml:space="preserve">There are three options for modeling food waste availability.  </t>
    </r>
    <r>
      <rPr>
        <b/>
        <i/>
        <sz val="11"/>
        <color indexed="10"/>
        <rFont val="Trebuchet MS"/>
        <family val="2"/>
      </rPr>
      <t>Choose only one of the three options:</t>
    </r>
  </si>
  <si>
    <r>
      <t>&gt;&gt;</t>
    </r>
    <r>
      <rPr>
        <b/>
        <u val="single"/>
        <sz val="11"/>
        <color indexed="18"/>
        <rFont val="Trebuchet MS"/>
        <family val="2"/>
      </rPr>
      <t>Option 3</t>
    </r>
    <r>
      <rPr>
        <b/>
        <sz val="11"/>
        <color indexed="18"/>
        <rFont val="Trebuchet MS"/>
        <family val="2"/>
      </rPr>
      <t xml:space="preserve"> - Custom Feedstock Audit</t>
    </r>
    <r>
      <rPr>
        <sz val="11"/>
        <color indexed="18"/>
        <rFont val="Trebuchet MS"/>
        <family val="2"/>
      </rPr>
      <t xml:space="preserve"> </t>
    </r>
    <r>
      <rPr>
        <i/>
        <sz val="11"/>
        <color indexed="10"/>
        <rFont val="Trebuchet MS"/>
        <family val="2"/>
      </rPr>
      <t>(</t>
    </r>
    <r>
      <rPr>
        <b/>
        <i/>
        <sz val="11"/>
        <color indexed="10"/>
        <rFont val="Trebuchet MS"/>
        <family val="2"/>
      </rPr>
      <t>enter the tons per day of feedstock available.</t>
    </r>
    <r>
      <rPr>
        <i/>
        <sz val="11"/>
        <color indexed="10"/>
        <rFont val="Trebuchet MS"/>
        <family val="2"/>
      </rPr>
      <t>)</t>
    </r>
  </si>
  <si>
    <t>Bibliography</t>
  </si>
  <si>
    <r>
      <t xml:space="preserve">&gt;&gt;If </t>
    </r>
    <r>
      <rPr>
        <b/>
        <sz val="11"/>
        <color indexed="18"/>
        <rFont val="Trebuchet MS"/>
        <family val="2"/>
      </rPr>
      <t>no</t>
    </r>
    <r>
      <rPr>
        <sz val="11"/>
        <color indexed="18"/>
        <rFont val="Trebuchet MS"/>
        <family val="2"/>
      </rPr>
      <t>, skip the rest of this section and go to the next section.</t>
    </r>
  </si>
  <si>
    <t>Population Based Feedstock Availability Source Data</t>
  </si>
  <si>
    <t>Additional Information</t>
  </si>
  <si>
    <t>Should be No if Option 2 or 3 will be used.</t>
  </si>
  <si>
    <t>Number</t>
  </si>
  <si>
    <t>Ancillary Options</t>
  </si>
  <si>
    <t>Total Ancillary Cost  =</t>
  </si>
  <si>
    <t>Building (enter square feet)</t>
  </si>
  <si>
    <t>Fencing (enter linear feet)</t>
  </si>
  <si>
    <t>Roads (enter square feet)</t>
  </si>
  <si>
    <r>
      <t>The</t>
    </r>
    <r>
      <rPr>
        <b/>
        <sz val="11"/>
        <color indexed="18"/>
        <rFont val="Trebuchet MS"/>
        <family val="2"/>
      </rPr>
      <t xml:space="preserve"> source of food waste</t>
    </r>
    <r>
      <rPr>
        <sz val="11"/>
        <color indexed="18"/>
        <rFont val="Trebuchet MS"/>
        <family val="2"/>
      </rPr>
      <t xml:space="preserve"> is a primary consideration for your Model results. </t>
    </r>
  </si>
  <si>
    <t>per day</t>
  </si>
  <si>
    <t>Avoided Tipping Fees</t>
  </si>
  <si>
    <t>Avoided Daily Tipping Fees</t>
  </si>
  <si>
    <t>http://www.dep.state.pa.us/dep/DEPUTATE/AIRWASTE/WM/RECYCLE/Tech_Rpts/Allegheny2.pdf</t>
  </si>
  <si>
    <t>&gt;&gt;DEFAULT size and effective capacity of anaerobic digester (total volume of existing anaerobic digesters)</t>
  </si>
  <si>
    <r>
      <t xml:space="preserve">&gt;&gt;Will you capture </t>
    </r>
    <r>
      <rPr>
        <b/>
        <sz val="11"/>
        <color indexed="18"/>
        <rFont val="Trebuchet MS"/>
        <family val="2"/>
      </rPr>
      <t xml:space="preserve">supermarket food waste </t>
    </r>
    <r>
      <rPr>
        <sz val="11"/>
        <color indexed="18"/>
        <rFont val="Trebuchet MS"/>
        <family val="2"/>
      </rPr>
      <t>in the service area?</t>
    </r>
  </si>
  <si>
    <r>
      <t xml:space="preserve">&gt;&gt;Will you capture </t>
    </r>
    <r>
      <rPr>
        <b/>
        <sz val="11"/>
        <color indexed="18"/>
        <rFont val="Trebuchet MS"/>
        <family val="2"/>
      </rPr>
      <t xml:space="preserve">fruit processing facility food waste </t>
    </r>
    <r>
      <rPr>
        <sz val="11"/>
        <color indexed="18"/>
        <rFont val="Trebuchet MS"/>
        <family val="2"/>
      </rPr>
      <t>in the service area?</t>
    </r>
  </si>
  <si>
    <r>
      <t>&gt;&gt;Will you capture</t>
    </r>
    <r>
      <rPr>
        <b/>
        <sz val="11"/>
        <color indexed="18"/>
        <rFont val="Trebuchet MS"/>
        <family val="2"/>
      </rPr>
      <t xml:space="preserve"> vegetable processing facility food waste </t>
    </r>
    <r>
      <rPr>
        <sz val="11"/>
        <color indexed="18"/>
        <rFont val="Trebuchet MS"/>
        <family val="2"/>
      </rPr>
      <t>in the service area?</t>
    </r>
  </si>
  <si>
    <r>
      <t xml:space="preserve">&gt;&gt;Will you capture </t>
    </r>
    <r>
      <rPr>
        <b/>
        <sz val="11"/>
        <color indexed="18"/>
        <rFont val="Trebuchet MS"/>
        <family val="2"/>
      </rPr>
      <t xml:space="preserve">red meat processing facility food waste </t>
    </r>
    <r>
      <rPr>
        <sz val="11"/>
        <color indexed="18"/>
        <rFont val="Trebuchet MS"/>
        <family val="2"/>
      </rPr>
      <t>in the service area?</t>
    </r>
  </si>
  <si>
    <r>
      <t xml:space="preserve">&gt;&gt;Will you capture </t>
    </r>
    <r>
      <rPr>
        <b/>
        <sz val="11"/>
        <color indexed="18"/>
        <rFont val="Trebuchet MS"/>
        <family val="2"/>
      </rPr>
      <t xml:space="preserve">poultry processing facility food waste </t>
    </r>
    <r>
      <rPr>
        <sz val="11"/>
        <color indexed="18"/>
        <rFont val="Trebuchet MS"/>
        <family val="2"/>
      </rPr>
      <t>in the service area?</t>
    </r>
  </si>
  <si>
    <t>Food Waste Source - 
Custom Feedstock Audit</t>
  </si>
  <si>
    <t>Notes</t>
  </si>
  <si>
    <r>
      <t>Please note</t>
    </r>
    <r>
      <rPr>
        <sz val="11"/>
        <color indexed="18"/>
        <rFont val="Trebuchet MS"/>
        <family val="2"/>
      </rPr>
      <t xml:space="preserve">: Food waste requires pre-processing before introduction into an anaerobic digester. </t>
    </r>
    <r>
      <rPr>
        <b/>
        <sz val="11"/>
        <color indexed="18"/>
        <rFont val="Trebuchet MS"/>
        <family val="2"/>
      </rPr>
      <t>Include any pre-processing needs in your estimate.</t>
    </r>
  </si>
  <si>
    <t>U.S. EPA WARM Model http://epa.gov/climatechange/wycd/waste/calculators/Warm_home.html</t>
  </si>
  <si>
    <r>
      <t>This worksheet calculates the amount of food waste feedstock that is available in your community based on your user inputs. This calculation informs the feedstock parameter worksheet which calculates the amount of biogas potential. The food waste feedstock availability data contained in this worksheet is based on: (1.) U.S. Department of Agriculture data on food wastage rates [</t>
    </r>
    <r>
      <rPr>
        <b/>
        <sz val="11"/>
        <color indexed="12"/>
        <rFont val="Trebuchet MS"/>
        <family val="2"/>
      </rPr>
      <t>http://www.ers.usda.gov/Data/FoodConsumption</t>
    </r>
    <r>
      <rPr>
        <b/>
        <sz val="11"/>
        <color indexed="54"/>
        <rFont val="Trebuchet MS"/>
        <family val="2"/>
      </rPr>
      <t>] [</t>
    </r>
    <r>
      <rPr>
        <b/>
        <sz val="11"/>
        <color indexed="12"/>
        <rFont val="Trebuchet MS"/>
        <family val="2"/>
      </rPr>
      <t>http://www.ers.usda.gov/Publications/EIB44/</t>
    </r>
    <r>
      <rPr>
        <b/>
        <sz val="11"/>
        <color indexed="54"/>
        <rFont val="Trebuchet MS"/>
        <family val="2"/>
      </rPr>
      <t>] (2.) State of Massachusetts study on food wastage rates [</t>
    </r>
    <r>
      <rPr>
        <b/>
        <sz val="11"/>
        <color indexed="12"/>
        <rFont val="Trebuchet MS"/>
        <family val="2"/>
      </rPr>
      <t>Identification, Characterization, and Mapping of Food Waste and Food Waste Generators In Massachusetts, September 2009</t>
    </r>
    <r>
      <rPr>
        <b/>
        <sz val="11"/>
        <color indexed="54"/>
        <rFont val="Trebuchet MS"/>
        <family val="2"/>
      </rPr>
      <t>].</t>
    </r>
  </si>
  <si>
    <t>Note: Cost estimate for digester vessel are based on engineering quotes from Brown &amp; Caldwell</t>
  </si>
  <si>
    <t>Cost estimates on ancillary digester equipment, Juliette Bohn, Humboldt Waste Management Authority</t>
  </si>
  <si>
    <t>Cost estimates on Digester vessel, Brown and Caldwell</t>
  </si>
  <si>
    <t>“Identification, characterization and mapping of food waste and food waste generators in Massachusetts” Sept. 19, 2002 Massachusetts Department of Environmental Protection</t>
  </si>
  <si>
    <r>
      <t xml:space="preserve">The following table lists types of possible food waste </t>
    </r>
    <r>
      <rPr>
        <b/>
        <sz val="11"/>
        <color indexed="18"/>
        <rFont val="Trebuchet MS"/>
        <family val="2"/>
      </rPr>
      <t>generators</t>
    </r>
    <r>
      <rPr>
        <sz val="11"/>
        <color indexed="18"/>
        <rFont val="Trebuchet MS"/>
        <family val="2"/>
      </rPr>
      <t xml:space="preserve"> in the service area.</t>
    </r>
  </si>
  <si>
    <t>VS Destruction Efficiency (Food Waste)</t>
  </si>
  <si>
    <t>VS Destruction Efficiency (Wastewater Solids)</t>
  </si>
  <si>
    <t>1 cf=</t>
  </si>
  <si>
    <t>Liter</t>
  </si>
  <si>
    <t>1 g=</t>
  </si>
  <si>
    <t>1 lb=</t>
  </si>
  <si>
    <t>Conversion Factors:</t>
  </si>
  <si>
    <r>
      <t xml:space="preserve">&gt;&gt;Enter the </t>
    </r>
    <r>
      <rPr>
        <b/>
        <sz val="11"/>
        <color indexed="18"/>
        <rFont val="Trebuchet MS"/>
        <family val="2"/>
      </rPr>
      <t>number of food waste-generating establishments</t>
    </r>
    <r>
      <rPr>
        <sz val="11"/>
        <color indexed="18"/>
        <rFont val="Trebuchet MS"/>
        <family val="2"/>
      </rPr>
      <t xml:space="preserve"> for each category:</t>
    </r>
  </si>
  <si>
    <t>Food Waste-Generating Categories</t>
  </si>
  <si>
    <t>Number in Service Area</t>
  </si>
  <si>
    <t>Colleges and Universities</t>
  </si>
  <si>
    <t>Should be zero if another Option is used</t>
  </si>
  <si>
    <t>Should be zero if another Option is used.</t>
  </si>
  <si>
    <t>Part 1 - Food Waste Feedstock Estimate</t>
  </si>
  <si>
    <r>
      <t xml:space="preserve">&gt;&gt;Enter the </t>
    </r>
    <r>
      <rPr>
        <b/>
        <sz val="11"/>
        <color indexed="18"/>
        <rFont val="Trebuchet MS"/>
        <family val="2"/>
      </rPr>
      <t>landfill tipping fee</t>
    </r>
    <r>
      <rPr>
        <sz val="11"/>
        <color indexed="18"/>
        <rFont val="Trebuchet MS"/>
        <family val="2"/>
      </rPr>
      <t xml:space="preserve"> in the service area:</t>
    </r>
  </si>
  <si>
    <t>lbs/day</t>
  </si>
  <si>
    <t>Flow Rate [MGD]</t>
  </si>
  <si>
    <t>Enter your own amount.</t>
  </si>
  <si>
    <t>VS/TS Ratio</t>
  </si>
  <si>
    <t>VS =</t>
  </si>
  <si>
    <t>TS =</t>
  </si>
  <si>
    <t>volatile solids</t>
  </si>
  <si>
    <t>total solids</t>
  </si>
  <si>
    <t>TS [%]</t>
  </si>
  <si>
    <t>% TS</t>
  </si>
  <si>
    <t>Total Digester(s) Cost</t>
  </si>
  <si>
    <t>Default values for much of this equipment or options are included in Worksheet 5. Use default values at your own discretion.</t>
  </si>
  <si>
    <t>http://www.ers.usda.gov/data/foodconsumption/FoodGuideIndex.htm</t>
  </si>
  <si>
    <t>Source: http://www.ers.usda.gov/Data/FoodConsumption (based on calendar year 2007)</t>
  </si>
  <si>
    <t>The initial cost includes only the digester vessel. The user must add all ancillary equipment and/or services that support the digester vessel operation.</t>
  </si>
  <si>
    <t>Amount of Avoided Emissions in Metric Tons of CO2e per day</t>
  </si>
  <si>
    <t>metric ton/day</t>
  </si>
  <si>
    <t>Temperate, Dry</t>
  </si>
  <si>
    <t>Temperate, Wet</t>
  </si>
  <si>
    <t>Tropical, Dry</t>
  </si>
  <si>
    <t>Tropical, Wet</t>
  </si>
  <si>
    <r>
      <t>Supermarkets</t>
    </r>
    <r>
      <rPr>
        <sz val="10"/>
        <rFont val="Trebuchet MS"/>
        <family val="2"/>
      </rPr>
      <t>: 11% of all food waste generated in Massachusetts.</t>
    </r>
  </si>
  <si>
    <r>
      <t>Restaurants</t>
    </r>
    <r>
      <rPr>
        <sz val="10"/>
        <rFont val="Trebuchet MS"/>
        <family val="2"/>
      </rPr>
      <t xml:space="preserve">:  19% of all food waste generated in Massachusetts. </t>
    </r>
  </si>
  <si>
    <r>
      <t>Food manufacturers and processors:</t>
    </r>
    <r>
      <rPr>
        <sz val="10"/>
        <rFont val="Trebuchet MS"/>
        <family val="2"/>
      </rPr>
      <t xml:space="preserve"> 56% of all food waste generated in Massachusetts. </t>
    </r>
  </si>
  <si>
    <r>
      <t>Food waste (lbs/yr) = 1.0 lbs/meal * N of meals/seat/day</t>
    </r>
    <r>
      <rPr>
        <vertAlign val="superscript"/>
        <sz val="10"/>
        <rFont val="Trebuchet MS"/>
        <family val="2"/>
      </rPr>
      <t>2</t>
    </r>
    <r>
      <rPr>
        <sz val="10"/>
        <rFont val="Trebuchet MS"/>
        <family val="2"/>
      </rPr>
      <t xml:space="preserve"> * N of seats * 365 days/yr</t>
    </r>
  </si>
  <si>
    <t>Food Waste Feedstock Data</t>
  </si>
  <si>
    <r>
      <t xml:space="preserve">Data calculated from data entered in "User Input" worksheet is highlighted in </t>
    </r>
    <r>
      <rPr>
        <b/>
        <sz val="11"/>
        <color indexed="46"/>
        <rFont val="Trebuchet MS"/>
        <family val="2"/>
      </rPr>
      <t>purple</t>
    </r>
    <r>
      <rPr>
        <b/>
        <sz val="11"/>
        <color indexed="54"/>
        <rFont val="Trebuchet MS"/>
        <family val="2"/>
      </rPr>
      <t xml:space="preserve"> cells.</t>
    </r>
  </si>
  <si>
    <r>
      <t xml:space="preserve">Data calculated from data entered in other worksheets is highlighted in </t>
    </r>
    <r>
      <rPr>
        <b/>
        <sz val="11"/>
        <color indexed="46"/>
        <rFont val="Trebuchet MS"/>
        <family val="2"/>
      </rPr>
      <t>purple</t>
    </r>
    <r>
      <rPr>
        <b/>
        <sz val="11"/>
        <color indexed="54"/>
        <rFont val="Trebuchet MS"/>
        <family val="2"/>
      </rPr>
      <t xml:space="preserve"> cells.</t>
    </r>
  </si>
  <si>
    <t>Reduction Expected through the Process</t>
  </si>
  <si>
    <t>Output Waste Biomass</t>
  </si>
  <si>
    <t>per year</t>
  </si>
  <si>
    <t>Food Waste % of Total Waste</t>
  </si>
  <si>
    <t>Wastewater % of Total Waste</t>
  </si>
  <si>
    <t>Weighted Total Feedstock Yield</t>
  </si>
  <si>
    <t xml:space="preserve">Weighted Total Feedstock Concentration (% TS) </t>
  </si>
  <si>
    <t>Weighted VS Content of Total Feedstock</t>
  </si>
  <si>
    <t>Weighted Total Feedstock Loading (TS)</t>
  </si>
  <si>
    <t>Part 3 - Financial Data</t>
  </si>
  <si>
    <r>
      <t xml:space="preserve">&gt;&gt;What guidelines does your organization use for </t>
    </r>
    <r>
      <rPr>
        <b/>
        <sz val="11"/>
        <color indexed="18"/>
        <rFont val="Trebuchet MS"/>
        <family val="2"/>
      </rPr>
      <t>evaluating investments</t>
    </r>
    <r>
      <rPr>
        <sz val="11"/>
        <color indexed="18"/>
        <rFont val="Trebuchet MS"/>
        <family val="2"/>
      </rPr>
      <t>?</t>
    </r>
  </si>
  <si>
    <t>Enter the discount rate used for investments.</t>
  </si>
  <si>
    <t>Financial Data</t>
  </si>
  <si>
    <t>This is the end of user inputs</t>
  </si>
  <si>
    <t>Energy Costs</t>
  </si>
  <si>
    <t>COSTS (digester capacity)</t>
  </si>
  <si>
    <r>
      <t>Intended Audience:</t>
    </r>
    <r>
      <rPr>
        <sz val="12"/>
        <color indexed="12"/>
        <rFont val="Trebuchet MS"/>
        <family val="2"/>
      </rPr>
      <t xml:space="preserve"> </t>
    </r>
    <r>
      <rPr>
        <sz val="12"/>
        <color indexed="8"/>
        <rFont val="Trebuchet MS"/>
        <family val="2"/>
      </rPr>
      <t xml:space="preserve"> 
</t>
    </r>
    <r>
      <rPr>
        <sz val="12"/>
        <color indexed="18"/>
        <rFont val="Trebuchet MS"/>
        <family val="2"/>
      </rPr>
      <t xml:space="preserve">Decision-makers with significant technical and/or finance background: 
- Municipal Managers
- Engineers
- Finance Managers
- Wastewater Treatment Plant Managers and Operators
</t>
    </r>
  </si>
  <si>
    <t>Organization:</t>
  </si>
  <si>
    <t>Facility:</t>
  </si>
  <si>
    <t>1-Page Summary</t>
  </si>
  <si>
    <t>This page summarizes the data and results for your organization.</t>
  </si>
  <si>
    <r>
      <t>Population</t>
    </r>
    <r>
      <rPr>
        <sz val="11"/>
        <color indexed="18"/>
        <rFont val="Trebuchet MS"/>
        <family val="2"/>
      </rPr>
      <t xml:space="preserve"> of the area being considered for food waste biogas production:</t>
    </r>
  </si>
  <si>
    <t>Organization/Food Waste Data:</t>
  </si>
  <si>
    <r>
      <t xml:space="preserve">Existing </t>
    </r>
    <r>
      <rPr>
        <b/>
        <sz val="11"/>
        <color indexed="18"/>
        <rFont val="Trebuchet MS"/>
        <family val="2"/>
      </rPr>
      <t>anaerobic digesters</t>
    </r>
  </si>
  <si>
    <t>Avoided greenhouse gas emissions expressed as metric tons of carbon dioxide equivalents [CO2e]</t>
  </si>
  <si>
    <r>
      <t xml:space="preserve">Organization's guidelines for </t>
    </r>
    <r>
      <rPr>
        <b/>
        <sz val="11"/>
        <color indexed="18"/>
        <rFont val="Trebuchet MS"/>
        <family val="2"/>
      </rPr>
      <t>evaluating investments</t>
    </r>
  </si>
  <si>
    <t>Finance rate used for investments</t>
  </si>
  <si>
    <t>Discount rate used for investments</t>
  </si>
  <si>
    <t>Enter the finance rate used for investments.</t>
  </si>
  <si>
    <t>Landfill Emissions Recovered (75%)</t>
  </si>
  <si>
    <t>Weighted Total Feedstock Loading (VS)</t>
  </si>
  <si>
    <t>Assume Sludge SG (sg - specific gravity)</t>
  </si>
  <si>
    <t>Constant (Specific Weight of Water)</t>
  </si>
  <si>
    <t>Q (Sludge Flowrate)</t>
  </si>
  <si>
    <t>θ (Mean Cell Residence Time)</t>
  </si>
  <si>
    <t>Effective Digester Capacity %</t>
  </si>
  <si>
    <t>Effective Digester Capacity</t>
  </si>
  <si>
    <t>assuming density ~water (8.34 lbs/gal)</t>
  </si>
  <si>
    <t>Fats, Oils, and Grease (FOG) Receiving Station</t>
  </si>
  <si>
    <t>Installation and Miscellaneous</t>
  </si>
  <si>
    <t>FOG Receiving, Feedstock Processing, and Ancillary Equipment</t>
  </si>
  <si>
    <t>The remainder of the worksheets support this worksheet with assumptions and default values that provide the underlying functionality of the Model.  Once familiar with the inputs, outputs and data used to calculate values, users can customize the Model by modifying data in the rest of the worksheets.</t>
  </si>
  <si>
    <t>Overview</t>
  </si>
  <si>
    <r>
      <t xml:space="preserve">EPA Region 9 Contact:  </t>
    </r>
    <r>
      <rPr>
        <sz val="14"/>
        <color indexed="17"/>
        <rFont val="Trebuchet MS"/>
        <family val="2"/>
      </rPr>
      <t xml:space="preserve">
     </t>
    </r>
    <r>
      <rPr>
        <sz val="14"/>
        <color indexed="18"/>
        <rFont val="Trebuchet MS"/>
        <family val="2"/>
      </rPr>
      <t>Laura Moreno
     415.947.4240
     Moreno.Laura@epamail.epa.gov</t>
    </r>
  </si>
  <si>
    <r>
      <t xml:space="preserve">Scroll down for more user inputs
</t>
    </r>
    <r>
      <rPr>
        <sz val="8"/>
        <color indexed="54"/>
        <rFont val="Wingdings"/>
        <family val="0"/>
      </rPr>
      <t>ò
ò
ò</t>
    </r>
  </si>
  <si>
    <t>The Model is based on many assumptions and data that may or may not be applicable to your circumstances.  The Model is intended to be used as a basis for an initial feasibility assessment; subsequent and detailed analyses are required to assess your circumstances.  References and data sources are provided throughout the Model for further research and evaluation.</t>
  </si>
  <si>
    <t>Personal communication on root feedstock density, Nora Goldstein</t>
  </si>
  <si>
    <t xml:space="preserve">“SSO Collection”, Biocycle, Jan 2009 Vol. 50 No.1 p. 23 </t>
  </si>
  <si>
    <t>Final Report March 2008 “Anaerobic Digestion of Food Waste”, East Bay Municipal Utility District</t>
  </si>
  <si>
    <t xml:space="preserve">“California Biomass Feedstock Study Report” December 8, 2008, Tetra Tech EMI </t>
  </si>
  <si>
    <t>“Municipal Solid Waste in the United States: 2007 Facts and Figures” U.S. Environmental Protection Agency, November 2008</t>
  </si>
  <si>
    <t>Digester parameters, Metcalf and Eddy</t>
  </si>
  <si>
    <t>“Waste Disposal and Diversion Findings for Selected Industry Groups” June 2006, Cascadia Consulting Group</t>
  </si>
  <si>
    <t xml:space="preserve"> "Household Refuse Food Loss, Bureau of Applied Research in Anthropology."  University of Arizona. Report to the United States Department of Agriculture, Economic Research Service.  2002. Jones, Timothy, Sarah Dahlen, Kathy Cisco, Brian McKee, and Andrew Bockhorst. </t>
  </si>
  <si>
    <t>“Supermarket Loss Estimates for Fresh Fruit Vegetables, Meat, Poultry, and Seafood and their use in the ERS Loss Adjusted Food Availability data” March 2009, US Department of Agriculture. http://www.ers.usda.gov/Publications/EIB44/</t>
  </si>
  <si>
    <t>Food wastage rates http://www.ers.usda.gov/Data/FoodConsumption</t>
  </si>
  <si>
    <t>Transportation Costs per ton-mile  http://books.google.com/books?id=0GiiauhF6PwC&amp;pg=PA104&amp;lpg=PA104&amp;dq=California+Waste+hauling+cost+per+mile&amp;source=web&amp;ots=58DEyojq6V&amp;sig=A2YpxqiWvUW-IsworKBjxKPNUHw&amp;hl=en&amp;sa=X&amp;oi=book_result&amp;resnum=7&amp;ct=result</t>
  </si>
  <si>
    <t>Cost for green bin  http://www.ottawa.ca/residents/recycling_garbage/green_bin_program/faq_en.html</t>
  </si>
  <si>
    <t>Processing Costs/(short ton/day capacity)  http://www.dep.state.pa.us/dep/DEPUTATE/AIRWASTE/WM/RECYCLE/Tech_Rpts/Allegheny2.pdf</t>
  </si>
  <si>
    <t>Ancillary equipment and/or services support digester vessel operation. This spreadsheet is not linked to other parts of the model.</t>
  </si>
  <si>
    <t>Weighted Total Feedstock Concentration (% TS) http://www.epa.gov/region09/waste/organics/ad/EBMUDFactSheet.pdf</t>
  </si>
  <si>
    <t>Digester Volume  http://faculty.engineering.ucdavis.edu/jenkins/CBC/Calculator/EconModules/EconCalculator_GenericPowerOnly.xls</t>
  </si>
  <si>
    <t>Energy costs  http://www.eia.doe.gov/cneaf/electricity/epm/table5_3.html</t>
  </si>
  <si>
    <t>Energy costs  http://www.eia.doe.gov/neic/experts/heatcalc.xls</t>
  </si>
  <si>
    <t>Energy costs  http://tonto.eia.doe.gov/dnav/ng/ng_pri_sum_a_EPG0_PCS_DMcf_a.htm</t>
  </si>
  <si>
    <t>Please note that EPA does not endorse or verify the information provided by commercial vendors.</t>
  </si>
  <si>
    <r>
      <t xml:space="preserve">Select </t>
    </r>
    <r>
      <rPr>
        <b/>
        <sz val="11"/>
        <color indexed="18"/>
        <rFont val="Trebuchet MS"/>
        <family val="2"/>
      </rPr>
      <t>Yes</t>
    </r>
    <r>
      <rPr>
        <sz val="11"/>
        <color indexed="18"/>
        <rFont val="Trebuchet MS"/>
        <family val="2"/>
      </rPr>
      <t xml:space="preserve"> if you</t>
    </r>
    <r>
      <rPr>
        <b/>
        <sz val="11"/>
        <color indexed="18"/>
        <rFont val="Trebuchet MS"/>
        <family val="2"/>
      </rPr>
      <t xml:space="preserve"> have pre-existing digesters</t>
    </r>
    <r>
      <rPr>
        <sz val="11"/>
        <color indexed="18"/>
        <rFont val="Trebuchet MS"/>
        <family val="2"/>
      </rPr>
      <t xml:space="preserve"> that you have defined in Part 2. Select </t>
    </r>
    <r>
      <rPr>
        <b/>
        <sz val="11"/>
        <color indexed="18"/>
        <rFont val="Trebuchet MS"/>
        <family val="2"/>
      </rPr>
      <t>No</t>
    </r>
    <r>
      <rPr>
        <sz val="11"/>
        <color indexed="18"/>
        <rFont val="Trebuchet MS"/>
        <family val="2"/>
      </rPr>
      <t xml:space="preserve"> if you do not have pre-existing digesters at your facility.</t>
    </r>
  </si>
  <si>
    <r>
      <t xml:space="preserve">Total Generation of Supermarket Feedstock </t>
    </r>
    <r>
      <rPr>
        <i/>
        <sz val="10"/>
        <rFont val="Arial"/>
        <family val="2"/>
      </rPr>
      <t>from User Inpu</t>
    </r>
    <r>
      <rPr>
        <sz val="10"/>
        <rFont val="Arial"/>
        <family val="0"/>
      </rPr>
      <t>t (lbs./year)</t>
    </r>
  </si>
  <si>
    <t>TOTAL COST (+ 15%)</t>
  </si>
  <si>
    <t>TOTAL COST (- 15%)</t>
  </si>
  <si>
    <t xml:space="preserve"> Biogas to electricity internal combustion engine efficiency</t>
  </si>
  <si>
    <t xml:space="preserve">without waste hauling and disposal </t>
  </si>
  <si>
    <r>
      <t xml:space="preserve">&gt;&gt;Your organization's </t>
    </r>
    <r>
      <rPr>
        <b/>
        <sz val="11"/>
        <color indexed="18"/>
        <rFont val="Trebuchet MS"/>
        <family val="2"/>
      </rPr>
      <t>annual cost (+) or revenue (-) associated with avoided feedstock landfilling, tipping fees, access, collection, transport, processing, and biosolid waste transport and disposal</t>
    </r>
  </si>
  <si>
    <t>Digester Cost Results</t>
  </si>
  <si>
    <r>
      <t>&gt;&gt;If known, enter the</t>
    </r>
    <r>
      <rPr>
        <b/>
        <sz val="11"/>
        <color indexed="18"/>
        <rFont val="Trebuchet MS"/>
        <family val="2"/>
      </rPr>
      <t xml:space="preserve"> tons per day</t>
    </r>
    <r>
      <rPr>
        <sz val="11"/>
        <color indexed="18"/>
        <rFont val="Trebuchet MS"/>
        <family val="2"/>
      </rPr>
      <t xml:space="preserve"> of </t>
    </r>
    <r>
      <rPr>
        <b/>
        <sz val="11"/>
        <color indexed="18"/>
        <rFont val="Trebuchet MS"/>
        <family val="2"/>
      </rPr>
      <t>non-household</t>
    </r>
    <r>
      <rPr>
        <sz val="11"/>
        <color indexed="18"/>
        <rFont val="Trebuchet MS"/>
        <family val="2"/>
      </rPr>
      <t xml:space="preserve"> </t>
    </r>
    <r>
      <rPr>
        <b/>
        <sz val="11"/>
        <color indexed="18"/>
        <rFont val="Trebuchet MS"/>
        <family val="2"/>
      </rPr>
      <t xml:space="preserve">fats, oil and grease (FOG) </t>
    </r>
    <r>
      <rPr>
        <sz val="11"/>
        <color indexed="18"/>
        <rFont val="Trebuchet MS"/>
        <family val="2"/>
      </rPr>
      <t>available for food waste biogas production:</t>
    </r>
  </si>
  <si>
    <t>Average of OWD K values for 10 year timeline</t>
  </si>
  <si>
    <r>
      <t xml:space="preserve">&gt;&gt;Enter the </t>
    </r>
    <r>
      <rPr>
        <b/>
        <sz val="11"/>
        <color indexed="18"/>
        <rFont val="Trebuchet MS"/>
        <family val="2"/>
      </rPr>
      <t>Consumer Price Index (CPI)</t>
    </r>
    <r>
      <rPr>
        <sz val="11"/>
        <color indexed="18"/>
        <rFont val="Trebuchet MS"/>
        <family val="2"/>
      </rPr>
      <t xml:space="preserve"> in the service area:</t>
    </r>
  </si>
  <si>
    <t>CPI</t>
  </si>
  <si>
    <t>[Percentage]</t>
  </si>
  <si>
    <t>Digester Tipping Fee per ton</t>
  </si>
  <si>
    <t>Landfill Tipping Fee per ton</t>
  </si>
  <si>
    <r>
      <t xml:space="preserve">&gt;&gt;Will </t>
    </r>
    <r>
      <rPr>
        <b/>
        <sz val="11"/>
        <color indexed="18"/>
        <rFont val="Trebuchet MS"/>
        <family val="2"/>
      </rPr>
      <t>digester biosolids waste</t>
    </r>
    <r>
      <rPr>
        <sz val="11"/>
        <color indexed="18"/>
        <rFont val="Trebuchet MS"/>
        <family val="2"/>
      </rPr>
      <t xml:space="preserve"> be landfilled?</t>
    </r>
  </si>
  <si>
    <t>Total Daily Tipping Fees Cost for biosolid disposal</t>
  </si>
  <si>
    <t>Total Daily Tipping Fees Revenue at the Digester</t>
  </si>
  <si>
    <t>Security System</t>
  </si>
  <si>
    <t>Co-Generation or Internal Combustion Engines</t>
  </si>
  <si>
    <t>Safety Flares</t>
  </si>
  <si>
    <t>Biogas Collection System</t>
  </si>
  <si>
    <t>Discount Rate (%)</t>
  </si>
  <si>
    <t>Financing Rate</t>
  </si>
  <si>
    <t>http://www.ottawa.ca/residents/recycling_garbage/green_bin_program/faq_en.html</t>
  </si>
  <si>
    <t>$000,000,000</t>
  </si>
  <si>
    <t>Other (user input)</t>
  </si>
  <si>
    <t>Digester Cost - Option 2</t>
  </si>
  <si>
    <t>Please scroll down for more user inputs
ò
ò
ò</t>
  </si>
  <si>
    <t>Wetland delineation</t>
  </si>
  <si>
    <t>Food Waste Pickup</t>
  </si>
  <si>
    <t xml:space="preserve">  </t>
  </si>
  <si>
    <t>NPV</t>
  </si>
  <si>
    <t>Methane to Biogas Ratio</t>
  </si>
  <si>
    <t>Total Cost ($)</t>
  </si>
  <si>
    <t>V</t>
  </si>
  <si>
    <t>T</t>
  </si>
  <si>
    <t>P</t>
  </si>
  <si>
    <t>R</t>
  </si>
  <si>
    <t>n</t>
  </si>
  <si>
    <t>moles</t>
  </si>
  <si>
    <t>Biogas MW</t>
  </si>
  <si>
    <t>g/mol</t>
  </si>
  <si>
    <t>g</t>
  </si>
  <si>
    <t>lb</t>
  </si>
  <si>
    <t>L/d</t>
  </si>
  <si>
    <t>K</t>
  </si>
  <si>
    <t>kPa</t>
  </si>
  <si>
    <t>NET BENEFIT OF PROJECT</t>
  </si>
  <si>
    <t>ANALYSIS OF COGENERATION PROJECT COST/BENEFIT - FINANCED CAPITAL SCENARIO</t>
  </si>
  <si>
    <t xml:space="preserve">Annual Biogas Production </t>
  </si>
  <si>
    <t>ft³/day</t>
  </si>
  <si>
    <t>http://www.epa.gov/region09/waste/organics/ad/EBMUDFactSheet.pdf</t>
  </si>
  <si>
    <t>Food Waste Total Solids</t>
  </si>
  <si>
    <t>solids</t>
  </si>
  <si>
    <t>Food Waste VS</t>
  </si>
  <si>
    <t>total substrate</t>
  </si>
  <si>
    <t>Wastewater VS</t>
  </si>
  <si>
    <t>http://faculty.engineering.ucdavis.edu/jenkins/CBC/Calculator/EconModules/EconCalculator_GenericPowerOnly.xls</t>
  </si>
  <si>
    <t>Digester Volume</t>
  </si>
  <si>
    <t>V=Qθ</t>
  </si>
  <si>
    <t>Metcalf &amp; Eddy p. 819</t>
  </si>
  <si>
    <t>lb/ft³</t>
  </si>
  <si>
    <t>days</t>
  </si>
  <si>
    <t>Required Volume</t>
  </si>
  <si>
    <t>ft³</t>
  </si>
  <si>
    <t>ft</t>
  </si>
  <si>
    <t>Wastewater Solids Yield</t>
  </si>
  <si>
    <t>Metcalf &amp; Eddy - max typical size</t>
  </si>
  <si>
    <t>ft³ biogas/lb VS destroyed</t>
  </si>
  <si>
    <t>Physical Plant Costs (installed)</t>
  </si>
  <si>
    <t>Number of Digesters</t>
  </si>
  <si>
    <t>Physical Digester Plant Costs</t>
  </si>
  <si>
    <t>Feedstock Access Costs</t>
  </si>
  <si>
    <t>Tons/Day Required</t>
  </si>
  <si>
    <t>Average Miles / Round Trip</t>
  </si>
  <si>
    <t>Transportation Costs/ton-mile</t>
  </si>
  <si>
    <t>Financial Model Output</t>
  </si>
  <si>
    <t>The numbered worksheets contain assumptions and default values that provide the underlying functionality of the Model.  Once familiar with the inputs, outputs and data used to calculate values, users can customize the Model by modifying data in the rest of the worksheets.</t>
  </si>
  <si>
    <t>http://tonto.eia.doe.gov/dnav/ng/ng_pri_sum_a_EPG0_PCS_DMcf_a.htm</t>
  </si>
  <si>
    <t>http://www.eia.doe.gov/neic/experts/heatcalc.xls</t>
  </si>
  <si>
    <t>Trips Required/Day</t>
  </si>
  <si>
    <t>Biogas can used in many ways; these savings are mutually exclusive.</t>
  </si>
  <si>
    <t>Project Savings</t>
  </si>
  <si>
    <t>Project Benefits</t>
  </si>
  <si>
    <t>This worksheet takes the capital and O&amp;M costs and projected potential benefits of biogas generation to project cash flows and calculate a Net Present Value (NPV) for the project.  The overarching assumptions are:  15-year project timeline, discount rate and financing rates entered on the user input page, and using the biogas in place of natural gas used elsewhere.  Many other scenarios are possible especially with respect to the biogas use including steam generation, cogeneration for electricity, etc.</t>
  </si>
  <si>
    <t>Savings</t>
  </si>
  <si>
    <t>Natural Gas Use Reduction (Biogas Replacement)</t>
  </si>
  <si>
    <t>Expected Annual Increase</t>
  </si>
  <si>
    <t>Total Benefit ($)</t>
  </si>
  <si>
    <t>Net Present Value</t>
  </si>
  <si>
    <t>Natural Gas Use Reduction</t>
  </si>
  <si>
    <t>http://books.google.com/books?id=0GiiauhF6PwC&amp;pg=PA104&amp;lpg=PA104&amp;dq=California+Waste+hauling+cost+per+mile&amp;source=web&amp;ots=58DEyojq6V&amp;sig=A2YpxqiWvUW-IsworKBjxKPNUHw&amp;hl=en&amp;sa=X&amp;oi=book_result&amp;resnum=7&amp;ct=result</t>
  </si>
  <si>
    <t>Total Feedstock Transportation Costs</t>
  </si>
  <si>
    <t>Waste Disposal Costs</t>
  </si>
  <si>
    <t>Transportation costs/ton-mile (from above)</t>
  </si>
  <si>
    <r>
      <t xml:space="preserve">&gt;&gt;Will </t>
    </r>
    <r>
      <rPr>
        <b/>
        <sz val="11"/>
        <color indexed="18"/>
        <rFont val="Trebuchet MS"/>
        <family val="2"/>
      </rPr>
      <t>digester biosolids waste</t>
    </r>
    <r>
      <rPr>
        <sz val="11"/>
        <color indexed="18"/>
        <rFont val="Trebuchet MS"/>
        <family val="2"/>
      </rPr>
      <t xml:space="preserve"> be land applied?</t>
    </r>
  </si>
  <si>
    <t>Waste Revenue</t>
  </si>
  <si>
    <t>Labor Cost</t>
  </si>
  <si>
    <r>
      <t xml:space="preserve">&gt;&gt;Enter the </t>
    </r>
    <r>
      <rPr>
        <b/>
        <sz val="11"/>
        <color indexed="18"/>
        <rFont val="Trebuchet MS"/>
        <family val="2"/>
      </rPr>
      <t xml:space="preserve">Number of full time personnel </t>
    </r>
    <r>
      <rPr>
        <sz val="11"/>
        <color indexed="18"/>
        <rFont val="Trebuchet MS"/>
        <family val="2"/>
      </rPr>
      <t>needed to support feedstock acquisition and digester operations:</t>
    </r>
  </si>
  <si>
    <t>percentage</t>
  </si>
  <si>
    <t>Feedstock Tipping Revenue</t>
  </si>
  <si>
    <t>Capital Cost (Feedstock collection)</t>
  </si>
  <si>
    <t>Total Daily Transport Processing and Disposal Cost</t>
  </si>
  <si>
    <t>Average miles /round trip</t>
  </si>
  <si>
    <t>Engineering Planning and Permitting Costs</t>
  </si>
  <si>
    <t>of Total Capital Costs</t>
  </si>
  <si>
    <t>VS = volatile solids</t>
  </si>
  <si>
    <t>TS = total solids</t>
  </si>
  <si>
    <t>MCRT = mean cell residence time</t>
  </si>
  <si>
    <t>New Digester Capacity Required (+) or Available (-)</t>
  </si>
  <si>
    <t>Number of New Digesters Required (+) or Available (-)</t>
  </si>
  <si>
    <t>Food Waste only</t>
  </si>
  <si>
    <t>Wastewater only</t>
  </si>
  <si>
    <t>Foodwaste and Wastewater</t>
  </si>
  <si>
    <t>Capacity Currently Required for Wastewater Biosolids</t>
  </si>
  <si>
    <t>Total Effective Operating Capacity Available</t>
  </si>
  <si>
    <t>Capacity Required for Community Foodwaste Feedstock</t>
  </si>
  <si>
    <r>
      <t xml:space="preserve">If you select </t>
    </r>
    <r>
      <rPr>
        <b/>
        <sz val="11"/>
        <color indexed="18"/>
        <rFont val="Trebuchet MS"/>
        <family val="2"/>
      </rPr>
      <t>No</t>
    </r>
    <r>
      <rPr>
        <sz val="11"/>
        <color indexed="18"/>
        <rFont val="Trebuchet MS"/>
        <family val="2"/>
      </rPr>
      <t xml:space="preserve">, this option will default to digesters dimensions that are 90 feet in diameter and 20 feet in height. 
</t>
    </r>
    <r>
      <rPr>
        <b/>
        <sz val="11"/>
        <color indexed="18"/>
        <rFont val="Trebuchet MS"/>
        <family val="2"/>
      </rPr>
      <t>Note:</t>
    </r>
    <r>
      <rPr>
        <sz val="11"/>
        <color indexed="18"/>
        <rFont val="Trebuchet MS"/>
        <family val="2"/>
      </rPr>
      <t xml:space="preserve"> Default can be changed on Worksheet 6 - Digester Sizing in Row 95. Please contact your local WWTP for applicable sizes and operating capacities.</t>
    </r>
  </si>
  <si>
    <t>Please define the digestor cost per gallon of feedstock throughput.  (See above for default values.)</t>
  </si>
  <si>
    <t>Excess Capacity Available for Community Foodwaste Feedstock</t>
  </si>
  <si>
    <t>Capacity Needed for Community Foodwaste Feedstock Input</t>
  </si>
  <si>
    <t>Number of Digester(s) Needed</t>
  </si>
  <si>
    <t>Feedstock Access Cost, Feedstock Transportation Cost, Feedstock Processing Cost, Avoided Tipping Fees and Feedstock Tipping Revenue are subcomponents of O&amp;M Cost (Feedstock) and are not additional.</t>
  </si>
  <si>
    <t>Anaerobic Digester(s):</t>
  </si>
  <si>
    <t>Note: GHG gas will continue to be emitted at varying rates for 50 or more years after the waste is placed in the landfill (Crawford and Smith 1985).</t>
  </si>
  <si>
    <r>
      <t xml:space="preserve">&gt;&gt;Your organization's </t>
    </r>
    <r>
      <rPr>
        <b/>
        <sz val="11"/>
        <color indexed="18"/>
        <rFont val="Trebuchet MS"/>
        <family val="2"/>
      </rPr>
      <t xml:space="preserve">annual revenue savings from replacing grid supplied electricity with biogas electricity generation </t>
    </r>
    <r>
      <rPr>
        <sz val="10"/>
        <color indexed="18"/>
        <rFont val="Trebuchet MS"/>
        <family val="2"/>
      </rPr>
      <t>(internal combustion engine)</t>
    </r>
  </si>
  <si>
    <t>Cubic Feet per day of biogas potentially available</t>
  </si>
  <si>
    <t>Total Costs (Digesters + Upgrade)</t>
  </si>
  <si>
    <t>MGD =</t>
  </si>
  <si>
    <t>million gallons per day</t>
  </si>
  <si>
    <t xml:space="preserve">
- Digester Sizing
- Financial Model Output
- One Page Summary
</t>
  </si>
  <si>
    <r>
      <t>Model Outputs:</t>
    </r>
    <r>
      <rPr>
        <sz val="12"/>
        <color indexed="12"/>
        <rFont val="Trebuchet MS"/>
        <family val="2"/>
      </rPr>
      <t xml:space="preserve"> </t>
    </r>
    <r>
      <rPr>
        <sz val="12"/>
        <color indexed="8"/>
        <rFont val="Trebuchet MS"/>
        <family val="2"/>
      </rPr>
      <t xml:space="preserve"> 
- </t>
    </r>
    <r>
      <rPr>
        <sz val="12"/>
        <color indexed="18"/>
        <rFont val="Trebuchet MS"/>
        <family val="2"/>
      </rPr>
      <t xml:space="preserve">Fixed and Recurring Costs, Solid Waste Diversion Savings
- Capital Investments
- Available or Required Anaerobic Digester Capacity
- Biogas Production and Associated Energy Value
- Preliminary Cost/Benefit Analysis
</t>
    </r>
  </si>
  <si>
    <t>Based on total installed costs</t>
  </si>
  <si>
    <t>Annual O&amp;M Costs</t>
  </si>
  <si>
    <t>Derived O&amp;M Cost Percent of Total</t>
  </si>
  <si>
    <t>Factor of Safety</t>
  </si>
  <si>
    <t>Capital Costs</t>
  </si>
  <si>
    <t>Physical Plant (Digester)</t>
  </si>
  <si>
    <t>Recurring Costs</t>
  </si>
  <si>
    <t>Biosolids Disposal</t>
  </si>
  <si>
    <t>No</t>
  </si>
  <si>
    <t>Yes</t>
  </si>
  <si>
    <t>Project Costs</t>
  </si>
  <si>
    <t>Output Food Waste Solids Content</t>
  </si>
  <si>
    <t>Output Wastewater Solids Content</t>
  </si>
  <si>
    <t>Existing Cylindrical Digester Diameter</t>
  </si>
  <si>
    <t>Biogas Production Rate</t>
  </si>
  <si>
    <t>ft³ biogas/day</t>
  </si>
  <si>
    <t>Waste Profile</t>
  </si>
  <si>
    <t>Wastewater</t>
  </si>
  <si>
    <t>Contamination can result in rejection of a certain amount of food waste. This rejection rate will impact the amount of food waste available for biogas production.</t>
  </si>
  <si>
    <t xml:space="preserve">VS/TS Ratio
</t>
  </si>
  <si>
    <t>National Average</t>
  </si>
  <si>
    <t>No Landfill Emissions Recovery</t>
  </si>
  <si>
    <t>Landfill Emissions Flared</t>
  </si>
  <si>
    <t>Landfill Emissions National Average (44%)</t>
  </si>
  <si>
    <t>Metric Tons CO2e per short ton of food waste</t>
  </si>
  <si>
    <t>Temperate, Dry:</t>
  </si>
  <si>
    <t>Temperate, Wet:</t>
  </si>
  <si>
    <t>Tropical, Dry:</t>
  </si>
  <si>
    <t>Tropical, Wet:</t>
  </si>
  <si>
    <t xml:space="preserve">Decay Rate (k Value) </t>
  </si>
  <si>
    <t>Municipal Wastewater</t>
  </si>
  <si>
    <t>Fats, Oils, Greases (FOG)</t>
  </si>
  <si>
    <t>Food Processing - Fruit</t>
  </si>
  <si>
    <t xml:space="preserve">Food Processing - Vegetable </t>
  </si>
  <si>
    <t>Wastewater Total Solids</t>
  </si>
  <si>
    <t>of total solids</t>
  </si>
  <si>
    <t>by solids</t>
  </si>
  <si>
    <t>metric ton/d</t>
  </si>
  <si>
    <t>Biosolids Disposal Cost</t>
  </si>
  <si>
    <t>$/day</t>
  </si>
  <si>
    <t>Capital Cost (Digester)</t>
  </si>
  <si>
    <t>Feedstock Transportation Costs</t>
  </si>
  <si>
    <t>Feedstock Processing Costs</t>
  </si>
  <si>
    <t>Waste Tons Requiring Processing</t>
  </si>
  <si>
    <t>Pre-Grinding?</t>
  </si>
  <si>
    <t>Y</t>
  </si>
  <si>
    <t>Total Feedstock Processing Costs</t>
  </si>
  <si>
    <t>$/tpd</t>
  </si>
  <si>
    <t>Feedstock Access Cost</t>
  </si>
  <si>
    <t>Feedstock Transportation Cost</t>
  </si>
  <si>
    <t>Feedstock Processing Cost</t>
  </si>
  <si>
    <t>Biosolids Transportation Cost</t>
  </si>
  <si>
    <t>O&amp;M Cost (Digester)</t>
  </si>
  <si>
    <t>Physical Plant (Processing)</t>
  </si>
  <si>
    <t>Feedstock Access</t>
  </si>
  <si>
    <t>Feedstock Transport</t>
  </si>
  <si>
    <t>Biosolids Transport</t>
  </si>
  <si>
    <t>Heat Value Estimate</t>
  </si>
  <si>
    <t>Digester Volume &amp; Number Based Upon MCRT</t>
  </si>
  <si>
    <t>Biogas Mass</t>
  </si>
  <si>
    <t>Initial Raw Biosolids Volume</t>
  </si>
  <si>
    <t>Waste Transportation Costs</t>
  </si>
  <si>
    <t>Ph: (608) 452-3651</t>
  </si>
  <si>
    <t>Cost</t>
  </si>
  <si>
    <t>Franklin Miller</t>
  </si>
  <si>
    <t>Ph: (973) 535-9200</t>
  </si>
  <si>
    <t>Vecoplan LLC</t>
  </si>
  <si>
    <t>(336) 861-4329</t>
  </si>
  <si>
    <t>Sundance Grinder</t>
  </si>
  <si>
    <t>Ph: (800) 570-3551</t>
  </si>
  <si>
    <t>doug@sundancegrinders.com</t>
  </si>
  <si>
    <t>http://www.sundancegrinders.com/index.htm</t>
  </si>
  <si>
    <t>(Doug Lloyd)</t>
  </si>
  <si>
    <t>Rotochopper</t>
  </si>
  <si>
    <t>http://www.rotochopper.com/</t>
  </si>
  <si>
    <t>http://www.franklinmiller.com/</t>
  </si>
  <si>
    <t>Tank</t>
  </si>
  <si>
    <t>Tank Pad</t>
  </si>
  <si>
    <t>Heat Exchanger</t>
  </si>
  <si>
    <t>Agitator</t>
  </si>
  <si>
    <t>Piping</t>
  </si>
  <si>
    <t>Electrical</t>
  </si>
  <si>
    <t>TOTAL</t>
  </si>
  <si>
    <t>Canada Composting BTA</t>
  </si>
  <si>
    <t xml:space="preserve">Major costs for digestion </t>
  </si>
  <si>
    <t>50' Truck weighing scales</t>
  </si>
  <si>
    <t>Foundation for scales inclu. Const.</t>
  </si>
  <si>
    <t>Print Kiosk (for weight records)</t>
  </si>
  <si>
    <t xml:space="preserve">Software capable of running reports </t>
  </si>
  <si>
    <t>PC computer</t>
  </si>
  <si>
    <t xml:space="preserve">Card Scanner </t>
  </si>
  <si>
    <t>Pre-processing equipment</t>
  </si>
  <si>
    <t>Metering Pumps</t>
  </si>
  <si>
    <t>Trommel screen</t>
  </si>
  <si>
    <t>Buffer tank ($/ft3)</t>
  </si>
  <si>
    <t>Mixers</t>
  </si>
  <si>
    <t>Post digestion tank (for gravity separation) ($/ft3)</t>
  </si>
  <si>
    <t>Gas collection equipment</t>
  </si>
  <si>
    <t>H2S Scrubber Tank</t>
  </si>
  <si>
    <t>H2S scrubber media (Sulfa Treat)</t>
  </si>
  <si>
    <t>Solids drying area ($/ft2) concrete slab</t>
  </si>
  <si>
    <t>Monitoring equipment (SCADA)</t>
  </si>
  <si>
    <r>
      <t>Enter zero if you do not intend to source household (residential) food waste or you use Option 3</t>
    </r>
    <r>
      <rPr>
        <i/>
        <sz val="10"/>
        <color indexed="18"/>
        <rFont val="Trebuchet MS"/>
        <family val="2"/>
      </rPr>
      <t>.</t>
    </r>
  </si>
  <si>
    <r>
      <t xml:space="preserve">&gt;&gt;If </t>
    </r>
    <r>
      <rPr>
        <b/>
        <sz val="11"/>
        <color indexed="18"/>
        <rFont val="Trebuchet MS"/>
        <family val="2"/>
      </rPr>
      <t>yes</t>
    </r>
    <r>
      <rPr>
        <sz val="11"/>
        <color indexed="18"/>
        <rFont val="Trebuchet MS"/>
        <family val="2"/>
      </rPr>
      <t>, enter how many million gallons of municipal wastewater are available per day. Enter specific amount for your facility or an amount based on tthe US average range of between 75-150 gallons per capita/day.</t>
    </r>
  </si>
  <si>
    <t>U.S. Energy Information Administration tracks data:</t>
  </si>
  <si>
    <t>http://www.eia.doe.gov/cneaf/electricity/epm/table5_3.html</t>
  </si>
  <si>
    <r>
      <t>Choose one of the three options by entering data into the</t>
    </r>
    <r>
      <rPr>
        <b/>
        <sz val="11"/>
        <color indexed="54"/>
        <rFont val="Trebuchet MS"/>
        <family val="2"/>
      </rPr>
      <t xml:space="preserve"> </t>
    </r>
    <r>
      <rPr>
        <b/>
        <sz val="11"/>
        <color indexed="22"/>
        <rFont val="Trebuchet MS"/>
        <family val="2"/>
      </rPr>
      <t>gray</t>
    </r>
    <r>
      <rPr>
        <b/>
        <sz val="11"/>
        <color indexed="54"/>
        <rFont val="Trebuchet MS"/>
        <family val="2"/>
      </rPr>
      <t xml:space="preserve"> </t>
    </r>
    <r>
      <rPr>
        <b/>
        <sz val="11"/>
        <color indexed="10"/>
        <rFont val="Trebuchet MS"/>
        <family val="2"/>
      </rPr>
      <t>cells</t>
    </r>
    <r>
      <rPr>
        <b/>
        <sz val="11"/>
        <color indexed="54"/>
        <rFont val="Trebuchet MS"/>
        <family val="2"/>
      </rPr>
      <t>.</t>
    </r>
  </si>
  <si>
    <t>reference: http://www.ers.usda.gov/Publications/EIB44/</t>
  </si>
  <si>
    <t>Engineering Planning and Design</t>
  </si>
  <si>
    <t>Permitting</t>
  </si>
  <si>
    <t>New Full Solid Waste Permit</t>
  </si>
  <si>
    <t>Geotechnical analysis</t>
  </si>
  <si>
    <t>Land Preparation</t>
  </si>
  <si>
    <t>Infrastructure (fencing) ($/linear foot)</t>
  </si>
  <si>
    <t>Infrastructure (roads) ($/ft2)</t>
  </si>
  <si>
    <t>Program Design</t>
  </si>
  <si>
    <t>New Water Service</t>
  </si>
  <si>
    <t>Access Gates</t>
  </si>
  <si>
    <t>Food Waste Biogas Economic Model</t>
  </si>
  <si>
    <t>Pumps (chopper and process gravity pumps)</t>
  </si>
  <si>
    <t>(contact:  Manti)</t>
  </si>
  <si>
    <t>(contact:  James, Ext:108)</t>
  </si>
  <si>
    <t>Replacements over 30 years</t>
  </si>
  <si>
    <t>Units</t>
  </si>
  <si>
    <t>$ per gallon</t>
  </si>
  <si>
    <r>
      <t xml:space="preserve">&gt;&gt; </t>
    </r>
    <r>
      <rPr>
        <b/>
        <sz val="11"/>
        <color indexed="18"/>
        <rFont val="Trebuchet MS"/>
        <family val="2"/>
      </rPr>
      <t>Option 1</t>
    </r>
    <r>
      <rPr>
        <sz val="11"/>
        <color indexed="18"/>
        <rFont val="Trebuchet MS"/>
        <family val="2"/>
      </rPr>
      <t xml:space="preserve"> calculates the cost of each digester vessel based on dimensions of pre-existing digesters or default dimensions.</t>
    </r>
  </si>
  <si>
    <r>
      <t xml:space="preserve">The </t>
    </r>
    <r>
      <rPr>
        <b/>
        <sz val="11"/>
        <color indexed="18"/>
        <rFont val="Trebuchet MS"/>
        <family val="2"/>
      </rPr>
      <t>low cost estimation</t>
    </r>
    <r>
      <rPr>
        <sz val="11"/>
        <color indexed="18"/>
        <rFont val="Trebuchet MS"/>
        <family val="2"/>
      </rPr>
      <t xml:space="preserve"> of each digester is $4.50 per gallon of feedstock throughput.</t>
    </r>
  </si>
  <si>
    <r>
      <rPr>
        <b/>
        <sz val="12"/>
        <color indexed="17"/>
        <rFont val="Trebuchet MS"/>
        <family val="2"/>
      </rPr>
      <t xml:space="preserve">Types of Organic Wastes Considered: </t>
    </r>
    <r>
      <rPr>
        <sz val="12"/>
        <color indexed="8"/>
        <rFont val="Trebuchet MS"/>
        <family val="2"/>
      </rPr>
      <t xml:space="preserve">
</t>
    </r>
    <r>
      <rPr>
        <sz val="12"/>
        <color indexed="18"/>
        <rFont val="Trebuchet MS"/>
        <family val="2"/>
      </rPr>
      <t>- Residential food waste 
- Commercial food waste
- Fats, oils and grease (FOG)
- Food processing waste - fruit, vegetables, breads, rendering                               byproducts
- Dairy waste - milk solids
- Agricultural – fruit/vegetable trimmings</t>
    </r>
  </si>
  <si>
    <r>
      <t xml:space="preserve">&gt;&gt;How many tons does your typical </t>
    </r>
    <r>
      <rPr>
        <b/>
        <sz val="11"/>
        <color indexed="18"/>
        <rFont val="Trebuchet MS"/>
        <family val="2"/>
      </rPr>
      <t>food waste pickup truck hold</t>
    </r>
    <r>
      <rPr>
        <sz val="11"/>
        <color indexed="18"/>
        <rFont val="Trebuchet MS"/>
        <family val="2"/>
      </rPr>
      <t xml:space="preserve">? </t>
    </r>
  </si>
  <si>
    <t>Feedstock Requirements</t>
  </si>
  <si>
    <t>Dollars</t>
  </si>
  <si>
    <r>
      <t xml:space="preserve">Generation of SSOM category from </t>
    </r>
    <r>
      <rPr>
        <i/>
        <sz val="10"/>
        <rFont val="Trebuchet MS"/>
        <family val="2"/>
      </rPr>
      <t>User Input (short tons/yr)</t>
    </r>
  </si>
  <si>
    <t>SSOM Generation Per Establishment (short tons/yr)</t>
  </si>
  <si>
    <t>Total SSOM Generation (short tons/yr)</t>
  </si>
  <si>
    <t>Short Tons/Day</t>
  </si>
  <si>
    <t>short ton/day</t>
  </si>
  <si>
    <t>Food Waste Emissions   (Metric Tons of CO2e/Metric Ton of Food Waste)</t>
  </si>
  <si>
    <t>Truck Capacity [short tons]</t>
  </si>
  <si>
    <t>[$/short ton]</t>
  </si>
  <si>
    <t xml:space="preserve"> [U.S. Dollars]</t>
  </si>
  <si>
    <t>VS [short ton/day]</t>
  </si>
  <si>
    <t>TS [short ton/day]</t>
  </si>
  <si>
    <t>Total Solids [%]</t>
  </si>
  <si>
    <t>Volatile Solids [short ton/day]</t>
  </si>
  <si>
    <t>Output Food Waste Mass (Solids)</t>
  </si>
  <si>
    <t>Output Wastewater Mass (Solids)</t>
  </si>
  <si>
    <t>short tons/day</t>
  </si>
  <si>
    <t>$/short ton</t>
  </si>
  <si>
    <t>short tons/truck</t>
  </si>
  <si>
    <t>$/short ton-mile</t>
  </si>
  <si>
    <t>Processing Costs/(short ton/day capacity)</t>
  </si>
  <si>
    <t>short tons</t>
  </si>
  <si>
    <t xml:space="preserve">Food Waste Mass </t>
  </si>
  <si>
    <t xml:space="preserve">Wastewater Solids Mass </t>
  </si>
  <si>
    <t xml:space="preserve">Weighted Total Feedstock Mass </t>
  </si>
  <si>
    <t>Weighted Total Feedstock (TS)</t>
  </si>
  <si>
    <t>Weighted Total Feedstock (VS)</t>
  </si>
  <si>
    <t>gross short tons per day of food waste feedstock available for your digester</t>
  </si>
  <si>
    <r>
      <t xml:space="preserve">The </t>
    </r>
    <r>
      <rPr>
        <b/>
        <sz val="11"/>
        <color indexed="18"/>
        <rFont val="Trebuchet MS"/>
        <family val="2"/>
      </rPr>
      <t>high cost estimation</t>
    </r>
    <r>
      <rPr>
        <sz val="11"/>
        <color indexed="18"/>
        <rFont val="Trebuchet MS"/>
        <family val="2"/>
      </rPr>
      <t xml:space="preserve"> of each digester is $9.00 per gallon of feedstock throughput.</t>
    </r>
  </si>
  <si>
    <t>Please also note that EPA does not endorse or verify the information provided by Brown &amp; Cauldwell or Tetra Tech Inc..</t>
  </si>
  <si>
    <t xml:space="preserve">Note: Cost estimations are based on engineering quotes from Brown &amp; Cauldwell and Tetra Tech Inc. </t>
  </si>
  <si>
    <t>Effective Operating Capacity [%]</t>
  </si>
  <si>
    <t>Cost for providing bins to establishments</t>
  </si>
  <si>
    <t>Positive Displacement Pumps</t>
  </si>
  <si>
    <t xml:space="preserve">This worksheet calculates volatile solids available in the feedstocks (municipal wastewater, food waste, and FOG) for biogas production </t>
  </si>
  <si>
    <r>
      <t>Source:</t>
    </r>
    <r>
      <rPr>
        <i/>
        <sz val="11"/>
        <rFont val="Arial"/>
        <family val="0"/>
      </rPr>
      <t xml:space="preserve"> Identification, Characterization, and Mapping of Food Waste and Food Waste Generators In Massachusetts, </t>
    </r>
    <r>
      <rPr>
        <sz val="11"/>
        <rFont val="Arial"/>
        <family val="0"/>
      </rPr>
      <t xml:space="preserve">September 2009
</t>
    </r>
  </si>
  <si>
    <r>
      <t>Source:</t>
    </r>
    <r>
      <rPr>
        <i/>
        <sz val="11"/>
        <rFont val="Arial"/>
        <family val="2"/>
      </rPr>
      <t xml:space="preserve"> Identification, Characterization, and Mapping of Food Waste and Food Waste Generators In Massachusetts, </t>
    </r>
    <r>
      <rPr>
        <sz val="11"/>
        <rFont val="Arial"/>
        <family val="2"/>
      </rPr>
      <t xml:space="preserve">September 2009
</t>
    </r>
  </si>
  <si>
    <r>
      <t xml:space="preserve">Source: </t>
    </r>
    <r>
      <rPr>
        <i/>
        <sz val="11"/>
        <rFont val="Arial"/>
        <family val="0"/>
      </rPr>
      <t>Supermarket Loss Estimates for Fresh Fruit, Vegetables, Meat, Poultry, and Seafood and Their Use in the ERS Loss-Adjusted Food Availability Data</t>
    </r>
    <r>
      <rPr>
        <sz val="11"/>
        <rFont val="Arial"/>
        <family val="0"/>
      </rPr>
      <t>, March 2009 http://www.ers.usda.gov/Publications/EIB44/</t>
    </r>
  </si>
  <si>
    <t>trips/day</t>
  </si>
  <si>
    <r>
      <t xml:space="preserve">&gt;&gt; If you are sourcing household food waste, you need to provide collection bins. Input the cost of providing green bins to </t>
    </r>
    <r>
      <rPr>
        <i/>
        <sz val="11"/>
        <color indexed="18"/>
        <rFont val="Trebuchet MS"/>
        <family val="2"/>
      </rPr>
      <t>each household</t>
    </r>
    <r>
      <rPr>
        <sz val="11"/>
        <color indexed="18"/>
        <rFont val="Trebuchet MS"/>
        <family val="2"/>
      </rPr>
      <t>.</t>
    </r>
  </si>
  <si>
    <r>
      <t xml:space="preserve">Input the cost of providing an </t>
    </r>
    <r>
      <rPr>
        <i/>
        <sz val="11"/>
        <color indexed="18"/>
        <rFont val="Trebuchet MS"/>
        <family val="2"/>
      </rPr>
      <t xml:space="preserve">appropriate number (may be more than one bin) </t>
    </r>
    <r>
      <rPr>
        <sz val="11"/>
        <color indexed="18"/>
        <rFont val="Trebuchet MS"/>
        <family val="2"/>
      </rPr>
      <t>of collection bins to</t>
    </r>
    <r>
      <rPr>
        <i/>
        <sz val="11"/>
        <color indexed="18"/>
        <rFont val="Trebuchet MS"/>
        <family val="2"/>
      </rPr>
      <t xml:space="preserve"> each establishment</t>
    </r>
    <r>
      <rPr>
        <sz val="11"/>
        <color indexed="18"/>
        <rFont val="Trebuchet MS"/>
        <family val="2"/>
      </rPr>
      <t>.</t>
    </r>
  </si>
  <si>
    <t>Choose one of the two options by entering data into the gray cells.</t>
  </si>
  <si>
    <t>Please note: Designing an effective food waste collection system is complex and requires consultation with your local or regional waste hauler.</t>
  </si>
  <si>
    <t>Please also note that EPA does not endorse or verify the information provided by vendors.</t>
  </si>
  <si>
    <t>Organic Waste Digestion Project (OWD) Protocol  http://www.climateactionreserve.org/how/protocols/adopted/organic-waste-digestion/current/</t>
  </si>
  <si>
    <t>Food Waste Biogas Yield</t>
  </si>
  <si>
    <t>Existing Cylindrical Digester Height</t>
  </si>
  <si>
    <r>
      <t xml:space="preserve">Note: Please refer to the WARM model for a complete analysis of avoided GHG emissions at </t>
    </r>
    <r>
      <rPr>
        <sz val="10"/>
        <color indexed="12"/>
        <rFont val="Trebuchet MS"/>
        <family val="2"/>
      </rPr>
      <t>http://epa.gov/climatechange/wycd/waste/calculators/Warm_home.html</t>
    </r>
  </si>
  <si>
    <r>
      <t xml:space="preserve">Note: Please refer to the OWD protocol for a complete analysis of carbon offsets at </t>
    </r>
    <r>
      <rPr>
        <sz val="10"/>
        <color indexed="12"/>
        <rFont val="Trebuchet MS"/>
        <family val="2"/>
      </rPr>
      <t>http://www.climateactionreserve.org/how/protocols/adopted/organic-waste-digestion/current/</t>
    </r>
  </si>
  <si>
    <t>short ton solids generation per MGD</t>
  </si>
  <si>
    <t>http://www.canadacomposting.com/Default.aspx?target=BTAHowItWorks</t>
  </si>
  <si>
    <t>Companies</t>
  </si>
  <si>
    <t>Ancillary Services and Equipment Costing Spreadsheet</t>
  </si>
  <si>
    <t>Model constructed by Charles Kennedy</t>
  </si>
  <si>
    <t>Digester vessel ($/gallon)</t>
  </si>
  <si>
    <t>Feedstock Pre-Processing</t>
  </si>
  <si>
    <t>Please note that EPA does not endorse or verify the information provided by vendors.</t>
  </si>
  <si>
    <t>Feedstock Pre-Processing is required to process the food waste into a thick slurry that is amenable to anaerobic digestion</t>
  </si>
  <si>
    <r>
      <t xml:space="preserve">Option 1 - Food Waste Source Type:  
</t>
    </r>
    <r>
      <rPr>
        <sz val="11"/>
        <color indexed="18"/>
        <rFont val="Trebuchet MS"/>
        <family val="2"/>
      </rPr>
      <t>This option includes both household and non-household (commercial and industrial) food waste. 
Methodology: 
- For household food waste availability, the model uses a per-capita calculation. 
- For non-household food waste availability, the model calculates the amount based on a per-capita calculation and the type of food-waste generating facilities.  
This option will also incorporate non-household fats, oils, and grease (FOG). If you intend to digest FOG, remember to select a FOG receiving station when building your digester.</t>
    </r>
  </si>
  <si>
    <r>
      <t xml:space="preserve">&gt;&gt;Enter the </t>
    </r>
    <r>
      <rPr>
        <b/>
        <sz val="11"/>
        <color indexed="18"/>
        <rFont val="Trebuchet MS"/>
        <family val="2"/>
      </rPr>
      <t>population</t>
    </r>
    <r>
      <rPr>
        <sz val="11"/>
        <color indexed="18"/>
        <rFont val="Trebuchet MS"/>
        <family val="2"/>
      </rPr>
      <t xml:space="preserve"> of the residential area being considered for food waste collection:</t>
    </r>
  </si>
  <si>
    <r>
      <t>Option 2</t>
    </r>
    <r>
      <rPr>
        <b/>
        <sz val="11"/>
        <color indexed="18"/>
        <rFont val="Trebuchet MS"/>
        <family val="2"/>
      </rPr>
      <t xml:space="preserve"> - Generating Establishments</t>
    </r>
    <r>
      <rPr>
        <i/>
        <sz val="11"/>
        <color indexed="10"/>
        <rFont val="Trebuchet MS"/>
        <family val="2"/>
      </rPr>
      <t xml:space="preserve"> </t>
    </r>
  </si>
  <si>
    <t>Part 2 - Solid Waste and Wastewater Infrastructure</t>
  </si>
  <si>
    <r>
      <t xml:space="preserve">Two options are available for calculating the cost of needed digesters. </t>
    </r>
    <r>
      <rPr>
        <b/>
        <i/>
        <sz val="11"/>
        <color indexed="10"/>
        <rFont val="Trebuchet MS"/>
        <family val="2"/>
      </rPr>
      <t>Choose only one of the two options:</t>
    </r>
  </si>
  <si>
    <t xml:space="preserve">SSOM = Source Separated Organic Materials </t>
  </si>
  <si>
    <r>
      <t xml:space="preserve">&gt;&gt;What are your organization's current </t>
    </r>
    <r>
      <rPr>
        <b/>
        <sz val="11"/>
        <color indexed="18"/>
        <rFont val="Trebuchet MS"/>
        <family val="2"/>
      </rPr>
      <t>electricity costs</t>
    </r>
    <r>
      <rPr>
        <sz val="11"/>
        <color indexed="18"/>
        <rFont val="Trebuchet MS"/>
        <family val="2"/>
      </rPr>
      <t>?</t>
    </r>
  </si>
  <si>
    <r>
      <t xml:space="preserve">&gt;&gt;What are your organization's current </t>
    </r>
    <r>
      <rPr>
        <b/>
        <sz val="11"/>
        <color indexed="18"/>
        <rFont val="Trebuchet MS"/>
        <family val="2"/>
      </rPr>
      <t>natural gas costs</t>
    </r>
    <r>
      <rPr>
        <sz val="11"/>
        <color indexed="18"/>
        <rFont val="Trebuchet MS"/>
        <family val="2"/>
      </rPr>
      <t>?</t>
    </r>
  </si>
  <si>
    <t>Schools (K-12)</t>
  </si>
  <si>
    <t>Avoided Greenhouse Gas Emissions at the Landfill</t>
  </si>
  <si>
    <r>
      <t xml:space="preserve">&gt;&gt;Enter the average </t>
    </r>
    <r>
      <rPr>
        <b/>
        <sz val="11"/>
        <color indexed="18"/>
        <rFont val="Trebuchet MS"/>
        <family val="2"/>
      </rPr>
      <t xml:space="preserve">Labor Cost </t>
    </r>
    <r>
      <rPr>
        <sz val="11"/>
        <color indexed="18"/>
        <rFont val="Trebuchet MS"/>
        <family val="2"/>
      </rPr>
      <t>in the service area:</t>
    </r>
  </si>
  <si>
    <r>
      <t xml:space="preserve">Fats, Oils and Grease (FOG) requires a </t>
    </r>
    <r>
      <rPr>
        <b/>
        <sz val="11"/>
        <color indexed="18"/>
        <rFont val="Trebuchet MS"/>
        <family val="2"/>
      </rPr>
      <t>FOG receiving station</t>
    </r>
    <r>
      <rPr>
        <sz val="11"/>
        <color indexed="18"/>
        <rFont val="Trebuchet MS"/>
        <family val="2"/>
      </rPr>
      <t xml:space="preserve">.  If FOG is a feedstock, select a receiving station in the ancillary equipment. </t>
    </r>
  </si>
  <si>
    <t>Food Waste Pre-Processing System Equipment</t>
  </si>
  <si>
    <t>50' Truck Weighing Scales</t>
  </si>
  <si>
    <t>Foundation For Scales  construction</t>
  </si>
  <si>
    <t>PC Computer</t>
  </si>
  <si>
    <t>Odor Control System</t>
  </si>
  <si>
    <t>Front-End Loader</t>
  </si>
  <si>
    <t>Concrete Slab for Solids Drying Area (enter square feet)</t>
  </si>
  <si>
    <t>Monitoring Equipment (SCADA)</t>
  </si>
  <si>
    <t>Food Waste Diversion Program Design</t>
  </si>
  <si>
    <t>Note: Food waste contamination is a recognized problem with food waste collection, pre-processing and co-digestion. Food waste can be contaminated with a variety of items such as oyster shells, forks, pennies, small batteries and fine grit or sand.</t>
  </si>
  <si>
    <t>Option 3 -Custom Feedstock Audit</t>
  </si>
  <si>
    <r>
      <rPr>
        <b/>
        <sz val="10"/>
        <color indexed="56"/>
        <rFont val="Trebuchet MS"/>
        <family val="2"/>
      </rPr>
      <t>Note:</t>
    </r>
    <r>
      <rPr>
        <sz val="10"/>
        <color indexed="56"/>
        <rFont val="Trebuchet MS"/>
        <family val="2"/>
      </rPr>
      <t xml:space="preserve"> Food Waste Feedstock Estimates for Option 1 are supported by Worksheet 2 - Food Waste Feedstock Data. If you have more detailed data, you can enter data directly into Worksheet 2. </t>
    </r>
  </si>
  <si>
    <r>
      <rPr>
        <sz val="10"/>
        <color indexed="56"/>
        <rFont val="Trebuchet MS"/>
        <family val="2"/>
      </rPr>
      <t xml:space="preserve">Note: </t>
    </r>
    <r>
      <rPr>
        <b/>
        <sz val="10"/>
        <color indexed="56"/>
        <rFont val="Trebuchet MS"/>
        <family val="2"/>
      </rPr>
      <t xml:space="preserve">Food Waste Feedstock Estimates for Option 2 are supported by Worksheet 2 - Food Waste Feedstock Data. If you have more detailed data, you can enter data directly into Worksheet 2. </t>
    </r>
  </si>
  <si>
    <r>
      <t xml:space="preserve">Total Generation of Household Feedstock </t>
    </r>
    <r>
      <rPr>
        <i/>
        <sz val="10"/>
        <rFont val="Arial"/>
        <family val="2"/>
      </rPr>
      <t>from User Inpu</t>
    </r>
    <r>
      <rPr>
        <sz val="10"/>
        <rFont val="Arial"/>
        <family val="0"/>
      </rPr>
      <t>t (lbs./yr)</t>
    </r>
  </si>
  <si>
    <r>
      <t xml:space="preserve">Total Generation of Food Processing Feedstock </t>
    </r>
    <r>
      <rPr>
        <i/>
        <sz val="10"/>
        <rFont val="Arial"/>
        <family val="2"/>
      </rPr>
      <t>from User Inpu</t>
    </r>
    <r>
      <rPr>
        <sz val="10"/>
        <rFont val="Arial"/>
        <family val="0"/>
      </rPr>
      <t>t (lbs./yr)</t>
    </r>
  </si>
  <si>
    <t>Feedstock Collection Trucks</t>
  </si>
  <si>
    <t>Cost for green bin for population</t>
  </si>
  <si>
    <t>Cost for feedstock collection trucks</t>
  </si>
  <si>
    <t>Tons Per Day to be Picked Up</t>
  </si>
  <si>
    <t>Access Cost/Ton</t>
  </si>
  <si>
    <t>miles/trip</t>
  </si>
  <si>
    <r>
      <t>Building ($/ft</t>
    </r>
    <r>
      <rPr>
        <vertAlign val="superscript"/>
        <sz val="10"/>
        <rFont val="Trebuchet MS"/>
        <family val="2"/>
      </rPr>
      <t>2</t>
    </r>
    <r>
      <rPr>
        <sz val="10"/>
        <rFont val="Trebuchet MS"/>
        <family val="2"/>
      </rPr>
      <t>) w/slab</t>
    </r>
  </si>
  <si>
    <t>Total cost ($)</t>
  </si>
  <si>
    <t>Total</t>
  </si>
  <si>
    <r>
      <t>ft³ CH</t>
    </r>
    <r>
      <rPr>
        <vertAlign val="superscript"/>
        <sz val="10"/>
        <rFont val="Trebuchet MS"/>
        <family val="2"/>
      </rPr>
      <t>4</t>
    </r>
    <r>
      <rPr>
        <sz val="10"/>
        <rFont val="Trebuchet MS"/>
        <family val="2"/>
      </rPr>
      <t>/lb TS</t>
    </r>
  </si>
  <si>
    <t>$/yr</t>
  </si>
  <si>
    <t>short tons/year</t>
  </si>
  <si>
    <t>Short tons/year</t>
  </si>
  <si>
    <r>
      <t xml:space="preserve">Residential Feedstocks </t>
    </r>
    <r>
      <rPr>
        <sz val="10"/>
        <rFont val="Arial"/>
        <family val="2"/>
      </rPr>
      <t>(supports Option 1 and Option 2)</t>
    </r>
  </si>
  <si>
    <r>
      <t>Food Processing Feedstocks</t>
    </r>
    <r>
      <rPr>
        <sz val="10"/>
        <rFont val="Arial"/>
        <family val="2"/>
      </rPr>
      <t xml:space="preserve"> (supports Option 1)</t>
    </r>
  </si>
  <si>
    <r>
      <t xml:space="preserve">Supermarket Feedstocks </t>
    </r>
    <r>
      <rPr>
        <sz val="10"/>
        <rFont val="Arial"/>
        <family val="2"/>
      </rPr>
      <t>(supports Option 1)</t>
    </r>
  </si>
  <si>
    <r>
      <t xml:space="preserve">Generating Establishments Based Feedstock Source Data </t>
    </r>
    <r>
      <rPr>
        <sz val="14"/>
        <rFont val="Arial"/>
        <family val="2"/>
      </rPr>
      <t>(note: this table supports Option 2: Generating Establishments).</t>
    </r>
  </si>
  <si>
    <r>
      <t>Generator Category</t>
    </r>
    <r>
      <rPr>
        <sz val="10"/>
        <rFont val="Trebuchet MS"/>
        <family val="2"/>
      </rPr>
      <t xml:space="preserve"> (supports Option 2)</t>
    </r>
  </si>
  <si>
    <t>Cost estimate on Fats, Oils, and Grease (FOG) Receiving Station, Thurman Wilson at Tetra Tech, Engineering Services Group</t>
  </si>
  <si>
    <r>
      <t xml:space="preserve">&gt;&gt;If </t>
    </r>
    <r>
      <rPr>
        <b/>
        <sz val="11"/>
        <color indexed="18"/>
        <rFont val="Trebuchet MS"/>
        <family val="2"/>
      </rPr>
      <t>no</t>
    </r>
    <r>
      <rPr>
        <sz val="11"/>
        <color indexed="18"/>
        <rFont val="Trebuchet MS"/>
        <family val="2"/>
      </rPr>
      <t xml:space="preserve">, skip this section and go to the next section. Also select "No" if you will build a separate digester to process food waste. </t>
    </r>
  </si>
  <si>
    <r>
      <t>Option 2 - Generating Establishments:</t>
    </r>
    <r>
      <rPr>
        <sz val="11"/>
        <color indexed="18"/>
        <rFont val="Trebuchet MS"/>
        <family val="2"/>
      </rPr>
      <t xml:space="preserve">  
This option includes both household and non-household (commercial and industrial) food waste. 
Methodology: 
- For household food waste availability, the model uses a per-capita calculation. 
- For non-household food waste availability, the model calculates the amount based on the number and type of food waste-generating facilities. This will yield a more accurate estimation of the availability of non-household food waste as compared to the Option 1.   
This option will also incorporate non-household fats, oils, and grease (FOG). If you intend to digest FOG, remember to select a FOG receiving station when building your digester.</t>
    </r>
  </si>
  <si>
    <r>
      <t xml:space="preserve">Option 3 - Custom Feedstock Audit:  </t>
    </r>
    <r>
      <rPr>
        <sz val="11"/>
        <color indexed="18"/>
        <rFont val="Trebuchet MS"/>
        <family val="2"/>
      </rPr>
      <t xml:space="preserve">
 This option allows the user to enter a known amount of feedstock that will be co-digested. 
Leave cells E31 and E34 blank if you use this option. </t>
    </r>
  </si>
  <si>
    <r>
      <t>Model Design:</t>
    </r>
    <r>
      <rPr>
        <sz val="12"/>
        <color indexed="17"/>
        <rFont val="Trebuchet MS"/>
        <family val="2"/>
      </rPr>
      <t xml:space="preserve"> </t>
    </r>
    <r>
      <rPr>
        <sz val="12"/>
        <color indexed="8"/>
        <rFont val="Trebuchet MS"/>
        <family val="2"/>
      </rPr>
      <t xml:space="preserve"> 
1) </t>
    </r>
    <r>
      <rPr>
        <sz val="12"/>
        <color indexed="18"/>
        <rFont val="Trebuchet MS"/>
        <family val="2"/>
      </rPr>
      <t>Brings together available empirical data from current operations, vendor quotes, and studies
2) User can select input from:
    - Default values/ranges
    - Calculated values based on population or food waste source data
    - User data
3) Flexible:
    - Community size – population
    - Existing equipment/operations (e.g., anaerobic digester, FOG Program)</t>
    </r>
  </si>
  <si>
    <t xml:space="preserve">OBJECTIVE:  
Provide an initial economic feasibility assessment of food waste co-digestion with biosolids for the purpose of biogas production. The Model will estimate following based on your data input and various assumptions:
- Amount of potential feedstock
- Fixed and recurring costs of food waste collection
- Fixed and recurring costs of food waste anaerobic digestion 
- Potential for biogas production </t>
  </si>
  <si>
    <r>
      <t>Objective:</t>
    </r>
    <r>
      <rPr>
        <sz val="14"/>
        <color indexed="17"/>
        <rFont val="Trebuchet MS"/>
        <family val="2"/>
      </rPr>
      <t xml:space="preserve"> </t>
    </r>
    <r>
      <rPr>
        <sz val="14"/>
        <color indexed="8"/>
        <rFont val="Trebuchet MS"/>
        <family val="2"/>
      </rPr>
      <t xml:space="preserve"> 
</t>
    </r>
    <r>
      <rPr>
        <sz val="12"/>
        <color indexed="18"/>
        <rFont val="Trebuchet MS"/>
        <family val="2"/>
      </rPr>
      <t>Provide an initial economic feasibility assessment of food waste co-digestion with wastewater plant biosolids for the purpose of biogas production.</t>
    </r>
  </si>
  <si>
    <r>
      <t xml:space="preserve">Quick Facts:
</t>
    </r>
    <r>
      <rPr>
        <b/>
        <sz val="10"/>
        <color indexed="17"/>
        <rFont val="Trebuchet MS"/>
        <family val="2"/>
      </rPr>
      <t>(</t>
    </r>
    <r>
      <rPr>
        <b/>
        <sz val="10"/>
        <rFont val="Trebuchet MS"/>
        <family val="2"/>
      </rPr>
      <t xml:space="preserve">from EPA's Food Waste Webpage:  </t>
    </r>
    <r>
      <rPr>
        <b/>
        <sz val="10"/>
        <color indexed="17"/>
        <rFont val="Trebuchet MS"/>
        <family val="2"/>
      </rPr>
      <t xml:space="preserve">http://www.epa.gov/osw/conserve/materials/organics/food/fd-basic.htm </t>
    </r>
    <r>
      <rPr>
        <b/>
        <sz val="10"/>
        <rFont val="Trebuchet MS"/>
        <family val="2"/>
      </rPr>
      <t>and</t>
    </r>
    <r>
      <rPr>
        <b/>
        <sz val="10"/>
        <color indexed="17"/>
        <rFont val="Trebuchet MS"/>
        <family val="2"/>
      </rPr>
      <t xml:space="preserve"> </t>
    </r>
    <r>
      <rPr>
        <b/>
        <sz val="10"/>
        <rFont val="Trebuchet MS"/>
        <family val="2"/>
      </rPr>
      <t xml:space="preserve">Timothy Jones, University of Arizona "Household Refuse Food Loss:  </t>
    </r>
    <r>
      <rPr>
        <b/>
        <sz val="10"/>
        <color indexed="17"/>
        <rFont val="Trebuchet MS"/>
        <family val="2"/>
      </rPr>
      <t>http://www.communitycompost.org/info/usafood.pdf and EPA's Climate Change Webpage http://www.epa.gov/climatechange/emissions/usinventoryreport.html):</t>
    </r>
    <r>
      <rPr>
        <sz val="12"/>
        <color indexed="12"/>
        <rFont val="Trebuchet MS"/>
        <family val="2"/>
      </rPr>
      <t xml:space="preserve"> </t>
    </r>
    <r>
      <rPr>
        <sz val="12"/>
        <color indexed="8"/>
        <rFont val="Trebuchet MS"/>
        <family val="2"/>
      </rPr>
      <t xml:space="preserve"> 
</t>
    </r>
    <r>
      <rPr>
        <sz val="12"/>
        <color indexed="18"/>
        <rFont val="Trebuchet MS"/>
        <family val="2"/>
      </rPr>
      <t>- A typical U.S. household throws away 474 pounds of food waste each year, about 1.5 lbs per person a day.
- Food waste is the third largest waste component reaching landfills in the United States; EPA estimates only 3% recovery of the 32 million tons in 2008.
- Decomposition of food and other organic waste materials in landfills produces methane (CH</t>
    </r>
    <r>
      <rPr>
        <vertAlign val="subscript"/>
        <sz val="12"/>
        <color indexed="18"/>
        <rFont val="Trebuchet MS"/>
        <family val="2"/>
      </rPr>
      <t>4</t>
    </r>
    <r>
      <rPr>
        <sz val="12"/>
        <color indexed="18"/>
        <rFont val="Trebuchet MS"/>
        <family val="2"/>
      </rPr>
      <t>), a greenhouse gas (GHG) 25 times more potent than carbon dioxide (CO</t>
    </r>
    <r>
      <rPr>
        <vertAlign val="subscript"/>
        <sz val="12"/>
        <color indexed="18"/>
        <rFont val="Trebuchet MS"/>
        <family val="2"/>
      </rPr>
      <t>2</t>
    </r>
    <r>
      <rPr>
        <sz val="12"/>
        <color indexed="18"/>
        <rFont val="Trebuchet MS"/>
        <family val="2"/>
      </rPr>
      <t>). 
- Landfills are the second largest anthropogenic source of methane emissions in the United States, accounting for 22% of total methane (CH</t>
    </r>
    <r>
      <rPr>
        <vertAlign val="subscript"/>
        <sz val="12"/>
        <color indexed="18"/>
        <rFont val="Trebuchet MS"/>
        <family val="2"/>
      </rPr>
      <t>4</t>
    </r>
    <r>
      <rPr>
        <sz val="12"/>
        <color indexed="18"/>
        <rFont val="Trebuchet MS"/>
        <family val="2"/>
      </rPr>
      <t>) emissions in 2008.
- Up to 90% of waste thrown out by businesses like supermarkets and restaurants is food scraps.
- EPA estimates "More than one quarter of America's food, or about 96 million pounds of food a year, goes to waste, in fields, commercial kitchens, manufacturing plants, markets, schools, and restaurants."</t>
    </r>
  </si>
  <si>
    <r>
      <t>Model Results:</t>
    </r>
    <r>
      <rPr>
        <sz val="12"/>
        <color indexed="17"/>
        <rFont val="Trebuchet MS"/>
        <family val="2"/>
      </rPr>
      <t xml:space="preserve">  </t>
    </r>
    <r>
      <rPr>
        <sz val="12"/>
        <color indexed="12"/>
        <rFont val="Trebuchet MS"/>
        <family val="2"/>
      </rPr>
      <t xml:space="preserve">
</t>
    </r>
    <r>
      <rPr>
        <sz val="12"/>
        <color indexed="18"/>
        <rFont val="Trebuchet MS"/>
        <family val="2"/>
      </rPr>
      <t xml:space="preserve">The model will help municipal managers better understand the costs and benefits of food waste co-digestion including: 
- Capital Investments
- Operational and Maintenance Costs
- Biogas Generation and Solid Waste Diversion
</t>
    </r>
  </si>
  <si>
    <t xml:space="preserve">If you know feedstock availability by material-type (tons/day), enter your data directly into "Worksheet 1. Input Parameters" - cells C28-C39. If you enter data into worksheet 1, do not input data into Cell G81 of this worksheet. </t>
  </si>
  <si>
    <r>
      <rPr>
        <b/>
        <sz val="10"/>
        <color indexed="18"/>
        <rFont val="Trebuchet MS"/>
        <family val="2"/>
      </rPr>
      <t xml:space="preserve">[%] </t>
    </r>
    <r>
      <rPr>
        <b/>
        <i/>
        <sz val="10"/>
        <color indexed="18"/>
        <rFont val="Trebuchet MS"/>
        <family val="2"/>
      </rPr>
      <t>Should be zero if you do not know, or you have a zero rejection rate.</t>
    </r>
  </si>
  <si>
    <t>[tons/day] Should be zero if another Option is used.</t>
  </si>
  <si>
    <r>
      <rPr>
        <b/>
        <sz val="10"/>
        <color indexed="18"/>
        <rFont val="Trebuchet MS"/>
        <family val="2"/>
      </rPr>
      <t xml:space="preserve">[tons/day] </t>
    </r>
    <r>
      <rPr>
        <b/>
        <i/>
        <sz val="10"/>
        <color indexed="18"/>
        <rFont val="Trebuchet MS"/>
        <family val="2"/>
      </rPr>
      <t>Should be zero if you do not intend to source non-household FOG or you use Option 3.</t>
    </r>
  </si>
  <si>
    <r>
      <t>[tons/day] &gt;&gt;</t>
    </r>
    <r>
      <rPr>
        <b/>
        <sz val="11"/>
        <color indexed="18"/>
        <rFont val="Trebuchet MS"/>
        <family val="2"/>
      </rPr>
      <t>For informational purposes, this is the amount of gross short tons per day of food waste feedstock available for your digester</t>
    </r>
  </si>
  <si>
    <r>
      <rPr>
        <sz val="11"/>
        <color indexed="18"/>
        <rFont val="Trebuchet MS"/>
        <family val="2"/>
      </rPr>
      <t>[ft</t>
    </r>
    <r>
      <rPr>
        <vertAlign val="superscript"/>
        <sz val="11"/>
        <color indexed="18"/>
        <rFont val="Trebuchet MS"/>
        <family val="2"/>
      </rPr>
      <t>3</t>
    </r>
    <r>
      <rPr>
        <sz val="11"/>
        <color indexed="18"/>
        <rFont val="Trebuchet MS"/>
        <family val="2"/>
      </rPr>
      <t xml:space="preserve"> of biogas/day] </t>
    </r>
    <r>
      <rPr>
        <b/>
        <sz val="11"/>
        <color indexed="18"/>
        <rFont val="Trebuchet MS"/>
        <family val="2"/>
      </rPr>
      <t>&gt;&gt;For informational purposes, this is the potential  cubic feet per day of biogas available</t>
    </r>
  </si>
  <si>
    <r>
      <rPr>
        <sz val="11"/>
        <color indexed="18"/>
        <rFont val="Trebuchet MS"/>
        <family val="2"/>
      </rPr>
      <t>[MMBtu/yr]</t>
    </r>
    <r>
      <rPr>
        <b/>
        <sz val="11"/>
        <color indexed="18"/>
        <rFont val="Trebuchet MS"/>
        <family val="2"/>
      </rPr>
      <t xml:space="preserve"> &gt;&gt;For informational purposes, this is the potential MMBtu per year available</t>
    </r>
  </si>
  <si>
    <t>&gt;&gt;If you do not know, please choose the first option which is the weighted national average for landfill gas recovery (approximately 44%).</t>
  </si>
  <si>
    <r>
      <rPr>
        <i/>
        <sz val="10"/>
        <color indexed="18"/>
        <rFont val="Trebuchet MS"/>
        <family val="2"/>
      </rPr>
      <t>[$/household]</t>
    </r>
    <r>
      <rPr>
        <b/>
        <i/>
        <sz val="10"/>
        <color indexed="18"/>
        <rFont val="Trebuchet MS"/>
        <family val="2"/>
      </rPr>
      <t xml:space="preserve"> Should be zero if bins have already been provided to households.</t>
    </r>
  </si>
  <si>
    <t>[$/establishment] Should be zero if bins have already been provided to establishments.</t>
  </si>
  <si>
    <t xml:space="preserve">&gt;&gt;If you are sourcing food waste from the establishments indicated in Option 2 of the Food Waste Feedstock Estimate, then you need to provide collection bins. </t>
  </si>
  <si>
    <t xml:space="preserve">[ Should be zero if no additional collection trucks are needed. </t>
  </si>
  <si>
    <t>S/short ton/day]</t>
  </si>
  <si>
    <t>[$/day]</t>
  </si>
  <si>
    <t>[$/hour]</t>
  </si>
  <si>
    <t>[$/year]</t>
  </si>
  <si>
    <r>
      <t xml:space="preserve">&gt;&gt;Enter the annual </t>
    </r>
    <r>
      <rPr>
        <b/>
        <sz val="11"/>
        <color indexed="18"/>
        <rFont val="Trebuchet MS"/>
        <family val="2"/>
      </rPr>
      <t xml:space="preserve">Operational and Maintenance Cost of the Digester </t>
    </r>
    <r>
      <rPr>
        <sz val="11"/>
        <color indexed="18"/>
        <rFont val="Trebuchet MS"/>
        <family val="2"/>
      </rPr>
      <t>(this includes O&amp;M costs from the digester only including cleaning and repair):</t>
    </r>
  </si>
  <si>
    <t>Select "Yes" or "No" for each type of ancillary equipment or option for your digester(s) and input the cost.</t>
  </si>
  <si>
    <t>Fats, Oils and Grease (FOG) Receiving Station</t>
  </si>
  <si>
    <t>Wetland Delineation</t>
  </si>
  <si>
    <t>Geotechnical Analysis</t>
  </si>
  <si>
    <t>Capacity Required for Community Food Waste Feedstock</t>
  </si>
  <si>
    <t>Excess Capacity Available for Community Food Waste Feedstock</t>
  </si>
  <si>
    <t>Capacity Needed for Community Food Waste Feedstock Input</t>
  </si>
  <si>
    <t>Residential Bins</t>
  </si>
  <si>
    <t>This worksheet calculates various capital costs not directly associated with the digester unit including:  (1) FOG Receiving Station if the facility will be collecting and processing FOG, a high-value feedstock that requires separate handling and pre-processing, (2) Feedstock Processing  (grinding, sifting, etc.) to prepare food waste for digestion, and (3) Ancillary Equipment and Services including engineering and environmental studies associated with siting and constructing the digesters.</t>
  </si>
  <si>
    <t xml:space="preserve">Cost per unit ($/unit) </t>
  </si>
  <si>
    <t xml:space="preserve">These costs are estimations based on some research done by the Humboldt Waste Management Authority. For more accurate cost estimates, a project specific assessment should be completed. </t>
  </si>
  <si>
    <r>
      <t xml:space="preserve">Your inputs on this page will customize the Model for your circumstances and result in calculations that are applicable to your city or organization. </t>
    </r>
    <r>
      <rPr>
        <b/>
        <sz val="11"/>
        <color indexed="10"/>
        <rFont val="Trebuchet MS"/>
        <family val="2"/>
      </rPr>
      <t xml:space="preserve">The final calculations can be found in the worksheet labeled "1-Page Summary." </t>
    </r>
    <r>
      <rPr>
        <b/>
        <sz val="11"/>
        <color indexed="54"/>
        <rFont val="Trebuchet MS"/>
        <family val="2"/>
      </rPr>
      <t>You can also use the Model to run "what if" scenarios and compare the results of different approaches.</t>
    </r>
  </si>
  <si>
    <r>
      <t xml:space="preserve">This model brings together the current publicly available data on the emerging practice of food waste co-digestion at wastewater treatment plants (WWTP).  While some commercial vendors offer systems for processing solid waste, municipalities are increasingly evaluating the viability of implementing food waste co-digestion at a WWTP in their service area.  This economic model is a screening tool for initial evaluation and does not provide a rigorous feasibility study. The model identifies the various logistical and equipment considerations within an "economic cost model." The model does not require pre-existing WWTP digesters and will calculate results with no pre-existing digester in place, however the model was designed to help WWTP operators assess the viability of implementing food waste co-digestion at existing anaerobic digesters. The model is flexible and users can adjust assumptions and cost to fit their circumstances. Wherever available, source data is provided for further research and evaluation. 
</t>
    </r>
    <r>
      <rPr>
        <b/>
        <i/>
        <sz val="12"/>
        <color indexed="17"/>
        <rFont val="Trebuchet MS"/>
        <family val="2"/>
      </rPr>
      <t xml:space="preserve">
</t>
    </r>
    <r>
      <rPr>
        <b/>
        <i/>
        <sz val="12"/>
        <color indexed="10"/>
        <rFont val="Trebuchet MS"/>
        <family val="2"/>
      </rPr>
      <t>The final calculations (after the user inputs community-specific data) can be found in the worksheet labeled "1-Page Summary."</t>
    </r>
    <r>
      <rPr>
        <i/>
        <sz val="12"/>
        <color indexed="17"/>
        <rFont val="Trebuchet MS"/>
        <family val="2"/>
      </rPr>
      <t xml:space="preserve">
For the best results, users  should input community-specific information instead of using model assumptions. 
Listed below is an overview of the model's objective, intended audience, components, outputs/results.</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</si>
</sst>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0_);_(&quot;$&quot;* \(#,##0.000\);_(&quot;$&quot;* &quot;-&quot;??_);_(@_)"/>
    <numFmt numFmtId="166" formatCode="_(* #,##0.000_);_(* \(#,##0.000\);_(* &quot;-&quot;???_);_(@_)"/>
    <numFmt numFmtId="167" formatCode="&quot;$&quot;#,##0.000"/>
    <numFmt numFmtId="168" formatCode="&quot;$&quot;#,##0.00"/>
    <numFmt numFmtId="169" formatCode="0.0%"/>
    <numFmt numFmtId="170" formatCode="_(&quot;$&quot;* #,##0.0_);_(&quot;$&quot;* \(#,##0.0\);_(&quot;$&quot;* &quot;-&quot;??_);_(@_)"/>
    <numFmt numFmtId="171" formatCode="&quot;$&quot;#,##0"/>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quot;$&quot;#,##0.000_);[Red]\(&quot;$&quot;#,##0.000\)"/>
    <numFmt numFmtId="180" formatCode="&quot;$&quot;#,##0.0"/>
    <numFmt numFmtId="181" formatCode="&quot;$&quot;#,##0.0_);[Red]\(&quot;$&quot;#,##0.0\)"/>
    <numFmt numFmtId="182" formatCode="#,##0.0"/>
    <numFmt numFmtId="183" formatCode="_(* #,##0_);_(* \(#,##0\);_(* &quot;-&quot;??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000_);_(* \(#,##0.000\);_(* &quot;-&quot;??_);_(@_)"/>
    <numFmt numFmtId="190" formatCode="#,##0.000"/>
    <numFmt numFmtId="191" formatCode="0.0000%"/>
    <numFmt numFmtId="192" formatCode="#,##0.00000000"/>
    <numFmt numFmtId="193" formatCode="#,##0.0000"/>
    <numFmt numFmtId="194" formatCode="[$-409]dddd\,\ mmmm\ dd\,\ yyyy"/>
    <numFmt numFmtId="195" formatCode="[$-409]mmmm\-yy;@"/>
    <numFmt numFmtId="196" formatCode="m/d/yy;@"/>
  </numFmts>
  <fonts count="134">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b/>
      <sz val="8"/>
      <name val="Tahoma"/>
      <family val="0"/>
    </font>
    <font>
      <sz val="10"/>
      <name val="Trebuchet MS"/>
      <family val="2"/>
    </font>
    <font>
      <b/>
      <u val="single"/>
      <sz val="10"/>
      <name val="Trebuchet MS"/>
      <family val="2"/>
    </font>
    <font>
      <b/>
      <sz val="10"/>
      <name val="Trebuchet MS"/>
      <family val="2"/>
    </font>
    <font>
      <b/>
      <sz val="10"/>
      <color indexed="12"/>
      <name val="Trebuchet MS"/>
      <family val="2"/>
    </font>
    <font>
      <b/>
      <sz val="14"/>
      <color indexed="18"/>
      <name val="Trebuchet MS"/>
      <family val="2"/>
    </font>
    <font>
      <b/>
      <sz val="14"/>
      <color indexed="12"/>
      <name val="Trebuchet MS"/>
      <family val="2"/>
    </font>
    <font>
      <sz val="10"/>
      <color indexed="48"/>
      <name val="Trebuchet MS"/>
      <family val="2"/>
    </font>
    <font>
      <sz val="10"/>
      <color indexed="12"/>
      <name val="Trebuchet MS"/>
      <family val="2"/>
    </font>
    <font>
      <b/>
      <sz val="12"/>
      <color indexed="54"/>
      <name val="Trebuchet MS"/>
      <family val="2"/>
    </font>
    <font>
      <b/>
      <sz val="11"/>
      <name val="Trebuchet MS"/>
      <family val="2"/>
    </font>
    <font>
      <b/>
      <u val="single"/>
      <sz val="10"/>
      <color indexed="12"/>
      <name val="Trebuchet MS"/>
      <family val="2"/>
    </font>
    <font>
      <b/>
      <i/>
      <sz val="10"/>
      <name val="Trebuchet MS"/>
      <family val="2"/>
    </font>
    <font>
      <u val="single"/>
      <sz val="10"/>
      <color indexed="12"/>
      <name val="Trebuchet MS"/>
      <family val="2"/>
    </font>
    <font>
      <i/>
      <sz val="10"/>
      <name val="Trebuchet MS"/>
      <family val="2"/>
    </font>
    <font>
      <vertAlign val="superscript"/>
      <sz val="10"/>
      <name val="Trebuchet MS"/>
      <family val="2"/>
    </font>
    <font>
      <sz val="10"/>
      <color indexed="60"/>
      <name val="Trebuchet MS"/>
      <family val="2"/>
    </font>
    <font>
      <sz val="12"/>
      <name val="Trebuchet MS"/>
      <family val="2"/>
    </font>
    <font>
      <sz val="14"/>
      <name val="Trebuchet MS"/>
      <family val="2"/>
    </font>
    <font>
      <sz val="10"/>
      <color indexed="10"/>
      <name val="Trebuchet MS"/>
      <family val="2"/>
    </font>
    <font>
      <u val="single"/>
      <sz val="10"/>
      <color indexed="60"/>
      <name val="Trebuchet MS"/>
      <family val="2"/>
    </font>
    <font>
      <b/>
      <sz val="10"/>
      <color indexed="57"/>
      <name val="Trebuchet MS"/>
      <family val="2"/>
    </font>
    <font>
      <sz val="10"/>
      <color indexed="57"/>
      <name val="Trebuchet MS"/>
      <family val="2"/>
    </font>
    <font>
      <b/>
      <sz val="10"/>
      <color indexed="51"/>
      <name val="Trebuchet MS"/>
      <family val="2"/>
    </font>
    <font>
      <b/>
      <sz val="10"/>
      <color indexed="30"/>
      <name val="Trebuchet MS"/>
      <family val="2"/>
    </font>
    <font>
      <b/>
      <u val="single"/>
      <sz val="11"/>
      <name val="Trebuchet MS"/>
      <family val="2"/>
    </font>
    <font>
      <b/>
      <sz val="10"/>
      <name val="Arial"/>
      <family val="2"/>
    </font>
    <font>
      <i/>
      <sz val="10"/>
      <name val="Arial"/>
      <family val="2"/>
    </font>
    <font>
      <b/>
      <sz val="11"/>
      <name val="Times New Roman"/>
      <family val="1"/>
    </font>
    <font>
      <b/>
      <sz val="10"/>
      <color indexed="54"/>
      <name val="Trebuchet MS"/>
      <family val="2"/>
    </font>
    <font>
      <i/>
      <sz val="8"/>
      <name val="Trebuchet MS"/>
      <family val="2"/>
    </font>
    <font>
      <sz val="10"/>
      <color indexed="18"/>
      <name val="Trebuchet MS"/>
      <family val="2"/>
    </font>
    <font>
      <b/>
      <sz val="10"/>
      <color indexed="18"/>
      <name val="Trebuchet MS"/>
      <family val="2"/>
    </font>
    <font>
      <sz val="11"/>
      <color indexed="18"/>
      <name val="Trebuchet MS"/>
      <family val="2"/>
    </font>
    <font>
      <b/>
      <sz val="11"/>
      <color indexed="18"/>
      <name val="Trebuchet MS"/>
      <family val="2"/>
    </font>
    <font>
      <i/>
      <sz val="8"/>
      <color indexed="54"/>
      <name val="Trebuchet MS"/>
      <family val="2"/>
    </font>
    <font>
      <sz val="8"/>
      <color indexed="54"/>
      <name val="Wingdings"/>
      <family val="0"/>
    </font>
    <font>
      <i/>
      <sz val="10"/>
      <color indexed="18"/>
      <name val="Trebuchet MS"/>
      <family val="2"/>
    </font>
    <font>
      <i/>
      <sz val="9"/>
      <color indexed="18"/>
      <name val="Trebuchet MS"/>
      <family val="2"/>
    </font>
    <font>
      <sz val="8"/>
      <color indexed="8"/>
      <name val="Arial"/>
      <family val="2"/>
    </font>
    <font>
      <sz val="14"/>
      <name val="Arial"/>
      <family val="0"/>
    </font>
    <font>
      <b/>
      <sz val="10"/>
      <color indexed="8"/>
      <name val="Trebuchet MS"/>
      <family val="2"/>
    </font>
    <font>
      <b/>
      <sz val="14"/>
      <name val="Arial"/>
      <family val="2"/>
    </font>
    <font>
      <b/>
      <i/>
      <sz val="11"/>
      <color indexed="18"/>
      <name val="Trebuchet MS"/>
      <family val="2"/>
    </font>
    <font>
      <b/>
      <i/>
      <sz val="10"/>
      <color indexed="18"/>
      <name val="Trebuchet MS"/>
      <family val="2"/>
    </font>
    <font>
      <b/>
      <u val="single"/>
      <sz val="11"/>
      <color indexed="18"/>
      <name val="Trebuchet MS"/>
      <family val="2"/>
    </font>
    <font>
      <sz val="11"/>
      <name val="Trebuchet MS"/>
      <family val="2"/>
    </font>
    <font>
      <b/>
      <sz val="11"/>
      <color indexed="54"/>
      <name val="Trebuchet MS"/>
      <family val="2"/>
    </font>
    <font>
      <sz val="14"/>
      <color indexed="8"/>
      <name val="Trebuchet MS"/>
      <family val="2"/>
    </font>
    <font>
      <sz val="14"/>
      <color indexed="18"/>
      <name val="Trebuchet MS"/>
      <family val="2"/>
    </font>
    <font>
      <sz val="7"/>
      <color indexed="47"/>
      <name val="Wingdings"/>
      <family val="0"/>
    </font>
    <font>
      <b/>
      <sz val="14"/>
      <color indexed="17"/>
      <name val="Trebuchet MS"/>
      <family val="2"/>
    </font>
    <font>
      <sz val="14"/>
      <color indexed="17"/>
      <name val="Trebuchet MS"/>
      <family val="2"/>
    </font>
    <font>
      <i/>
      <sz val="14"/>
      <color indexed="17"/>
      <name val="Trebuchet MS"/>
      <family val="2"/>
    </font>
    <font>
      <i/>
      <sz val="11"/>
      <color indexed="10"/>
      <name val="Trebuchet MS"/>
      <family val="2"/>
    </font>
    <font>
      <b/>
      <sz val="11"/>
      <color indexed="10"/>
      <name val="Trebuchet MS"/>
      <family val="2"/>
    </font>
    <font>
      <b/>
      <i/>
      <sz val="11"/>
      <color indexed="10"/>
      <name val="Trebuchet MS"/>
      <family val="2"/>
    </font>
    <font>
      <sz val="20"/>
      <color indexed="9"/>
      <name val="Trebuchet MS"/>
      <family val="2"/>
    </font>
    <font>
      <b/>
      <sz val="11"/>
      <color indexed="46"/>
      <name val="Trebuchet MS"/>
      <family val="2"/>
    </font>
    <font>
      <b/>
      <sz val="11"/>
      <color indexed="22"/>
      <name val="Trebuchet MS"/>
      <family val="2"/>
    </font>
    <font>
      <i/>
      <sz val="11"/>
      <color indexed="18"/>
      <name val="Trebuchet MS"/>
      <family val="2"/>
    </font>
    <font>
      <b/>
      <sz val="14"/>
      <color indexed="10"/>
      <name val="Trebuchet MS"/>
      <family val="2"/>
    </font>
    <font>
      <sz val="10"/>
      <color indexed="62"/>
      <name val="Trebuchet MS"/>
      <family val="2"/>
    </font>
    <font>
      <b/>
      <sz val="12"/>
      <color indexed="17"/>
      <name val="Trebuchet MS"/>
      <family val="2"/>
    </font>
    <font>
      <b/>
      <sz val="12"/>
      <name val="Trebuchet MS"/>
      <family val="2"/>
    </font>
    <font>
      <sz val="8"/>
      <color indexed="12"/>
      <name val="Trebuchet MS"/>
      <family val="2"/>
    </font>
    <font>
      <sz val="10"/>
      <name val="Sans-serif"/>
      <family val="0"/>
    </font>
    <font>
      <b/>
      <i/>
      <sz val="10"/>
      <color indexed="12"/>
      <name val="Trebuchet MS"/>
      <family val="2"/>
    </font>
    <font>
      <sz val="10"/>
      <name val="Tahoma"/>
      <family val="0"/>
    </font>
    <font>
      <b/>
      <sz val="10"/>
      <name val="Tahoma"/>
      <family val="0"/>
    </font>
    <font>
      <i/>
      <sz val="10"/>
      <name val="Tahoma"/>
      <family val="2"/>
    </font>
    <font>
      <i/>
      <sz val="12"/>
      <color indexed="17"/>
      <name val="Trebuchet MS"/>
      <family val="2"/>
    </font>
    <font>
      <sz val="12"/>
      <color indexed="12"/>
      <name val="Trebuchet MS"/>
      <family val="2"/>
    </font>
    <font>
      <sz val="12"/>
      <color indexed="8"/>
      <name val="Trebuchet MS"/>
      <family val="2"/>
    </font>
    <font>
      <sz val="12"/>
      <color indexed="18"/>
      <name val="Trebuchet MS"/>
      <family val="2"/>
    </font>
    <font>
      <b/>
      <sz val="10"/>
      <color indexed="17"/>
      <name val="Trebuchet MS"/>
      <family val="2"/>
    </font>
    <font>
      <b/>
      <sz val="12"/>
      <color indexed="12"/>
      <name val="Trebuchet MS"/>
      <family val="2"/>
    </font>
    <font>
      <sz val="12"/>
      <color indexed="17"/>
      <name val="Trebuchet MS"/>
      <family val="2"/>
    </font>
    <font>
      <sz val="12"/>
      <color indexed="62"/>
      <name val="Trebuchet MS"/>
      <family val="2"/>
    </font>
    <font>
      <b/>
      <sz val="12"/>
      <color indexed="62"/>
      <name val="Trebuchet MS"/>
      <family val="2"/>
    </font>
    <font>
      <u val="single"/>
      <sz val="10"/>
      <color indexed="12"/>
      <name val="Verdana"/>
      <family val="2"/>
    </font>
    <font>
      <b/>
      <i/>
      <sz val="10"/>
      <color indexed="62"/>
      <name val="Trebuchet MS"/>
      <family val="2"/>
    </font>
    <font>
      <sz val="10"/>
      <color indexed="56"/>
      <name val="Trebuchet MS"/>
      <family val="2"/>
    </font>
    <font>
      <b/>
      <sz val="10"/>
      <color indexed="56"/>
      <name val="Trebuchet MS"/>
      <family val="2"/>
    </font>
    <font>
      <vertAlign val="subscript"/>
      <sz val="12"/>
      <color indexed="18"/>
      <name val="Trebuchet MS"/>
      <family val="2"/>
    </font>
    <font>
      <b/>
      <sz val="8"/>
      <color indexed="12"/>
      <name val="Verdana"/>
      <family val="2"/>
    </font>
    <font>
      <sz val="11"/>
      <name val="Arial"/>
      <family val="0"/>
    </font>
    <font>
      <i/>
      <sz val="11"/>
      <name val="Arial"/>
      <family val="0"/>
    </font>
    <font>
      <b/>
      <sz val="11"/>
      <color indexed="12"/>
      <name val="Trebuchet MS"/>
      <family val="2"/>
    </font>
    <font>
      <sz val="20"/>
      <color indexed="12"/>
      <name val="Trebuchet MS"/>
      <family val="2"/>
    </font>
    <font>
      <b/>
      <i/>
      <sz val="11"/>
      <color indexed="12"/>
      <name val="Trebuchet MS"/>
      <family val="2"/>
    </font>
    <font>
      <vertAlign val="superscript"/>
      <sz val="11"/>
      <color indexed="18"/>
      <name val="Trebuchet MS"/>
      <family val="2"/>
    </font>
    <font>
      <b/>
      <i/>
      <sz val="12"/>
      <color indexed="17"/>
      <name val="Trebuchet MS"/>
      <family val="2"/>
    </font>
    <font>
      <b/>
      <i/>
      <sz val="12"/>
      <color indexed="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4"/>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8"/>
        <bgColor indexed="64"/>
      </patternFill>
    </fill>
    <fill>
      <patternFill patternType="solid">
        <fgColor indexed="45"/>
        <bgColor indexed="64"/>
      </patternFill>
    </fill>
    <fill>
      <patternFill patternType="solid">
        <fgColor theme="3" tint="0.5999900102615356"/>
        <bgColor indexed="64"/>
      </patternFill>
    </fill>
    <fill>
      <patternFill patternType="solid">
        <fgColor indexed="49"/>
        <bgColor indexed="64"/>
      </patternFill>
    </fill>
    <fill>
      <patternFill patternType="solid">
        <fgColor indexed="44"/>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style="thin"/>
      <top style="thin"/>
      <bottom style="thin"/>
    </border>
    <border>
      <left style="medium"/>
      <right style="thin"/>
      <top style="medium"/>
      <bottom style="thin"/>
    </border>
    <border>
      <left style="medium"/>
      <right style="thin"/>
      <top style="thin"/>
      <bottom style="medium"/>
    </border>
    <border>
      <left>
        <color indexed="63"/>
      </left>
      <right>
        <color indexed="63"/>
      </right>
      <top style="medium">
        <color indexed="54"/>
      </top>
      <bottom style="medium">
        <color indexed="54"/>
      </bottom>
    </border>
    <border>
      <left>
        <color indexed="63"/>
      </left>
      <right style="medium">
        <color indexed="54"/>
      </right>
      <top style="medium">
        <color indexed="54"/>
      </top>
      <bottom style="medium">
        <color indexed="54"/>
      </bottom>
    </border>
    <border>
      <left style="medium">
        <color indexed="54"/>
      </left>
      <right style="medium">
        <color indexed="54"/>
      </right>
      <top style="medium">
        <color indexed="54"/>
      </top>
      <bottom style="medium">
        <color indexed="54"/>
      </bottom>
    </border>
    <border>
      <left style="medium">
        <color indexed="54"/>
      </left>
      <right style="thin">
        <color indexed="54"/>
      </right>
      <top style="medium">
        <color indexed="54"/>
      </top>
      <bottom style="medium">
        <color indexed="54"/>
      </bottom>
    </border>
    <border>
      <left style="thin">
        <color indexed="54"/>
      </left>
      <right style="thin">
        <color indexed="54"/>
      </right>
      <top style="medium">
        <color indexed="54"/>
      </top>
      <bottom style="medium">
        <color indexed="54"/>
      </bottom>
    </border>
    <border>
      <left style="thin">
        <color indexed="54"/>
      </left>
      <right style="medium">
        <color indexed="54"/>
      </right>
      <top style="medium">
        <color indexed="54"/>
      </top>
      <bottom style="medium">
        <color indexed="54"/>
      </bottom>
    </border>
    <border>
      <left style="medium">
        <color indexed="54"/>
      </left>
      <right>
        <color indexed="63"/>
      </right>
      <top>
        <color indexed="63"/>
      </top>
      <bottom>
        <color indexed="63"/>
      </bottom>
    </border>
    <border>
      <left style="medium">
        <color indexed="54"/>
      </left>
      <right>
        <color indexed="63"/>
      </right>
      <top style="thin">
        <color indexed="54"/>
      </top>
      <bottom style="medium">
        <color indexed="54"/>
      </bottom>
    </border>
    <border>
      <left style="medium">
        <color indexed="54"/>
      </left>
      <right style="medium">
        <color indexed="54"/>
      </right>
      <top>
        <color indexed="63"/>
      </top>
      <bottom style="medium">
        <color indexed="54"/>
      </bottom>
    </border>
    <border>
      <left style="medium">
        <color indexed="54"/>
      </left>
      <right style="medium">
        <color indexed="54"/>
      </right>
      <top style="medium">
        <color indexed="54"/>
      </top>
      <bottom>
        <color indexed="63"/>
      </botto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style="medium"/>
    </border>
    <border>
      <left>
        <color indexed="63"/>
      </left>
      <right style="medium"/>
      <top style="medium"/>
      <bottom>
        <color indexed="63"/>
      </bottom>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style="thin">
        <color indexed="54"/>
      </right>
      <top style="thin">
        <color indexed="54"/>
      </top>
      <bottom style="thin">
        <color indexed="54"/>
      </bottom>
    </border>
    <border>
      <left style="medium"/>
      <right style="medium"/>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style="medium">
        <color indexed="54"/>
      </left>
      <right style="medium">
        <color indexed="54"/>
      </right>
      <top style="medium">
        <color indexed="54"/>
      </top>
      <bottom style="hair">
        <color indexed="54"/>
      </bottom>
    </border>
    <border>
      <left style="medium">
        <color indexed="54"/>
      </left>
      <right style="medium">
        <color indexed="54"/>
      </right>
      <top style="thin">
        <color indexed="54"/>
      </top>
      <bottom style="thin">
        <color indexed="54"/>
      </bottom>
    </border>
    <border>
      <left style="medium"/>
      <right style="medium"/>
      <top style="medium"/>
      <bottom>
        <color indexed="63"/>
      </bottom>
    </border>
    <border>
      <left style="hair"/>
      <right>
        <color indexed="63"/>
      </right>
      <top>
        <color indexed="63"/>
      </top>
      <bottom style="hair"/>
    </border>
    <border>
      <left>
        <color indexed="63"/>
      </left>
      <right style="hair"/>
      <top>
        <color indexed="63"/>
      </top>
      <bottom style="hair"/>
    </border>
    <border>
      <left style="medium"/>
      <right style="hair"/>
      <top style="medium"/>
      <bottom style="medium"/>
    </border>
    <border>
      <left style="hair"/>
      <right>
        <color indexed="63"/>
      </right>
      <top style="medium"/>
      <bottom style="medium"/>
    </border>
    <border>
      <left style="thin">
        <color indexed="54"/>
      </left>
      <right style="thin">
        <color indexed="54"/>
      </right>
      <top style="thin">
        <color indexed="54"/>
      </top>
      <bottom style="thin">
        <color indexed="54"/>
      </bottom>
    </border>
    <border>
      <left style="thin">
        <color indexed="54"/>
      </left>
      <right style="thin">
        <color indexed="54"/>
      </right>
      <top>
        <color indexed="63"/>
      </top>
      <bottom style="thin">
        <color indexed="54"/>
      </bottom>
    </border>
    <border>
      <left>
        <color indexed="63"/>
      </left>
      <right style="thin">
        <color indexed="54"/>
      </right>
      <top style="thin">
        <color indexed="54"/>
      </top>
      <bottom>
        <color indexed="63"/>
      </bottom>
    </border>
    <border>
      <left style="thin">
        <color indexed="54"/>
      </left>
      <right>
        <color indexed="63"/>
      </right>
      <top>
        <color indexed="63"/>
      </top>
      <bottom style="thin">
        <color indexed="54"/>
      </bottom>
    </border>
    <border>
      <left style="thin">
        <color indexed="54"/>
      </left>
      <right>
        <color indexed="63"/>
      </right>
      <top style="thin">
        <color indexed="54"/>
      </top>
      <bottom style="thin">
        <color indexed="54"/>
      </bottom>
    </border>
    <border>
      <left style="thin">
        <color indexed="54"/>
      </left>
      <right>
        <color indexed="63"/>
      </right>
      <top style="thin">
        <color indexed="54"/>
      </top>
      <bottom>
        <color indexed="63"/>
      </bottom>
    </border>
    <border>
      <left style="thin"/>
      <right style="medium">
        <color indexed="54"/>
      </right>
      <top style="medium">
        <color indexed="54"/>
      </top>
      <bottom style="medium">
        <color indexed="54"/>
      </bottom>
    </border>
    <border>
      <left style="thin"/>
      <right>
        <color indexed="63"/>
      </right>
      <top>
        <color indexed="63"/>
      </top>
      <bottom style="thin"/>
    </border>
    <border>
      <left style="thin"/>
      <right style="medium">
        <color indexed="54"/>
      </right>
      <top style="medium">
        <color indexed="54"/>
      </top>
      <bottom style="thin"/>
    </border>
    <border>
      <left style="thin"/>
      <right style="medium">
        <color indexed="23"/>
      </right>
      <top style="medium">
        <color indexed="23"/>
      </top>
      <bottom style="medium">
        <color indexed="23"/>
      </bottom>
    </border>
    <border>
      <left style="medium"/>
      <right style="medium"/>
      <top>
        <color indexed="63"/>
      </top>
      <bottom style="thin"/>
    </border>
    <border>
      <left style="thin"/>
      <right>
        <color indexed="63"/>
      </right>
      <top style="thin">
        <color indexed="54"/>
      </top>
      <bottom style="thin">
        <color indexed="54"/>
      </bottom>
    </border>
    <border>
      <left style="thin"/>
      <right style="thin">
        <color indexed="54"/>
      </right>
      <top style="medium">
        <color indexed="54"/>
      </top>
      <bottom style="medium">
        <color indexed="54"/>
      </bottom>
    </border>
    <border>
      <left style="thin"/>
      <right>
        <color indexed="63"/>
      </right>
      <top style="thin">
        <color indexed="54"/>
      </top>
      <bottom style="medium">
        <color indexed="54"/>
      </bottom>
    </border>
    <border>
      <left style="thin"/>
      <right style="medium">
        <color indexed="54"/>
      </right>
      <top style="thin">
        <color indexed="54"/>
      </top>
      <bottom>
        <color indexed="63"/>
      </bottom>
    </border>
    <border>
      <left style="thin"/>
      <right>
        <color indexed="63"/>
      </right>
      <top>
        <color indexed="63"/>
      </top>
      <bottom style="medium">
        <color indexed="54"/>
      </bottom>
    </border>
    <border>
      <left style="thin"/>
      <right style="medium">
        <color indexed="23"/>
      </right>
      <top style="medium">
        <color indexed="23"/>
      </top>
      <bottom style="thin"/>
    </border>
    <border>
      <left style="medium">
        <color indexed="54"/>
      </left>
      <right style="medium">
        <color indexed="54"/>
      </right>
      <top style="medium">
        <color indexed="54"/>
      </top>
      <bottom style="thin"/>
    </border>
    <border>
      <left style="medium">
        <color indexed="23"/>
      </left>
      <right style="medium">
        <color indexed="23"/>
      </right>
      <top style="medium">
        <color indexed="23"/>
      </top>
      <bottom style="medium">
        <color indexed="23"/>
      </bottom>
    </border>
    <border>
      <left style="medium">
        <color indexed="23"/>
      </left>
      <right>
        <color indexed="63"/>
      </right>
      <top>
        <color indexed="63"/>
      </top>
      <bottom style="thin"/>
    </border>
    <border>
      <left style="medium">
        <color indexed="23"/>
      </left>
      <right style="medium">
        <color indexed="23"/>
      </right>
      <top style="medium">
        <color indexed="23"/>
      </top>
      <bottom style="thin"/>
    </border>
    <border>
      <left style="thin"/>
      <right style="medium">
        <color indexed="54"/>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style="thin"/>
    </border>
    <border>
      <left>
        <color indexed="63"/>
      </left>
      <right style="thin"/>
      <top style="thin"/>
      <bottom style="medium"/>
    </border>
    <border>
      <left style="hair"/>
      <right>
        <color indexed="63"/>
      </right>
      <top style="hair"/>
      <bottom>
        <color indexed="63"/>
      </bottom>
    </border>
    <border>
      <left style="medium"/>
      <right style="hair"/>
      <top style="medium"/>
      <bottom>
        <color indexed="63"/>
      </bottom>
    </border>
    <border>
      <left style="medium"/>
      <right style="hair"/>
      <top>
        <color indexed="63"/>
      </top>
      <bottom>
        <color indexed="63"/>
      </bottom>
    </border>
    <border>
      <left style="medium"/>
      <right>
        <color indexed="63"/>
      </right>
      <top style="thin"/>
      <bottom style="medium"/>
    </border>
    <border>
      <left style="hair"/>
      <right>
        <color indexed="63"/>
      </right>
      <top style="medium"/>
      <bottom>
        <color indexed="63"/>
      </bottom>
    </border>
    <border>
      <left style="medium"/>
      <right style="hair"/>
      <top style="medium"/>
      <bottom style="thin"/>
    </border>
    <border>
      <left style="hair"/>
      <right>
        <color indexed="63"/>
      </right>
      <top style="medium"/>
      <bottom style="thin"/>
    </border>
    <border>
      <left style="medium">
        <color indexed="55"/>
      </left>
      <right style="medium">
        <color indexed="55"/>
      </right>
      <top style="medium">
        <color indexed="55"/>
      </top>
      <bottom style="medium">
        <color indexed="55"/>
      </bottom>
    </border>
    <border>
      <left style="thin"/>
      <right style="medium"/>
      <top>
        <color indexed="63"/>
      </top>
      <bottom>
        <color indexed="63"/>
      </bottom>
    </border>
    <border>
      <left style="medium"/>
      <right style="medium"/>
      <top>
        <color indexed="63"/>
      </top>
      <bottom>
        <color indexed="63"/>
      </bottom>
    </border>
    <border>
      <left style="medium">
        <color indexed="54"/>
      </left>
      <right>
        <color indexed="63"/>
      </right>
      <top style="medium">
        <color indexed="54"/>
      </top>
      <bottom style="medium">
        <color indexed="54"/>
      </bottom>
    </border>
    <border>
      <left style="medium">
        <color indexed="54"/>
      </left>
      <right>
        <color indexed="63"/>
      </right>
      <top style="medium">
        <color indexed="54"/>
      </top>
      <bottom style="medium"/>
    </border>
    <border>
      <left style="medium"/>
      <right>
        <color indexed="63"/>
      </right>
      <top style="thin"/>
      <bottom style="thin"/>
    </border>
    <border>
      <left>
        <color indexed="63"/>
      </left>
      <right style="medium"/>
      <top style="thin"/>
      <bottom style="thin"/>
    </border>
    <border>
      <left style="medium">
        <color indexed="54"/>
      </left>
      <right>
        <color indexed="63"/>
      </right>
      <top style="thin">
        <color indexed="54"/>
      </top>
      <bottom style="thin">
        <color indexed="54"/>
      </bottom>
    </border>
    <border>
      <left style="medium">
        <color indexed="54"/>
      </left>
      <right>
        <color indexed="63"/>
      </right>
      <top>
        <color indexed="63"/>
      </top>
      <bottom style="thin">
        <color indexed="54"/>
      </bottom>
    </border>
    <border>
      <left>
        <color indexed="63"/>
      </left>
      <right style="thin">
        <color indexed="54"/>
      </right>
      <top>
        <color indexed="63"/>
      </top>
      <bottom style="thin">
        <color indexed="54"/>
      </bottom>
    </border>
    <border>
      <left style="medium">
        <color indexed="54"/>
      </left>
      <right>
        <color indexed="63"/>
      </right>
      <top style="medium">
        <color indexed="54"/>
      </top>
      <bottom style="thin">
        <color indexed="54"/>
      </bottom>
    </border>
    <border>
      <left>
        <color indexed="63"/>
      </left>
      <right style="thin">
        <color indexed="54"/>
      </right>
      <top style="medium">
        <color indexed="54"/>
      </top>
      <bottom style="thin">
        <color indexed="54"/>
      </bottom>
    </border>
    <border>
      <left style="thin"/>
      <right>
        <color indexed="63"/>
      </right>
      <top style="medium">
        <color indexed="54"/>
      </top>
      <bottom style="medium">
        <color indexed="54"/>
      </bottom>
    </border>
    <border>
      <left style="medium">
        <color indexed="54"/>
      </left>
      <right>
        <color indexed="63"/>
      </right>
      <top>
        <color indexed="63"/>
      </top>
      <bottom style="thin"/>
    </border>
    <border>
      <left>
        <color indexed="63"/>
      </left>
      <right style="medium">
        <color indexed="54"/>
      </right>
      <top style="thin">
        <color indexed="54"/>
      </top>
      <bottom style="thin">
        <color indexed="54"/>
      </bottom>
    </border>
    <border>
      <left style="medium">
        <color indexed="23"/>
      </left>
      <right>
        <color indexed="63"/>
      </right>
      <top>
        <color indexed="63"/>
      </top>
      <bottom>
        <color indexed="63"/>
      </bottom>
    </border>
    <border>
      <left>
        <color indexed="63"/>
      </left>
      <right style="thin">
        <color indexed="54"/>
      </right>
      <top style="medium">
        <color indexed="54"/>
      </top>
      <bottom style="medium">
        <color indexed="54"/>
      </bottom>
    </border>
    <border>
      <left style="thin"/>
      <right>
        <color indexed="63"/>
      </right>
      <top style="medium">
        <color indexed="54"/>
      </top>
      <bottom style="thin"/>
    </border>
    <border>
      <left>
        <color indexed="63"/>
      </left>
      <right>
        <color indexed="63"/>
      </right>
      <top style="medium">
        <color indexed="54"/>
      </top>
      <bottom style="thin"/>
    </border>
    <border>
      <left>
        <color indexed="63"/>
      </left>
      <right style="medium">
        <color indexed="54"/>
      </right>
      <top style="medium">
        <color indexed="54"/>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26" borderId="0" applyNumberFormat="0" applyBorder="0" applyAlignment="0" applyProtection="0"/>
    <xf numFmtId="0" fontId="119" fillId="27" borderId="1" applyNumberFormat="0" applyAlignment="0" applyProtection="0"/>
    <xf numFmtId="0" fontId="12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21" fillId="0" borderId="0" applyNumberFormat="0" applyFill="0" applyBorder="0" applyAlignment="0" applyProtection="0"/>
    <xf numFmtId="0" fontId="3" fillId="0" borderId="0" applyNumberFormat="0" applyFill="0" applyBorder="0" applyAlignment="0" applyProtection="0"/>
    <xf numFmtId="0" fontId="122" fillId="29" borderId="0" applyNumberFormat="0" applyBorder="0" applyAlignment="0" applyProtection="0"/>
    <xf numFmtId="0" fontId="123" fillId="0" borderId="3" applyNumberFormat="0" applyFill="0" applyAlignment="0" applyProtection="0"/>
    <xf numFmtId="0" fontId="124" fillId="0" borderId="4" applyNumberFormat="0" applyFill="0" applyAlignment="0" applyProtection="0"/>
    <xf numFmtId="0" fontId="125" fillId="0" borderId="5" applyNumberFormat="0" applyFill="0" applyAlignment="0" applyProtection="0"/>
    <xf numFmtId="0" fontId="12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6" fillId="30" borderId="1" applyNumberFormat="0" applyAlignment="0" applyProtection="0"/>
    <xf numFmtId="0" fontId="127" fillId="0" borderId="6" applyNumberFormat="0" applyFill="0" applyAlignment="0" applyProtection="0"/>
    <xf numFmtId="0" fontId="12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2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0" fillId="0" borderId="0" applyNumberFormat="0" applyFill="0" applyBorder="0" applyAlignment="0" applyProtection="0"/>
    <xf numFmtId="0" fontId="131" fillId="0" borderId="9" applyNumberFormat="0" applyFill="0" applyAlignment="0" applyProtection="0"/>
    <xf numFmtId="0" fontId="132" fillId="0" borderId="0" applyNumberFormat="0" applyFill="0" applyBorder="0" applyAlignment="0" applyProtection="0"/>
  </cellStyleXfs>
  <cellXfs count="1060">
    <xf numFmtId="0" fontId="0" fillId="0" borderId="0" xfId="0" applyAlignment="1">
      <alignment/>
    </xf>
    <xf numFmtId="0" fontId="6" fillId="0" borderId="0" xfId="0" applyFont="1" applyAlignment="1">
      <alignment/>
    </xf>
    <xf numFmtId="0" fontId="6" fillId="0" borderId="0" xfId="0" applyFont="1" applyBorder="1" applyAlignment="1">
      <alignment/>
    </xf>
    <xf numFmtId="0" fontId="8" fillId="0" borderId="0" xfId="0" applyFont="1" applyAlignment="1">
      <alignment/>
    </xf>
    <xf numFmtId="0" fontId="6" fillId="33" borderId="10" xfId="0" applyFont="1" applyFill="1" applyBorder="1" applyAlignment="1">
      <alignment/>
    </xf>
    <xf numFmtId="0" fontId="6" fillId="0" borderId="11" xfId="0" applyFont="1" applyBorder="1" applyAlignment="1">
      <alignment/>
    </xf>
    <xf numFmtId="0" fontId="6" fillId="0" borderId="12" xfId="0" applyFont="1" applyBorder="1" applyAlignment="1">
      <alignment/>
    </xf>
    <xf numFmtId="0" fontId="8" fillId="0" borderId="0" xfId="0" applyFont="1" applyFill="1" applyBorder="1" applyAlignment="1">
      <alignment horizontal="left" indent="2"/>
    </xf>
    <xf numFmtId="0" fontId="6" fillId="0" borderId="0" xfId="0" applyFont="1" applyFill="1" applyBorder="1" applyAlignment="1">
      <alignment/>
    </xf>
    <xf numFmtId="0" fontId="6" fillId="0" borderId="13" xfId="0" applyFont="1" applyBorder="1" applyAlignment="1">
      <alignment/>
    </xf>
    <xf numFmtId="0" fontId="10" fillId="0" borderId="0" xfId="0" applyFont="1" applyAlignment="1">
      <alignment/>
    </xf>
    <xf numFmtId="0" fontId="11" fillId="0" borderId="0" xfId="0" applyFont="1" applyAlignment="1">
      <alignment/>
    </xf>
    <xf numFmtId="0" fontId="6" fillId="34" borderId="0" xfId="0" applyFont="1" applyFill="1" applyAlignment="1">
      <alignment/>
    </xf>
    <xf numFmtId="0" fontId="6" fillId="34" borderId="0" xfId="0" applyFont="1" applyFill="1" applyBorder="1" applyAlignment="1">
      <alignment/>
    </xf>
    <xf numFmtId="0" fontId="12" fillId="0" borderId="0" xfId="0" applyFont="1" applyFill="1" applyAlignment="1">
      <alignment/>
    </xf>
    <xf numFmtId="0" fontId="6" fillId="0" borderId="0" xfId="0" applyFont="1" applyFill="1" applyAlignment="1">
      <alignment/>
    </xf>
    <xf numFmtId="0" fontId="13" fillId="0" borderId="0" xfId="0" applyFont="1" applyFill="1" applyAlignment="1">
      <alignment/>
    </xf>
    <xf numFmtId="0" fontId="13" fillId="0" borderId="0" xfId="0" applyFont="1" applyFill="1" applyBorder="1" applyAlignment="1">
      <alignment/>
    </xf>
    <xf numFmtId="0" fontId="13" fillId="35" borderId="0" xfId="0" applyFont="1" applyFill="1" applyAlignment="1">
      <alignment/>
    </xf>
    <xf numFmtId="0" fontId="13" fillId="35" borderId="0" xfId="0" applyFont="1" applyFill="1" applyBorder="1" applyAlignment="1">
      <alignment/>
    </xf>
    <xf numFmtId="0" fontId="6" fillId="0" borderId="14" xfId="0" applyFont="1" applyBorder="1" applyAlignment="1">
      <alignment/>
    </xf>
    <xf numFmtId="0" fontId="6" fillId="0" borderId="0" xfId="0" applyFont="1" applyAlignment="1">
      <alignment horizontal="right"/>
    </xf>
    <xf numFmtId="0" fontId="6" fillId="0" borderId="15" xfId="0" applyFont="1" applyBorder="1" applyAlignment="1">
      <alignment/>
    </xf>
    <xf numFmtId="6" fontId="6" fillId="0" borderId="16" xfId="0" applyNumberFormat="1" applyFont="1" applyBorder="1" applyAlignment="1">
      <alignment/>
    </xf>
    <xf numFmtId="6" fontId="8" fillId="0" borderId="16" xfId="0" applyNumberFormat="1" applyFont="1" applyBorder="1" applyAlignment="1">
      <alignment/>
    </xf>
    <xf numFmtId="9" fontId="6" fillId="0" borderId="16" xfId="0" applyNumberFormat="1" applyFont="1" applyBorder="1" applyAlignment="1">
      <alignment/>
    </xf>
    <xf numFmtId="0" fontId="8" fillId="0" borderId="15" xfId="0" applyFont="1" applyBorder="1" applyAlignment="1">
      <alignment horizontal="right"/>
    </xf>
    <xf numFmtId="0" fontId="6"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0" fontId="8" fillId="0" borderId="17" xfId="0" applyFont="1" applyFill="1" applyBorder="1" applyAlignment="1">
      <alignment/>
    </xf>
    <xf numFmtId="0" fontId="6" fillId="0" borderId="0" xfId="0" applyFont="1" applyBorder="1" applyAlignment="1">
      <alignment horizontal="left"/>
    </xf>
    <xf numFmtId="0" fontId="13" fillId="0" borderId="0" xfId="0" applyFont="1" applyAlignment="1">
      <alignment horizontal="left"/>
    </xf>
    <xf numFmtId="0" fontId="21" fillId="0" borderId="0" xfId="0" applyFont="1" applyFill="1" applyAlignment="1">
      <alignment/>
    </xf>
    <xf numFmtId="0" fontId="6" fillId="36" borderId="18" xfId="0" applyFont="1" applyFill="1" applyBorder="1" applyAlignment="1">
      <alignment wrapText="1"/>
    </xf>
    <xf numFmtId="9" fontId="6" fillId="36" borderId="18" xfId="0" applyNumberFormat="1" applyFont="1" applyFill="1" applyBorder="1" applyAlignment="1">
      <alignment wrapText="1"/>
    </xf>
    <xf numFmtId="182" fontId="6" fillId="0" borderId="13" xfId="0" applyNumberFormat="1" applyFont="1" applyFill="1" applyBorder="1" applyAlignment="1">
      <alignment/>
    </xf>
    <xf numFmtId="178" fontId="6" fillId="36" borderId="18" xfId="0" applyNumberFormat="1" applyFont="1" applyFill="1" applyBorder="1" applyAlignment="1">
      <alignment wrapText="1"/>
    </xf>
    <xf numFmtId="0" fontId="22" fillId="36" borderId="13" xfId="0" applyFont="1" applyFill="1" applyBorder="1" applyAlignment="1">
      <alignment wrapText="1"/>
    </xf>
    <xf numFmtId="0" fontId="6" fillId="36" borderId="13" xfId="0" applyFont="1" applyFill="1" applyBorder="1" applyAlignment="1">
      <alignment wrapText="1"/>
    </xf>
    <xf numFmtId="0" fontId="23" fillId="36" borderId="13" xfId="0" applyFont="1" applyFill="1" applyBorder="1" applyAlignment="1">
      <alignment wrapText="1"/>
    </xf>
    <xf numFmtId="0" fontId="8" fillId="0" borderId="0" xfId="0" applyFont="1" applyFill="1" applyAlignment="1">
      <alignment/>
    </xf>
    <xf numFmtId="8" fontId="6" fillId="0" borderId="0" xfId="0" applyNumberFormat="1" applyFont="1" applyBorder="1" applyAlignment="1">
      <alignment/>
    </xf>
    <xf numFmtId="6" fontId="6" fillId="0" borderId="0" xfId="0" applyNumberFormat="1" applyFont="1" applyBorder="1" applyAlignment="1">
      <alignment/>
    </xf>
    <xf numFmtId="178" fontId="6" fillId="0" borderId="0" xfId="0" applyNumberFormat="1" applyFont="1" applyBorder="1" applyAlignment="1">
      <alignment/>
    </xf>
    <xf numFmtId="0" fontId="18" fillId="0" borderId="0" xfId="79" applyFont="1" applyAlignment="1" applyProtection="1">
      <alignment/>
      <protection/>
    </xf>
    <xf numFmtId="3" fontId="6" fillId="0" borderId="0" xfId="0" applyNumberFormat="1" applyFont="1" applyFill="1" applyAlignment="1">
      <alignment/>
    </xf>
    <xf numFmtId="0" fontId="13" fillId="0" borderId="0" xfId="79" applyFont="1" applyFill="1" applyAlignment="1" applyProtection="1">
      <alignment/>
      <protection/>
    </xf>
    <xf numFmtId="0" fontId="18" fillId="0" borderId="0" xfId="79" applyFont="1" applyFill="1" applyAlignment="1" applyProtection="1">
      <alignment/>
      <protection/>
    </xf>
    <xf numFmtId="0" fontId="25" fillId="0" borderId="0" xfId="79" applyFont="1" applyFill="1" applyAlignment="1" applyProtection="1">
      <alignment/>
      <protection/>
    </xf>
    <xf numFmtId="6" fontId="6" fillId="0" borderId="0" xfId="0" applyNumberFormat="1" applyFont="1" applyAlignment="1">
      <alignment/>
    </xf>
    <xf numFmtId="183" fontId="6" fillId="0" borderId="0" xfId="42" applyNumberFormat="1" applyFont="1" applyAlignment="1">
      <alignment/>
    </xf>
    <xf numFmtId="0" fontId="6" fillId="0" borderId="19" xfId="0" applyFont="1" applyFill="1" applyBorder="1" applyAlignment="1">
      <alignment/>
    </xf>
    <xf numFmtId="182" fontId="6" fillId="0" borderId="0" xfId="0" applyNumberFormat="1" applyFont="1" applyAlignment="1">
      <alignment/>
    </xf>
    <xf numFmtId="0" fontId="6" fillId="0" borderId="17" xfId="0" applyFont="1" applyBorder="1" applyAlignment="1">
      <alignment/>
    </xf>
    <xf numFmtId="0" fontId="6" fillId="0" borderId="19" xfId="0" applyFont="1" applyBorder="1" applyAlignment="1">
      <alignment/>
    </xf>
    <xf numFmtId="0" fontId="6" fillId="0" borderId="17" xfId="0" applyFont="1" applyFill="1" applyBorder="1" applyAlignment="1">
      <alignment/>
    </xf>
    <xf numFmtId="0" fontId="6" fillId="0" borderId="20" xfId="0" applyFont="1" applyBorder="1" applyAlignment="1">
      <alignment/>
    </xf>
    <xf numFmtId="0" fontId="6" fillId="0" borderId="21" xfId="0" applyFont="1" applyBorder="1" applyAlignment="1">
      <alignment/>
    </xf>
    <xf numFmtId="0" fontId="17" fillId="0" borderId="0" xfId="0" applyFont="1" applyFill="1" applyBorder="1" applyAlignment="1">
      <alignment/>
    </xf>
    <xf numFmtId="0" fontId="26" fillId="0" borderId="0" xfId="0" applyFont="1" applyBorder="1" applyAlignment="1">
      <alignment/>
    </xf>
    <xf numFmtId="0" fontId="27" fillId="0" borderId="0" xfId="0" applyFont="1" applyBorder="1" applyAlignment="1">
      <alignment/>
    </xf>
    <xf numFmtId="0" fontId="6" fillId="0" borderId="22" xfId="0" applyFont="1" applyBorder="1" applyAlignment="1">
      <alignment/>
    </xf>
    <xf numFmtId="0" fontId="26" fillId="0" borderId="22" xfId="0" applyFont="1" applyBorder="1" applyAlignment="1">
      <alignment/>
    </xf>
    <xf numFmtId="0" fontId="8" fillId="0" borderId="22" xfId="0" applyFont="1" applyBorder="1" applyAlignment="1">
      <alignment/>
    </xf>
    <xf numFmtId="0" fontId="6" fillId="34" borderId="0" xfId="0" applyFont="1" applyFill="1" applyAlignment="1">
      <alignment horizontal="right"/>
    </xf>
    <xf numFmtId="0" fontId="13" fillId="35" borderId="0" xfId="0" applyFont="1" applyFill="1" applyAlignment="1">
      <alignment horizontal="right"/>
    </xf>
    <xf numFmtId="0" fontId="6" fillId="36" borderId="0" xfId="0" applyFont="1" applyFill="1" applyAlignment="1">
      <alignment horizontal="right"/>
    </xf>
    <xf numFmtId="164" fontId="6" fillId="0" borderId="0" xfId="57" applyNumberFormat="1" applyFont="1" applyAlignment="1">
      <alignment/>
    </xf>
    <xf numFmtId="171" fontId="6" fillId="0" borderId="0" xfId="0" applyNumberFormat="1" applyFont="1" applyBorder="1" applyAlignment="1">
      <alignment/>
    </xf>
    <xf numFmtId="0" fontId="30" fillId="0" borderId="0" xfId="0" applyFont="1" applyFill="1" applyAlignment="1">
      <alignment/>
    </xf>
    <xf numFmtId="0" fontId="6" fillId="33" borderId="23" xfId="0" applyFont="1" applyFill="1" applyBorder="1" applyAlignment="1">
      <alignment/>
    </xf>
    <xf numFmtId="0" fontId="6" fillId="33" borderId="24" xfId="0" applyFont="1" applyFill="1" applyBorder="1" applyAlignment="1">
      <alignment/>
    </xf>
    <xf numFmtId="164" fontId="6" fillId="0" borderId="0" xfId="0" applyNumberFormat="1" applyFont="1" applyAlignment="1">
      <alignment/>
    </xf>
    <xf numFmtId="164" fontId="6" fillId="0" borderId="25" xfId="57" applyNumberFormat="1" applyFont="1" applyBorder="1" applyAlignment="1">
      <alignment/>
    </xf>
    <xf numFmtId="164" fontId="15" fillId="0" borderId="0" xfId="0" applyNumberFormat="1" applyFont="1" applyAlignment="1">
      <alignment/>
    </xf>
    <xf numFmtId="0" fontId="6" fillId="0" borderId="26" xfId="0" applyFont="1" applyFill="1" applyBorder="1" applyAlignment="1">
      <alignment/>
    </xf>
    <xf numFmtId="0" fontId="0" fillId="0" borderId="0" xfId="0"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3" fontId="33" fillId="0" borderId="0" xfId="0" applyNumberFormat="1" applyFont="1" applyBorder="1" applyAlignment="1">
      <alignment horizontal="center" vertical="top" wrapText="1"/>
    </xf>
    <xf numFmtId="0" fontId="6" fillId="0" borderId="0" xfId="0" applyFont="1" applyFill="1" applyAlignment="1">
      <alignment wrapText="1"/>
    </xf>
    <xf numFmtId="0" fontId="31" fillId="0" borderId="27" xfId="0" applyFont="1" applyFill="1" applyBorder="1" applyAlignment="1">
      <alignment/>
    </xf>
    <xf numFmtId="0" fontId="6" fillId="0" borderId="28" xfId="0" applyFont="1" applyFill="1" applyBorder="1" applyAlignment="1">
      <alignment/>
    </xf>
    <xf numFmtId="0" fontId="0" fillId="0" borderId="0" xfId="0" applyAlignment="1">
      <alignment horizontal="center"/>
    </xf>
    <xf numFmtId="0" fontId="2" fillId="0" borderId="0" xfId="79"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6" fillId="34" borderId="0" xfId="0" applyFont="1" applyFill="1" applyAlignment="1" applyProtection="1">
      <alignment/>
      <protection/>
    </xf>
    <xf numFmtId="0" fontId="13" fillId="35" borderId="0" xfId="0" applyFont="1" applyFill="1" applyAlignment="1" applyProtection="1">
      <alignment/>
      <protection/>
    </xf>
    <xf numFmtId="0" fontId="13" fillId="0" borderId="0" xfId="0" applyFont="1" applyFill="1" applyAlignment="1" applyProtection="1">
      <alignment/>
      <protection/>
    </xf>
    <xf numFmtId="0" fontId="13" fillId="0" borderId="0" xfId="0" applyFont="1" applyFill="1" applyBorder="1" applyAlignment="1" applyProtection="1">
      <alignment/>
      <protection/>
    </xf>
    <xf numFmtId="0" fontId="12" fillId="0" borderId="0" xfId="0" applyFont="1" applyFill="1" applyAlignment="1" applyProtection="1">
      <alignment/>
      <protection/>
    </xf>
    <xf numFmtId="0" fontId="40" fillId="0" borderId="0" xfId="0" applyFont="1" applyAlignment="1" applyProtection="1">
      <alignment horizontal="center" vertical="center" wrapText="1"/>
      <protection/>
    </xf>
    <xf numFmtId="0" fontId="40" fillId="0" borderId="0" xfId="0" applyFont="1" applyAlignment="1" applyProtection="1">
      <alignment horizontal="center" vertical="center"/>
      <protection/>
    </xf>
    <xf numFmtId="0" fontId="6" fillId="0" borderId="29" xfId="0" applyFont="1" applyBorder="1" applyAlignment="1" applyProtection="1">
      <alignment/>
      <protection/>
    </xf>
    <xf numFmtId="0" fontId="6" fillId="0" borderId="30" xfId="0" applyFont="1" applyBorder="1" applyAlignment="1" applyProtection="1">
      <alignment/>
      <protection/>
    </xf>
    <xf numFmtId="0" fontId="6" fillId="0" borderId="0" xfId="0" applyFont="1" applyBorder="1" applyAlignment="1" applyProtection="1">
      <alignment/>
      <protection/>
    </xf>
    <xf numFmtId="3" fontId="37" fillId="0" borderId="31" xfId="0" applyNumberFormat="1" applyFont="1" applyFill="1" applyBorder="1" applyAlignment="1" applyProtection="1">
      <alignment horizontal="center"/>
      <protection/>
    </xf>
    <xf numFmtId="0" fontId="0" fillId="0" borderId="29" xfId="0" applyFont="1" applyBorder="1" applyAlignment="1" applyProtection="1">
      <alignment/>
      <protection/>
    </xf>
    <xf numFmtId="0" fontId="36" fillId="0" borderId="0" xfId="0" applyFont="1" applyBorder="1" applyAlignment="1" applyProtection="1">
      <alignment horizontal="left"/>
      <protection/>
    </xf>
    <xf numFmtId="0" fontId="34" fillId="0" borderId="0" xfId="0" applyFont="1" applyFill="1" applyAlignment="1" applyProtection="1">
      <alignment vertical="center" wrapText="1"/>
      <protection/>
    </xf>
    <xf numFmtId="0" fontId="40" fillId="0" borderId="0" xfId="0" applyFont="1" applyAlignment="1" applyProtection="1">
      <alignment vertical="center" wrapText="1"/>
      <protection/>
    </xf>
    <xf numFmtId="0" fontId="37" fillId="0" borderId="32" xfId="0" applyFont="1" applyFill="1" applyBorder="1" applyAlignment="1" applyProtection="1">
      <alignment horizontal="left"/>
      <protection/>
    </xf>
    <xf numFmtId="0" fontId="37" fillId="0" borderId="33" xfId="0" applyFont="1" applyFill="1" applyBorder="1" applyAlignment="1" applyProtection="1">
      <alignment horizontal="center"/>
      <protection/>
    </xf>
    <xf numFmtId="0" fontId="37" fillId="0" borderId="34" xfId="0" applyFont="1" applyFill="1" applyBorder="1" applyAlignment="1" applyProtection="1">
      <alignment horizontal="center"/>
      <protection/>
    </xf>
    <xf numFmtId="0" fontId="37" fillId="0" borderId="0" xfId="0" applyFont="1" applyFill="1" applyBorder="1" applyAlignment="1" applyProtection="1">
      <alignment horizontal="left"/>
      <protection/>
    </xf>
    <xf numFmtId="0" fontId="37" fillId="0" borderId="35" xfId="0" applyNumberFormat="1" applyFont="1" applyFill="1" applyBorder="1" applyAlignment="1" applyProtection="1">
      <alignment horizontal="center"/>
      <protection/>
    </xf>
    <xf numFmtId="0" fontId="37" fillId="0" borderId="0" xfId="0" applyNumberFormat="1" applyFont="1" applyFill="1" applyBorder="1" applyAlignment="1" applyProtection="1">
      <alignment horizontal="center"/>
      <protection/>
    </xf>
    <xf numFmtId="0" fontId="36" fillId="0" borderId="36" xfId="0" applyFont="1" applyFill="1" applyBorder="1" applyAlignment="1" applyProtection="1">
      <alignment vertical="center" wrapText="1"/>
      <protection/>
    </xf>
    <xf numFmtId="0" fontId="0" fillId="0" borderId="0" xfId="0" applyAlignment="1" applyProtection="1">
      <alignment/>
      <protection/>
    </xf>
    <xf numFmtId="0" fontId="0" fillId="0" borderId="0" xfId="0" applyFill="1" applyAlignment="1" applyProtection="1">
      <alignment/>
      <protection/>
    </xf>
    <xf numFmtId="3" fontId="37" fillId="37" borderId="31" xfId="0" applyNumberFormat="1" applyFont="1" applyFill="1" applyBorder="1" applyAlignment="1" applyProtection="1">
      <alignment horizontal="center"/>
      <protection locked="0"/>
    </xf>
    <xf numFmtId="0" fontId="37" fillId="37" borderId="31" xfId="0" applyNumberFormat="1" applyFont="1" applyFill="1" applyBorder="1" applyAlignment="1" applyProtection="1">
      <alignment horizontal="center"/>
      <protection locked="0"/>
    </xf>
    <xf numFmtId="9" fontId="37" fillId="37" borderId="31" xfId="0" applyNumberFormat="1" applyFont="1" applyFill="1" applyBorder="1" applyAlignment="1" applyProtection="1">
      <alignment horizontal="center"/>
      <protection locked="0"/>
    </xf>
    <xf numFmtId="0" fontId="37" fillId="37" borderId="37" xfId="0" applyNumberFormat="1" applyFont="1" applyFill="1" applyBorder="1" applyAlignment="1" applyProtection="1">
      <alignment horizontal="center"/>
      <protection locked="0"/>
    </xf>
    <xf numFmtId="0" fontId="37" fillId="37" borderId="38" xfId="0" applyNumberFormat="1" applyFont="1" applyFill="1" applyBorder="1" applyAlignment="1" applyProtection="1">
      <alignment horizontal="center"/>
      <protection locked="0"/>
    </xf>
    <xf numFmtId="171" fontId="36" fillId="37" borderId="31" xfId="0" applyNumberFormat="1" applyFont="1" applyFill="1" applyBorder="1" applyAlignment="1" applyProtection="1">
      <alignment vertical="center"/>
      <protection locked="0"/>
    </xf>
    <xf numFmtId="0" fontId="36" fillId="37" borderId="31" xfId="0" applyFont="1" applyFill="1" applyBorder="1" applyAlignment="1" applyProtection="1">
      <alignment vertical="center" wrapText="1"/>
      <protection locked="0"/>
    </xf>
    <xf numFmtId="171" fontId="37" fillId="37" borderId="31" xfId="0" applyNumberFormat="1" applyFont="1" applyFill="1" applyBorder="1" applyAlignment="1" applyProtection="1">
      <alignment horizontal="center"/>
      <protection locked="0"/>
    </xf>
    <xf numFmtId="3" fontId="6" fillId="38" borderId="18" xfId="0" applyNumberFormat="1" applyFont="1" applyFill="1" applyBorder="1" applyAlignment="1">
      <alignment horizontal="center" wrapText="1"/>
    </xf>
    <xf numFmtId="0" fontId="0" fillId="0" borderId="13" xfId="0" applyBorder="1" applyAlignment="1">
      <alignment/>
    </xf>
    <xf numFmtId="0" fontId="19" fillId="0" borderId="0" xfId="0" applyFont="1" applyAlignment="1" applyProtection="1">
      <alignment/>
      <protection/>
    </xf>
    <xf numFmtId="0" fontId="24" fillId="0" borderId="0" xfId="0" applyFont="1" applyFill="1" applyAlignment="1" applyProtection="1">
      <alignment/>
      <protection/>
    </xf>
    <xf numFmtId="0" fontId="44" fillId="0" borderId="0" xfId="0" applyFont="1" applyAlignment="1">
      <alignment horizontal="left"/>
    </xf>
    <xf numFmtId="2" fontId="0" fillId="0" borderId="39" xfId="0" applyNumberFormat="1" applyFill="1" applyBorder="1" applyAlignment="1">
      <alignment/>
    </xf>
    <xf numFmtId="2" fontId="0" fillId="0" borderId="0" xfId="0" applyNumberFormat="1" applyAlignment="1">
      <alignment/>
    </xf>
    <xf numFmtId="0" fontId="6" fillId="0" borderId="40" xfId="0" applyFont="1" applyFill="1" applyBorder="1" applyAlignment="1">
      <alignment/>
    </xf>
    <xf numFmtId="2" fontId="0" fillId="0" borderId="41" xfId="0" applyNumberFormat="1" applyFill="1" applyBorder="1" applyAlignment="1">
      <alignment/>
    </xf>
    <xf numFmtId="0" fontId="6" fillId="0" borderId="27" xfId="0" applyFont="1" applyFill="1" applyBorder="1" applyAlignment="1">
      <alignment/>
    </xf>
    <xf numFmtId="178" fontId="0" fillId="0" borderId="39" xfId="0" applyNumberFormat="1" applyFont="1" applyFill="1" applyBorder="1" applyAlignment="1">
      <alignment/>
    </xf>
    <xf numFmtId="178" fontId="0" fillId="0" borderId="42" xfId="0" applyNumberFormat="1" applyFont="1" applyFill="1" applyBorder="1" applyAlignment="1">
      <alignment/>
    </xf>
    <xf numFmtId="0" fontId="45" fillId="0" borderId="0" xfId="0" applyFont="1" applyAlignment="1">
      <alignment/>
    </xf>
    <xf numFmtId="0" fontId="0" fillId="0" borderId="43" xfId="0" applyBorder="1" applyAlignment="1">
      <alignment wrapText="1"/>
    </xf>
    <xf numFmtId="0" fontId="0" fillId="0" borderId="26" xfId="0" applyBorder="1" applyAlignment="1">
      <alignment wrapText="1"/>
    </xf>
    <xf numFmtId="0" fontId="45" fillId="0" borderId="0" xfId="0" applyFont="1" applyAlignment="1">
      <alignment/>
    </xf>
    <xf numFmtId="4" fontId="0" fillId="0" borderId="0" xfId="0" applyNumberFormat="1" applyAlignment="1">
      <alignment/>
    </xf>
    <xf numFmtId="9" fontId="6" fillId="0" borderId="13" xfId="93" applyFont="1" applyBorder="1" applyAlignment="1">
      <alignment/>
    </xf>
    <xf numFmtId="182" fontId="6" fillId="0" borderId="44" xfId="0" applyNumberFormat="1" applyFont="1" applyFill="1" applyBorder="1" applyAlignment="1">
      <alignment/>
    </xf>
    <xf numFmtId="182" fontId="6" fillId="0" borderId="18" xfId="0" applyNumberFormat="1" applyFont="1" applyFill="1" applyBorder="1" applyAlignment="1">
      <alignment/>
    </xf>
    <xf numFmtId="9" fontId="6" fillId="0" borderId="45" xfId="93" applyFont="1" applyFill="1" applyBorder="1" applyAlignment="1">
      <alignment/>
    </xf>
    <xf numFmtId="182" fontId="6" fillId="0" borderId="45" xfId="0" applyNumberFormat="1" applyFont="1" applyFill="1" applyBorder="1" applyAlignment="1">
      <alignment/>
    </xf>
    <xf numFmtId="4" fontId="6" fillId="0" borderId="44" xfId="0" applyNumberFormat="1" applyFont="1" applyFill="1" applyBorder="1" applyAlignment="1">
      <alignment/>
    </xf>
    <xf numFmtId="0" fontId="6" fillId="0" borderId="46" xfId="0" applyFont="1" applyBorder="1" applyAlignment="1">
      <alignment/>
    </xf>
    <xf numFmtId="0" fontId="38" fillId="0" borderId="0" xfId="0" applyFont="1" applyFill="1" applyBorder="1" applyAlignment="1" applyProtection="1">
      <alignment/>
      <protection/>
    </xf>
    <xf numFmtId="2" fontId="0" fillId="0" borderId="47" xfId="0" applyNumberFormat="1" applyFill="1" applyBorder="1" applyAlignment="1">
      <alignment/>
    </xf>
    <xf numFmtId="0" fontId="0" fillId="0" borderId="0" xfId="0" applyFill="1" applyAlignment="1">
      <alignment/>
    </xf>
    <xf numFmtId="2" fontId="0" fillId="0" borderId="0" xfId="0" applyNumberFormat="1" applyFill="1" applyBorder="1" applyAlignment="1">
      <alignment/>
    </xf>
    <xf numFmtId="2" fontId="0" fillId="0" borderId="42" xfId="0" applyNumberFormat="1" applyFill="1" applyBorder="1" applyAlignment="1">
      <alignment/>
    </xf>
    <xf numFmtId="0" fontId="0" fillId="39" borderId="0" xfId="0" applyFill="1" applyBorder="1" applyAlignment="1">
      <alignment wrapText="1"/>
    </xf>
    <xf numFmtId="0" fontId="0" fillId="39" borderId="0" xfId="0" applyFill="1" applyBorder="1" applyAlignment="1">
      <alignment/>
    </xf>
    <xf numFmtId="0" fontId="0" fillId="39" borderId="0" xfId="0" applyFill="1" applyAlignment="1">
      <alignment/>
    </xf>
    <xf numFmtId="0" fontId="0" fillId="0" borderId="26" xfId="0" applyBorder="1" applyAlignment="1">
      <alignment/>
    </xf>
    <xf numFmtId="0" fontId="0" fillId="0" borderId="28" xfId="0" applyBorder="1" applyAlignment="1">
      <alignment/>
    </xf>
    <xf numFmtId="178" fontId="0" fillId="0" borderId="0" xfId="0" applyNumberFormat="1" applyFont="1" applyFill="1" applyBorder="1" applyAlignment="1">
      <alignment/>
    </xf>
    <xf numFmtId="0" fontId="0" fillId="0" borderId="28" xfId="0" applyBorder="1" applyAlignment="1">
      <alignment wrapText="1"/>
    </xf>
    <xf numFmtId="0" fontId="0" fillId="0" borderId="45" xfId="0" applyBorder="1" applyAlignment="1">
      <alignment/>
    </xf>
    <xf numFmtId="4" fontId="6" fillId="38" borderId="13" xfId="0" applyNumberFormat="1" applyFont="1" applyFill="1" applyBorder="1" applyAlignment="1">
      <alignment/>
    </xf>
    <xf numFmtId="193" fontId="6" fillId="38" borderId="13" xfId="0" applyNumberFormat="1" applyFont="1" applyFill="1" applyBorder="1" applyAlignment="1">
      <alignment/>
    </xf>
    <xf numFmtId="0" fontId="6" fillId="0" borderId="48" xfId="0" applyFont="1" applyFill="1" applyBorder="1" applyAlignment="1">
      <alignment/>
    </xf>
    <xf numFmtId="2" fontId="6" fillId="38" borderId="49" xfId="0" applyNumberFormat="1" applyFont="1" applyFill="1" applyBorder="1" applyAlignment="1">
      <alignment horizontal="right" wrapText="1"/>
    </xf>
    <xf numFmtId="9" fontId="6" fillId="0" borderId="49" xfId="93" applyFont="1" applyFill="1" applyBorder="1" applyAlignment="1">
      <alignment/>
    </xf>
    <xf numFmtId="182" fontId="6" fillId="0" borderId="49" xfId="0" applyNumberFormat="1" applyFont="1" applyFill="1" applyBorder="1" applyAlignment="1">
      <alignment/>
    </xf>
    <xf numFmtId="0" fontId="6" fillId="0" borderId="44" xfId="0" applyFont="1" applyFill="1" applyBorder="1" applyAlignment="1">
      <alignment/>
    </xf>
    <xf numFmtId="2" fontId="6" fillId="0" borderId="44" xfId="0" applyNumberFormat="1" applyFont="1" applyFill="1" applyBorder="1" applyAlignment="1">
      <alignment horizontal="right" wrapText="1"/>
    </xf>
    <xf numFmtId="9" fontId="6" fillId="0" borderId="44" xfId="93" applyFont="1" applyFill="1" applyBorder="1" applyAlignment="1">
      <alignment/>
    </xf>
    <xf numFmtId="169" fontId="6" fillId="0" borderId="44" xfId="93" applyNumberFormat="1" applyFont="1" applyFill="1" applyBorder="1" applyAlignment="1">
      <alignment/>
    </xf>
    <xf numFmtId="4" fontId="6" fillId="38" borderId="18" xfId="0" applyNumberFormat="1" applyFont="1" applyFill="1" applyBorder="1" applyAlignment="1">
      <alignment/>
    </xf>
    <xf numFmtId="193" fontId="6" fillId="38" borderId="45" xfId="0" applyNumberFormat="1" applyFont="1" applyFill="1" applyBorder="1" applyAlignment="1">
      <alignment/>
    </xf>
    <xf numFmtId="9" fontId="6" fillId="0" borderId="44" xfId="93" applyFont="1" applyBorder="1" applyAlignment="1">
      <alignment/>
    </xf>
    <xf numFmtId="4" fontId="6" fillId="38" borderId="45" xfId="0" applyNumberFormat="1" applyFont="1" applyFill="1" applyBorder="1" applyAlignment="1">
      <alignment/>
    </xf>
    <xf numFmtId="10" fontId="46" fillId="0" borderId="50" xfId="0" applyNumberFormat="1" applyFont="1" applyBorder="1" applyAlignment="1">
      <alignment/>
    </xf>
    <xf numFmtId="10" fontId="46" fillId="0" borderId="51" xfId="0" applyNumberFormat="1" applyFont="1" applyBorder="1" applyAlignment="1">
      <alignment/>
    </xf>
    <xf numFmtId="0" fontId="45" fillId="0" borderId="0" xfId="0" applyFont="1" applyFill="1" applyBorder="1" applyAlignment="1">
      <alignment/>
    </xf>
    <xf numFmtId="0" fontId="31" fillId="0" borderId="47" xfId="0" applyFont="1" applyFill="1" applyBorder="1" applyAlignment="1">
      <alignment wrapText="1"/>
    </xf>
    <xf numFmtId="0" fontId="31" fillId="0" borderId="52" xfId="0" applyFont="1" applyBorder="1" applyAlignment="1">
      <alignment/>
    </xf>
    <xf numFmtId="4" fontId="0" fillId="0" borderId="0" xfId="0" applyNumberFormat="1" applyBorder="1" applyAlignment="1">
      <alignment/>
    </xf>
    <xf numFmtId="0" fontId="36" fillId="0" borderId="53" xfId="0" applyFont="1" applyFill="1" applyBorder="1" applyAlignment="1" applyProtection="1">
      <alignment horizontal="left" vertical="center" wrapText="1"/>
      <protection/>
    </xf>
    <xf numFmtId="4" fontId="8" fillId="38" borderId="54" xfId="0" applyNumberFormat="1" applyFont="1" applyFill="1" applyBorder="1" applyAlignment="1">
      <alignment/>
    </xf>
    <xf numFmtId="0" fontId="6" fillId="0" borderId="52" xfId="0" applyFont="1" applyBorder="1" applyAlignment="1">
      <alignment/>
    </xf>
    <xf numFmtId="0" fontId="6" fillId="0" borderId="19" xfId="0" applyFont="1" applyBorder="1" applyAlignment="1">
      <alignment horizontal="right"/>
    </xf>
    <xf numFmtId="178" fontId="6" fillId="0" borderId="14" xfId="0" applyNumberFormat="1" applyFont="1" applyBorder="1" applyAlignment="1">
      <alignment/>
    </xf>
    <xf numFmtId="0" fontId="8" fillId="0" borderId="55" xfId="0" applyFont="1" applyBorder="1" applyAlignment="1">
      <alignment/>
    </xf>
    <xf numFmtId="0" fontId="8" fillId="0" borderId="0" xfId="0" applyFont="1" applyBorder="1" applyAlignment="1">
      <alignment/>
    </xf>
    <xf numFmtId="0" fontId="8" fillId="0" borderId="0" xfId="0" applyFont="1" applyBorder="1" applyAlignment="1">
      <alignment horizontal="right"/>
    </xf>
    <xf numFmtId="0" fontId="47" fillId="0" borderId="0" xfId="0" applyFont="1" applyAlignment="1">
      <alignment/>
    </xf>
    <xf numFmtId="182" fontId="6" fillId="0" borderId="15" xfId="0" applyNumberFormat="1" applyFont="1" applyFill="1" applyBorder="1" applyAlignment="1">
      <alignment/>
    </xf>
    <xf numFmtId="2" fontId="6" fillId="0" borderId="0" xfId="0" applyNumberFormat="1" applyFont="1" applyFill="1" applyBorder="1" applyAlignment="1">
      <alignment horizontal="right" wrapText="1"/>
    </xf>
    <xf numFmtId="9" fontId="6" fillId="0" borderId="0" xfId="93" applyFont="1" applyFill="1" applyBorder="1" applyAlignment="1">
      <alignment/>
    </xf>
    <xf numFmtId="169" fontId="6" fillId="0" borderId="0" xfId="93" applyNumberFormat="1" applyFont="1" applyFill="1" applyBorder="1" applyAlignment="1">
      <alignment/>
    </xf>
    <xf numFmtId="182" fontId="6" fillId="0" borderId="0" xfId="0" applyNumberFormat="1" applyFont="1" applyFill="1" applyBorder="1" applyAlignment="1">
      <alignment/>
    </xf>
    <xf numFmtId="0" fontId="38" fillId="0" borderId="56" xfId="0" applyFont="1" applyBorder="1" applyAlignment="1" applyProtection="1">
      <alignment/>
      <protection/>
    </xf>
    <xf numFmtId="0" fontId="6" fillId="0" borderId="57" xfId="0" applyFont="1" applyBorder="1" applyAlignment="1" applyProtection="1">
      <alignment/>
      <protection/>
    </xf>
    <xf numFmtId="0" fontId="6" fillId="0" borderId="58" xfId="0" applyFont="1" applyFill="1" applyBorder="1" applyAlignment="1" applyProtection="1">
      <alignment/>
      <protection/>
    </xf>
    <xf numFmtId="0" fontId="6" fillId="0" borderId="16" xfId="0" applyFont="1" applyFill="1" applyBorder="1" applyAlignment="1" applyProtection="1">
      <alignment/>
      <protection/>
    </xf>
    <xf numFmtId="0" fontId="6" fillId="0" borderId="25" xfId="0" applyFont="1" applyBorder="1" applyAlignment="1" applyProtection="1">
      <alignment/>
      <protection/>
    </xf>
    <xf numFmtId="0" fontId="6" fillId="0" borderId="59" xfId="0" applyFont="1" applyFill="1" applyBorder="1" applyAlignment="1" applyProtection="1">
      <alignment/>
      <protection/>
    </xf>
    <xf numFmtId="0" fontId="0" fillId="0" borderId="0" xfId="0" applyFont="1" applyAlignment="1">
      <alignment/>
    </xf>
    <xf numFmtId="0" fontId="38" fillId="0" borderId="56" xfId="0" applyFont="1" applyFill="1" applyBorder="1" applyAlignment="1" applyProtection="1">
      <alignment/>
      <protection/>
    </xf>
    <xf numFmtId="0" fontId="38" fillId="0" borderId="15" xfId="0" applyFont="1" applyFill="1" applyBorder="1" applyAlignment="1" applyProtection="1">
      <alignment/>
      <protection/>
    </xf>
    <xf numFmtId="0" fontId="39" fillId="0" borderId="15" xfId="0" applyFont="1" applyBorder="1" applyAlignment="1" applyProtection="1">
      <alignment horizontal="left" indent="2"/>
      <protection/>
    </xf>
    <xf numFmtId="9" fontId="6" fillId="0" borderId="0" xfId="93" applyFont="1" applyBorder="1" applyAlignment="1">
      <alignment/>
    </xf>
    <xf numFmtId="0" fontId="6" fillId="0" borderId="60" xfId="0" applyFont="1" applyBorder="1" applyAlignment="1">
      <alignment/>
    </xf>
    <xf numFmtId="0" fontId="6" fillId="0" borderId="61" xfId="0" applyFont="1" applyBorder="1" applyAlignment="1">
      <alignment/>
    </xf>
    <xf numFmtId="182" fontId="6" fillId="0" borderId="62" xfId="0" applyNumberFormat="1" applyFont="1" applyFill="1" applyBorder="1" applyAlignment="1">
      <alignment/>
    </xf>
    <xf numFmtId="182" fontId="6" fillId="0" borderId="63" xfId="0" applyNumberFormat="1" applyFont="1" applyFill="1" applyBorder="1" applyAlignment="1">
      <alignment/>
    </xf>
    <xf numFmtId="182" fontId="6" fillId="0" borderId="23" xfId="0" applyNumberFormat="1" applyFont="1" applyFill="1" applyBorder="1" applyAlignment="1">
      <alignment/>
    </xf>
    <xf numFmtId="182" fontId="6" fillId="0" borderId="64" xfId="0" applyNumberFormat="1" applyFont="1" applyFill="1" applyBorder="1" applyAlignment="1">
      <alignment/>
    </xf>
    <xf numFmtId="0" fontId="13" fillId="0" borderId="13" xfId="79" applyFont="1" applyFill="1" applyBorder="1" applyAlignment="1" applyProtection="1">
      <alignment horizontal="center"/>
      <protection/>
    </xf>
    <xf numFmtId="0" fontId="6" fillId="0" borderId="60" xfId="0" applyFont="1" applyFill="1" applyBorder="1" applyAlignment="1">
      <alignment/>
    </xf>
    <xf numFmtId="6" fontId="27" fillId="36" borderId="0" xfId="0" applyNumberFormat="1" applyFont="1" applyFill="1" applyBorder="1" applyAlignment="1">
      <alignment horizontal="right"/>
    </xf>
    <xf numFmtId="0" fontId="6" fillId="0" borderId="57" xfId="0" applyFont="1" applyBorder="1" applyAlignment="1">
      <alignment/>
    </xf>
    <xf numFmtId="0" fontId="6" fillId="0" borderId="25" xfId="0" applyFont="1" applyBorder="1" applyAlignment="1">
      <alignment/>
    </xf>
    <xf numFmtId="171" fontId="6" fillId="33" borderId="65" xfId="0" applyNumberFormat="1" applyFont="1" applyFill="1" applyBorder="1" applyAlignment="1">
      <alignment/>
    </xf>
    <xf numFmtId="0" fontId="6" fillId="0" borderId="20" xfId="0" applyFont="1" applyFill="1" applyBorder="1" applyAlignment="1">
      <alignment/>
    </xf>
    <xf numFmtId="0" fontId="6" fillId="0" borderId="0" xfId="0" applyFont="1" applyFill="1" applyBorder="1" applyAlignment="1">
      <alignment horizontal="left"/>
    </xf>
    <xf numFmtId="0" fontId="51" fillId="0" borderId="0" xfId="0" applyFont="1" applyAlignment="1" applyProtection="1">
      <alignment/>
      <protection/>
    </xf>
    <xf numFmtId="0" fontId="52" fillId="0" borderId="0" xfId="0" applyFont="1" applyAlignment="1" applyProtection="1">
      <alignment/>
      <protection/>
    </xf>
    <xf numFmtId="0" fontId="51" fillId="0" borderId="0" xfId="0" applyFont="1" applyFill="1" applyAlignment="1" applyProtection="1">
      <alignment/>
      <protection/>
    </xf>
    <xf numFmtId="0" fontId="8" fillId="0" borderId="0" xfId="0" applyFont="1" applyFill="1" applyBorder="1" applyAlignment="1">
      <alignment horizontal="left" indent="1"/>
    </xf>
    <xf numFmtId="0" fontId="8" fillId="0" borderId="0" xfId="0" applyFont="1" applyFill="1" applyBorder="1" applyAlignment="1">
      <alignment horizontal="left" indent="6"/>
    </xf>
    <xf numFmtId="0" fontId="7" fillId="0" borderId="0" xfId="0" applyFont="1" applyFill="1" applyBorder="1" applyAlignment="1">
      <alignment/>
    </xf>
    <xf numFmtId="0" fontId="9" fillId="0" borderId="0" xfId="0" applyFont="1" applyFill="1" applyBorder="1" applyAlignment="1">
      <alignment horizontal="left" indent="1"/>
    </xf>
    <xf numFmtId="0" fontId="9" fillId="0" borderId="0" xfId="0" applyFont="1" applyFill="1" applyBorder="1" applyAlignment="1">
      <alignment horizontal="left" indent="2"/>
    </xf>
    <xf numFmtId="0" fontId="8" fillId="0" borderId="0" xfId="0" applyNumberFormat="1" applyFont="1" applyFill="1" applyBorder="1" applyAlignment="1">
      <alignment horizontal="left" indent="2"/>
    </xf>
    <xf numFmtId="0" fontId="53" fillId="0" borderId="0" xfId="0" applyFont="1" applyAlignment="1">
      <alignment vertical="top" wrapText="1"/>
    </xf>
    <xf numFmtId="0" fontId="55" fillId="0" borderId="0" xfId="0" applyFont="1" applyAlignment="1">
      <alignment/>
    </xf>
    <xf numFmtId="0" fontId="12" fillId="0" borderId="0" xfId="0" applyFont="1" applyFill="1" applyBorder="1" applyAlignment="1" applyProtection="1">
      <alignment/>
      <protection/>
    </xf>
    <xf numFmtId="0" fontId="39" fillId="0" borderId="0" xfId="0" applyFont="1" applyBorder="1" applyAlignment="1" applyProtection="1">
      <alignment/>
      <protection/>
    </xf>
    <xf numFmtId="0" fontId="38" fillId="0" borderId="0" xfId="0" applyFont="1" applyBorder="1" applyAlignment="1" applyProtection="1">
      <alignment/>
      <protection/>
    </xf>
    <xf numFmtId="0" fontId="52" fillId="0" borderId="0" xfId="0" applyFont="1" applyAlignment="1" applyProtection="1">
      <alignment horizontal="left"/>
      <protection/>
    </xf>
    <xf numFmtId="0" fontId="36" fillId="37" borderId="66" xfId="0" applyFont="1" applyFill="1" applyBorder="1" applyAlignment="1" applyProtection="1">
      <alignment vertical="center" wrapText="1"/>
      <protection locked="0"/>
    </xf>
    <xf numFmtId="0" fontId="36" fillId="0" borderId="67" xfId="0" applyFont="1" applyFill="1" applyBorder="1" applyAlignment="1" applyProtection="1">
      <alignment vertical="center" wrapText="1"/>
      <protection/>
    </xf>
    <xf numFmtId="0" fontId="36" fillId="37" borderId="38" xfId="0" applyFont="1" applyFill="1" applyBorder="1" applyAlignment="1" applyProtection="1">
      <alignment vertical="center" wrapText="1"/>
      <protection locked="0"/>
    </xf>
    <xf numFmtId="0" fontId="51" fillId="0" borderId="0" xfId="0" applyFont="1" applyAlignment="1" applyProtection="1">
      <alignment horizontal="left"/>
      <protection/>
    </xf>
    <xf numFmtId="2" fontId="6" fillId="0" borderId="17" xfId="0" applyNumberFormat="1" applyFont="1" applyFill="1" applyBorder="1" applyAlignment="1">
      <alignment/>
    </xf>
    <xf numFmtId="9" fontId="6" fillId="37" borderId="18" xfId="0" applyNumberFormat="1" applyFont="1" applyFill="1" applyBorder="1" applyAlignment="1">
      <alignment wrapText="1"/>
    </xf>
    <xf numFmtId="169" fontId="6" fillId="37" borderId="49" xfId="93" applyNumberFormat="1" applyFont="1" applyFill="1" applyBorder="1" applyAlignment="1">
      <alignment/>
    </xf>
    <xf numFmtId="169" fontId="6" fillId="37" borderId="18" xfId="93" applyNumberFormat="1" applyFont="1" applyFill="1" applyBorder="1" applyAlignment="1">
      <alignment/>
    </xf>
    <xf numFmtId="169" fontId="6" fillId="37" borderId="13" xfId="93" applyNumberFormat="1" applyFont="1" applyFill="1" applyBorder="1" applyAlignment="1">
      <alignment/>
    </xf>
    <xf numFmtId="169" fontId="6" fillId="37" borderId="45" xfId="93" applyNumberFormat="1" applyFont="1" applyFill="1" applyBorder="1" applyAlignment="1">
      <alignment/>
    </xf>
    <xf numFmtId="0" fontId="8" fillId="0" borderId="68" xfId="0" applyFont="1" applyFill="1" applyBorder="1" applyAlignment="1">
      <alignment horizontal="center"/>
    </xf>
    <xf numFmtId="0" fontId="8" fillId="0" borderId="68" xfId="0" applyFont="1" applyFill="1" applyBorder="1" applyAlignment="1">
      <alignment horizontal="center" wrapText="1"/>
    </xf>
    <xf numFmtId="2" fontId="6" fillId="0" borderId="24" xfId="0" applyNumberFormat="1" applyFont="1" applyBorder="1" applyAlignment="1">
      <alignment horizontal="center"/>
    </xf>
    <xf numFmtId="0" fontId="6" fillId="0" borderId="0" xfId="0" applyFont="1" applyAlignment="1">
      <alignment/>
    </xf>
    <xf numFmtId="0" fontId="6" fillId="36" borderId="52" xfId="0" applyFont="1" applyFill="1" applyBorder="1" applyAlignment="1">
      <alignment vertical="top" wrapText="1"/>
    </xf>
    <xf numFmtId="0" fontId="6" fillId="36" borderId="52" xfId="0" applyFont="1" applyFill="1" applyBorder="1" applyAlignment="1">
      <alignment horizontal="center" vertical="top" wrapText="1"/>
    </xf>
    <xf numFmtId="0" fontId="6" fillId="0" borderId="52" xfId="0" applyFont="1" applyBorder="1" applyAlignment="1">
      <alignment horizontal="center" vertical="top" wrapText="1"/>
    </xf>
    <xf numFmtId="0" fontId="6" fillId="0" borderId="24" xfId="0" applyFont="1" applyFill="1" applyBorder="1" applyAlignment="1">
      <alignment horizontal="center" vertical="top" wrapText="1"/>
    </xf>
    <xf numFmtId="3" fontId="6" fillId="0" borderId="52" xfId="0" applyNumberFormat="1" applyFont="1" applyBorder="1" applyAlignment="1">
      <alignment horizontal="center" vertical="top" wrapText="1"/>
    </xf>
    <xf numFmtId="0" fontId="6" fillId="36" borderId="55" xfId="0" applyFont="1" applyFill="1" applyBorder="1" applyAlignment="1">
      <alignment vertical="top" wrapText="1"/>
    </xf>
    <xf numFmtId="0" fontId="6" fillId="36" borderId="55" xfId="0" applyFont="1" applyFill="1" applyBorder="1" applyAlignment="1">
      <alignment horizontal="center" vertical="top" wrapText="1"/>
    </xf>
    <xf numFmtId="3" fontId="6" fillId="0" borderId="55" xfId="0" applyNumberFormat="1" applyFont="1" applyBorder="1" applyAlignment="1">
      <alignment horizontal="center" vertical="top" wrapText="1"/>
    </xf>
    <xf numFmtId="0" fontId="6" fillId="36" borderId="19" xfId="0" applyFont="1" applyFill="1" applyBorder="1" applyAlignment="1">
      <alignment vertical="top" wrapText="1"/>
    </xf>
    <xf numFmtId="0" fontId="6" fillId="36" borderId="19" xfId="0" applyFont="1" applyFill="1" applyBorder="1" applyAlignment="1">
      <alignment horizontal="center" vertical="top" wrapText="1"/>
    </xf>
    <xf numFmtId="0" fontId="6" fillId="0" borderId="19" xfId="0" applyFont="1" applyBorder="1" applyAlignment="1">
      <alignment horizontal="center" vertical="top" wrapText="1"/>
    </xf>
    <xf numFmtId="0" fontId="6" fillId="36" borderId="19" xfId="0" applyFont="1" applyFill="1" applyBorder="1" applyAlignment="1">
      <alignment horizontal="left" vertical="top" wrapText="1" indent="3"/>
    </xf>
    <xf numFmtId="3" fontId="6" fillId="0" borderId="19" xfId="0" applyNumberFormat="1" applyFont="1" applyBorder="1" applyAlignment="1">
      <alignment horizontal="center" vertical="top" wrapText="1"/>
    </xf>
    <xf numFmtId="0" fontId="6" fillId="36" borderId="20" xfId="0" applyFont="1" applyFill="1" applyBorder="1" applyAlignment="1">
      <alignment horizontal="left" vertical="top" wrapText="1" indent="3"/>
    </xf>
    <xf numFmtId="0" fontId="6" fillId="36" borderId="20" xfId="0" applyFont="1" applyFill="1" applyBorder="1" applyAlignment="1">
      <alignment horizontal="center" vertical="top" wrapText="1"/>
    </xf>
    <xf numFmtId="3" fontId="6" fillId="0" borderId="20" xfId="0" applyNumberFormat="1" applyFont="1" applyBorder="1" applyAlignment="1">
      <alignment horizontal="center" vertical="top" wrapText="1"/>
    </xf>
    <xf numFmtId="0" fontId="6" fillId="36" borderId="20" xfId="0" applyFont="1" applyFill="1" applyBorder="1" applyAlignment="1">
      <alignment vertical="top" wrapText="1"/>
    </xf>
    <xf numFmtId="3" fontId="6" fillId="36" borderId="20" xfId="0" applyNumberFormat="1" applyFont="1" applyFill="1" applyBorder="1" applyAlignment="1">
      <alignment horizontal="center" vertical="top" wrapText="1"/>
    </xf>
    <xf numFmtId="0" fontId="8" fillId="36" borderId="20" xfId="0" applyFont="1" applyFill="1" applyBorder="1" applyAlignment="1">
      <alignment vertical="top" wrapText="1"/>
    </xf>
    <xf numFmtId="3" fontId="8" fillId="36" borderId="20" xfId="0" applyNumberFormat="1" applyFont="1" applyFill="1" applyBorder="1" applyAlignment="1">
      <alignment horizontal="center" vertical="top" wrapText="1"/>
    </xf>
    <xf numFmtId="3" fontId="8" fillId="0" borderId="20" xfId="0" applyNumberFormat="1" applyFont="1" applyBorder="1" applyAlignment="1">
      <alignment horizontal="center" vertical="top" wrapText="1"/>
    </xf>
    <xf numFmtId="0" fontId="8" fillId="0" borderId="0" xfId="0" applyFont="1" applyBorder="1" applyAlignment="1">
      <alignment vertical="top" wrapText="1"/>
    </xf>
    <xf numFmtId="3" fontId="8" fillId="0" borderId="0" xfId="0" applyNumberFormat="1" applyFont="1" applyBorder="1" applyAlignment="1">
      <alignment horizontal="center" vertical="top" wrapText="1"/>
    </xf>
    <xf numFmtId="0" fontId="8" fillId="0" borderId="0" xfId="0" applyFont="1" applyBorder="1" applyAlignment="1">
      <alignment horizontal="center" vertical="top" wrapText="1"/>
    </xf>
    <xf numFmtId="3" fontId="6" fillId="0" borderId="0" xfId="0" applyNumberFormat="1" applyFont="1" applyBorder="1" applyAlignment="1">
      <alignment/>
    </xf>
    <xf numFmtId="183" fontId="6" fillId="0" borderId="0" xfId="0" applyNumberFormat="1" applyFont="1" applyBorder="1" applyAlignment="1">
      <alignment/>
    </xf>
    <xf numFmtId="6" fontId="6" fillId="33" borderId="65" xfId="0" applyNumberFormat="1" applyFont="1" applyFill="1" applyBorder="1" applyAlignment="1">
      <alignment/>
    </xf>
    <xf numFmtId="0" fontId="6" fillId="0" borderId="15" xfId="0" applyFont="1" applyBorder="1" applyAlignment="1">
      <alignment horizontal="right"/>
    </xf>
    <xf numFmtId="0" fontId="16" fillId="0" borderId="0" xfId="79" applyFont="1" applyFill="1" applyAlignment="1" applyProtection="1">
      <alignment/>
      <protection/>
    </xf>
    <xf numFmtId="164" fontId="6" fillId="0" borderId="0" xfId="57" applyNumberFormat="1" applyFont="1" applyFill="1" applyAlignment="1">
      <alignment horizontal="right"/>
    </xf>
    <xf numFmtId="0" fontId="6" fillId="0" borderId="0" xfId="0" applyFont="1" applyFill="1" applyAlignment="1">
      <alignment/>
    </xf>
    <xf numFmtId="0" fontId="22" fillId="0" borderId="0" xfId="0" applyFont="1" applyAlignment="1">
      <alignment/>
    </xf>
    <xf numFmtId="0" fontId="60" fillId="0" borderId="0" xfId="0" applyFont="1" applyAlignment="1" applyProtection="1">
      <alignment vertical="top" wrapText="1"/>
      <protection/>
    </xf>
    <xf numFmtId="0" fontId="6" fillId="0" borderId="43" xfId="0" applyFont="1" applyBorder="1" applyAlignment="1">
      <alignment/>
    </xf>
    <xf numFmtId="0" fontId="6" fillId="0" borderId="0" xfId="0" applyFont="1" applyFill="1" applyAlignment="1">
      <alignment horizontal="right"/>
    </xf>
    <xf numFmtId="169" fontId="6" fillId="0" borderId="0" xfId="0" applyNumberFormat="1" applyFont="1" applyFill="1" applyAlignment="1">
      <alignment/>
    </xf>
    <xf numFmtId="183" fontId="6" fillId="0" borderId="0" xfId="42" applyNumberFormat="1" applyFont="1" applyBorder="1" applyAlignment="1">
      <alignment/>
    </xf>
    <xf numFmtId="183" fontId="46" fillId="0" borderId="0" xfId="0" applyNumberFormat="1" applyFont="1" applyFill="1" applyBorder="1" applyAlignment="1">
      <alignment/>
    </xf>
    <xf numFmtId="0" fontId="46" fillId="0" borderId="0" xfId="0" applyFont="1" applyFill="1" applyBorder="1" applyAlignment="1">
      <alignment/>
    </xf>
    <xf numFmtId="3" fontId="46" fillId="0" borderId="0" xfId="0" applyNumberFormat="1" applyFont="1" applyFill="1" applyBorder="1" applyAlignment="1">
      <alignment/>
    </xf>
    <xf numFmtId="178" fontId="46" fillId="0" borderId="0" xfId="0" applyNumberFormat="1" applyFont="1" applyFill="1" applyBorder="1" applyAlignment="1">
      <alignment/>
    </xf>
    <xf numFmtId="0" fontId="27" fillId="0" borderId="0" xfId="0" applyFont="1" applyFill="1" applyBorder="1" applyAlignment="1">
      <alignment/>
    </xf>
    <xf numFmtId="171" fontId="27" fillId="0" borderId="0" xfId="0" applyNumberFormat="1" applyFont="1" applyFill="1" applyBorder="1" applyAlignment="1">
      <alignment/>
    </xf>
    <xf numFmtId="0" fontId="26" fillId="0" borderId="0" xfId="0" applyFont="1" applyFill="1" applyBorder="1" applyAlignment="1">
      <alignment/>
    </xf>
    <xf numFmtId="6" fontId="27" fillId="0" borderId="0" xfId="0" applyNumberFormat="1" applyFont="1" applyFill="1" applyBorder="1" applyAlignment="1">
      <alignment/>
    </xf>
    <xf numFmtId="1" fontId="37" fillId="37" borderId="31" xfId="0" applyNumberFormat="1" applyFont="1" applyFill="1" applyBorder="1" applyAlignment="1" applyProtection="1">
      <alignment horizontal="center"/>
      <protection locked="0"/>
    </xf>
    <xf numFmtId="0" fontId="6" fillId="0" borderId="25" xfId="0" applyFont="1" applyFill="1" applyBorder="1" applyAlignment="1" applyProtection="1">
      <alignment/>
      <protection/>
    </xf>
    <xf numFmtId="0" fontId="38" fillId="0" borderId="0" xfId="0" applyFont="1" applyFill="1" applyBorder="1" applyAlignment="1" applyProtection="1">
      <alignment horizontal="left"/>
      <protection/>
    </xf>
    <xf numFmtId="0" fontId="6" fillId="0" borderId="10" xfId="0" applyFont="1" applyBorder="1" applyAlignment="1" applyProtection="1">
      <alignment/>
      <protection/>
    </xf>
    <xf numFmtId="0" fontId="66" fillId="0" borderId="0" xfId="0" applyFont="1" applyAlignment="1" applyProtection="1">
      <alignment horizontal="center"/>
      <protection/>
    </xf>
    <xf numFmtId="0" fontId="6" fillId="0" borderId="57" xfId="0" applyFont="1" applyFill="1" applyBorder="1" applyAlignment="1" applyProtection="1">
      <alignment/>
      <protection/>
    </xf>
    <xf numFmtId="0" fontId="71" fillId="0" borderId="0" xfId="0" applyFont="1" applyAlignment="1">
      <alignment/>
    </xf>
    <xf numFmtId="0" fontId="52" fillId="40" borderId="0" xfId="0" applyFont="1" applyFill="1" applyAlignment="1" applyProtection="1">
      <alignment horizontal="left" vertical="top" wrapText="1"/>
      <protection/>
    </xf>
    <xf numFmtId="0" fontId="6" fillId="0" borderId="26" xfId="0" applyFont="1" applyBorder="1" applyAlignment="1">
      <alignment/>
    </xf>
    <xf numFmtId="0" fontId="6" fillId="0" borderId="28" xfId="0" applyFont="1" applyBorder="1" applyAlignment="1">
      <alignment/>
    </xf>
    <xf numFmtId="0" fontId="6" fillId="0" borderId="45" xfId="0" applyFont="1" applyBorder="1" applyAlignment="1">
      <alignment/>
    </xf>
    <xf numFmtId="0" fontId="6" fillId="0" borderId="43" xfId="0" applyFont="1" applyBorder="1" applyAlignment="1">
      <alignment wrapText="1"/>
    </xf>
    <xf numFmtId="0" fontId="6" fillId="0" borderId="46" xfId="0" applyFont="1" applyBorder="1" applyAlignment="1">
      <alignment wrapText="1"/>
    </xf>
    <xf numFmtId="0" fontId="0" fillId="0" borderId="46" xfId="0" applyBorder="1" applyAlignment="1">
      <alignment/>
    </xf>
    <xf numFmtId="0" fontId="0" fillId="0" borderId="43" xfId="0" applyBorder="1" applyAlignment="1">
      <alignment/>
    </xf>
    <xf numFmtId="0" fontId="0" fillId="0" borderId="21" xfId="0" applyBorder="1" applyAlignment="1">
      <alignment/>
    </xf>
    <xf numFmtId="6" fontId="9" fillId="36" borderId="0" xfId="0" applyNumberFormat="1" applyFont="1" applyFill="1" applyBorder="1" applyAlignment="1">
      <alignment horizontal="right"/>
    </xf>
    <xf numFmtId="0" fontId="6" fillId="0" borderId="69" xfId="0" applyFont="1" applyBorder="1" applyAlignment="1">
      <alignment/>
    </xf>
    <xf numFmtId="0" fontId="6" fillId="0" borderId="70" xfId="0" applyFont="1" applyBorder="1" applyAlignment="1">
      <alignment/>
    </xf>
    <xf numFmtId="0" fontId="26" fillId="0" borderId="71" xfId="0" applyFont="1" applyBorder="1" applyAlignment="1">
      <alignment/>
    </xf>
    <xf numFmtId="6" fontId="8" fillId="36" borderId="72" xfId="0" applyNumberFormat="1" applyFont="1" applyFill="1" applyBorder="1" applyAlignment="1">
      <alignment horizontal="right"/>
    </xf>
    <xf numFmtId="171" fontId="36" fillId="37" borderId="73" xfId="0" applyNumberFormat="1" applyFont="1" applyFill="1" applyBorder="1" applyAlignment="1" applyProtection="1">
      <alignment vertical="center"/>
      <protection/>
    </xf>
    <xf numFmtId="0" fontId="6" fillId="36" borderId="0" xfId="0" applyFont="1" applyFill="1" applyBorder="1" applyAlignment="1" applyProtection="1">
      <alignment/>
      <protection/>
    </xf>
    <xf numFmtId="0" fontId="13" fillId="36" borderId="0" xfId="0" applyFont="1" applyFill="1" applyAlignment="1" applyProtection="1">
      <alignment/>
      <protection/>
    </xf>
    <xf numFmtId="0" fontId="38" fillId="36" borderId="0" xfId="0" applyFont="1" applyFill="1" applyBorder="1" applyAlignment="1" applyProtection="1">
      <alignment horizontal="left"/>
      <protection/>
    </xf>
    <xf numFmtId="171" fontId="36" fillId="37" borderId="74" xfId="0" applyNumberFormat="1" applyFont="1" applyFill="1" applyBorder="1" applyAlignment="1" applyProtection="1">
      <alignment vertical="center"/>
      <protection/>
    </xf>
    <xf numFmtId="171" fontId="36" fillId="37" borderId="75" xfId="0" applyNumberFormat="1" applyFont="1" applyFill="1" applyBorder="1" applyAlignment="1" applyProtection="1">
      <alignment vertical="center"/>
      <protection/>
    </xf>
    <xf numFmtId="171" fontId="36" fillId="37" borderId="76" xfId="0" applyNumberFormat="1" applyFont="1" applyFill="1" applyBorder="1" applyAlignment="1" applyProtection="1">
      <alignment vertical="center"/>
      <protection/>
    </xf>
    <xf numFmtId="171" fontId="36" fillId="37" borderId="77" xfId="0" applyNumberFormat="1" applyFont="1" applyFill="1" applyBorder="1" applyAlignment="1" applyProtection="1">
      <alignment vertical="center"/>
      <protection/>
    </xf>
    <xf numFmtId="171" fontId="36" fillId="37" borderId="78" xfId="0" applyNumberFormat="1" applyFont="1" applyFill="1" applyBorder="1" applyAlignment="1" applyProtection="1">
      <alignment vertical="center"/>
      <protection/>
    </xf>
    <xf numFmtId="0" fontId="8" fillId="0" borderId="0" xfId="0" applyFont="1" applyBorder="1" applyAlignment="1" applyProtection="1">
      <alignment horizontal="right"/>
      <protection/>
    </xf>
    <xf numFmtId="0" fontId="35" fillId="0" borderId="15" xfId="0" applyFont="1" applyBorder="1" applyAlignment="1" applyProtection="1">
      <alignment horizontal="center"/>
      <protection/>
    </xf>
    <xf numFmtId="0" fontId="13" fillId="0" borderId="25" xfId="0" applyFont="1" applyFill="1" applyBorder="1" applyAlignment="1" applyProtection="1">
      <alignment/>
      <protection/>
    </xf>
    <xf numFmtId="0" fontId="38" fillId="0" borderId="15" xfId="0" applyFont="1" applyBorder="1" applyAlignment="1" applyProtection="1">
      <alignment horizontal="left" indent="1"/>
      <protection/>
    </xf>
    <xf numFmtId="0" fontId="37" fillId="37" borderId="79" xfId="0" applyNumberFormat="1" applyFont="1" applyFill="1" applyBorder="1" applyAlignment="1" applyProtection="1">
      <alignment horizontal="center"/>
      <protection locked="0"/>
    </xf>
    <xf numFmtId="0" fontId="35" fillId="0" borderId="80" xfId="0" applyFont="1" applyBorder="1" applyAlignment="1" applyProtection="1">
      <alignment horizontal="center"/>
      <protection/>
    </xf>
    <xf numFmtId="0" fontId="38" fillId="0" borderId="15" xfId="0" applyFont="1" applyBorder="1" applyAlignment="1" applyProtection="1">
      <alignment horizontal="left"/>
      <protection/>
    </xf>
    <xf numFmtId="0" fontId="49" fillId="0" borderId="0" xfId="0" applyFont="1" applyBorder="1" applyAlignment="1" applyProtection="1">
      <alignment horizontal="left"/>
      <protection/>
    </xf>
    <xf numFmtId="0" fontId="6" fillId="0" borderId="0" xfId="0" applyFont="1" applyBorder="1" applyAlignment="1" applyProtection="1">
      <alignment horizontal="center"/>
      <protection/>
    </xf>
    <xf numFmtId="0" fontId="42" fillId="0" borderId="0" xfId="0" applyFont="1" applyBorder="1" applyAlignment="1" applyProtection="1">
      <alignment horizontal="left"/>
      <protection/>
    </xf>
    <xf numFmtId="0" fontId="6" fillId="0" borderId="16" xfId="0" applyFont="1" applyBorder="1" applyAlignment="1" applyProtection="1">
      <alignment/>
      <protection/>
    </xf>
    <xf numFmtId="0" fontId="35" fillId="0" borderId="25" xfId="0" applyFont="1" applyBorder="1" applyAlignment="1" applyProtection="1">
      <alignment horizontal="center"/>
      <protection/>
    </xf>
    <xf numFmtId="0" fontId="6" fillId="0" borderId="59" xfId="0" applyFont="1" applyBorder="1" applyAlignment="1" applyProtection="1">
      <alignment/>
      <protection/>
    </xf>
    <xf numFmtId="0" fontId="49" fillId="0" borderId="0" xfId="0" applyFont="1" applyBorder="1" applyAlignment="1" applyProtection="1">
      <alignment/>
      <protection/>
    </xf>
    <xf numFmtId="0" fontId="50" fillId="0" borderId="56" xfId="0" applyFont="1" applyBorder="1" applyAlignment="1" applyProtection="1">
      <alignment/>
      <protection/>
    </xf>
    <xf numFmtId="0" fontId="13" fillId="0" borderId="15" xfId="0" applyFont="1" applyFill="1" applyBorder="1" applyAlignment="1" applyProtection="1">
      <alignment/>
      <protection/>
    </xf>
    <xf numFmtId="0" fontId="13" fillId="0" borderId="16" xfId="0" applyFont="1" applyFill="1" applyBorder="1" applyAlignment="1" applyProtection="1">
      <alignment/>
      <protection/>
    </xf>
    <xf numFmtId="0" fontId="37" fillId="0" borderId="15" xfId="0" applyFont="1" applyFill="1" applyBorder="1" applyAlignment="1" applyProtection="1">
      <alignment horizontal="left"/>
      <protection/>
    </xf>
    <xf numFmtId="0" fontId="36" fillId="0" borderId="15" xfId="0" applyFont="1" applyBorder="1" applyAlignment="1" applyProtection="1">
      <alignment horizontal="left"/>
      <protection/>
    </xf>
    <xf numFmtId="0" fontId="38" fillId="0" borderId="15" xfId="0" applyFont="1" applyBorder="1" applyAlignment="1" applyProtection="1">
      <alignment/>
      <protection/>
    </xf>
    <xf numFmtId="0" fontId="13" fillId="0" borderId="57" xfId="0" applyFont="1" applyFill="1" applyBorder="1" applyAlignment="1" applyProtection="1">
      <alignment/>
      <protection/>
    </xf>
    <xf numFmtId="3" fontId="37" fillId="37" borderId="81" xfId="0" applyNumberFormat="1" applyFont="1" applyFill="1" applyBorder="1" applyAlignment="1" applyProtection="1">
      <alignment horizontal="center"/>
      <protection locked="0"/>
    </xf>
    <xf numFmtId="0" fontId="49" fillId="0" borderId="25" xfId="0" applyFont="1" applyBorder="1" applyAlignment="1" applyProtection="1">
      <alignment horizontal="left"/>
      <protection/>
    </xf>
    <xf numFmtId="0" fontId="36" fillId="0" borderId="25" xfId="0" applyFont="1" applyBorder="1" applyAlignment="1" applyProtection="1">
      <alignment horizontal="left"/>
      <protection/>
    </xf>
    <xf numFmtId="0" fontId="36" fillId="0" borderId="23" xfId="0" applyFont="1" applyBorder="1" applyAlignment="1" applyProtection="1">
      <alignment horizontal="left"/>
      <protection/>
    </xf>
    <xf numFmtId="0" fontId="36" fillId="0" borderId="23" xfId="0" applyFont="1" applyBorder="1" applyAlignment="1" applyProtection="1">
      <alignment horizontal="left" indent="2"/>
      <protection/>
    </xf>
    <xf numFmtId="0" fontId="37" fillId="37" borderId="82" xfId="0" applyNumberFormat="1" applyFont="1" applyFill="1" applyBorder="1" applyAlignment="1" applyProtection="1">
      <alignment horizontal="center"/>
      <protection locked="0"/>
    </xf>
    <xf numFmtId="168" fontId="37" fillId="37" borderId="82" xfId="0" applyNumberFormat="1" applyFont="1" applyFill="1" applyBorder="1" applyAlignment="1" applyProtection="1">
      <alignment horizontal="center"/>
      <protection locked="0"/>
    </xf>
    <xf numFmtId="178" fontId="46" fillId="0" borderId="83" xfId="0" applyNumberFormat="1" applyFont="1" applyBorder="1" applyAlignment="1">
      <alignment/>
    </xf>
    <xf numFmtId="0" fontId="36" fillId="0" borderId="84" xfId="0" applyFont="1" applyFill="1" applyBorder="1" applyAlignment="1" applyProtection="1">
      <alignment horizontal="left" vertical="center" wrapText="1"/>
      <protection/>
    </xf>
    <xf numFmtId="0" fontId="13" fillId="0" borderId="23" xfId="0" applyFont="1" applyFill="1" applyBorder="1" applyAlignment="1" applyProtection="1">
      <alignment/>
      <protection/>
    </xf>
    <xf numFmtId="0" fontId="13" fillId="0" borderId="10" xfId="0" applyFont="1" applyFill="1" applyBorder="1" applyAlignment="1" applyProtection="1">
      <alignment/>
      <protection/>
    </xf>
    <xf numFmtId="0" fontId="36" fillId="0" borderId="10" xfId="0" applyFont="1" applyFill="1" applyBorder="1" applyAlignment="1" applyProtection="1">
      <alignment horizontal="center"/>
      <protection/>
    </xf>
    <xf numFmtId="0" fontId="13" fillId="0" borderId="24" xfId="0" applyFont="1" applyFill="1" applyBorder="1" applyAlignment="1" applyProtection="1">
      <alignment/>
      <protection/>
    </xf>
    <xf numFmtId="0" fontId="37" fillId="0" borderId="85" xfId="0" applyFont="1" applyFill="1" applyBorder="1" applyAlignment="1" applyProtection="1">
      <alignment horizontal="left"/>
      <protection/>
    </xf>
    <xf numFmtId="0" fontId="36" fillId="0" borderId="86" xfId="0" applyFont="1" applyFill="1" applyBorder="1" applyAlignment="1" applyProtection="1">
      <alignment vertical="center" wrapText="1"/>
      <protection/>
    </xf>
    <xf numFmtId="0" fontId="36" fillId="0" borderId="87" xfId="0" applyFont="1" applyFill="1" applyBorder="1" applyAlignment="1" applyProtection="1">
      <alignment vertical="center" wrapText="1"/>
      <protection/>
    </xf>
    <xf numFmtId="0" fontId="36" fillId="0" borderId="88" xfId="0" applyFont="1" applyFill="1" applyBorder="1" applyAlignment="1" applyProtection="1">
      <alignment vertical="center" wrapText="1"/>
      <protection/>
    </xf>
    <xf numFmtId="0" fontId="13" fillId="0" borderId="80" xfId="0" applyFont="1" applyFill="1" applyBorder="1" applyAlignment="1" applyProtection="1">
      <alignment/>
      <protection/>
    </xf>
    <xf numFmtId="0" fontId="13" fillId="0" borderId="59" xfId="0" applyFont="1" applyFill="1" applyBorder="1" applyAlignment="1" applyProtection="1">
      <alignment/>
      <protection/>
    </xf>
    <xf numFmtId="3" fontId="37" fillId="37" borderId="79" xfId="0" applyNumberFormat="1" applyFont="1" applyFill="1" applyBorder="1" applyAlignment="1" applyProtection="1">
      <alignment horizontal="center"/>
      <protection locked="0"/>
    </xf>
    <xf numFmtId="0" fontId="38" fillId="0" borderId="15" xfId="0" applyFont="1" applyFill="1" applyBorder="1" applyAlignment="1" applyProtection="1">
      <alignment horizontal="left"/>
      <protection/>
    </xf>
    <xf numFmtId="0" fontId="70" fillId="0" borderId="0" xfId="0" applyFont="1" applyFill="1" applyBorder="1" applyAlignment="1" applyProtection="1">
      <alignment/>
      <protection/>
    </xf>
    <xf numFmtId="0" fontId="6" fillId="0" borderId="15" xfId="0" applyFont="1" applyBorder="1" applyAlignment="1" applyProtection="1">
      <alignment/>
      <protection/>
    </xf>
    <xf numFmtId="0" fontId="24" fillId="0" borderId="0" xfId="0" applyFont="1" applyFill="1" applyBorder="1" applyAlignment="1" applyProtection="1">
      <alignment/>
      <protection/>
    </xf>
    <xf numFmtId="0" fontId="36" fillId="0" borderId="15" xfId="0" applyFont="1" applyBorder="1" applyAlignment="1" applyProtection="1">
      <alignment horizontal="center"/>
      <protection/>
    </xf>
    <xf numFmtId="0" fontId="36" fillId="0" borderId="0" xfId="0" applyFont="1" applyBorder="1" applyAlignment="1" applyProtection="1">
      <alignment horizontal="center"/>
      <protection/>
    </xf>
    <xf numFmtId="0" fontId="36" fillId="0" borderId="0" xfId="0" applyFont="1" applyBorder="1" applyAlignment="1" applyProtection="1">
      <alignment/>
      <protection/>
    </xf>
    <xf numFmtId="3" fontId="37" fillId="0" borderId="25" xfId="0" applyNumberFormat="1" applyFont="1" applyFill="1" applyBorder="1" applyAlignment="1" applyProtection="1">
      <alignment horizontal="center"/>
      <protection/>
    </xf>
    <xf numFmtId="0" fontId="36" fillId="0" borderId="25" xfId="0" applyFont="1" applyFill="1" applyBorder="1" applyAlignment="1" applyProtection="1">
      <alignment/>
      <protection/>
    </xf>
    <xf numFmtId="9" fontId="37" fillId="0" borderId="25" xfId="0" applyNumberFormat="1" applyFont="1" applyFill="1" applyBorder="1" applyAlignment="1" applyProtection="1">
      <alignment horizontal="center"/>
      <protection/>
    </xf>
    <xf numFmtId="4" fontId="37" fillId="0" borderId="79" xfId="0" applyNumberFormat="1" applyFont="1" applyFill="1" applyBorder="1" applyAlignment="1" applyProtection="1">
      <alignment horizontal="center"/>
      <protection/>
    </xf>
    <xf numFmtId="0" fontId="37" fillId="0" borderId="0" xfId="0" applyFont="1" applyBorder="1" applyAlignment="1" applyProtection="1">
      <alignment horizontal="center"/>
      <protection/>
    </xf>
    <xf numFmtId="168" fontId="37" fillId="37" borderId="79" xfId="0" applyNumberFormat="1" applyFont="1" applyFill="1" applyBorder="1" applyAlignment="1" applyProtection="1">
      <alignment horizontal="center"/>
      <protection locked="0"/>
    </xf>
    <xf numFmtId="0" fontId="67" fillId="0" borderId="0" xfId="0" applyFont="1" applyFill="1" applyBorder="1" applyAlignment="1" applyProtection="1">
      <alignment horizontal="left"/>
      <protection/>
    </xf>
    <xf numFmtId="10" fontId="37" fillId="37" borderId="81" xfId="0" applyNumberFormat="1" applyFont="1" applyFill="1" applyBorder="1" applyAlignment="1" applyProtection="1">
      <alignment horizontal="center"/>
      <protection locked="0"/>
    </xf>
    <xf numFmtId="0" fontId="67" fillId="0" borderId="25" xfId="0" applyFont="1" applyFill="1" applyBorder="1" applyAlignment="1" applyProtection="1">
      <alignment horizontal="left"/>
      <protection/>
    </xf>
    <xf numFmtId="0" fontId="52" fillId="0" borderId="0" xfId="0" applyFont="1" applyAlignment="1" applyProtection="1">
      <alignment horizontal="left" vertical="top" wrapText="1"/>
      <protection/>
    </xf>
    <xf numFmtId="0" fontId="52" fillId="0" borderId="0" xfId="0" applyFont="1" applyFill="1" applyAlignment="1" applyProtection="1">
      <alignment horizontal="left" vertical="top" wrapText="1"/>
      <protection/>
    </xf>
    <xf numFmtId="6" fontId="9" fillId="0" borderId="60" xfId="0" applyNumberFormat="1" applyFont="1" applyFill="1" applyBorder="1" applyAlignment="1">
      <alignment horizontal="right"/>
    </xf>
    <xf numFmtId="10" fontId="6" fillId="0" borderId="0" xfId="0" applyNumberFormat="1" applyFont="1" applyBorder="1" applyAlignment="1">
      <alignment/>
    </xf>
    <xf numFmtId="6" fontId="6" fillId="33" borderId="54" xfId="0" applyNumberFormat="1" applyFont="1" applyFill="1" applyBorder="1" applyAlignment="1">
      <alignment/>
    </xf>
    <xf numFmtId="8" fontId="6" fillId="33" borderId="65" xfId="0" applyNumberFormat="1" applyFont="1" applyFill="1" applyBorder="1" applyAlignment="1">
      <alignment/>
    </xf>
    <xf numFmtId="0" fontId="66" fillId="0" borderId="15" xfId="0" applyFont="1" applyBorder="1" applyAlignment="1" applyProtection="1">
      <alignment horizontal="center"/>
      <protection/>
    </xf>
    <xf numFmtId="0" fontId="6" fillId="0" borderId="52" xfId="0" applyFont="1" applyFill="1" applyBorder="1" applyAlignment="1">
      <alignment horizontal="right"/>
    </xf>
    <xf numFmtId="0" fontId="6" fillId="0" borderId="20" xfId="0" applyFont="1" applyFill="1" applyBorder="1" applyAlignment="1">
      <alignment horizontal="right"/>
    </xf>
    <xf numFmtId="0" fontId="6" fillId="0" borderId="68" xfId="0" applyFont="1" applyBorder="1" applyAlignment="1">
      <alignment/>
    </xf>
    <xf numFmtId="0" fontId="6" fillId="0" borderId="54" xfId="0" applyFont="1" applyBorder="1" applyAlignment="1">
      <alignment/>
    </xf>
    <xf numFmtId="169" fontId="37" fillId="37" borderId="82" xfId="93" applyNumberFormat="1" applyFont="1" applyFill="1" applyBorder="1" applyAlignment="1" applyProtection="1">
      <alignment horizontal="center"/>
      <protection locked="0"/>
    </xf>
    <xf numFmtId="0" fontId="6" fillId="0" borderId="0" xfId="0" applyFont="1" applyFill="1" applyBorder="1" applyAlignment="1">
      <alignment horizontal="right"/>
    </xf>
    <xf numFmtId="169" fontId="37" fillId="37" borderId="89" xfId="93" applyNumberFormat="1" applyFont="1" applyFill="1" applyBorder="1" applyAlignment="1" applyProtection="1">
      <alignment horizontal="center"/>
      <protection locked="0"/>
    </xf>
    <xf numFmtId="0" fontId="34" fillId="0" borderId="0" xfId="0" applyFont="1" applyFill="1" applyAlignment="1" applyProtection="1">
      <alignment horizontal="center" vertical="center" wrapText="1"/>
      <protection/>
    </xf>
    <xf numFmtId="0" fontId="14" fillId="0" borderId="0" xfId="0" applyFont="1" applyAlignment="1" applyProtection="1">
      <alignment horizontal="right"/>
      <protection/>
    </xf>
    <xf numFmtId="0" fontId="69" fillId="0" borderId="0" xfId="0" applyFont="1" applyAlignment="1" applyProtection="1">
      <alignment horizontal="right"/>
      <protection/>
    </xf>
    <xf numFmtId="0" fontId="39" fillId="0" borderId="15" xfId="0" applyFont="1" applyBorder="1" applyAlignment="1" applyProtection="1">
      <alignment horizontal="left"/>
      <protection/>
    </xf>
    <xf numFmtId="3" fontId="37" fillId="38" borderId="79" xfId="0" applyNumberFormat="1" applyFont="1" applyFill="1" applyBorder="1" applyAlignment="1" applyProtection="1">
      <alignment horizontal="center"/>
      <protection locked="0"/>
    </xf>
    <xf numFmtId="4" fontId="37" fillId="38" borderId="79" xfId="0" applyNumberFormat="1" applyFont="1" applyFill="1" applyBorder="1" applyAlignment="1" applyProtection="1">
      <alignment horizontal="center"/>
      <protection/>
    </xf>
    <xf numFmtId="0" fontId="39" fillId="0" borderId="0" xfId="0" applyFont="1" applyFill="1" applyBorder="1" applyAlignment="1" applyProtection="1">
      <alignment/>
      <protection/>
    </xf>
    <xf numFmtId="0" fontId="39" fillId="0" borderId="0" xfId="0" applyFont="1" applyBorder="1" applyAlignment="1" applyProtection="1">
      <alignment horizontal="left"/>
      <protection/>
    </xf>
    <xf numFmtId="0" fontId="39" fillId="0" borderId="25" xfId="0" applyFont="1" applyFill="1" applyBorder="1" applyAlignment="1" applyProtection="1">
      <alignment/>
      <protection/>
    </xf>
    <xf numFmtId="3" fontId="37" fillId="0" borderId="0" xfId="0" applyNumberFormat="1" applyFont="1" applyFill="1" applyBorder="1" applyAlignment="1" applyProtection="1">
      <alignment horizontal="center"/>
      <protection/>
    </xf>
    <xf numFmtId="0" fontId="36" fillId="0" borderId="0" xfId="0" applyFont="1" applyFill="1" applyBorder="1" applyAlignment="1" applyProtection="1">
      <alignment/>
      <protection/>
    </xf>
    <xf numFmtId="9" fontId="37" fillId="0" borderId="0" xfId="0" applyNumberFormat="1" applyFont="1" applyFill="1" applyBorder="1" applyAlignment="1" applyProtection="1">
      <alignment horizontal="center"/>
      <protection/>
    </xf>
    <xf numFmtId="0" fontId="13" fillId="0" borderId="0" xfId="0" applyFont="1" applyFill="1" applyBorder="1" applyAlignment="1" applyProtection="1">
      <alignment/>
      <protection/>
    </xf>
    <xf numFmtId="0" fontId="39" fillId="0" borderId="0" xfId="0" applyFont="1" applyBorder="1" applyAlignment="1" applyProtection="1">
      <alignment horizontal="right"/>
      <protection/>
    </xf>
    <xf numFmtId="3" fontId="37" fillId="38" borderId="81" xfId="0" applyNumberFormat="1" applyFont="1" applyFill="1" applyBorder="1" applyAlignment="1" applyProtection="1">
      <alignment horizontal="center"/>
      <protection locked="0"/>
    </xf>
    <xf numFmtId="4" fontId="37" fillId="38" borderId="81" xfId="0" applyNumberFormat="1" applyFont="1" applyFill="1" applyBorder="1" applyAlignment="1" applyProtection="1">
      <alignment horizontal="center"/>
      <protection/>
    </xf>
    <xf numFmtId="0" fontId="6" fillId="0" borderId="52" xfId="0" applyFont="1" applyBorder="1" applyAlignment="1">
      <alignment horizontal="right"/>
    </xf>
    <xf numFmtId="0" fontId="6" fillId="0" borderId="20" xfId="0" applyFont="1" applyBorder="1" applyAlignment="1">
      <alignment horizontal="right"/>
    </xf>
    <xf numFmtId="0" fontId="6" fillId="0" borderId="19" xfId="0" applyFont="1" applyFill="1" applyBorder="1" applyAlignment="1">
      <alignment horizontal="right"/>
    </xf>
    <xf numFmtId="0" fontId="6" fillId="0" borderId="0" xfId="0" applyFont="1" applyBorder="1" applyAlignment="1">
      <alignment horizontal="right"/>
    </xf>
    <xf numFmtId="0" fontId="6" fillId="0" borderId="52" xfId="0" applyFont="1" applyBorder="1" applyAlignment="1" applyProtection="1">
      <alignment/>
      <protection/>
    </xf>
    <xf numFmtId="0" fontId="6" fillId="0" borderId="43" xfId="0" applyFont="1" applyBorder="1" applyAlignment="1" applyProtection="1">
      <alignment/>
      <protection/>
    </xf>
    <xf numFmtId="0" fontId="6" fillId="0" borderId="20" xfId="0" applyFont="1" applyBorder="1" applyAlignment="1" applyProtection="1">
      <alignment/>
      <protection/>
    </xf>
    <xf numFmtId="0" fontId="6" fillId="0" borderId="14" xfId="0" applyFont="1" applyBorder="1" applyAlignment="1" applyProtection="1">
      <alignment/>
      <protection/>
    </xf>
    <xf numFmtId="0" fontId="6" fillId="0" borderId="19" xfId="0" applyFont="1" applyBorder="1" applyAlignment="1" applyProtection="1">
      <alignment/>
      <protection/>
    </xf>
    <xf numFmtId="171" fontId="6" fillId="33" borderId="68" xfId="0" applyNumberFormat="1" applyFont="1" applyFill="1" applyBorder="1" applyAlignment="1">
      <alignment/>
    </xf>
    <xf numFmtId="171" fontId="6" fillId="33" borderId="54" xfId="0" applyNumberFormat="1" applyFont="1" applyFill="1" applyBorder="1" applyAlignment="1">
      <alignment/>
    </xf>
    <xf numFmtId="6" fontId="6" fillId="33" borderId="68" xfId="0" applyNumberFormat="1" applyFont="1" applyFill="1" applyBorder="1" applyAlignment="1">
      <alignment/>
    </xf>
    <xf numFmtId="0" fontId="6" fillId="0" borderId="46" xfId="0" applyFont="1" applyBorder="1" applyAlignment="1" applyProtection="1">
      <alignment/>
      <protection/>
    </xf>
    <xf numFmtId="0" fontId="30" fillId="0" borderId="0" xfId="0" applyFont="1" applyFill="1" applyBorder="1" applyAlignment="1">
      <alignment horizontal="right"/>
    </xf>
    <xf numFmtId="0" fontId="6" fillId="0" borderId="17" xfId="0" applyFont="1" applyBorder="1" applyAlignment="1" applyProtection="1">
      <alignment/>
      <protection/>
    </xf>
    <xf numFmtId="164" fontId="6" fillId="0" borderId="0" xfId="0" applyNumberFormat="1" applyFont="1" applyBorder="1" applyAlignment="1">
      <alignment/>
    </xf>
    <xf numFmtId="0" fontId="6" fillId="0" borderId="21" xfId="0" applyFont="1" applyBorder="1" applyAlignment="1" applyProtection="1">
      <alignment/>
      <protection/>
    </xf>
    <xf numFmtId="0" fontId="15" fillId="0" borderId="0" xfId="0" applyFont="1" applyBorder="1" applyAlignment="1">
      <alignment horizontal="right"/>
    </xf>
    <xf numFmtId="0" fontId="38" fillId="0" borderId="56" xfId="0" applyFont="1" applyBorder="1" applyAlignment="1" applyProtection="1">
      <alignment horizontal="left"/>
      <protection/>
    </xf>
    <xf numFmtId="0" fontId="13" fillId="0" borderId="58" xfId="0" applyFont="1" applyFill="1" applyBorder="1" applyAlignment="1" applyProtection="1">
      <alignment/>
      <protection/>
    </xf>
    <xf numFmtId="0" fontId="27" fillId="0" borderId="61" xfId="0" applyFont="1" applyBorder="1" applyAlignment="1">
      <alignment/>
    </xf>
    <xf numFmtId="0" fontId="13" fillId="0" borderId="56" xfId="0" applyFont="1" applyFill="1" applyBorder="1" applyAlignment="1" applyProtection="1">
      <alignment/>
      <protection/>
    </xf>
    <xf numFmtId="0" fontId="84" fillId="0" borderId="56" xfId="0" applyFont="1" applyFill="1" applyBorder="1" applyAlignment="1" applyProtection="1">
      <alignment/>
      <protection/>
    </xf>
    <xf numFmtId="0" fontId="83" fillId="0" borderId="57" xfId="0" applyFont="1" applyFill="1" applyBorder="1" applyAlignment="1" applyProtection="1">
      <alignment/>
      <protection/>
    </xf>
    <xf numFmtId="0" fontId="83" fillId="0" borderId="57" xfId="0" applyFont="1" applyBorder="1" applyAlignment="1" applyProtection="1">
      <alignment horizontal="center"/>
      <protection/>
    </xf>
    <xf numFmtId="0" fontId="67" fillId="0" borderId="0" xfId="0" applyFont="1" applyFill="1" applyBorder="1" applyAlignment="1" applyProtection="1">
      <alignment/>
      <protection/>
    </xf>
    <xf numFmtId="0" fontId="13" fillId="0" borderId="15" xfId="0" applyFont="1" applyFill="1" applyBorder="1" applyAlignment="1" applyProtection="1">
      <alignment/>
      <protection/>
    </xf>
    <xf numFmtId="0" fontId="67" fillId="0" borderId="15" xfId="0" applyFont="1" applyFill="1" applyBorder="1" applyAlignment="1" applyProtection="1">
      <alignment/>
      <protection/>
    </xf>
    <xf numFmtId="171" fontId="37" fillId="38" borderId="90" xfId="0" applyNumberFormat="1" applyFont="1" applyFill="1" applyBorder="1" applyAlignment="1" applyProtection="1">
      <alignment horizontal="center"/>
      <protection/>
    </xf>
    <xf numFmtId="0" fontId="39" fillId="0" borderId="25" xfId="0" applyFont="1" applyBorder="1" applyAlignment="1" applyProtection="1">
      <alignment horizontal="right"/>
      <protection/>
    </xf>
    <xf numFmtId="0" fontId="8" fillId="0" borderId="57" xfId="0" applyFont="1" applyFill="1" applyBorder="1" applyAlignment="1" applyProtection="1">
      <alignment/>
      <protection/>
    </xf>
    <xf numFmtId="0" fontId="6" fillId="0" borderId="56" xfId="0" applyFont="1" applyFill="1" applyBorder="1" applyAlignment="1" applyProtection="1">
      <alignment/>
      <protection/>
    </xf>
    <xf numFmtId="0" fontId="38" fillId="0" borderId="80" xfId="0" applyFont="1" applyBorder="1" applyAlignment="1" applyProtection="1">
      <alignment/>
      <protection/>
    </xf>
    <xf numFmtId="3" fontId="37" fillId="38" borderId="79" xfId="0" applyNumberFormat="1" applyFont="1" applyFill="1" applyBorder="1" applyAlignment="1" applyProtection="1">
      <alignment horizontal="center"/>
      <protection/>
    </xf>
    <xf numFmtId="9" fontId="6" fillId="38" borderId="65" xfId="93" applyFont="1" applyFill="1" applyBorder="1" applyAlignment="1">
      <alignment/>
    </xf>
    <xf numFmtId="0" fontId="40" fillId="0" borderId="0" xfId="0" applyFont="1" applyFill="1" applyAlignment="1" applyProtection="1">
      <alignment vertical="center" wrapText="1"/>
      <protection/>
    </xf>
    <xf numFmtId="0" fontId="40" fillId="0" borderId="0" xfId="0" applyFont="1" applyFill="1" applyAlignment="1" applyProtection="1">
      <alignment horizontal="center" vertical="center"/>
      <protection/>
    </xf>
    <xf numFmtId="0" fontId="49" fillId="0" borderId="0" xfId="0" applyFont="1" applyFill="1" applyBorder="1" applyAlignment="1" applyProtection="1">
      <alignment horizontal="left"/>
      <protection/>
    </xf>
    <xf numFmtId="167" fontId="37" fillId="37" borderId="91" xfId="93" applyNumberFormat="1" applyFont="1" applyFill="1" applyBorder="1" applyAlignment="1" applyProtection="1">
      <alignment horizontal="center"/>
      <protection locked="0"/>
    </xf>
    <xf numFmtId="171" fontId="37" fillId="0" borderId="81" xfId="0" applyNumberFormat="1" applyFont="1" applyFill="1" applyBorder="1" applyAlignment="1" applyProtection="1">
      <alignment horizontal="center"/>
      <protection/>
    </xf>
    <xf numFmtId="0" fontId="85" fillId="0" borderId="25" xfId="79" applyFont="1" applyBorder="1" applyAlignment="1" applyProtection="1">
      <alignment/>
      <protection/>
    </xf>
    <xf numFmtId="171" fontId="37" fillId="38" borderId="89" xfId="93" applyNumberFormat="1" applyFont="1" applyFill="1" applyBorder="1" applyAlignment="1" applyProtection="1">
      <alignment horizontal="center"/>
      <protection locked="0"/>
    </xf>
    <xf numFmtId="169" fontId="37" fillId="38" borderId="82" xfId="93" applyNumberFormat="1" applyFont="1" applyFill="1" applyBorder="1" applyAlignment="1" applyProtection="1">
      <alignment horizontal="center"/>
      <protection locked="0"/>
    </xf>
    <xf numFmtId="169" fontId="37" fillId="38" borderId="89" xfId="93" applyNumberFormat="1" applyFont="1" applyFill="1" applyBorder="1" applyAlignment="1" applyProtection="1">
      <alignment horizontal="center"/>
      <protection locked="0"/>
    </xf>
    <xf numFmtId="168" fontId="37" fillId="37" borderId="91" xfId="93" applyNumberFormat="1" applyFont="1" applyFill="1" applyBorder="1" applyAlignment="1" applyProtection="1">
      <alignment horizontal="center"/>
      <protection locked="0"/>
    </xf>
    <xf numFmtId="183" fontId="6" fillId="0" borderId="0" xfId="0" applyNumberFormat="1" applyFont="1" applyAlignment="1">
      <alignment/>
    </xf>
    <xf numFmtId="0" fontId="37" fillId="37" borderId="79" xfId="42" applyNumberFormat="1" applyFont="1" applyFill="1" applyBorder="1" applyAlignment="1" applyProtection="1">
      <alignment horizontal="center"/>
      <protection locked="0"/>
    </xf>
    <xf numFmtId="171" fontId="37" fillId="37" borderId="81" xfId="0" applyNumberFormat="1" applyFont="1" applyFill="1" applyBorder="1" applyAlignment="1" applyProtection="1">
      <alignment horizontal="center"/>
      <protection locked="0"/>
    </xf>
    <xf numFmtId="177" fontId="6" fillId="0" borderId="39" xfId="0" applyNumberFormat="1" applyFont="1" applyBorder="1" applyAlignment="1">
      <alignment wrapText="1"/>
    </xf>
    <xf numFmtId="177" fontId="6" fillId="0" borderId="42" xfId="0" applyNumberFormat="1" applyFont="1" applyBorder="1" applyAlignment="1">
      <alignment wrapText="1"/>
    </xf>
    <xf numFmtId="164" fontId="6" fillId="0" borderId="0" xfId="57" applyNumberFormat="1" applyFont="1" applyBorder="1" applyAlignment="1">
      <alignment/>
    </xf>
    <xf numFmtId="164" fontId="6" fillId="0" borderId="57" xfId="0" applyNumberFormat="1" applyFont="1" applyBorder="1" applyAlignment="1">
      <alignment/>
    </xf>
    <xf numFmtId="164" fontId="6" fillId="0" borderId="57" xfId="57" applyNumberFormat="1" applyFont="1" applyBorder="1" applyAlignment="1">
      <alignment/>
    </xf>
    <xf numFmtId="0" fontId="8" fillId="0" borderId="0" xfId="0" applyFont="1" applyAlignment="1">
      <alignment horizontal="right"/>
    </xf>
    <xf numFmtId="0" fontId="8" fillId="0" borderId="57" xfId="0" applyFont="1" applyBorder="1" applyAlignment="1">
      <alignment horizontal="right"/>
    </xf>
    <xf numFmtId="0" fontId="15" fillId="0" borderId="0" xfId="0" applyFont="1" applyAlignment="1">
      <alignment horizontal="right"/>
    </xf>
    <xf numFmtId="0" fontId="52" fillId="0" borderId="0" xfId="0" applyFont="1" applyAlignment="1" applyProtection="1">
      <alignment vertical="top" wrapText="1"/>
      <protection/>
    </xf>
    <xf numFmtId="0" fontId="49" fillId="0" borderId="92" xfId="0" applyFont="1" applyBorder="1" applyAlignment="1" applyProtection="1">
      <alignment horizontal="left"/>
      <protection/>
    </xf>
    <xf numFmtId="169" fontId="37" fillId="37" borderId="93" xfId="93" applyNumberFormat="1" applyFont="1" applyFill="1" applyBorder="1" applyAlignment="1" applyProtection="1">
      <alignment horizontal="center"/>
      <protection locked="0"/>
    </xf>
    <xf numFmtId="0" fontId="49" fillId="0" borderId="25" xfId="0" applyFont="1" applyFill="1" applyBorder="1" applyAlignment="1" applyProtection="1">
      <alignment horizontal="left"/>
      <protection/>
    </xf>
    <xf numFmtId="0" fontId="49" fillId="0" borderId="57" xfId="0" applyFont="1" applyBorder="1" applyAlignment="1" applyProtection="1">
      <alignment horizontal="left"/>
      <protection/>
    </xf>
    <xf numFmtId="0" fontId="30" fillId="0" borderId="0" xfId="0" applyFont="1" applyBorder="1" applyAlignment="1">
      <alignment horizontal="left"/>
    </xf>
    <xf numFmtId="164" fontId="8" fillId="0" borderId="0" xfId="0" applyNumberFormat="1" applyFont="1" applyBorder="1" applyAlignment="1">
      <alignment/>
    </xf>
    <xf numFmtId="171" fontId="37" fillId="38" borderId="94" xfId="0" applyNumberFormat="1" applyFont="1" applyFill="1" applyBorder="1" applyAlignment="1" applyProtection="1">
      <alignment horizontal="center"/>
      <protection locked="0"/>
    </xf>
    <xf numFmtId="0" fontId="0" fillId="0" borderId="0" xfId="87">
      <alignment/>
      <protection/>
    </xf>
    <xf numFmtId="0" fontId="6" fillId="0" borderId="0" xfId="87" applyFont="1" applyFill="1">
      <alignment/>
      <protection/>
    </xf>
    <xf numFmtId="0" fontId="35" fillId="0" borderId="0" xfId="0" applyFont="1" applyBorder="1" applyAlignment="1" applyProtection="1">
      <alignment horizontal="center"/>
      <protection/>
    </xf>
    <xf numFmtId="0" fontId="38" fillId="0" borderId="0" xfId="0" applyFont="1" applyFill="1" applyBorder="1" applyAlignment="1" applyProtection="1">
      <alignment wrapText="1"/>
      <protection/>
    </xf>
    <xf numFmtId="169" fontId="6" fillId="0" borderId="43" xfId="0" applyNumberFormat="1" applyFont="1" applyFill="1" applyBorder="1" applyAlignment="1">
      <alignment/>
    </xf>
    <xf numFmtId="0" fontId="52" fillId="0" borderId="0" xfId="0" applyFont="1" applyBorder="1" applyAlignment="1" applyProtection="1">
      <alignment/>
      <protection/>
    </xf>
    <xf numFmtId="0" fontId="67" fillId="0" borderId="15" xfId="0" applyFont="1" applyFill="1" applyBorder="1" applyAlignment="1" applyProtection="1">
      <alignment/>
      <protection/>
    </xf>
    <xf numFmtId="171" fontId="37" fillId="0" borderId="90" xfId="0" applyNumberFormat="1" applyFont="1" applyFill="1" applyBorder="1" applyAlignment="1" applyProtection="1">
      <alignment horizontal="center"/>
      <protection/>
    </xf>
    <xf numFmtId="0" fontId="6" fillId="0" borderId="10" xfId="0" applyFont="1" applyFill="1" applyBorder="1" applyAlignment="1" applyProtection="1">
      <alignment/>
      <protection/>
    </xf>
    <xf numFmtId="0" fontId="6" fillId="0" borderId="24" xfId="0" applyFont="1" applyFill="1" applyBorder="1" applyAlignment="1" applyProtection="1">
      <alignment/>
      <protection/>
    </xf>
    <xf numFmtId="168" fontId="37" fillId="0" borderId="94" xfId="0" applyNumberFormat="1" applyFont="1" applyFill="1" applyBorder="1" applyAlignment="1" applyProtection="1">
      <alignment horizontal="center"/>
      <protection/>
    </xf>
    <xf numFmtId="0" fontId="36" fillId="0" borderId="25" xfId="0" applyFont="1" applyFill="1" applyBorder="1" applyAlignment="1" applyProtection="1">
      <alignment wrapText="1"/>
      <protection/>
    </xf>
    <xf numFmtId="0" fontId="6" fillId="0" borderId="15" xfId="0" applyFont="1" applyFill="1" applyBorder="1" applyAlignment="1" applyProtection="1">
      <alignment/>
      <protection/>
    </xf>
    <xf numFmtId="0" fontId="38" fillId="0" borderId="15" xfId="0" applyFont="1" applyFill="1" applyBorder="1" applyAlignment="1" applyProtection="1">
      <alignment wrapText="1"/>
      <protection/>
    </xf>
    <xf numFmtId="0" fontId="62" fillId="0" borderId="0" xfId="0" applyFont="1" applyFill="1" applyAlignment="1" applyProtection="1">
      <alignment/>
      <protection/>
    </xf>
    <xf numFmtId="171" fontId="36" fillId="0" borderId="76" xfId="0" applyNumberFormat="1" applyFont="1" applyFill="1" applyBorder="1" applyAlignment="1" applyProtection="1">
      <alignment vertical="center"/>
      <protection/>
    </xf>
    <xf numFmtId="8" fontId="6" fillId="0" borderId="0" xfId="0" applyNumberFormat="1" applyFont="1" applyFill="1" applyBorder="1" applyAlignment="1">
      <alignment/>
    </xf>
    <xf numFmtId="6" fontId="6" fillId="0" borderId="0" xfId="0" applyNumberFormat="1" applyFont="1" applyFill="1" applyBorder="1" applyAlignment="1">
      <alignment/>
    </xf>
    <xf numFmtId="44" fontId="6" fillId="0" borderId="0" xfId="57" applyFont="1" applyFill="1" applyBorder="1" applyAlignment="1">
      <alignment/>
    </xf>
    <xf numFmtId="10" fontId="6" fillId="0" borderId="0" xfId="0" applyNumberFormat="1" applyFont="1" applyFill="1" applyBorder="1" applyAlignment="1">
      <alignment/>
    </xf>
    <xf numFmtId="0" fontId="34" fillId="33" borderId="0" xfId="0" applyFont="1" applyFill="1" applyAlignment="1" applyProtection="1">
      <alignment horizontal="left" vertical="top" wrapText="1"/>
      <protection/>
    </xf>
    <xf numFmtId="0" fontId="14" fillId="36" borderId="0" xfId="0" applyFont="1" applyFill="1" applyBorder="1" applyAlignment="1">
      <alignment/>
    </xf>
    <xf numFmtId="0" fontId="10" fillId="36" borderId="0" xfId="0" applyFont="1" applyFill="1" applyAlignment="1" applyProtection="1">
      <alignment/>
      <protection/>
    </xf>
    <xf numFmtId="0" fontId="6" fillId="36" borderId="0" xfId="0" applyFont="1" applyFill="1" applyAlignment="1" applyProtection="1">
      <alignment/>
      <protection/>
    </xf>
    <xf numFmtId="0" fontId="14" fillId="36" borderId="0" xfId="0" applyFont="1" applyFill="1" applyAlignment="1">
      <alignment/>
    </xf>
    <xf numFmtId="0" fontId="6" fillId="36" borderId="57" xfId="0" applyFont="1" applyFill="1" applyBorder="1" applyAlignment="1" applyProtection="1">
      <alignment/>
      <protection/>
    </xf>
    <xf numFmtId="0" fontId="39" fillId="36" borderId="0" xfId="0" applyFont="1" applyFill="1" applyBorder="1" applyAlignment="1" applyProtection="1">
      <alignment/>
      <protection/>
    </xf>
    <xf numFmtId="0" fontId="38" fillId="36" borderId="56" xfId="0" applyFont="1" applyFill="1" applyBorder="1" applyAlignment="1" applyProtection="1">
      <alignment horizontal="left"/>
      <protection/>
    </xf>
    <xf numFmtId="0" fontId="38" fillId="36" borderId="56" xfId="0" applyFont="1" applyFill="1" applyBorder="1" applyAlignment="1" applyProtection="1">
      <alignment/>
      <protection/>
    </xf>
    <xf numFmtId="0" fontId="38" fillId="36" borderId="15" xfId="0" applyFont="1" applyFill="1" applyBorder="1" applyAlignment="1" applyProtection="1">
      <alignment/>
      <protection/>
    </xf>
    <xf numFmtId="0" fontId="24" fillId="36" borderId="0" xfId="0" applyFont="1" applyFill="1" applyBorder="1" applyAlignment="1" applyProtection="1">
      <alignment/>
      <protection/>
    </xf>
    <xf numFmtId="0" fontId="13" fillId="36" borderId="0" xfId="0" applyFont="1" applyFill="1" applyBorder="1" applyAlignment="1" applyProtection="1">
      <alignment/>
      <protection/>
    </xf>
    <xf numFmtId="0" fontId="36" fillId="36" borderId="0" xfId="0" applyFont="1" applyFill="1" applyBorder="1" applyAlignment="1" applyProtection="1">
      <alignment horizontal="center"/>
      <protection/>
    </xf>
    <xf numFmtId="0" fontId="49" fillId="36" borderId="0" xfId="0" applyFont="1" applyFill="1" applyBorder="1" applyAlignment="1" applyProtection="1">
      <alignment horizontal="left"/>
      <protection/>
    </xf>
    <xf numFmtId="0" fontId="42" fillId="36" borderId="0" xfId="0" applyFont="1" applyFill="1" applyBorder="1" applyAlignment="1" applyProtection="1">
      <alignment horizontal="left"/>
      <protection/>
    </xf>
    <xf numFmtId="0" fontId="6" fillId="36" borderId="25" xfId="0" applyFont="1" applyFill="1" applyBorder="1" applyAlignment="1" applyProtection="1">
      <alignment/>
      <protection/>
    </xf>
    <xf numFmtId="0" fontId="38" fillId="36" borderId="25" xfId="0" applyFont="1" applyFill="1" applyBorder="1" applyAlignment="1" applyProtection="1">
      <alignment/>
      <protection/>
    </xf>
    <xf numFmtId="0" fontId="38" fillId="36" borderId="10" xfId="0" applyFont="1" applyFill="1" applyBorder="1" applyAlignment="1" applyProtection="1">
      <alignment/>
      <protection/>
    </xf>
    <xf numFmtId="0" fontId="6" fillId="36" borderId="10" xfId="0" applyFont="1" applyFill="1" applyBorder="1" applyAlignment="1" applyProtection="1">
      <alignment/>
      <protection/>
    </xf>
    <xf numFmtId="0" fontId="86" fillId="36" borderId="25" xfId="0" applyFont="1" applyFill="1" applyBorder="1" applyAlignment="1" applyProtection="1">
      <alignment horizontal="left"/>
      <protection/>
    </xf>
    <xf numFmtId="0" fontId="13" fillId="36" borderId="25" xfId="0" applyFont="1" applyFill="1" applyBorder="1" applyAlignment="1" applyProtection="1">
      <alignment/>
      <protection/>
    </xf>
    <xf numFmtId="0" fontId="38" fillId="36" borderId="15" xfId="0" applyFont="1" applyFill="1" applyBorder="1" applyAlignment="1" applyProtection="1">
      <alignment horizontal="left"/>
      <protection/>
    </xf>
    <xf numFmtId="0" fontId="38" fillId="36" borderId="23" xfId="0" applyFont="1" applyFill="1" applyBorder="1" applyAlignment="1" applyProtection="1">
      <alignment/>
      <protection/>
    </xf>
    <xf numFmtId="0" fontId="36" fillId="36" borderId="10" xfId="0" applyFont="1" applyFill="1" applyBorder="1" applyAlignment="1" applyProtection="1">
      <alignment/>
      <protection/>
    </xf>
    <xf numFmtId="0" fontId="13" fillId="36" borderId="57" xfId="0" applyFont="1" applyFill="1" applyBorder="1" applyAlignment="1" applyProtection="1">
      <alignment/>
      <protection/>
    </xf>
    <xf numFmtId="0" fontId="13" fillId="36" borderId="80" xfId="0" applyFont="1" applyFill="1" applyBorder="1" applyAlignment="1" applyProtection="1">
      <alignment/>
      <protection/>
    </xf>
    <xf numFmtId="0" fontId="39" fillId="36" borderId="15" xfId="0" applyFont="1" applyFill="1" applyBorder="1" applyAlignment="1" applyProtection="1">
      <alignment horizontal="left" indent="2"/>
      <protection/>
    </xf>
    <xf numFmtId="0" fontId="38" fillId="36" borderId="15" xfId="0" applyFont="1" applyFill="1" applyBorder="1" applyAlignment="1" applyProtection="1">
      <alignment horizontal="left" indent="2"/>
      <protection/>
    </xf>
    <xf numFmtId="0" fontId="48" fillId="36" borderId="15" xfId="0" applyFont="1" applyFill="1" applyBorder="1" applyAlignment="1" applyProtection="1">
      <alignment/>
      <protection/>
    </xf>
    <xf numFmtId="0" fontId="38" fillId="36" borderId="80" xfId="0" applyFont="1" applyFill="1" applyBorder="1" applyAlignment="1" applyProtection="1">
      <alignment/>
      <protection/>
    </xf>
    <xf numFmtId="0" fontId="38" fillId="36" borderId="15" xfId="0" applyFont="1" applyFill="1" applyBorder="1" applyAlignment="1" applyProtection="1">
      <alignment horizontal="left" indent="1"/>
      <protection/>
    </xf>
    <xf numFmtId="0" fontId="6" fillId="36" borderId="0" xfId="0" applyFont="1" applyFill="1" applyAlignment="1">
      <alignment/>
    </xf>
    <xf numFmtId="182" fontId="8" fillId="36" borderId="65" xfId="0" applyNumberFormat="1" applyFont="1" applyFill="1" applyBorder="1" applyAlignment="1">
      <alignment/>
    </xf>
    <xf numFmtId="0" fontId="6" fillId="36" borderId="65" xfId="0" applyFont="1" applyFill="1" applyBorder="1" applyAlignment="1">
      <alignment/>
    </xf>
    <xf numFmtId="178" fontId="46" fillId="36" borderId="54" xfId="0" applyNumberFormat="1" applyFont="1" applyFill="1" applyBorder="1" applyAlignment="1">
      <alignment/>
    </xf>
    <xf numFmtId="0" fontId="6" fillId="36" borderId="21" xfId="0" applyFont="1" applyFill="1" applyBorder="1" applyAlignment="1">
      <alignment/>
    </xf>
    <xf numFmtId="0" fontId="8" fillId="36" borderId="46" xfId="0" applyFont="1" applyFill="1" applyBorder="1" applyAlignment="1">
      <alignment horizontal="right"/>
    </xf>
    <xf numFmtId="0" fontId="8" fillId="36" borderId="17" xfId="0" applyFont="1" applyFill="1" applyBorder="1" applyAlignment="1">
      <alignment horizontal="right"/>
    </xf>
    <xf numFmtId="0" fontId="8" fillId="0" borderId="17" xfId="0" applyFont="1" applyBorder="1" applyAlignment="1">
      <alignment horizontal="right"/>
    </xf>
    <xf numFmtId="0" fontId="8" fillId="0" borderId="21" xfId="0" applyFont="1" applyBorder="1" applyAlignment="1">
      <alignment horizontal="right"/>
    </xf>
    <xf numFmtId="0" fontId="0" fillId="36" borderId="0" xfId="0" applyFont="1" applyFill="1" applyAlignment="1">
      <alignment/>
    </xf>
    <xf numFmtId="0" fontId="0" fillId="36" borderId="0" xfId="0" applyFill="1" applyBorder="1" applyAlignment="1">
      <alignment/>
    </xf>
    <xf numFmtId="0" fontId="6" fillId="36" borderId="68" xfId="0" applyFont="1" applyFill="1" applyBorder="1" applyAlignment="1">
      <alignment horizontal="center" vertical="top" wrapText="1"/>
    </xf>
    <xf numFmtId="2" fontId="6" fillId="36" borderId="68" xfId="0" applyNumberFormat="1" applyFont="1" applyFill="1" applyBorder="1" applyAlignment="1">
      <alignment horizontal="center" vertical="top" wrapText="1"/>
    </xf>
    <xf numFmtId="0" fontId="8" fillId="36" borderId="54" xfId="0" applyFont="1" applyFill="1" applyBorder="1" applyAlignment="1">
      <alignment horizontal="center" vertical="top" wrapText="1"/>
    </xf>
    <xf numFmtId="0" fontId="8" fillId="36" borderId="95" xfId="0" applyFont="1" applyFill="1" applyBorder="1" applyAlignment="1">
      <alignment horizontal="left" vertical="top" wrapText="1"/>
    </xf>
    <xf numFmtId="0" fontId="6" fillId="36" borderId="57" xfId="0" applyFont="1" applyFill="1" applyBorder="1" applyAlignment="1">
      <alignment/>
    </xf>
    <xf numFmtId="0" fontId="6" fillId="36" borderId="96" xfId="0" applyFont="1" applyFill="1" applyBorder="1" applyAlignment="1">
      <alignment/>
    </xf>
    <xf numFmtId="0" fontId="6" fillId="36" borderId="97" xfId="0" applyFont="1" applyFill="1" applyBorder="1" applyAlignment="1">
      <alignment horizontal="left" vertical="top"/>
    </xf>
    <xf numFmtId="0" fontId="6" fillId="36" borderId="25" xfId="0" applyFont="1" applyFill="1" applyBorder="1" applyAlignment="1">
      <alignment/>
    </xf>
    <xf numFmtId="0" fontId="6" fillId="36" borderId="98" xfId="0" applyFont="1" applyFill="1" applyBorder="1" applyAlignment="1">
      <alignment/>
    </xf>
    <xf numFmtId="0" fontId="8" fillId="36" borderId="19" xfId="0" applyFont="1" applyFill="1" applyBorder="1" applyAlignment="1">
      <alignment horizontal="left" vertical="top"/>
    </xf>
    <xf numFmtId="0" fontId="6" fillId="36" borderId="0" xfId="0" applyFont="1" applyFill="1" applyBorder="1" applyAlignment="1">
      <alignment/>
    </xf>
    <xf numFmtId="0" fontId="6" fillId="36" borderId="17" xfId="0" applyFont="1" applyFill="1" applyBorder="1" applyAlignment="1">
      <alignment/>
    </xf>
    <xf numFmtId="0" fontId="6" fillId="36" borderId="19" xfId="0" applyFont="1" applyFill="1" applyBorder="1" applyAlignment="1">
      <alignment horizontal="left" vertical="top"/>
    </xf>
    <xf numFmtId="0" fontId="8" fillId="36" borderId="95" xfId="0" applyFont="1" applyFill="1" applyBorder="1" applyAlignment="1">
      <alignment horizontal="left" vertical="top"/>
    </xf>
    <xf numFmtId="0" fontId="8" fillId="36" borderId="19" xfId="0" applyFont="1" applyFill="1" applyBorder="1" applyAlignment="1">
      <alignment vertical="top"/>
    </xf>
    <xf numFmtId="0" fontId="6" fillId="36" borderId="20" xfId="0" applyFont="1" applyFill="1" applyBorder="1" applyAlignment="1">
      <alignment horizontal="left" vertical="top"/>
    </xf>
    <xf numFmtId="0" fontId="6" fillId="36" borderId="14" xfId="0" applyFont="1" applyFill="1" applyBorder="1" applyAlignment="1">
      <alignment/>
    </xf>
    <xf numFmtId="0" fontId="51" fillId="36" borderId="0" xfId="0" applyFont="1" applyFill="1" applyAlignment="1" applyProtection="1">
      <alignment/>
      <protection/>
    </xf>
    <xf numFmtId="0" fontId="52" fillId="36" borderId="0" xfId="0" applyFont="1" applyFill="1" applyAlignment="1" applyProtection="1">
      <alignment/>
      <protection/>
    </xf>
    <xf numFmtId="0" fontId="27" fillId="36" borderId="0" xfId="0" applyFont="1" applyFill="1" applyBorder="1" applyAlignment="1">
      <alignment/>
    </xf>
    <xf numFmtId="10" fontId="8" fillId="36" borderId="0" xfId="0" applyNumberFormat="1" applyFont="1" applyFill="1" applyBorder="1" applyAlignment="1">
      <alignment/>
    </xf>
    <xf numFmtId="0" fontId="6" fillId="36" borderId="0" xfId="0" applyFont="1" applyFill="1" applyBorder="1" applyAlignment="1">
      <alignment horizontal="left"/>
    </xf>
    <xf numFmtId="0" fontId="52" fillId="36" borderId="0" xfId="0" applyFont="1" applyFill="1" applyAlignment="1" applyProtection="1">
      <alignment vertical="top" wrapText="1"/>
      <protection/>
    </xf>
    <xf numFmtId="0" fontId="6" fillId="36" borderId="13" xfId="0" applyFont="1" applyFill="1" applyBorder="1" applyAlignment="1">
      <alignment/>
    </xf>
    <xf numFmtId="0" fontId="6" fillId="0" borderId="13" xfId="0" applyFont="1" applyFill="1" applyBorder="1" applyAlignment="1">
      <alignment/>
    </xf>
    <xf numFmtId="183" fontId="8" fillId="0" borderId="13" xfId="42" applyNumberFormat="1" applyFont="1" applyFill="1" applyBorder="1" applyAlignment="1">
      <alignment/>
    </xf>
    <xf numFmtId="4" fontId="8" fillId="0" borderId="13" xfId="0" applyNumberFormat="1" applyFont="1" applyFill="1" applyBorder="1" applyAlignment="1">
      <alignment/>
    </xf>
    <xf numFmtId="10" fontId="8" fillId="0" borderId="13" xfId="0" applyNumberFormat="1" applyFont="1" applyFill="1" applyBorder="1" applyAlignment="1">
      <alignment/>
    </xf>
    <xf numFmtId="43" fontId="8" fillId="0" borderId="13" xfId="0" applyNumberFormat="1" applyFont="1" applyFill="1" applyBorder="1" applyAlignment="1">
      <alignment horizontal="right"/>
    </xf>
    <xf numFmtId="183" fontId="8" fillId="0" borderId="13" xfId="0" applyNumberFormat="1" applyFont="1" applyBorder="1" applyAlignment="1">
      <alignment/>
    </xf>
    <xf numFmtId="169" fontId="8" fillId="0" borderId="13" xfId="0" applyNumberFormat="1" applyFont="1" applyFill="1" applyBorder="1" applyAlignment="1">
      <alignment/>
    </xf>
    <xf numFmtId="0" fontId="6" fillId="36" borderId="99" xfId="0" applyFont="1" applyFill="1" applyBorder="1" applyAlignment="1">
      <alignment wrapText="1"/>
    </xf>
    <xf numFmtId="0" fontId="6" fillId="36" borderId="47" xfId="0" applyFont="1" applyFill="1" applyBorder="1" applyAlignment="1">
      <alignment wrapText="1"/>
    </xf>
    <xf numFmtId="0" fontId="6" fillId="36" borderId="24" xfId="0" applyFont="1" applyFill="1" applyBorder="1" applyAlignment="1">
      <alignment/>
    </xf>
    <xf numFmtId="0" fontId="6" fillId="36" borderId="39" xfId="0" applyFont="1" applyFill="1" applyBorder="1" applyAlignment="1">
      <alignment/>
    </xf>
    <xf numFmtId="176" fontId="6" fillId="36" borderId="100" xfId="0" applyNumberFormat="1" applyFont="1" applyFill="1" applyBorder="1" applyAlignment="1">
      <alignment/>
    </xf>
    <xf numFmtId="176" fontId="6" fillId="36" borderId="28" xfId="0" applyNumberFormat="1" applyFont="1" applyFill="1" applyBorder="1" applyAlignment="1">
      <alignment/>
    </xf>
    <xf numFmtId="0" fontId="6" fillId="36" borderId="27" xfId="0" applyFont="1" applyFill="1" applyBorder="1" applyAlignment="1">
      <alignment/>
    </xf>
    <xf numFmtId="0" fontId="6" fillId="36" borderId="26" xfId="0" applyFont="1" applyFill="1" applyBorder="1" applyAlignment="1">
      <alignment wrapText="1"/>
    </xf>
    <xf numFmtId="0" fontId="6" fillId="36" borderId="28" xfId="0" applyFont="1" applyFill="1" applyBorder="1" applyAlignment="1">
      <alignment wrapText="1"/>
    </xf>
    <xf numFmtId="176" fontId="6" fillId="36" borderId="51" xfId="0" applyNumberFormat="1" applyFont="1" applyFill="1" applyBorder="1" applyAlignment="1">
      <alignment/>
    </xf>
    <xf numFmtId="0" fontId="6" fillId="0" borderId="68" xfId="0" applyFont="1" applyFill="1" applyBorder="1" applyAlignment="1">
      <alignment horizontal="center" vertical="top" wrapText="1"/>
    </xf>
    <xf numFmtId="0" fontId="8" fillId="38" borderId="50" xfId="0" applyFont="1" applyFill="1" applyBorder="1" applyAlignment="1">
      <alignment/>
    </xf>
    <xf numFmtId="168" fontId="8" fillId="38" borderId="55" xfId="0" applyNumberFormat="1" applyFont="1" applyFill="1" applyBorder="1" applyAlignment="1">
      <alignment horizontal="right"/>
    </xf>
    <xf numFmtId="0" fontId="6" fillId="0" borderId="25" xfId="0" applyFont="1" applyFill="1" applyBorder="1" applyAlignment="1">
      <alignment horizontal="right"/>
    </xf>
    <xf numFmtId="6" fontId="27" fillId="36" borderId="60" xfId="0" applyNumberFormat="1" applyFont="1" applyFill="1" applyBorder="1" applyAlignment="1">
      <alignment horizontal="right"/>
    </xf>
    <xf numFmtId="3" fontId="8" fillId="36" borderId="60" xfId="0" applyNumberFormat="1" applyFont="1" applyFill="1" applyBorder="1" applyAlignment="1">
      <alignment horizontal="right"/>
    </xf>
    <xf numFmtId="8" fontId="8" fillId="38" borderId="55" xfId="57" applyNumberFormat="1" applyFont="1" applyFill="1" applyBorder="1" applyAlignment="1">
      <alignment horizontal="right"/>
    </xf>
    <xf numFmtId="6" fontId="9" fillId="36" borderId="55" xfId="0" applyNumberFormat="1" applyFont="1" applyFill="1" applyBorder="1" applyAlignment="1">
      <alignment horizontal="right"/>
    </xf>
    <xf numFmtId="0" fontId="6" fillId="0" borderId="60" xfId="0" applyFont="1" applyBorder="1" applyAlignment="1">
      <alignment horizontal="right"/>
    </xf>
    <xf numFmtId="3" fontId="29" fillId="38" borderId="55" xfId="0" applyNumberFormat="1" applyFont="1" applyFill="1" applyBorder="1" applyAlignment="1">
      <alignment horizontal="right"/>
    </xf>
    <xf numFmtId="3" fontId="9" fillId="36" borderId="60" xfId="0" applyNumberFormat="1" applyFont="1" applyFill="1" applyBorder="1" applyAlignment="1">
      <alignment horizontal="right"/>
    </xf>
    <xf numFmtId="0" fontId="9" fillId="36" borderId="60" xfId="0" applyFont="1" applyFill="1" applyBorder="1" applyAlignment="1">
      <alignment horizontal="right"/>
    </xf>
    <xf numFmtId="3" fontId="8" fillId="38" borderId="55" xfId="0" applyNumberFormat="1" applyFont="1" applyFill="1" applyBorder="1" applyAlignment="1">
      <alignment horizontal="right"/>
    </xf>
    <xf numFmtId="39" fontId="8" fillId="36" borderId="60" xfId="57" applyNumberFormat="1" applyFont="1" applyFill="1" applyBorder="1" applyAlignment="1">
      <alignment horizontal="right"/>
    </xf>
    <xf numFmtId="43" fontId="28" fillId="36" borderId="60" xfId="42" applyFont="1" applyFill="1" applyBorder="1" applyAlignment="1">
      <alignment horizontal="right"/>
    </xf>
    <xf numFmtId="188" fontId="9" fillId="36" borderId="60" xfId="42" applyNumberFormat="1" applyFont="1" applyFill="1" applyBorder="1" applyAlignment="1">
      <alignment horizontal="right"/>
    </xf>
    <xf numFmtId="6" fontId="8" fillId="38" borderId="55" xfId="0" applyNumberFormat="1" applyFont="1" applyFill="1" applyBorder="1" applyAlignment="1">
      <alignment horizontal="right"/>
    </xf>
    <xf numFmtId="6" fontId="8" fillId="0" borderId="55" xfId="0" applyNumberFormat="1" applyFont="1" applyFill="1" applyBorder="1" applyAlignment="1">
      <alignment horizontal="right"/>
    </xf>
    <xf numFmtId="9" fontId="9" fillId="36" borderId="60" xfId="0" applyNumberFormat="1" applyFont="1" applyFill="1" applyBorder="1" applyAlignment="1">
      <alignment horizontal="right"/>
    </xf>
    <xf numFmtId="8" fontId="8" fillId="36" borderId="60" xfId="0" applyNumberFormat="1" applyFont="1" applyFill="1" applyBorder="1" applyAlignment="1">
      <alignment horizontal="right"/>
    </xf>
    <xf numFmtId="6" fontId="6" fillId="38" borderId="55" xfId="0" applyNumberFormat="1" applyFont="1" applyFill="1" applyBorder="1" applyAlignment="1">
      <alignment horizontal="right"/>
    </xf>
    <xf numFmtId="0" fontId="27" fillId="36" borderId="60" xfId="0" applyFont="1" applyFill="1" applyBorder="1" applyAlignment="1">
      <alignment horizontal="right"/>
    </xf>
    <xf numFmtId="6" fontId="6" fillId="36" borderId="0" xfId="0" applyNumberFormat="1" applyFont="1" applyFill="1" applyBorder="1" applyAlignment="1">
      <alignment/>
    </xf>
    <xf numFmtId="0" fontId="2" fillId="0" borderId="13" xfId="79" applyBorder="1" applyAlignment="1" applyProtection="1">
      <alignment/>
      <protection/>
    </xf>
    <xf numFmtId="0" fontId="2" fillId="0" borderId="0" xfId="79" applyBorder="1" applyAlignment="1" applyProtection="1">
      <alignment/>
      <protection/>
    </xf>
    <xf numFmtId="0" fontId="6" fillId="0" borderId="101" xfId="0" applyFont="1" applyBorder="1" applyAlignment="1">
      <alignment/>
    </xf>
    <xf numFmtId="0" fontId="17" fillId="0" borderId="102" xfId="0" applyFont="1" applyFill="1" applyBorder="1" applyAlignment="1">
      <alignment/>
    </xf>
    <xf numFmtId="0" fontId="6" fillId="0" borderId="43" xfId="0" applyFont="1" applyBorder="1" applyAlignment="1">
      <alignment horizontal="right"/>
    </xf>
    <xf numFmtId="0" fontId="6" fillId="36" borderId="95" xfId="0" applyFont="1" applyFill="1" applyBorder="1" applyAlignment="1">
      <alignment/>
    </xf>
    <xf numFmtId="0" fontId="6" fillId="0" borderId="39" xfId="0" applyFont="1" applyBorder="1" applyAlignment="1">
      <alignment/>
    </xf>
    <xf numFmtId="0" fontId="6" fillId="36" borderId="26" xfId="0" applyFont="1" applyFill="1" applyBorder="1" applyAlignment="1">
      <alignment/>
    </xf>
    <xf numFmtId="0" fontId="6" fillId="0" borderId="97" xfId="0" applyFont="1" applyBorder="1" applyAlignment="1">
      <alignment/>
    </xf>
    <xf numFmtId="0" fontId="27" fillId="0" borderId="103" xfId="0" applyFont="1" applyBorder="1" applyAlignment="1">
      <alignment/>
    </xf>
    <xf numFmtId="0" fontId="6" fillId="0" borderId="104" xfId="0" applyFont="1" applyBorder="1" applyAlignment="1">
      <alignment/>
    </xf>
    <xf numFmtId="168" fontId="8" fillId="38" borderId="104" xfId="0" applyNumberFormat="1" applyFont="1" applyFill="1" applyBorder="1" applyAlignment="1">
      <alignment horizontal="right"/>
    </xf>
    <xf numFmtId="0" fontId="6" fillId="36" borderId="45" xfId="0" applyFont="1" applyFill="1" applyBorder="1" applyAlignment="1">
      <alignment/>
    </xf>
    <xf numFmtId="0" fontId="2" fillId="0" borderId="45" xfId="79" applyBorder="1" applyAlignment="1" applyProtection="1">
      <alignment/>
      <protection/>
    </xf>
    <xf numFmtId="0" fontId="6" fillId="0" borderId="42" xfId="0" applyFont="1" applyBorder="1" applyAlignment="1">
      <alignment/>
    </xf>
    <xf numFmtId="0" fontId="6" fillId="0" borderId="105" xfId="0" applyFont="1" applyBorder="1" applyAlignment="1">
      <alignment horizontal="right"/>
    </xf>
    <xf numFmtId="0" fontId="6" fillId="36" borderId="43" xfId="0" applyFont="1" applyFill="1" applyBorder="1" applyAlignment="1">
      <alignment/>
    </xf>
    <xf numFmtId="6" fontId="6" fillId="36" borderId="46" xfId="0" applyNumberFormat="1" applyFont="1" applyFill="1" applyBorder="1" applyAlignment="1">
      <alignment/>
    </xf>
    <xf numFmtId="0" fontId="6" fillId="0" borderId="103" xfId="0" applyFont="1" applyBorder="1" applyAlignment="1">
      <alignment/>
    </xf>
    <xf numFmtId="6" fontId="6" fillId="36" borderId="39" xfId="0" applyNumberFormat="1" applyFont="1" applyFill="1" applyBorder="1" applyAlignment="1">
      <alignment/>
    </xf>
    <xf numFmtId="0" fontId="26" fillId="0" borderId="20" xfId="0" applyFont="1" applyBorder="1" applyAlignment="1">
      <alignment/>
    </xf>
    <xf numFmtId="6" fontId="6" fillId="36" borderId="42" xfId="0" applyNumberFormat="1" applyFont="1" applyFill="1" applyBorder="1" applyAlignment="1">
      <alignment/>
    </xf>
    <xf numFmtId="0" fontId="17" fillId="0" borderId="102" xfId="0" applyFont="1" applyBorder="1" applyAlignment="1">
      <alignment/>
    </xf>
    <xf numFmtId="0" fontId="6" fillId="36" borderId="46" xfId="0" applyFont="1" applyFill="1" applyBorder="1" applyAlignment="1">
      <alignment/>
    </xf>
    <xf numFmtId="0" fontId="6" fillId="0" borderId="95" xfId="0" applyFont="1" applyBorder="1" applyAlignment="1">
      <alignment/>
    </xf>
    <xf numFmtId="0" fontId="6" fillId="36" borderId="42" xfId="0" applyFont="1" applyFill="1" applyBorder="1" applyAlignment="1">
      <alignment/>
    </xf>
    <xf numFmtId="6" fontId="28" fillId="36" borderId="105" xfId="0" applyNumberFormat="1" applyFont="1" applyFill="1" applyBorder="1" applyAlignment="1">
      <alignment horizontal="right"/>
    </xf>
    <xf numFmtId="0" fontId="6" fillId="36" borderId="18" xfId="0" applyFont="1" applyFill="1" applyBorder="1" applyAlignment="1">
      <alignment/>
    </xf>
    <xf numFmtId="0" fontId="6" fillId="36" borderId="47" xfId="0" applyFont="1" applyFill="1" applyBorder="1" applyAlignment="1">
      <alignment/>
    </xf>
    <xf numFmtId="0" fontId="6" fillId="36" borderId="105" xfId="0" applyFont="1" applyFill="1" applyBorder="1" applyAlignment="1">
      <alignment horizontal="right"/>
    </xf>
    <xf numFmtId="183" fontId="6" fillId="36" borderId="39" xfId="42" applyNumberFormat="1" applyFont="1" applyFill="1" applyBorder="1" applyAlignment="1">
      <alignment/>
    </xf>
    <xf numFmtId="6" fontId="27" fillId="36" borderId="43" xfId="0" applyNumberFormat="1" applyFont="1" applyFill="1" applyBorder="1" applyAlignment="1">
      <alignment horizontal="right"/>
    </xf>
    <xf numFmtId="0" fontId="27" fillId="36" borderId="18" xfId="0" applyFont="1" applyFill="1" applyBorder="1" applyAlignment="1">
      <alignment/>
    </xf>
    <xf numFmtId="6" fontId="9" fillId="36" borderId="43" xfId="0" applyNumberFormat="1" applyFont="1" applyFill="1" applyBorder="1" applyAlignment="1">
      <alignment horizontal="right"/>
    </xf>
    <xf numFmtId="0" fontId="26" fillId="0" borderId="106" xfId="0" applyFont="1" applyBorder="1" applyAlignment="1">
      <alignment/>
    </xf>
    <xf numFmtId="6" fontId="9" fillId="0" borderId="107" xfId="0" applyNumberFormat="1" applyFont="1" applyFill="1" applyBorder="1" applyAlignment="1">
      <alignment horizontal="right"/>
    </xf>
    <xf numFmtId="0" fontId="26" fillId="0" borderId="103" xfId="0" applyFont="1" applyBorder="1" applyAlignment="1">
      <alignment/>
    </xf>
    <xf numFmtId="43" fontId="8" fillId="36" borderId="13" xfId="0" applyNumberFormat="1" applyFont="1" applyFill="1" applyBorder="1" applyAlignment="1">
      <alignment/>
    </xf>
    <xf numFmtId="183" fontId="8" fillId="38" borderId="13" xfId="42" applyNumberFormat="1" applyFont="1" applyFill="1" applyBorder="1" applyAlignment="1">
      <alignment/>
    </xf>
    <xf numFmtId="10" fontId="8" fillId="38" borderId="13" xfId="0" applyNumberFormat="1" applyFont="1" applyFill="1" applyBorder="1" applyAlignment="1">
      <alignment/>
    </xf>
    <xf numFmtId="0" fontId="6" fillId="38" borderId="13" xfId="0" applyNumberFormat="1" applyFont="1" applyFill="1" applyBorder="1" applyAlignment="1">
      <alignment/>
    </xf>
    <xf numFmtId="9" fontId="6" fillId="38" borderId="13" xfId="93" applyFont="1" applyFill="1" applyBorder="1" applyAlignment="1">
      <alignment/>
    </xf>
    <xf numFmtId="3" fontId="6" fillId="36" borderId="13" xfId="0" applyNumberFormat="1" applyFont="1" applyFill="1" applyBorder="1" applyAlignment="1">
      <alignment/>
    </xf>
    <xf numFmtId="9" fontId="8" fillId="0" borderId="13" xfId="0" applyNumberFormat="1" applyFont="1" applyFill="1" applyBorder="1" applyAlignment="1">
      <alignment/>
    </xf>
    <xf numFmtId="182" fontId="8" fillId="0" borderId="13" xfId="0" applyNumberFormat="1" applyFont="1" applyFill="1" applyBorder="1" applyAlignment="1">
      <alignment/>
    </xf>
    <xf numFmtId="183" fontId="8" fillId="38" borderId="18" xfId="42" applyNumberFormat="1" applyFont="1" applyFill="1" applyBorder="1" applyAlignment="1">
      <alignment/>
    </xf>
    <xf numFmtId="0" fontId="6" fillId="0" borderId="39" xfId="0" applyFont="1" applyFill="1" applyBorder="1" applyAlignment="1">
      <alignment/>
    </xf>
    <xf numFmtId="182" fontId="8" fillId="36" borderId="45" xfId="0" applyNumberFormat="1" applyFont="1" applyFill="1" applyBorder="1" applyAlignment="1">
      <alignment/>
    </xf>
    <xf numFmtId="0" fontId="6" fillId="0" borderId="42" xfId="0" applyFont="1" applyFill="1" applyBorder="1" applyAlignment="1">
      <alignment/>
    </xf>
    <xf numFmtId="0" fontId="8" fillId="0" borderId="13" xfId="0" applyFont="1" applyFill="1" applyBorder="1" applyAlignment="1">
      <alignment/>
    </xf>
    <xf numFmtId="9" fontId="6" fillId="0" borderId="13" xfId="0" applyNumberFormat="1" applyFont="1" applyFill="1" applyBorder="1" applyAlignment="1">
      <alignment horizontal="right"/>
    </xf>
    <xf numFmtId="0" fontId="8" fillId="0" borderId="13" xfId="0" applyNumberFormat="1" applyFont="1" applyFill="1" applyBorder="1" applyAlignment="1">
      <alignment/>
    </xf>
    <xf numFmtId="1" fontId="8" fillId="0" borderId="13" xfId="0" applyNumberFormat="1" applyFont="1" applyFill="1" applyBorder="1" applyAlignment="1">
      <alignment/>
    </xf>
    <xf numFmtId="3" fontId="8" fillId="0" borderId="13" xfId="0" applyNumberFormat="1" applyFont="1" applyFill="1" applyBorder="1" applyAlignment="1">
      <alignment/>
    </xf>
    <xf numFmtId="9" fontId="6" fillId="0" borderId="13" xfId="0" applyNumberFormat="1" applyFont="1" applyFill="1" applyBorder="1" applyAlignment="1">
      <alignment/>
    </xf>
    <xf numFmtId="0" fontId="8" fillId="0" borderId="27" xfId="0" applyFont="1" applyFill="1" applyBorder="1" applyAlignment="1">
      <alignment/>
    </xf>
    <xf numFmtId="0" fontId="8" fillId="0" borderId="18" xfId="0" applyFont="1" applyBorder="1" applyAlignment="1">
      <alignment/>
    </xf>
    <xf numFmtId="0" fontId="8" fillId="0" borderId="47" xfId="0" applyFont="1" applyBorder="1" applyAlignment="1">
      <alignment/>
    </xf>
    <xf numFmtId="0" fontId="21" fillId="0" borderId="39" xfId="0" applyFont="1" applyFill="1" applyBorder="1" applyAlignment="1">
      <alignment/>
    </xf>
    <xf numFmtId="0" fontId="8" fillId="36" borderId="26" xfId="0" applyFont="1" applyFill="1" applyBorder="1" applyAlignment="1">
      <alignment/>
    </xf>
    <xf numFmtId="0" fontId="8" fillId="0" borderId="27" xfId="0" applyFont="1" applyBorder="1" applyAlignment="1">
      <alignment/>
    </xf>
    <xf numFmtId="4" fontId="6" fillId="0" borderId="18" xfId="0" applyNumberFormat="1" applyFont="1" applyBorder="1" applyAlignment="1">
      <alignment/>
    </xf>
    <xf numFmtId="0" fontId="6" fillId="0" borderId="47" xfId="0" applyFont="1" applyBorder="1" applyAlignment="1">
      <alignment/>
    </xf>
    <xf numFmtId="0" fontId="6" fillId="0" borderId="39" xfId="79" applyFont="1" applyBorder="1" applyAlignment="1" applyProtection="1">
      <alignment/>
      <protection/>
    </xf>
    <xf numFmtId="0" fontId="21" fillId="0" borderId="28" xfId="0" applyFont="1" applyFill="1" applyBorder="1" applyAlignment="1">
      <alignment/>
    </xf>
    <xf numFmtId="4" fontId="8" fillId="0" borderId="45" xfId="0" applyNumberFormat="1" applyFont="1" applyFill="1" applyBorder="1" applyAlignment="1">
      <alignment/>
    </xf>
    <xf numFmtId="6" fontId="6" fillId="0" borderId="13" xfId="0" applyNumberFormat="1" applyFont="1" applyBorder="1" applyAlignment="1">
      <alignment/>
    </xf>
    <xf numFmtId="171" fontId="6" fillId="38" borderId="13" xfId="0" applyNumberFormat="1" applyFont="1" applyFill="1" applyBorder="1" applyAlignment="1">
      <alignment/>
    </xf>
    <xf numFmtId="6" fontId="6" fillId="0" borderId="18" xfId="0" applyNumberFormat="1" applyFont="1" applyBorder="1" applyAlignment="1">
      <alignment/>
    </xf>
    <xf numFmtId="0" fontId="17" fillId="0" borderId="26" xfId="0" applyFont="1" applyFill="1" applyBorder="1" applyAlignment="1">
      <alignment/>
    </xf>
    <xf numFmtId="0" fontId="46" fillId="0" borderId="28" xfId="0" applyFont="1" applyBorder="1" applyAlignment="1">
      <alignment/>
    </xf>
    <xf numFmtId="171" fontId="27" fillId="36" borderId="45" xfId="0" applyNumberFormat="1" applyFont="1" applyFill="1" applyBorder="1" applyAlignment="1">
      <alignment/>
    </xf>
    <xf numFmtId="3" fontId="6" fillId="0" borderId="13" xfId="0" applyNumberFormat="1" applyFont="1" applyBorder="1" applyAlignment="1">
      <alignment/>
    </xf>
    <xf numFmtId="3" fontId="8" fillId="0" borderId="13" xfId="0" applyNumberFormat="1" applyFont="1" applyBorder="1" applyAlignment="1">
      <alignment/>
    </xf>
    <xf numFmtId="0" fontId="6" fillId="0" borderId="27" xfId="0" applyFont="1" applyBorder="1" applyAlignment="1">
      <alignment/>
    </xf>
    <xf numFmtId="183" fontId="6" fillId="0" borderId="18" xfId="0" applyNumberFormat="1" applyFont="1" applyFill="1" applyBorder="1" applyAlignment="1">
      <alignment/>
    </xf>
    <xf numFmtId="0" fontId="6" fillId="0" borderId="47" xfId="0" applyFont="1" applyFill="1" applyBorder="1" applyAlignment="1">
      <alignment/>
    </xf>
    <xf numFmtId="183" fontId="6" fillId="0" borderId="45" xfId="0" applyNumberFormat="1" applyFont="1" applyBorder="1" applyAlignment="1">
      <alignment/>
    </xf>
    <xf numFmtId="9" fontId="6" fillId="36" borderId="13" xfId="0" applyNumberFormat="1" applyFont="1" applyFill="1" applyBorder="1" applyAlignment="1">
      <alignment/>
    </xf>
    <xf numFmtId="171" fontId="6" fillId="36" borderId="13" xfId="0" applyNumberFormat="1" applyFont="1" applyFill="1" applyBorder="1" applyAlignment="1">
      <alignment/>
    </xf>
    <xf numFmtId="10" fontId="6" fillId="36" borderId="13" xfId="0" applyNumberFormat="1" applyFont="1" applyFill="1" applyBorder="1" applyAlignment="1">
      <alignment/>
    </xf>
    <xf numFmtId="4" fontId="6" fillId="36" borderId="13" xfId="0" applyNumberFormat="1" applyFont="1" applyFill="1" applyBorder="1" applyAlignment="1">
      <alignment/>
    </xf>
    <xf numFmtId="0" fontId="17" fillId="0" borderId="27" xfId="0" applyFont="1" applyFill="1" applyBorder="1" applyAlignment="1">
      <alignment/>
    </xf>
    <xf numFmtId="0" fontId="6" fillId="0" borderId="18" xfId="0" applyFont="1" applyBorder="1" applyAlignment="1">
      <alignment/>
    </xf>
    <xf numFmtId="0" fontId="26" fillId="0" borderId="26" xfId="0" applyFont="1" applyBorder="1" applyAlignment="1">
      <alignment/>
    </xf>
    <xf numFmtId="0" fontId="26" fillId="36" borderId="26" xfId="0" applyFont="1" applyFill="1" applyBorder="1" applyAlignment="1">
      <alignment/>
    </xf>
    <xf numFmtId="0" fontId="6" fillId="0" borderId="41" xfId="0" applyFont="1" applyBorder="1" applyAlignment="1">
      <alignment/>
    </xf>
    <xf numFmtId="0" fontId="6" fillId="0" borderId="64" xfId="0" applyFont="1" applyBorder="1" applyAlignment="1">
      <alignment/>
    </xf>
    <xf numFmtId="0" fontId="6" fillId="0" borderId="18" xfId="0" applyFont="1" applyFill="1" applyBorder="1" applyAlignment="1">
      <alignment/>
    </xf>
    <xf numFmtId="0" fontId="6" fillId="0" borderId="45" xfId="0" applyFont="1" applyFill="1" applyBorder="1" applyAlignment="1">
      <alignment/>
    </xf>
    <xf numFmtId="171" fontId="6" fillId="38" borderId="65" xfId="0" applyNumberFormat="1" applyFont="1" applyFill="1" applyBorder="1" applyAlignment="1">
      <alignment/>
    </xf>
    <xf numFmtId="6" fontId="6" fillId="38" borderId="65" xfId="0" applyNumberFormat="1" applyFont="1" applyFill="1" applyBorder="1" applyAlignment="1">
      <alignment/>
    </xf>
    <xf numFmtId="10" fontId="6" fillId="38" borderId="65" xfId="0" applyNumberFormat="1" applyFont="1" applyFill="1" applyBorder="1" applyAlignment="1">
      <alignment/>
    </xf>
    <xf numFmtId="0" fontId="10" fillId="0" borderId="0" xfId="0" applyFont="1" applyFill="1" applyAlignment="1" applyProtection="1">
      <alignment/>
      <protection/>
    </xf>
    <xf numFmtId="0" fontId="14" fillId="0" borderId="0" xfId="0" applyFont="1" applyFill="1" applyAlignment="1">
      <alignment/>
    </xf>
    <xf numFmtId="0" fontId="6" fillId="0" borderId="55" xfId="0" applyFont="1" applyBorder="1" applyAlignment="1">
      <alignment/>
    </xf>
    <xf numFmtId="0" fontId="13" fillId="36" borderId="56" xfId="0" applyFont="1" applyFill="1" applyBorder="1" applyAlignment="1" applyProtection="1">
      <alignment/>
      <protection/>
    </xf>
    <xf numFmtId="0" fontId="36" fillId="36" borderId="57" xfId="0" applyFont="1" applyFill="1" applyBorder="1" applyAlignment="1" applyProtection="1">
      <alignment horizontal="center"/>
      <protection/>
    </xf>
    <xf numFmtId="0" fontId="13" fillId="36" borderId="58" xfId="0" applyFont="1" applyFill="1" applyBorder="1" applyAlignment="1" applyProtection="1">
      <alignment/>
      <protection/>
    </xf>
    <xf numFmtId="0" fontId="67" fillId="0" borderId="25" xfId="0" applyFont="1" applyFill="1" applyBorder="1" applyAlignment="1" applyProtection="1">
      <alignment/>
      <protection/>
    </xf>
    <xf numFmtId="0" fontId="8" fillId="0" borderId="23" xfId="0" applyFont="1" applyBorder="1" applyAlignment="1">
      <alignment/>
    </xf>
    <xf numFmtId="0" fontId="8" fillId="0" borderId="10" xfId="0" applyFont="1" applyBorder="1" applyAlignment="1">
      <alignment/>
    </xf>
    <xf numFmtId="0" fontId="8" fillId="0" borderId="24" xfId="0" applyFont="1" applyBorder="1" applyAlignment="1">
      <alignment/>
    </xf>
    <xf numFmtId="0" fontId="6" fillId="0" borderId="24" xfId="0" applyFont="1" applyBorder="1" applyAlignment="1">
      <alignment/>
    </xf>
    <xf numFmtId="0" fontId="6" fillId="36" borderId="28" xfId="0" applyFont="1" applyFill="1" applyBorder="1" applyAlignment="1">
      <alignment/>
    </xf>
    <xf numFmtId="9" fontId="6" fillId="36" borderId="45" xfId="93" applyFont="1" applyFill="1" applyBorder="1" applyAlignment="1">
      <alignment/>
    </xf>
    <xf numFmtId="0" fontId="91" fillId="0" borderId="0" xfId="0" applyFont="1" applyAlignment="1">
      <alignment/>
    </xf>
    <xf numFmtId="0" fontId="91" fillId="0" borderId="0" xfId="0" applyFont="1" applyAlignment="1">
      <alignment/>
    </xf>
    <xf numFmtId="0" fontId="91" fillId="0" borderId="0" xfId="0" applyFont="1" applyAlignment="1">
      <alignment/>
    </xf>
    <xf numFmtId="0" fontId="6" fillId="36" borderId="0" xfId="0" applyFont="1" applyFill="1" applyBorder="1" applyAlignment="1">
      <alignment horizontal="right"/>
    </xf>
    <xf numFmtId="0" fontId="38" fillId="36" borderId="0" xfId="0" applyFont="1" applyFill="1" applyBorder="1" applyAlignment="1" applyProtection="1">
      <alignment/>
      <protection/>
    </xf>
    <xf numFmtId="168" fontId="37" fillId="0" borderId="0" xfId="0" applyNumberFormat="1" applyFont="1" applyFill="1" applyBorder="1" applyAlignment="1" applyProtection="1">
      <alignment horizontal="left"/>
      <protection/>
    </xf>
    <xf numFmtId="0" fontId="51" fillId="0" borderId="0" xfId="0" applyFont="1" applyFill="1" applyBorder="1" applyAlignment="1" applyProtection="1">
      <alignment/>
      <protection/>
    </xf>
    <xf numFmtId="0" fontId="51" fillId="0" borderId="16" xfId="0" applyFont="1" applyFill="1" applyBorder="1" applyAlignment="1" applyProtection="1">
      <alignment/>
      <protection/>
    </xf>
    <xf numFmtId="0" fontId="12" fillId="0" borderId="80" xfId="0" applyFont="1" applyFill="1" applyBorder="1" applyAlignment="1" applyProtection="1">
      <alignment/>
      <protection/>
    </xf>
    <xf numFmtId="0" fontId="12" fillId="0" borderId="25" xfId="0" applyFont="1" applyFill="1" applyBorder="1" applyAlignment="1" applyProtection="1">
      <alignment/>
      <protection/>
    </xf>
    <xf numFmtId="0" fontId="37" fillId="37" borderId="108" xfId="0" applyNumberFormat="1" applyFont="1" applyFill="1" applyBorder="1" applyAlignment="1" applyProtection="1">
      <alignment horizontal="center"/>
      <protection locked="0"/>
    </xf>
    <xf numFmtId="0" fontId="37" fillId="37" borderId="91" xfId="0" applyNumberFormat="1" applyFont="1" applyFill="1" applyBorder="1" applyAlignment="1" applyProtection="1">
      <alignment horizontal="center"/>
      <protection locked="0"/>
    </xf>
    <xf numFmtId="3" fontId="37" fillId="37" borderId="91" xfId="0" applyNumberFormat="1" applyFont="1" applyFill="1" applyBorder="1" applyAlignment="1" applyProtection="1">
      <alignment horizontal="center"/>
      <protection locked="0"/>
    </xf>
    <xf numFmtId="3" fontId="37" fillId="0" borderId="56" xfId="0" applyNumberFormat="1" applyFont="1" applyFill="1" applyBorder="1" applyAlignment="1" applyProtection="1">
      <alignment horizontal="center"/>
      <protection locked="0"/>
    </xf>
    <xf numFmtId="0" fontId="36" fillId="0" borderId="57" xfId="0" applyFont="1" applyBorder="1" applyAlignment="1" applyProtection="1">
      <alignment horizontal="left"/>
      <protection/>
    </xf>
    <xf numFmtId="4" fontId="37" fillId="0" borderId="82" xfId="0" applyNumberFormat="1" applyFont="1" applyFill="1" applyBorder="1" applyAlignment="1" applyProtection="1">
      <alignment horizontal="center"/>
      <protection/>
    </xf>
    <xf numFmtId="3" fontId="37" fillId="0" borderId="80" xfId="0" applyNumberFormat="1" applyFont="1" applyFill="1" applyBorder="1" applyAlignment="1" applyProtection="1">
      <alignment horizontal="center"/>
      <protection locked="0"/>
    </xf>
    <xf numFmtId="168" fontId="37" fillId="37" borderId="91" xfId="0" applyNumberFormat="1" applyFont="1" applyFill="1" applyBorder="1" applyAlignment="1" applyProtection="1">
      <alignment horizontal="center"/>
      <protection locked="0"/>
    </xf>
    <xf numFmtId="0" fontId="19" fillId="0" borderId="0" xfId="0" applyFont="1" applyAlignment="1">
      <alignment/>
    </xf>
    <xf numFmtId="0" fontId="15"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3" fontId="15" fillId="0" borderId="13" xfId="0" applyNumberFormat="1" applyFont="1" applyFill="1" applyBorder="1" applyAlignment="1">
      <alignment horizontal="center" vertical="center"/>
    </xf>
    <xf numFmtId="0" fontId="6" fillId="0" borderId="13" xfId="0" applyFont="1" applyFill="1" applyBorder="1" applyAlignment="1">
      <alignment horizontal="right"/>
    </xf>
    <xf numFmtId="171" fontId="6" fillId="0" borderId="13" xfId="0" applyNumberFormat="1" applyFont="1" applyFill="1" applyBorder="1" applyAlignment="1">
      <alignment horizontal="center"/>
    </xf>
    <xf numFmtId="3" fontId="6" fillId="0" borderId="13" xfId="0" applyNumberFormat="1" applyFont="1" applyFill="1" applyBorder="1" applyAlignment="1">
      <alignment horizontal="center"/>
    </xf>
    <xf numFmtId="164" fontId="6" fillId="0" borderId="13" xfId="57" applyNumberFormat="1" applyFont="1" applyFill="1" applyBorder="1" applyAlignment="1">
      <alignment horizontal="center"/>
    </xf>
    <xf numFmtId="0" fontId="6" fillId="0" borderId="13" xfId="0" applyFont="1" applyFill="1" applyBorder="1" applyAlignment="1">
      <alignment horizontal="right" wrapText="1"/>
    </xf>
    <xf numFmtId="0" fontId="8" fillId="0" borderId="19" xfId="0" applyFont="1" applyBorder="1" applyAlignment="1">
      <alignment/>
    </xf>
    <xf numFmtId="0" fontId="18" fillId="0" borderId="19" xfId="79" applyFont="1" applyBorder="1" applyAlignment="1" applyProtection="1">
      <alignment/>
      <protection/>
    </xf>
    <xf numFmtId="0" fontId="13" fillId="0" borderId="19" xfId="0" applyFont="1" applyBorder="1" applyAlignment="1">
      <alignment/>
    </xf>
    <xf numFmtId="49" fontId="8" fillId="0" borderId="0" xfId="0" applyNumberFormat="1" applyFont="1" applyFill="1" applyBorder="1" applyAlignment="1">
      <alignment horizontal="center"/>
    </xf>
    <xf numFmtId="49" fontId="8" fillId="0" borderId="17" xfId="0" applyNumberFormat="1" applyFont="1" applyFill="1" applyBorder="1" applyAlignment="1">
      <alignment horizontal="center"/>
    </xf>
    <xf numFmtId="0" fontId="6" fillId="0" borderId="0" xfId="0" applyFont="1" applyFill="1" applyBorder="1" applyAlignment="1">
      <alignment horizontal="center"/>
    </xf>
    <xf numFmtId="0" fontId="8" fillId="0" borderId="0" xfId="0" applyFont="1" applyFill="1" applyBorder="1" applyAlignment="1">
      <alignment horizontal="left"/>
    </xf>
    <xf numFmtId="6" fontId="6"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6" fontId="8" fillId="0" borderId="0" xfId="0" applyNumberFormat="1" applyFont="1" applyFill="1" applyBorder="1" applyAlignment="1">
      <alignment horizontal="center"/>
    </xf>
    <xf numFmtId="6" fontId="6" fillId="0" borderId="0" xfId="0" applyNumberFormat="1" applyFont="1" applyFill="1" applyBorder="1" applyAlignment="1">
      <alignment horizontal="left"/>
    </xf>
    <xf numFmtId="3" fontId="8" fillId="0" borderId="0" xfId="0" applyNumberFormat="1" applyFont="1" applyFill="1" applyBorder="1" applyAlignment="1">
      <alignment/>
    </xf>
    <xf numFmtId="0" fontId="18" fillId="0" borderId="19" xfId="79" applyFont="1" applyFill="1" applyBorder="1" applyAlignment="1" applyProtection="1">
      <alignment/>
      <protection/>
    </xf>
    <xf numFmtId="0" fontId="17" fillId="0" borderId="97" xfId="0" applyFont="1" applyFill="1" applyBorder="1" applyAlignment="1">
      <alignment/>
    </xf>
    <xf numFmtId="49" fontId="6" fillId="0" borderId="17" xfId="0" applyNumberFormat="1" applyFont="1" applyFill="1" applyBorder="1" applyAlignment="1">
      <alignment horizontal="center"/>
    </xf>
    <xf numFmtId="49" fontId="6" fillId="0" borderId="109" xfId="0" applyNumberFormat="1" applyFont="1" applyBorder="1" applyAlignment="1">
      <alignment horizontal="center"/>
    </xf>
    <xf numFmtId="49" fontId="6" fillId="0" borderId="21" xfId="0" applyNumberFormat="1" applyFont="1" applyBorder="1" applyAlignment="1">
      <alignment horizontal="center"/>
    </xf>
    <xf numFmtId="0" fontId="8" fillId="0" borderId="95" xfId="0" applyFont="1" applyBorder="1" applyAlignment="1">
      <alignment/>
    </xf>
    <xf numFmtId="49" fontId="8" fillId="0" borderId="96" xfId="0" applyNumberFormat="1" applyFont="1" applyFill="1" applyBorder="1" applyAlignment="1">
      <alignment horizontal="center"/>
    </xf>
    <xf numFmtId="49" fontId="8" fillId="0" borderId="98" xfId="0" applyNumberFormat="1" applyFont="1" applyFill="1" applyBorder="1" applyAlignment="1">
      <alignment horizontal="center"/>
    </xf>
    <xf numFmtId="0" fontId="8" fillId="0" borderId="95" xfId="0" applyFont="1" applyFill="1" applyBorder="1" applyAlignment="1">
      <alignment/>
    </xf>
    <xf numFmtId="0" fontId="6" fillId="0" borderId="96" xfId="0" applyFont="1" applyFill="1" applyBorder="1" applyAlignment="1">
      <alignment/>
    </xf>
    <xf numFmtId="49" fontId="6" fillId="0" borderId="98" xfId="0" applyNumberFormat="1" applyFont="1" applyFill="1" applyBorder="1" applyAlignment="1">
      <alignment horizontal="center"/>
    </xf>
    <xf numFmtId="0" fontId="8" fillId="0" borderId="52" xfId="0" applyFont="1" applyBorder="1" applyAlignment="1">
      <alignment/>
    </xf>
    <xf numFmtId="49" fontId="8" fillId="0" borderId="46" xfId="0" applyNumberFormat="1" applyFont="1" applyFill="1" applyBorder="1" applyAlignment="1">
      <alignment horizontal="center"/>
    </xf>
    <xf numFmtId="0" fontId="8" fillId="0" borderId="80" xfId="0" applyFont="1" applyFill="1" applyBorder="1" applyAlignment="1">
      <alignment horizontal="right"/>
    </xf>
    <xf numFmtId="6" fontId="8" fillId="0" borderId="59" xfId="0" applyNumberFormat="1" applyFont="1" applyFill="1" applyBorder="1" applyAlignment="1">
      <alignment horizontal="right"/>
    </xf>
    <xf numFmtId="0" fontId="15" fillId="0" borderId="13" xfId="0" applyFont="1" applyFill="1" applyBorder="1" applyAlignment="1">
      <alignment horizontal="center" vertical="center" wrapText="1"/>
    </xf>
    <xf numFmtId="0" fontId="6" fillId="0" borderId="23" xfId="0" applyFont="1" applyBorder="1" applyAlignment="1" applyProtection="1">
      <alignment/>
      <protection/>
    </xf>
    <xf numFmtId="0" fontId="6" fillId="0" borderId="24" xfId="0" applyFont="1" applyBorder="1" applyAlignment="1" applyProtection="1">
      <alignment/>
      <protection/>
    </xf>
    <xf numFmtId="0" fontId="0" fillId="0" borderId="0" xfId="0" applyBorder="1" applyAlignment="1" applyProtection="1">
      <alignment/>
      <protection/>
    </xf>
    <xf numFmtId="0" fontId="95" fillId="0" borderId="15" xfId="0" applyFont="1" applyBorder="1" applyAlignment="1" applyProtection="1">
      <alignment/>
      <protection/>
    </xf>
    <xf numFmtId="0" fontId="9" fillId="0" borderId="0" xfId="0" applyFont="1" applyFill="1" applyBorder="1" applyAlignment="1">
      <alignment/>
    </xf>
    <xf numFmtId="0" fontId="0" fillId="0" borderId="0" xfId="0" applyFont="1" applyAlignment="1">
      <alignment/>
    </xf>
    <xf numFmtId="0" fontId="0" fillId="36" borderId="0" xfId="0" applyFont="1" applyFill="1" applyAlignment="1">
      <alignment/>
    </xf>
    <xf numFmtId="0" fontId="2" fillId="0" borderId="0" xfId="79" applyFill="1" applyBorder="1" applyAlignment="1" applyProtection="1">
      <alignment/>
      <protection/>
    </xf>
    <xf numFmtId="0" fontId="2" fillId="0" borderId="0" xfId="79" applyBorder="1" applyAlignment="1" applyProtection="1">
      <alignment horizontal="left"/>
      <protection/>
    </xf>
    <xf numFmtId="0" fontId="0" fillId="0" borderId="23" xfId="0" applyBorder="1" applyAlignment="1">
      <alignment/>
    </xf>
    <xf numFmtId="0" fontId="0" fillId="0" borderId="24" xfId="0" applyBorder="1" applyAlignment="1">
      <alignment/>
    </xf>
    <xf numFmtId="0" fontId="6" fillId="0" borderId="52" xfId="0" applyFont="1" applyFill="1" applyBorder="1" applyAlignment="1">
      <alignment/>
    </xf>
    <xf numFmtId="0" fontId="6" fillId="0" borderId="43" xfId="0" applyFont="1" applyFill="1" applyBorder="1" applyAlignment="1">
      <alignment/>
    </xf>
    <xf numFmtId="0" fontId="6" fillId="0" borderId="46" xfId="0" applyFont="1" applyFill="1" applyBorder="1" applyAlignment="1">
      <alignment/>
    </xf>
    <xf numFmtId="8" fontId="6" fillId="0" borderId="68" xfId="0" applyNumberFormat="1" applyFont="1" applyFill="1" applyBorder="1" applyAlignment="1">
      <alignment/>
    </xf>
    <xf numFmtId="8" fontId="6" fillId="0" borderId="110" xfId="0" applyNumberFormat="1" applyFont="1" applyFill="1" applyBorder="1" applyAlignment="1">
      <alignment/>
    </xf>
    <xf numFmtId="8" fontId="6" fillId="0" borderId="54" xfId="0" applyNumberFormat="1" applyFont="1" applyFill="1" applyBorder="1" applyAlignment="1">
      <alignment/>
    </xf>
    <xf numFmtId="0" fontId="13" fillId="36" borderId="15" xfId="0" applyFont="1" applyFill="1" applyBorder="1" applyAlignment="1" applyProtection="1">
      <alignment/>
      <protection/>
    </xf>
    <xf numFmtId="0" fontId="13" fillId="36" borderId="16" xfId="0" applyFont="1" applyFill="1" applyBorder="1" applyAlignment="1" applyProtection="1">
      <alignment/>
      <protection/>
    </xf>
    <xf numFmtId="0" fontId="34" fillId="0" borderId="0" xfId="0" applyFont="1" applyFill="1" applyAlignment="1" applyProtection="1">
      <alignment horizontal="left" vertical="top" wrapText="1"/>
      <protection/>
    </xf>
    <xf numFmtId="3" fontId="37" fillId="37" borderId="31" xfId="0" applyNumberFormat="1" applyFont="1" applyFill="1" applyBorder="1" applyAlignment="1" applyProtection="1">
      <alignment horizontal="center"/>
      <protection/>
    </xf>
    <xf numFmtId="3" fontId="37" fillId="0" borderId="0" xfId="0" applyNumberFormat="1" applyFont="1" applyFill="1" applyBorder="1" applyAlignment="1" applyProtection="1">
      <alignment horizontal="center"/>
      <protection locked="0"/>
    </xf>
    <xf numFmtId="3" fontId="8" fillId="38" borderId="23" xfId="0" applyNumberFormat="1" applyFont="1" applyFill="1" applyBorder="1" applyAlignment="1">
      <alignment/>
    </xf>
    <xf numFmtId="3" fontId="8" fillId="38" borderId="64" xfId="0" applyNumberFormat="1" applyFont="1" applyFill="1" applyBorder="1" applyAlignment="1">
      <alignment/>
    </xf>
    <xf numFmtId="4" fontId="46" fillId="38" borderId="111" xfId="0" applyNumberFormat="1" applyFont="1" applyFill="1" applyBorder="1" applyAlignment="1" applyProtection="1">
      <alignment horizontal="center"/>
      <protection/>
    </xf>
    <xf numFmtId="4" fontId="46" fillId="38" borderId="112" xfId="0" applyNumberFormat="1" applyFont="1" applyFill="1" applyBorder="1" applyAlignment="1" applyProtection="1">
      <alignment horizontal="center"/>
      <protection/>
    </xf>
    <xf numFmtId="0" fontId="0" fillId="0" borderId="47" xfId="0" applyFill="1" applyBorder="1" applyAlignment="1">
      <alignment/>
    </xf>
    <xf numFmtId="0" fontId="0" fillId="0" borderId="39" xfId="0" applyFill="1" applyBorder="1" applyAlignment="1">
      <alignment/>
    </xf>
    <xf numFmtId="0" fontId="0" fillId="0" borderId="42" xfId="0" applyFill="1" applyBorder="1" applyAlignment="1">
      <alignment/>
    </xf>
    <xf numFmtId="0" fontId="0" fillId="0" borderId="47" xfId="0" applyBorder="1" applyAlignment="1">
      <alignment/>
    </xf>
    <xf numFmtId="0" fontId="0" fillId="0" borderId="39" xfId="0" applyBorder="1" applyAlignment="1">
      <alignment/>
    </xf>
    <xf numFmtId="0" fontId="0" fillId="0" borderId="42" xfId="0" applyBorder="1" applyAlignment="1">
      <alignment/>
    </xf>
    <xf numFmtId="0" fontId="0" fillId="0" borderId="46" xfId="0" applyFill="1" applyBorder="1" applyAlignment="1">
      <alignment wrapText="1"/>
    </xf>
    <xf numFmtId="0" fontId="47" fillId="0" borderId="0" xfId="0" applyFont="1" applyFill="1" applyBorder="1" applyAlignment="1">
      <alignment/>
    </xf>
    <xf numFmtId="0" fontId="8" fillId="36" borderId="52" xfId="0" applyFont="1" applyFill="1" applyBorder="1" applyAlignment="1">
      <alignment vertical="top" wrapText="1"/>
    </xf>
    <xf numFmtId="0" fontId="8" fillId="0" borderId="48" xfId="0" applyFont="1" applyFill="1" applyBorder="1" applyAlignment="1">
      <alignment horizontal="right"/>
    </xf>
    <xf numFmtId="171" fontId="8" fillId="0" borderId="49" xfId="0" applyNumberFormat="1" applyFont="1" applyFill="1" applyBorder="1" applyAlignment="1">
      <alignment horizontal="center"/>
    </xf>
    <xf numFmtId="4" fontId="8" fillId="0" borderId="49" xfId="0" applyNumberFormat="1" applyFont="1" applyFill="1" applyBorder="1" applyAlignment="1">
      <alignment horizontal="center"/>
    </xf>
    <xf numFmtId="3" fontId="8" fillId="0" borderId="62" xfId="0" applyNumberFormat="1" applyFont="1" applyFill="1" applyBorder="1" applyAlignment="1">
      <alignment horizontal="center"/>
    </xf>
    <xf numFmtId="44" fontId="8" fillId="0" borderId="65" xfId="57" applyFont="1" applyFill="1" applyBorder="1" applyAlignment="1">
      <alignment horizontal="center"/>
    </xf>
    <xf numFmtId="0" fontId="6" fillId="33" borderId="52" xfId="0" applyFont="1" applyFill="1" applyBorder="1" applyAlignment="1">
      <alignment horizontal="right"/>
    </xf>
    <xf numFmtId="44" fontId="6" fillId="33" borderId="46" xfId="57" applyFont="1" applyFill="1" applyBorder="1" applyAlignment="1">
      <alignment/>
    </xf>
    <xf numFmtId="0" fontId="6" fillId="33" borderId="20" xfId="0" applyFont="1" applyFill="1" applyBorder="1" applyAlignment="1">
      <alignment horizontal="right"/>
    </xf>
    <xf numFmtId="44" fontId="6" fillId="33" borderId="21" xfId="57" applyFont="1" applyFill="1" applyBorder="1" applyAlignment="1">
      <alignment/>
    </xf>
    <xf numFmtId="0" fontId="8" fillId="0" borderId="55" xfId="0" applyFont="1" applyFill="1" applyBorder="1" applyAlignment="1">
      <alignment horizontal="center"/>
    </xf>
    <xf numFmtId="0" fontId="8" fillId="0" borderId="12" xfId="0" applyFont="1" applyFill="1" applyBorder="1" applyAlignment="1">
      <alignment horizontal="center"/>
    </xf>
    <xf numFmtId="0" fontId="6" fillId="0" borderId="63" xfId="0" applyFont="1" applyBorder="1" applyAlignment="1">
      <alignment/>
    </xf>
    <xf numFmtId="0" fontId="6" fillId="0" borderId="23" xfId="0" applyFont="1" applyBorder="1" applyAlignment="1">
      <alignment/>
    </xf>
    <xf numFmtId="0" fontId="6" fillId="0" borderId="56" xfId="0" applyFont="1" applyBorder="1" applyAlignment="1">
      <alignment/>
    </xf>
    <xf numFmtId="182" fontId="8" fillId="36" borderId="0" xfId="0" applyNumberFormat="1" applyFont="1" applyFill="1" applyBorder="1" applyAlignment="1">
      <alignment/>
    </xf>
    <xf numFmtId="0" fontId="8" fillId="0" borderId="19" xfId="0" applyFont="1" applyBorder="1" applyAlignment="1">
      <alignment horizontal="right"/>
    </xf>
    <xf numFmtId="0" fontId="6" fillId="36" borderId="56" xfId="0" applyFont="1" applyFill="1" applyBorder="1" applyAlignment="1">
      <alignment horizontal="left"/>
    </xf>
    <xf numFmtId="0" fontId="6" fillId="36" borderId="15" xfId="0" applyFont="1" applyFill="1" applyBorder="1" applyAlignment="1">
      <alignment horizontal="left"/>
    </xf>
    <xf numFmtId="0" fontId="6" fillId="36" borderId="80" xfId="0" applyFont="1" applyFill="1" applyBorder="1" applyAlignment="1">
      <alignment horizontal="left"/>
    </xf>
    <xf numFmtId="0" fontId="6" fillId="36" borderId="58" xfId="0" applyFont="1" applyFill="1" applyBorder="1" applyAlignment="1">
      <alignment horizontal="left"/>
    </xf>
    <xf numFmtId="0" fontId="6" fillId="36" borderId="16" xfId="0" applyFont="1" applyFill="1" applyBorder="1" applyAlignment="1">
      <alignment horizontal="left"/>
    </xf>
    <xf numFmtId="0" fontId="6" fillId="36" borderId="59" xfId="0" applyFont="1" applyFill="1" applyBorder="1" applyAlignment="1">
      <alignment horizontal="left"/>
    </xf>
    <xf numFmtId="0" fontId="6" fillId="36" borderId="59" xfId="0" applyFont="1" applyFill="1" applyBorder="1" applyAlignment="1" applyProtection="1">
      <alignment/>
      <protection/>
    </xf>
    <xf numFmtId="0" fontId="36" fillId="0" borderId="0" xfId="0" applyFont="1" applyFill="1" applyBorder="1" applyAlignment="1" applyProtection="1">
      <alignment horizontal="center"/>
      <protection/>
    </xf>
    <xf numFmtId="3" fontId="6" fillId="0" borderId="0" xfId="0" applyNumberFormat="1" applyFont="1" applyFill="1" applyAlignment="1" applyProtection="1">
      <alignment/>
      <protection/>
    </xf>
    <xf numFmtId="3" fontId="6" fillId="0" borderId="55" xfId="0" applyNumberFormat="1" applyFont="1" applyFill="1" applyBorder="1" applyAlignment="1">
      <alignment/>
    </xf>
    <xf numFmtId="0" fontId="0" fillId="0" borderId="12" xfId="0" applyBorder="1" applyAlignment="1">
      <alignment/>
    </xf>
    <xf numFmtId="3" fontId="37" fillId="36" borderId="31" xfId="0" applyNumberFormat="1" applyFont="1" applyFill="1" applyBorder="1" applyAlignment="1" applyProtection="1">
      <alignment horizontal="center"/>
      <protection/>
    </xf>
    <xf numFmtId="4" fontId="6" fillId="36" borderId="45" xfId="0" applyNumberFormat="1" applyFont="1" applyFill="1" applyBorder="1" applyAlignment="1">
      <alignment/>
    </xf>
    <xf numFmtId="4" fontId="8" fillId="36" borderId="13" xfId="0" applyNumberFormat="1" applyFont="1" applyFill="1" applyBorder="1" applyAlignment="1">
      <alignment/>
    </xf>
    <xf numFmtId="4" fontId="37" fillId="0" borderId="31" xfId="0" applyNumberFormat="1" applyFont="1" applyFill="1" applyBorder="1" applyAlignment="1" applyProtection="1">
      <alignment horizontal="center"/>
      <protection/>
    </xf>
    <xf numFmtId="0" fontId="39" fillId="0" borderId="15" xfId="0" applyFont="1" applyBorder="1" applyAlignment="1" applyProtection="1">
      <alignment/>
      <protection/>
    </xf>
    <xf numFmtId="3" fontId="37" fillId="38" borderId="31" xfId="0" applyNumberFormat="1" applyFont="1" applyFill="1" applyBorder="1" applyAlignment="1" applyProtection="1">
      <alignment horizontal="center" vertical="center"/>
      <protection/>
    </xf>
    <xf numFmtId="4" fontId="37" fillId="0" borderId="79" xfId="0" applyNumberFormat="1" applyFont="1" applyFill="1" applyBorder="1" applyAlignment="1" applyProtection="1">
      <alignment horizontal="center" vertical="center"/>
      <protection/>
    </xf>
    <xf numFmtId="4" fontId="37" fillId="0" borderId="81" xfId="0" applyNumberFormat="1" applyFont="1" applyFill="1" applyBorder="1" applyAlignment="1" applyProtection="1">
      <alignment horizontal="center" vertical="center"/>
      <protection/>
    </xf>
    <xf numFmtId="4" fontId="37" fillId="38" borderId="31" xfId="0" applyNumberFormat="1" applyFont="1" applyFill="1" applyBorder="1" applyAlignment="1" applyProtection="1">
      <alignment horizontal="center"/>
      <protection/>
    </xf>
    <xf numFmtId="0" fontId="6" fillId="0" borderId="25" xfId="0" applyFont="1" applyBorder="1" applyAlignment="1">
      <alignment horizontal="right"/>
    </xf>
    <xf numFmtId="164" fontId="6" fillId="0" borderId="25" xfId="0" applyNumberFormat="1" applyFont="1" applyBorder="1" applyAlignment="1">
      <alignment/>
    </xf>
    <xf numFmtId="0" fontId="8" fillId="0" borderId="10" xfId="0" applyFont="1" applyFill="1" applyBorder="1" applyAlignment="1">
      <alignment horizontal="right"/>
    </xf>
    <xf numFmtId="164" fontId="8" fillId="0" borderId="10" xfId="0" applyNumberFormat="1" applyFont="1" applyFill="1" applyBorder="1" applyAlignment="1">
      <alignment/>
    </xf>
    <xf numFmtId="0" fontId="6" fillId="0" borderId="95" xfId="0" applyFont="1" applyBorder="1" applyAlignment="1" applyProtection="1">
      <alignment/>
      <protection/>
    </xf>
    <xf numFmtId="0" fontId="6" fillId="0" borderId="96" xfId="0" applyFont="1" applyBorder="1" applyAlignment="1" applyProtection="1">
      <alignment/>
      <protection/>
    </xf>
    <xf numFmtId="0" fontId="6" fillId="0" borderId="97" xfId="0" applyFont="1" applyBorder="1" applyAlignment="1" applyProtection="1">
      <alignment/>
      <protection/>
    </xf>
    <xf numFmtId="0" fontId="6" fillId="0" borderId="98" xfId="0" applyFont="1" applyBorder="1" applyAlignment="1" applyProtection="1">
      <alignment/>
      <protection/>
    </xf>
    <xf numFmtId="0" fontId="6" fillId="0" borderId="113" xfId="0" applyFont="1" applyFill="1" applyBorder="1" applyAlignment="1" applyProtection="1">
      <alignment/>
      <protection/>
    </xf>
    <xf numFmtId="0" fontId="6" fillId="0" borderId="114" xfId="0" applyFont="1" applyFill="1" applyBorder="1" applyAlignment="1" applyProtection="1">
      <alignment/>
      <protection/>
    </xf>
    <xf numFmtId="0" fontId="12" fillId="0" borderId="16" xfId="0" applyFont="1" applyFill="1" applyBorder="1" applyAlignment="1">
      <alignment/>
    </xf>
    <xf numFmtId="0" fontId="11" fillId="0" borderId="25" xfId="0" applyFont="1" applyBorder="1" applyAlignment="1">
      <alignment/>
    </xf>
    <xf numFmtId="0" fontId="6" fillId="0" borderId="25" xfId="0" applyFont="1" applyFill="1" applyBorder="1" applyAlignment="1">
      <alignment/>
    </xf>
    <xf numFmtId="0" fontId="36" fillId="0" borderId="57" xfId="0" applyFont="1" applyFill="1" applyBorder="1" applyAlignment="1" applyProtection="1">
      <alignment horizontal="center"/>
      <protection/>
    </xf>
    <xf numFmtId="0" fontId="38" fillId="0" borderId="15" xfId="0" applyFont="1" applyBorder="1" applyAlignment="1">
      <alignment/>
    </xf>
    <xf numFmtId="0" fontId="10" fillId="36" borderId="0" xfId="0" applyFont="1" applyFill="1" applyBorder="1" applyAlignment="1" applyProtection="1">
      <alignment/>
      <protection/>
    </xf>
    <xf numFmtId="0" fontId="10" fillId="0" borderId="0" xfId="0" applyFont="1" applyBorder="1" applyAlignment="1">
      <alignment/>
    </xf>
    <xf numFmtId="0" fontId="10" fillId="36" borderId="0" xfId="0" applyFont="1" applyFill="1" applyBorder="1" applyAlignment="1">
      <alignment/>
    </xf>
    <xf numFmtId="0" fontId="52" fillId="0" borderId="0" xfId="0" applyFont="1" applyFill="1" applyAlignment="1" applyProtection="1">
      <alignment vertical="top" wrapText="1"/>
      <protection/>
    </xf>
    <xf numFmtId="0" fontId="51" fillId="0" borderId="0" xfId="0" applyFont="1" applyFill="1" applyAlignment="1" applyProtection="1">
      <alignment horizontal="left"/>
      <protection/>
    </xf>
    <xf numFmtId="0" fontId="60" fillId="0" borderId="0" xfId="0" applyFont="1" applyFill="1" applyAlignment="1" applyProtection="1">
      <alignment vertical="top" wrapText="1"/>
      <protection/>
    </xf>
    <xf numFmtId="0" fontId="52" fillId="41" borderId="0" xfId="0" applyFont="1" applyFill="1" applyAlignment="1" applyProtection="1">
      <alignment horizontal="left" vertical="top"/>
      <protection/>
    </xf>
    <xf numFmtId="0" fontId="13" fillId="41" borderId="0" xfId="0" applyFont="1" applyFill="1" applyAlignment="1" applyProtection="1">
      <alignment/>
      <protection/>
    </xf>
    <xf numFmtId="0" fontId="52" fillId="41" borderId="0" xfId="0" applyFont="1" applyFill="1" applyAlignment="1" applyProtection="1">
      <alignment horizontal="left" vertical="top" wrapText="1"/>
      <protection/>
    </xf>
    <xf numFmtId="0" fontId="13" fillId="0" borderId="0" xfId="0" applyFont="1" applyBorder="1" applyAlignment="1" applyProtection="1">
      <alignment/>
      <protection/>
    </xf>
    <xf numFmtId="196" fontId="15" fillId="0" borderId="0" xfId="0" applyNumberFormat="1" applyFont="1" applyAlignment="1">
      <alignment horizontal="center"/>
    </xf>
    <xf numFmtId="0" fontId="76" fillId="36" borderId="80" xfId="0" applyFont="1" applyFill="1" applyBorder="1" applyAlignment="1">
      <alignment horizontal="left" vertical="top" wrapText="1"/>
    </xf>
    <xf numFmtId="0" fontId="76" fillId="36" borderId="25" xfId="0" applyFont="1" applyFill="1" applyBorder="1" applyAlignment="1">
      <alignment horizontal="left" vertical="top" wrapText="1"/>
    </xf>
    <xf numFmtId="0" fontId="76" fillId="36" borderId="59" xfId="0" applyFont="1" applyFill="1" applyBorder="1" applyAlignment="1">
      <alignment horizontal="left" vertical="top" wrapText="1"/>
    </xf>
    <xf numFmtId="0" fontId="56" fillId="0" borderId="23" xfId="0" applyFont="1" applyBorder="1" applyAlignment="1">
      <alignment horizontal="left" vertical="top" wrapText="1"/>
    </xf>
    <xf numFmtId="0" fontId="58" fillId="0" borderId="10" xfId="0" applyFont="1" applyBorder="1" applyAlignment="1">
      <alignment horizontal="left" vertical="top" wrapText="1"/>
    </xf>
    <xf numFmtId="0" fontId="58" fillId="0" borderId="24" xfId="0" applyFont="1" applyBorder="1" applyAlignment="1">
      <alignment horizontal="left" vertical="top" wrapText="1"/>
    </xf>
    <xf numFmtId="0" fontId="68" fillId="36" borderId="23" xfId="0" applyFont="1" applyFill="1" applyBorder="1" applyAlignment="1">
      <alignment horizontal="left" vertical="top" wrapText="1"/>
    </xf>
    <xf numFmtId="0" fontId="78" fillId="36" borderId="10" xfId="0" applyFont="1" applyFill="1" applyBorder="1" applyAlignment="1">
      <alignment horizontal="left" vertical="top" wrapText="1"/>
    </xf>
    <xf numFmtId="0" fontId="78" fillId="36" borderId="24" xfId="0" applyFont="1" applyFill="1" applyBorder="1" applyAlignment="1">
      <alignment horizontal="left" vertical="top" wrapText="1"/>
    </xf>
    <xf numFmtId="0" fontId="53" fillId="36" borderId="10" xfId="0" applyFont="1" applyFill="1" applyBorder="1" applyAlignment="1">
      <alignment horizontal="left" vertical="top" wrapText="1"/>
    </xf>
    <xf numFmtId="0" fontId="53" fillId="36" borderId="24" xfId="0" applyFont="1" applyFill="1" applyBorder="1" applyAlignment="1">
      <alignment horizontal="left" vertical="top" wrapText="1"/>
    </xf>
    <xf numFmtId="0" fontId="81" fillId="36" borderId="10" xfId="0" applyFont="1" applyFill="1" applyBorder="1" applyAlignment="1">
      <alignment horizontal="left" vertical="top" wrapText="1"/>
    </xf>
    <xf numFmtId="0" fontId="81" fillId="36" borderId="24" xfId="0" applyFont="1" applyFill="1" applyBorder="1" applyAlignment="1">
      <alignment horizontal="left" vertical="top" wrapText="1"/>
    </xf>
    <xf numFmtId="0" fontId="68" fillId="36" borderId="23" xfId="87" applyFont="1" applyFill="1" applyBorder="1" applyAlignment="1">
      <alignment horizontal="left" vertical="top" wrapText="1"/>
      <protection/>
    </xf>
    <xf numFmtId="0" fontId="68" fillId="36" borderId="10" xfId="87" applyFont="1" applyFill="1" applyBorder="1" applyAlignment="1">
      <alignment horizontal="left" vertical="top" wrapText="1"/>
      <protection/>
    </xf>
    <xf numFmtId="0" fontId="68" fillId="36" borderId="24" xfId="87" applyFont="1" applyFill="1" applyBorder="1" applyAlignment="1">
      <alignment horizontal="left" vertical="top" wrapText="1"/>
      <protection/>
    </xf>
    <xf numFmtId="0" fontId="78" fillId="36" borderId="23" xfId="87" applyFont="1" applyFill="1" applyBorder="1" applyAlignment="1">
      <alignment horizontal="left" vertical="top" wrapText="1"/>
      <protection/>
    </xf>
    <xf numFmtId="0" fontId="78" fillId="36" borderId="10" xfId="87" applyFont="1" applyFill="1" applyBorder="1" applyAlignment="1">
      <alignment horizontal="left" vertical="top" wrapText="1"/>
      <protection/>
    </xf>
    <xf numFmtId="0" fontId="78" fillId="36" borderId="24" xfId="87" applyFont="1" applyFill="1" applyBorder="1" applyAlignment="1">
      <alignment horizontal="left" vertical="top" wrapText="1"/>
      <protection/>
    </xf>
    <xf numFmtId="0" fontId="79" fillId="36" borderId="10" xfId="0" applyFont="1" applyFill="1" applyBorder="1" applyAlignment="1">
      <alignment vertical="top" wrapText="1"/>
    </xf>
    <xf numFmtId="0" fontId="78" fillId="36" borderId="10" xfId="0" applyFont="1" applyFill="1" applyBorder="1" applyAlignment="1">
      <alignment vertical="top" wrapText="1"/>
    </xf>
    <xf numFmtId="0" fontId="78" fillId="36" borderId="24" xfId="0" applyFont="1" applyFill="1" applyBorder="1" applyAlignment="1">
      <alignment vertical="top" wrapText="1"/>
    </xf>
    <xf numFmtId="0" fontId="62" fillId="34" borderId="0" xfId="0" applyFont="1" applyFill="1" applyAlignment="1" applyProtection="1">
      <alignment horizontal="left"/>
      <protection/>
    </xf>
    <xf numFmtId="0" fontId="60" fillId="0" borderId="56" xfId="0" applyFont="1" applyBorder="1" applyAlignment="1" applyProtection="1">
      <alignment horizontal="left" vertical="top"/>
      <protection/>
    </xf>
    <xf numFmtId="0" fontId="60" fillId="0" borderId="57" xfId="0" applyFont="1" applyBorder="1" applyAlignment="1" applyProtection="1">
      <alignment horizontal="left" vertical="top"/>
      <protection/>
    </xf>
    <xf numFmtId="0" fontId="60" fillId="0" borderId="58" xfId="0" applyFont="1" applyBorder="1" applyAlignment="1" applyProtection="1">
      <alignment horizontal="left" vertical="top"/>
      <protection/>
    </xf>
    <xf numFmtId="0" fontId="60" fillId="0" borderId="15" xfId="0" applyFont="1" applyBorder="1" applyAlignment="1" applyProtection="1">
      <alignment horizontal="left" vertical="top"/>
      <protection/>
    </xf>
    <xf numFmtId="0" fontId="60" fillId="0" borderId="0" xfId="0" applyFont="1" applyBorder="1" applyAlignment="1" applyProtection="1">
      <alignment horizontal="left" vertical="top"/>
      <protection/>
    </xf>
    <xf numFmtId="0" fontId="60" fillId="0" borderId="16" xfId="0" applyFont="1" applyBorder="1" applyAlignment="1" applyProtection="1">
      <alignment horizontal="left" vertical="top"/>
      <protection/>
    </xf>
    <xf numFmtId="0" fontId="37" fillId="0" borderId="15"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37" fillId="0" borderId="16" xfId="0" applyFont="1" applyFill="1" applyBorder="1" applyAlignment="1" applyProtection="1">
      <alignment horizontal="left" vertical="top" wrapText="1"/>
      <protection/>
    </xf>
    <xf numFmtId="0" fontId="38" fillId="36" borderId="15" xfId="0" applyFont="1" applyFill="1" applyBorder="1" applyAlignment="1" applyProtection="1">
      <alignment horizontal="left" vertical="top" wrapText="1"/>
      <protection/>
    </xf>
    <xf numFmtId="0" fontId="38" fillId="36" borderId="0" xfId="0" applyFont="1" applyFill="1" applyBorder="1" applyAlignment="1" applyProtection="1">
      <alignment horizontal="left" vertical="top" wrapText="1"/>
      <protection/>
    </xf>
    <xf numFmtId="0" fontId="38" fillId="36" borderId="16" xfId="0" applyFont="1" applyFill="1" applyBorder="1" applyAlignment="1" applyProtection="1">
      <alignment horizontal="left" vertical="top" wrapText="1"/>
      <protection/>
    </xf>
    <xf numFmtId="0" fontId="38" fillId="0" borderId="35" xfId="0" applyFont="1" applyFill="1" applyBorder="1" applyAlignment="1" applyProtection="1">
      <alignment vertical="top" wrapText="1"/>
      <protection/>
    </xf>
    <xf numFmtId="0" fontId="0" fillId="0" borderId="0" xfId="0" applyAlignment="1">
      <alignment vertical="top" wrapText="1"/>
    </xf>
    <xf numFmtId="0" fontId="0" fillId="0" borderId="16" xfId="0" applyBorder="1" applyAlignment="1">
      <alignment vertical="top" wrapText="1"/>
    </xf>
    <xf numFmtId="0" fontId="87" fillId="36" borderId="80" xfId="0" applyFont="1" applyFill="1" applyBorder="1" applyAlignment="1" applyProtection="1">
      <alignment horizontal="left" wrapText="1"/>
      <protection/>
    </xf>
    <xf numFmtId="0" fontId="87" fillId="36" borderId="25" xfId="0" applyFont="1" applyFill="1" applyBorder="1" applyAlignment="1" applyProtection="1">
      <alignment horizontal="left" wrapText="1"/>
      <protection/>
    </xf>
    <xf numFmtId="0" fontId="87" fillId="36" borderId="59" xfId="0" applyFont="1" applyFill="1" applyBorder="1" applyAlignment="1" applyProtection="1">
      <alignment horizontal="left" wrapText="1"/>
      <protection/>
    </xf>
    <xf numFmtId="0" fontId="36" fillId="0" borderId="84" xfId="0" applyFont="1" applyFill="1" applyBorder="1" applyAlignment="1" applyProtection="1">
      <alignment horizontal="left" vertical="center" wrapText="1"/>
      <protection/>
    </xf>
    <xf numFmtId="0" fontId="0" fillId="0" borderId="53" xfId="0" applyBorder="1" applyAlignment="1">
      <alignment horizontal="left" vertical="center" wrapText="1"/>
    </xf>
    <xf numFmtId="0" fontId="36" fillId="0" borderId="115" xfId="0" applyFont="1" applyFill="1" applyBorder="1" applyAlignment="1" applyProtection="1">
      <alignment horizontal="left" vertical="center" wrapText="1"/>
      <protection/>
    </xf>
    <xf numFmtId="0" fontId="36" fillId="0" borderId="53" xfId="0" applyFont="1" applyFill="1" applyBorder="1" applyAlignment="1" applyProtection="1">
      <alignment horizontal="left" vertical="center" wrapText="1"/>
      <protection/>
    </xf>
    <xf numFmtId="0" fontId="34" fillId="42" borderId="0" xfId="0" applyFont="1" applyFill="1" applyAlignment="1" applyProtection="1">
      <alignment horizontal="left" vertical="top" wrapText="1"/>
      <protection/>
    </xf>
    <xf numFmtId="0" fontId="0" fillId="0" borderId="0" xfId="0" applyAlignment="1">
      <alignment horizontal="left" vertical="top"/>
    </xf>
    <xf numFmtId="0" fontId="34" fillId="43" borderId="0" xfId="0" applyFont="1" applyFill="1" applyAlignment="1" applyProtection="1">
      <alignment horizontal="left" vertical="top" wrapText="1"/>
      <protection/>
    </xf>
    <xf numFmtId="0" fontId="93" fillId="0" borderId="0" xfId="0" applyFont="1" applyAlignment="1" applyProtection="1">
      <alignment horizontal="left"/>
      <protection/>
    </xf>
    <xf numFmtId="0" fontId="52" fillId="0" borderId="0" xfId="0" applyFont="1" applyAlignment="1" applyProtection="1">
      <alignment horizontal="left"/>
      <protection/>
    </xf>
    <xf numFmtId="0" fontId="36" fillId="0" borderId="116" xfId="0" applyFont="1" applyFill="1" applyBorder="1" applyAlignment="1" applyProtection="1">
      <alignment horizontal="left" vertical="center" wrapText="1"/>
      <protection/>
    </xf>
    <xf numFmtId="0" fontId="36" fillId="0" borderId="117" xfId="0" applyFont="1" applyFill="1" applyBorder="1" applyAlignment="1" applyProtection="1">
      <alignment horizontal="left" vertical="center" wrapText="1"/>
      <protection/>
    </xf>
    <xf numFmtId="0" fontId="36" fillId="0" borderId="118" xfId="0" applyFont="1" applyFill="1" applyBorder="1" applyAlignment="1" applyProtection="1">
      <alignment horizontal="left" vertical="center" wrapText="1"/>
      <protection/>
    </xf>
    <xf numFmtId="0" fontId="36" fillId="0" borderId="119" xfId="0" applyFont="1" applyFill="1" applyBorder="1" applyAlignment="1" applyProtection="1">
      <alignment horizontal="left" vertical="center" wrapText="1"/>
      <protection/>
    </xf>
    <xf numFmtId="3" fontId="37" fillId="37" borderId="13" xfId="0" applyNumberFormat="1" applyFont="1" applyFill="1" applyBorder="1" applyAlignment="1" applyProtection="1">
      <alignment horizontal="center"/>
      <protection locked="0"/>
    </xf>
    <xf numFmtId="0" fontId="88" fillId="36" borderId="15" xfId="0" applyFont="1" applyFill="1" applyBorder="1" applyAlignment="1" applyProtection="1">
      <alignment horizontal="left" wrapText="1"/>
      <protection/>
    </xf>
    <xf numFmtId="0" fontId="8" fillId="36" borderId="0" xfId="0" applyFont="1" applyFill="1" applyBorder="1" applyAlignment="1" applyProtection="1">
      <alignment horizontal="left" wrapText="1"/>
      <protection/>
    </xf>
    <xf numFmtId="0" fontId="8" fillId="36" borderId="16" xfId="0" applyFont="1" applyFill="1" applyBorder="1" applyAlignment="1" applyProtection="1">
      <alignment horizontal="left" wrapText="1"/>
      <protection/>
    </xf>
    <xf numFmtId="0" fontId="36" fillId="0" borderId="23" xfId="0" applyFont="1" applyFill="1" applyBorder="1" applyAlignment="1" applyProtection="1">
      <alignment horizontal="center"/>
      <protection/>
    </xf>
    <xf numFmtId="0" fontId="0" fillId="0" borderId="24" xfId="0" applyBorder="1" applyAlignment="1">
      <alignment/>
    </xf>
    <xf numFmtId="0" fontId="6" fillId="37" borderId="0" xfId="0" applyFont="1" applyFill="1" applyAlignment="1" applyProtection="1">
      <alignment/>
      <protection/>
    </xf>
    <xf numFmtId="0" fontId="0" fillId="37" borderId="0" xfId="0" applyFill="1" applyAlignment="1">
      <alignment/>
    </xf>
    <xf numFmtId="0" fontId="38" fillId="0" borderId="15" xfId="0" applyFont="1" applyBorder="1" applyAlignment="1" applyProtection="1">
      <alignment horizontal="left"/>
      <protection/>
    </xf>
    <xf numFmtId="0" fontId="38" fillId="0" borderId="0" xfId="0" applyFont="1" applyBorder="1" applyAlignment="1" applyProtection="1">
      <alignment horizontal="left"/>
      <protection/>
    </xf>
    <xf numFmtId="0" fontId="43" fillId="0" borderId="25" xfId="0" applyFont="1" applyBorder="1" applyAlignment="1" applyProtection="1">
      <alignment horizontal="center"/>
      <protection/>
    </xf>
    <xf numFmtId="0" fontId="37" fillId="0" borderId="0" xfId="0" applyFont="1" applyFill="1" applyBorder="1" applyAlignment="1" applyProtection="1">
      <alignment horizontal="center"/>
      <protection/>
    </xf>
    <xf numFmtId="0" fontId="40" fillId="0" borderId="0" xfId="0" applyFont="1" applyAlignment="1" applyProtection="1">
      <alignment horizontal="center" vertical="center" wrapText="1"/>
      <protection/>
    </xf>
    <xf numFmtId="0" fontId="52" fillId="44" borderId="0" xfId="0" applyFont="1" applyFill="1" applyAlignment="1" applyProtection="1">
      <alignment horizontal="left" vertical="top" wrapText="1"/>
      <protection/>
    </xf>
    <xf numFmtId="0" fontId="8" fillId="0" borderId="15" xfId="0" applyFont="1" applyBorder="1" applyAlignment="1" applyProtection="1">
      <alignment horizontal="right"/>
      <protection/>
    </xf>
    <xf numFmtId="0" fontId="8" fillId="0" borderId="0" xfId="0" applyFont="1" applyBorder="1" applyAlignment="1" applyProtection="1">
      <alignment horizontal="right"/>
      <protection/>
    </xf>
    <xf numFmtId="3" fontId="8" fillId="0" borderId="23" xfId="0" applyNumberFormat="1" applyFont="1" applyBorder="1" applyAlignment="1" applyProtection="1">
      <alignment horizontal="center"/>
      <protection/>
    </xf>
    <xf numFmtId="3" fontId="8" fillId="0" borderId="24" xfId="0" applyNumberFormat="1" applyFont="1" applyBorder="1" applyAlignment="1" applyProtection="1">
      <alignment horizontal="center"/>
      <protection/>
    </xf>
    <xf numFmtId="0" fontId="39" fillId="36" borderId="15" xfId="89" applyFont="1" applyFill="1" applyBorder="1" applyAlignment="1" applyProtection="1">
      <alignment horizontal="left" vertical="top" wrapText="1"/>
      <protection/>
    </xf>
    <xf numFmtId="0" fontId="39" fillId="36" borderId="0" xfId="89" applyFont="1" applyFill="1" applyBorder="1" applyAlignment="1" applyProtection="1">
      <alignment horizontal="left" vertical="top" wrapText="1"/>
      <protection/>
    </xf>
    <xf numFmtId="0" fontId="39" fillId="36" borderId="16" xfId="89" applyFont="1" applyFill="1" applyBorder="1" applyAlignment="1" applyProtection="1">
      <alignment horizontal="left" vertical="top" wrapText="1"/>
      <protection/>
    </xf>
    <xf numFmtId="0" fontId="38" fillId="0" borderId="56" xfId="0" applyFont="1" applyBorder="1" applyAlignment="1" applyProtection="1">
      <alignment horizontal="left"/>
      <protection/>
    </xf>
    <xf numFmtId="0" fontId="38" fillId="0" borderId="57" xfId="0" applyFont="1" applyBorder="1" applyAlignment="1" applyProtection="1">
      <alignment horizontal="left"/>
      <protection/>
    </xf>
    <xf numFmtId="0" fontId="38" fillId="0" borderId="58" xfId="0" applyFont="1" applyBorder="1" applyAlignment="1" applyProtection="1">
      <alignment horizontal="left"/>
      <protection/>
    </xf>
    <xf numFmtId="0" fontId="40" fillId="0" borderId="0" xfId="0" applyFont="1" applyFill="1" applyAlignment="1" applyProtection="1">
      <alignment horizontal="center" vertical="center" wrapText="1"/>
      <protection/>
    </xf>
    <xf numFmtId="0" fontId="34" fillId="33" borderId="0" xfId="0" applyFont="1" applyFill="1" applyAlignment="1" applyProtection="1">
      <alignment horizontal="left" vertical="top" wrapText="1"/>
      <protection/>
    </xf>
    <xf numFmtId="0" fontId="39" fillId="0" borderId="120" xfId="0" applyFont="1" applyBorder="1" applyAlignment="1" applyProtection="1">
      <alignment horizontal="right"/>
      <protection/>
    </xf>
    <xf numFmtId="0" fontId="39" fillId="0" borderId="29" xfId="0" applyFont="1" applyBorder="1" applyAlignment="1" applyProtection="1">
      <alignment horizontal="right"/>
      <protection/>
    </xf>
    <xf numFmtId="0" fontId="39" fillId="0" borderId="30" xfId="0" applyFont="1" applyBorder="1" applyAlignment="1" applyProtection="1">
      <alignment horizontal="right"/>
      <protection/>
    </xf>
    <xf numFmtId="0" fontId="39" fillId="36" borderId="52" xfId="0" applyFont="1" applyFill="1" applyBorder="1" applyAlignment="1" applyProtection="1">
      <alignment horizontal="left" wrapText="1"/>
      <protection/>
    </xf>
    <xf numFmtId="0" fontId="38" fillId="36" borderId="43" xfId="0" applyFont="1" applyFill="1" applyBorder="1" applyAlignment="1" applyProtection="1">
      <alignment horizontal="left" wrapText="1"/>
      <protection/>
    </xf>
    <xf numFmtId="0" fontId="38" fillId="36" borderId="46" xfId="0" applyFont="1" applyFill="1" applyBorder="1" applyAlignment="1" applyProtection="1">
      <alignment horizontal="left" wrapText="1"/>
      <protection/>
    </xf>
    <xf numFmtId="0" fontId="38" fillId="0" borderId="20" xfId="0" applyFont="1" applyBorder="1" applyAlignment="1" applyProtection="1">
      <alignment horizontal="left" wrapText="1"/>
      <protection/>
    </xf>
    <xf numFmtId="0" fontId="38" fillId="0" borderId="14" xfId="0" applyFont="1" applyBorder="1" applyAlignment="1" applyProtection="1">
      <alignment horizontal="left" wrapText="1"/>
      <protection/>
    </xf>
    <xf numFmtId="0" fontId="38" fillId="0" borderId="21" xfId="0" applyFont="1" applyBorder="1" applyAlignment="1" applyProtection="1">
      <alignment horizontal="left" wrapText="1"/>
      <protection/>
    </xf>
    <xf numFmtId="0" fontId="52" fillId="45" borderId="0" xfId="0" applyFont="1" applyFill="1" applyAlignment="1" applyProtection="1">
      <alignment horizontal="left" vertical="top" wrapText="1"/>
      <protection/>
    </xf>
    <xf numFmtId="0" fontId="0" fillId="0" borderId="0" xfId="0" applyAlignment="1">
      <alignment/>
    </xf>
    <xf numFmtId="0" fontId="38" fillId="0" borderId="35" xfId="0" applyFont="1" applyFill="1" applyBorder="1" applyAlignment="1" applyProtection="1">
      <alignment horizontal="left" wrapText="1"/>
      <protection/>
    </xf>
    <xf numFmtId="0" fontId="38" fillId="0" borderId="0" xfId="0" applyFont="1" applyFill="1" applyBorder="1" applyAlignment="1" applyProtection="1">
      <alignment horizontal="left" wrapText="1"/>
      <protection/>
    </xf>
    <xf numFmtId="0" fontId="38" fillId="0" borderId="16" xfId="0" applyFont="1" applyFill="1" applyBorder="1" applyAlignment="1" applyProtection="1">
      <alignment horizontal="left" wrapText="1"/>
      <protection/>
    </xf>
    <xf numFmtId="0" fontId="38" fillId="36" borderId="121" xfId="0" applyFont="1" applyFill="1" applyBorder="1" applyAlignment="1" applyProtection="1">
      <alignment horizontal="left" wrapText="1"/>
      <protection/>
    </xf>
    <xf numFmtId="0" fontId="38" fillId="36" borderId="25" xfId="0" applyFont="1" applyFill="1" applyBorder="1" applyAlignment="1" applyProtection="1">
      <alignment horizontal="left" wrapText="1"/>
      <protection/>
    </xf>
    <xf numFmtId="0" fontId="38" fillId="36" borderId="59" xfId="0" applyFont="1" applyFill="1" applyBorder="1" applyAlignment="1" applyProtection="1">
      <alignment horizontal="left" wrapText="1"/>
      <protection/>
    </xf>
    <xf numFmtId="0" fontId="38" fillId="0" borderId="15" xfId="0" applyFont="1" applyFill="1" applyBorder="1" applyAlignment="1" applyProtection="1">
      <alignment horizontal="left" wrapText="1"/>
      <protection/>
    </xf>
    <xf numFmtId="0" fontId="52" fillId="41" borderId="0" xfId="0" applyFont="1" applyFill="1" applyAlignment="1" applyProtection="1">
      <alignment horizontal="left" vertical="top" wrapText="1"/>
      <protection/>
    </xf>
    <xf numFmtId="0" fontId="91" fillId="41" borderId="0" xfId="0" applyFont="1" applyFill="1" applyAlignment="1">
      <alignment wrapText="1"/>
    </xf>
    <xf numFmtId="0" fontId="37" fillId="36" borderId="80" xfId="0" applyFont="1" applyFill="1" applyBorder="1" applyAlignment="1" applyProtection="1">
      <alignment horizontal="left" wrapText="1"/>
      <protection/>
    </xf>
    <xf numFmtId="0" fontId="37" fillId="36" borderId="25" xfId="0" applyFont="1" applyFill="1" applyBorder="1" applyAlignment="1" applyProtection="1">
      <alignment horizontal="left" wrapText="1"/>
      <protection/>
    </xf>
    <xf numFmtId="0" fontId="37" fillId="36" borderId="59" xfId="0" applyFont="1" applyFill="1" applyBorder="1" applyAlignment="1" applyProtection="1">
      <alignment horizontal="left" wrapText="1"/>
      <protection/>
    </xf>
    <xf numFmtId="0" fontId="8" fillId="0" borderId="120" xfId="0" applyFont="1" applyBorder="1" applyAlignment="1" applyProtection="1">
      <alignment horizontal="right"/>
      <protection/>
    </xf>
    <xf numFmtId="0" fontId="0" fillId="0" borderId="29" xfId="0" applyFont="1" applyBorder="1" applyAlignment="1" applyProtection="1">
      <alignment/>
      <protection/>
    </xf>
    <xf numFmtId="171" fontId="8" fillId="0" borderId="29" xfId="0" applyNumberFormat="1" applyFont="1" applyFill="1" applyBorder="1" applyAlignment="1" applyProtection="1">
      <alignment horizontal="center"/>
      <protection/>
    </xf>
    <xf numFmtId="171" fontId="0" fillId="0" borderId="29" xfId="0" applyNumberFormat="1" applyBorder="1" applyAlignment="1" applyProtection="1">
      <alignment/>
      <protection/>
    </xf>
    <xf numFmtId="0" fontId="36" fillId="0" borderId="122" xfId="0" applyFont="1" applyFill="1" applyBorder="1" applyAlignment="1" applyProtection="1">
      <alignment horizontal="left" vertical="center" wrapText="1"/>
      <protection/>
    </xf>
    <xf numFmtId="0" fontId="36" fillId="0" borderId="75" xfId="0" applyFont="1" applyFill="1" applyBorder="1" applyAlignment="1" applyProtection="1">
      <alignment horizontal="left" vertical="center" wrapText="1"/>
      <protection/>
    </xf>
    <xf numFmtId="0" fontId="36" fillId="36" borderId="84" xfId="0" applyFont="1" applyFill="1" applyBorder="1" applyAlignment="1" applyProtection="1">
      <alignment horizontal="left" vertical="center" wrapText="1"/>
      <protection/>
    </xf>
    <xf numFmtId="0" fontId="36" fillId="36" borderId="53" xfId="0" applyFont="1" applyFill="1" applyBorder="1" applyAlignment="1" applyProtection="1">
      <alignment horizontal="left" vertical="center" wrapText="1"/>
      <protection/>
    </xf>
    <xf numFmtId="0" fontId="52" fillId="40" borderId="0" xfId="0" applyFont="1" applyFill="1" applyAlignment="1" applyProtection="1">
      <alignment horizontal="left" vertical="top" wrapText="1"/>
      <protection/>
    </xf>
    <xf numFmtId="0" fontId="49" fillId="0" borderId="123" xfId="0" applyFont="1" applyBorder="1" applyAlignment="1" applyProtection="1">
      <alignment horizontal="left"/>
      <protection/>
    </xf>
    <xf numFmtId="0" fontId="49" fillId="0" borderId="0" xfId="0" applyFont="1" applyBorder="1" applyAlignment="1" applyProtection="1">
      <alignment horizontal="left"/>
      <protection/>
    </xf>
    <xf numFmtId="0" fontId="52" fillId="46" borderId="0" xfId="0" applyFont="1" applyFill="1" applyAlignment="1" applyProtection="1">
      <alignment horizontal="left" vertical="top" wrapText="1"/>
      <protection/>
    </xf>
    <xf numFmtId="0" fontId="36" fillId="36" borderId="111" xfId="0" applyFont="1" applyFill="1" applyBorder="1" applyAlignment="1" applyProtection="1">
      <alignment horizontal="left" vertical="center" wrapText="1"/>
      <protection/>
    </xf>
    <xf numFmtId="0" fontId="0" fillId="36" borderId="124" xfId="0" applyFill="1" applyBorder="1" applyAlignment="1">
      <alignment horizontal="left" vertical="center" wrapText="1"/>
    </xf>
    <xf numFmtId="0" fontId="36" fillId="0" borderId="111" xfId="0" applyFont="1" applyFill="1" applyBorder="1" applyAlignment="1" applyProtection="1">
      <alignment horizontal="left" vertical="center" wrapText="1"/>
      <protection/>
    </xf>
    <xf numFmtId="0" fontId="0" fillId="0" borderId="124" xfId="0" applyBorder="1" applyAlignment="1">
      <alignment horizontal="left" vertical="center" wrapText="1"/>
    </xf>
    <xf numFmtId="0" fontId="36" fillId="36" borderId="118" xfId="0" applyFont="1" applyFill="1" applyBorder="1" applyAlignment="1" applyProtection="1">
      <alignment horizontal="left" vertical="center" wrapText="1"/>
      <protection/>
    </xf>
    <xf numFmtId="0" fontId="36" fillId="36" borderId="119" xfId="0" applyFont="1" applyFill="1" applyBorder="1" applyAlignment="1" applyProtection="1">
      <alignment horizontal="left" vertical="center" wrapText="1"/>
      <protection/>
    </xf>
    <xf numFmtId="0" fontId="52" fillId="0" borderId="15" xfId="0" applyFont="1" applyBorder="1" applyAlignment="1" applyProtection="1">
      <alignment horizontal="left"/>
      <protection/>
    </xf>
    <xf numFmtId="0" fontId="52" fillId="0" borderId="0" xfId="0" applyFont="1" applyBorder="1" applyAlignment="1" applyProtection="1">
      <alignment horizontal="left"/>
      <protection/>
    </xf>
    <xf numFmtId="0" fontId="52" fillId="0" borderId="16" xfId="0" applyFont="1" applyBorder="1" applyAlignment="1" applyProtection="1">
      <alignment horizontal="left"/>
      <protection/>
    </xf>
    <xf numFmtId="0" fontId="39" fillId="36" borderId="56" xfId="88" applyFont="1" applyFill="1" applyBorder="1" applyAlignment="1" applyProtection="1">
      <alignment vertical="top" wrapText="1"/>
      <protection/>
    </xf>
    <xf numFmtId="0" fontId="0" fillId="36" borderId="57" xfId="88" applyFill="1" applyBorder="1" applyAlignment="1">
      <alignment vertical="top" wrapText="1"/>
      <protection/>
    </xf>
    <xf numFmtId="0" fontId="0" fillId="36" borderId="58" xfId="88" applyFill="1" applyBorder="1" applyAlignment="1">
      <alignment vertical="top" wrapText="1"/>
      <protection/>
    </xf>
    <xf numFmtId="0" fontId="0" fillId="36" borderId="15" xfId="88" applyFill="1" applyBorder="1" applyAlignment="1">
      <alignment vertical="top" wrapText="1"/>
      <protection/>
    </xf>
    <xf numFmtId="0" fontId="0" fillId="36" borderId="0" xfId="88" applyFill="1" applyAlignment="1">
      <alignment vertical="top" wrapText="1"/>
      <protection/>
    </xf>
    <xf numFmtId="0" fontId="0" fillId="36" borderId="16" xfId="88" applyFill="1" applyBorder="1" applyAlignment="1">
      <alignment vertical="top" wrapText="1"/>
      <protection/>
    </xf>
    <xf numFmtId="0" fontId="52" fillId="36" borderId="56" xfId="0" applyFont="1" applyFill="1" applyBorder="1" applyAlignment="1" applyProtection="1">
      <alignment horizontal="left" vertical="top" wrapText="1"/>
      <protection/>
    </xf>
    <xf numFmtId="0" fontId="52" fillId="36" borderId="57" xfId="0" applyFont="1" applyFill="1" applyBorder="1" applyAlignment="1" applyProtection="1">
      <alignment horizontal="left" vertical="top" wrapText="1"/>
      <protection/>
    </xf>
    <xf numFmtId="0" fontId="52" fillId="0" borderId="15" xfId="0" applyFont="1" applyBorder="1" applyAlignment="1" applyProtection="1">
      <alignment horizontal="left" vertical="top" wrapText="1"/>
      <protection/>
    </xf>
    <xf numFmtId="0" fontId="52" fillId="0" borderId="0" xfId="0" applyFont="1" applyBorder="1" applyAlignment="1" applyProtection="1">
      <alignment horizontal="left" vertical="top" wrapText="1"/>
      <protection/>
    </xf>
    <xf numFmtId="0" fontId="93" fillId="0" borderId="15" xfId="0" applyFont="1" applyBorder="1" applyAlignment="1" applyProtection="1">
      <alignment horizontal="left" vertical="top" wrapText="1"/>
      <protection/>
    </xf>
    <xf numFmtId="0" fontId="93" fillId="0" borderId="0" xfId="0" applyFont="1" applyBorder="1" applyAlignment="1" applyProtection="1">
      <alignment horizontal="left" vertical="top" wrapText="1"/>
      <protection/>
    </xf>
    <xf numFmtId="0" fontId="93" fillId="0" borderId="16" xfId="0" applyFont="1" applyBorder="1" applyAlignment="1" applyProtection="1">
      <alignment horizontal="left" vertical="top" wrapText="1"/>
      <protection/>
    </xf>
    <xf numFmtId="0" fontId="39" fillId="36" borderId="80" xfId="90" applyFont="1" applyFill="1" applyBorder="1" applyAlignment="1" applyProtection="1">
      <alignment horizontal="left" vertical="top" wrapText="1"/>
      <protection/>
    </xf>
    <xf numFmtId="0" fontId="39" fillId="36" borderId="25" xfId="90" applyFont="1" applyFill="1" applyBorder="1" applyAlignment="1" applyProtection="1">
      <alignment horizontal="left" vertical="top" wrapText="1"/>
      <protection/>
    </xf>
    <xf numFmtId="0" fontId="39" fillId="36" borderId="59" xfId="90" applyFont="1" applyFill="1" applyBorder="1" applyAlignment="1" applyProtection="1">
      <alignment horizontal="left" vertical="top" wrapText="1"/>
      <protection/>
    </xf>
    <xf numFmtId="0" fontId="38" fillId="0" borderId="80" xfId="0" applyFont="1" applyBorder="1" applyAlignment="1" applyProtection="1">
      <alignment horizontal="left"/>
      <protection/>
    </xf>
    <xf numFmtId="0" fontId="38" fillId="0" borderId="25" xfId="0" applyFont="1" applyBorder="1" applyAlignment="1" applyProtection="1">
      <alignment horizontal="left"/>
      <protection/>
    </xf>
    <xf numFmtId="0" fontId="38" fillId="0" borderId="59" xfId="0" applyFont="1" applyBorder="1" applyAlignment="1" applyProtection="1">
      <alignment horizontal="left"/>
      <protection/>
    </xf>
    <xf numFmtId="0" fontId="39" fillId="0" borderId="125" xfId="0" applyFont="1" applyBorder="1" applyAlignment="1" applyProtection="1">
      <alignment horizontal="right"/>
      <protection/>
    </xf>
    <xf numFmtId="0" fontId="39" fillId="0" borderId="126" xfId="0" applyFont="1" applyBorder="1" applyAlignment="1" applyProtection="1">
      <alignment horizontal="right"/>
      <protection/>
    </xf>
    <xf numFmtId="0" fontId="39" fillId="0" borderId="127" xfId="0" applyFont="1" applyBorder="1" applyAlignment="1" applyProtection="1">
      <alignment horizontal="right"/>
      <protection/>
    </xf>
    <xf numFmtId="0" fontId="60" fillId="0" borderId="0" xfId="0" applyFont="1" applyAlignment="1" applyProtection="1">
      <alignment horizontal="left" vertical="top" wrapText="1"/>
      <protection/>
    </xf>
    <xf numFmtId="0" fontId="52" fillId="0" borderId="0" xfId="0" applyFont="1" applyAlignment="1" applyProtection="1">
      <alignment horizontal="left" vertical="top" wrapText="1"/>
      <protection/>
    </xf>
    <xf numFmtId="0" fontId="0" fillId="0" borderId="0" xfId="0" applyBorder="1" applyAlignment="1">
      <alignment horizontal="center"/>
    </xf>
    <xf numFmtId="3" fontId="0" fillId="0" borderId="20" xfId="0" applyNumberFormat="1" applyBorder="1" applyAlignment="1">
      <alignment horizontal="center"/>
    </xf>
    <xf numFmtId="3" fontId="0" fillId="0" borderId="14" xfId="0" applyNumberFormat="1" applyBorder="1" applyAlignment="1">
      <alignment horizontal="center"/>
    </xf>
    <xf numFmtId="0" fontId="72" fillId="0" borderId="19" xfId="0" applyFont="1" applyBorder="1" applyAlignment="1">
      <alignment wrapText="1"/>
    </xf>
    <xf numFmtId="0" fontId="0" fillId="0" borderId="0" xfId="0" applyAlignment="1">
      <alignment wrapText="1"/>
    </xf>
    <xf numFmtId="0" fontId="0" fillId="0" borderId="19" xfId="0" applyBorder="1" applyAlignment="1">
      <alignment wrapText="1"/>
    </xf>
    <xf numFmtId="0" fontId="72" fillId="0" borderId="19" xfId="0" applyFont="1"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8" fillId="36" borderId="128" xfId="0" applyFont="1" applyFill="1" applyBorder="1" applyAlignment="1">
      <alignment horizontal="center" vertical="top" wrapText="1"/>
    </xf>
    <xf numFmtId="0" fontId="8" fillId="36" borderId="129" xfId="0" applyFont="1" applyFill="1" applyBorder="1" applyAlignment="1">
      <alignment horizontal="center" vertical="top" wrapText="1"/>
    </xf>
    <xf numFmtId="0" fontId="8" fillId="36" borderId="130" xfId="0" applyFont="1" applyFill="1" applyBorder="1" applyAlignment="1">
      <alignment horizontal="center" vertical="top" wrapText="1"/>
    </xf>
    <xf numFmtId="0" fontId="0" fillId="36" borderId="128" xfId="0" applyFont="1" applyFill="1" applyBorder="1" applyAlignment="1">
      <alignment wrapText="1"/>
    </xf>
    <xf numFmtId="0" fontId="0" fillId="36" borderId="129" xfId="0" applyFill="1" applyBorder="1" applyAlignment="1">
      <alignment/>
    </xf>
    <xf numFmtId="0" fontId="0" fillId="36" borderId="52" xfId="0" applyFont="1" applyFill="1" applyBorder="1" applyAlignment="1">
      <alignment wrapText="1"/>
    </xf>
    <xf numFmtId="0" fontId="0" fillId="36" borderId="43" xfId="0" applyFill="1" applyBorder="1" applyAlignment="1">
      <alignment/>
    </xf>
    <xf numFmtId="168" fontId="0" fillId="36" borderId="52" xfId="0" applyNumberFormat="1" applyFont="1" applyFill="1" applyBorder="1" applyAlignment="1">
      <alignment wrapText="1"/>
    </xf>
    <xf numFmtId="168" fontId="0" fillId="36" borderId="43" xfId="0" applyNumberFormat="1" applyFill="1" applyBorder="1" applyAlignment="1">
      <alignment/>
    </xf>
    <xf numFmtId="0" fontId="52" fillId="0" borderId="0" xfId="0" applyFont="1" applyAlignment="1" applyProtection="1">
      <alignment vertical="top" wrapText="1"/>
      <protection/>
    </xf>
    <xf numFmtId="0" fontId="2" fillId="0" borderId="19" xfId="79" applyBorder="1" applyAlignment="1" applyProtection="1">
      <alignment wrapText="1"/>
      <protection/>
    </xf>
    <xf numFmtId="0" fontId="18" fillId="0" borderId="0" xfId="79" applyFont="1" applyBorder="1" applyAlignment="1" applyProtection="1">
      <alignment wrapText="1"/>
      <protection/>
    </xf>
    <xf numFmtId="0" fontId="52" fillId="36" borderId="0" xfId="0" applyFont="1" applyFill="1" applyAlignment="1" applyProtection="1">
      <alignment horizontal="left" vertical="top" wrapText="1"/>
      <protection/>
    </xf>
    <xf numFmtId="0" fontId="2" fillId="0" borderId="0" xfId="79" applyBorder="1" applyAlignment="1" applyProtection="1">
      <alignment wrapText="1"/>
      <protection/>
    </xf>
    <xf numFmtId="0" fontId="93" fillId="0" borderId="0" xfId="0" applyFont="1" applyAlignment="1" applyProtection="1">
      <alignment horizontal="left" vertical="top" wrapText="1"/>
      <protection/>
    </xf>
    <xf numFmtId="0" fontId="15" fillId="0" borderId="0" xfId="0" applyFont="1" applyFill="1" applyBorder="1" applyAlignment="1">
      <alignment horizontal="left" vertical="center" wrapText="1"/>
    </xf>
    <xf numFmtId="0" fontId="94" fillId="33" borderId="0" xfId="0" applyFont="1" applyFill="1" applyAlignment="1" applyProtection="1">
      <alignment horizontal="left"/>
      <protection/>
    </xf>
    <xf numFmtId="0" fontId="13" fillId="0" borderId="10" xfId="0" applyFont="1" applyFill="1" applyBorder="1" applyAlignment="1">
      <alignment horizontal="left" wrapText="1"/>
    </xf>
    <xf numFmtId="0" fontId="15" fillId="0" borderId="25" xfId="0" applyFont="1" applyFill="1" applyBorder="1" applyAlignment="1">
      <alignment horizontal="left"/>
    </xf>
    <xf numFmtId="0" fontId="6" fillId="0" borderId="0" xfId="0" applyFont="1" applyFill="1" applyBorder="1" applyAlignment="1">
      <alignment horizontal="left" wrapText="1"/>
    </xf>
    <xf numFmtId="0" fontId="0" fillId="0" borderId="0" xfId="0" applyFont="1" applyFill="1" applyBorder="1" applyAlignment="1">
      <alignment wrapText="1"/>
    </xf>
    <xf numFmtId="0" fontId="8" fillId="0" borderId="0" xfId="0" applyFont="1" applyFill="1" applyBorder="1" applyAlignment="1">
      <alignment horizontal="center"/>
    </xf>
    <xf numFmtId="0" fontId="6" fillId="0" borderId="0" xfId="0" applyFont="1" applyFill="1" applyAlignment="1">
      <alignment wrapText="1"/>
    </xf>
    <xf numFmtId="0" fontId="13" fillId="0" borderId="25" xfId="0" applyFont="1" applyFill="1" applyBorder="1" applyAlignment="1">
      <alignment horizontal="left"/>
    </xf>
    <xf numFmtId="0" fontId="0" fillId="0" borderId="25" xfId="0" applyBorder="1" applyAlignment="1">
      <alignment horizontal="left"/>
    </xf>
    <xf numFmtId="0" fontId="2" fillId="0" borderId="19" xfId="79" applyFill="1" applyBorder="1" applyAlignment="1" applyProtection="1">
      <alignment wrapText="1"/>
      <protection/>
    </xf>
    <xf numFmtId="0" fontId="34" fillId="0" borderId="0" xfId="0" applyFont="1" applyAlignment="1" applyProtection="1">
      <alignment horizontal="center" vertical="center" wrapText="1"/>
      <protection/>
    </xf>
    <xf numFmtId="0" fontId="6" fillId="37" borderId="0" xfId="0" applyNumberFormat="1" applyFont="1" applyFill="1" applyAlignment="1" applyProtection="1">
      <alignment/>
      <protection/>
    </xf>
    <xf numFmtId="0" fontId="0" fillId="37" borderId="0" xfId="0" applyNumberFormat="1" applyFill="1" applyAlignment="1">
      <alignment/>
    </xf>
    <xf numFmtId="0" fontId="39" fillId="0" borderId="120" xfId="0" applyFont="1" applyBorder="1" applyAlignment="1" applyProtection="1">
      <alignment wrapText="1"/>
      <protection/>
    </xf>
    <xf numFmtId="0" fontId="0" fillId="0" borderId="30" xfId="0" applyBorder="1" applyAlignment="1">
      <alignment wrapText="1"/>
    </xf>
    <xf numFmtId="0" fontId="39" fillId="0" borderId="125" xfId="0" applyFont="1" applyBorder="1" applyAlignment="1" applyProtection="1">
      <alignment wrapText="1"/>
      <protection/>
    </xf>
    <xf numFmtId="0" fontId="0" fillId="0" borderId="127" xfId="0" applyBorder="1" applyAlignment="1">
      <alignment wrapText="1"/>
    </xf>
    <xf numFmtId="0" fontId="6" fillId="0" borderId="0" xfId="0" applyFont="1" applyAlignment="1" applyProtection="1">
      <alignment horizontal="left" wrapText="1"/>
      <protection/>
    </xf>
    <xf numFmtId="0" fontId="0" fillId="0" borderId="0" xfId="0" applyAlignment="1">
      <alignment horizontal="left" wrapText="1"/>
    </xf>
    <xf numFmtId="0" fontId="38" fillId="0" borderId="56" xfId="0" applyFont="1" applyBorder="1" applyAlignment="1" applyProtection="1">
      <alignment horizontal="left" wrapText="1"/>
      <protection/>
    </xf>
    <xf numFmtId="0" fontId="38" fillId="0" borderId="57" xfId="0" applyFont="1" applyBorder="1" applyAlignment="1" applyProtection="1">
      <alignment horizontal="left" wrapText="1"/>
      <protection/>
    </xf>
    <xf numFmtId="0" fontId="38" fillId="0" borderId="58" xfId="0" applyFont="1" applyBorder="1" applyAlignment="1" applyProtection="1">
      <alignment horizontal="left" wrapText="1"/>
      <protection/>
    </xf>
    <xf numFmtId="0" fontId="38" fillId="0" borderId="15" xfId="0" applyFont="1" applyBorder="1" applyAlignment="1" applyProtection="1">
      <alignment horizontal="left" wrapText="1"/>
      <protection/>
    </xf>
    <xf numFmtId="0" fontId="38" fillId="0" borderId="0" xfId="0" applyFont="1" applyBorder="1" applyAlignment="1" applyProtection="1">
      <alignment horizontal="left" wrapText="1"/>
      <protection/>
    </xf>
    <xf numFmtId="0" fontId="38" fillId="0" borderId="16" xfId="0" applyFont="1" applyBorder="1" applyAlignment="1" applyProtection="1">
      <alignment horizontal="left" wrapText="1"/>
      <protection/>
    </xf>
    <xf numFmtId="0" fontId="90" fillId="0" borderId="68" xfId="0" applyFont="1" applyBorder="1" applyAlignment="1" applyProtection="1">
      <alignment horizontal="left" vertical="center" wrapText="1"/>
      <protection/>
    </xf>
    <xf numFmtId="0" fontId="90" fillId="0" borderId="110" xfId="0" applyFont="1" applyBorder="1" applyAlignment="1">
      <alignment horizontal="left" wrapText="1"/>
    </xf>
    <xf numFmtId="0" fontId="90" fillId="0" borderId="54" xfId="0" applyFont="1" applyBorder="1" applyAlignment="1">
      <alignment horizontal="left" wrapText="1"/>
    </xf>
  </cellXfs>
  <cellStyles count="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2" xfId="49"/>
    <cellStyle name="Comma 3" xfId="50"/>
    <cellStyle name="Comma 4" xfId="51"/>
    <cellStyle name="Comma 5" xfId="52"/>
    <cellStyle name="Comma 6" xfId="53"/>
    <cellStyle name="Comma 7" xfId="54"/>
    <cellStyle name="Comma 8" xfId="55"/>
    <cellStyle name="Comma 9" xfId="56"/>
    <cellStyle name="Currency" xfId="57"/>
    <cellStyle name="Currency [0]" xfId="58"/>
    <cellStyle name="Currency 10" xfId="59"/>
    <cellStyle name="Currency 11" xfId="60"/>
    <cellStyle name="Currency 12" xfId="61"/>
    <cellStyle name="Currency 13" xfId="62"/>
    <cellStyle name="Currency 14" xfId="63"/>
    <cellStyle name="Currency 2" xfId="64"/>
    <cellStyle name="Currency 3" xfId="65"/>
    <cellStyle name="Currency 4" xfId="66"/>
    <cellStyle name="Currency 5" xfId="67"/>
    <cellStyle name="Currency 6" xfId="68"/>
    <cellStyle name="Currency 7" xfId="69"/>
    <cellStyle name="Currency 8" xfId="70"/>
    <cellStyle name="Currency 9"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Hyperlink 2" xfId="80"/>
    <cellStyle name="Hyperlink 3" xfId="81"/>
    <cellStyle name="Hyperlink 4" xfId="82"/>
    <cellStyle name="Hyperlink 5" xfId="83"/>
    <cellStyle name="Input" xfId="84"/>
    <cellStyle name="Linked Cell" xfId="85"/>
    <cellStyle name="Neutral" xfId="86"/>
    <cellStyle name="Normal 2" xfId="87"/>
    <cellStyle name="Normal 3" xfId="88"/>
    <cellStyle name="Normal 4" xfId="89"/>
    <cellStyle name="Normal 5" xfId="90"/>
    <cellStyle name="Note" xfId="91"/>
    <cellStyle name="Output" xfId="92"/>
    <cellStyle name="Percent" xfId="93"/>
    <cellStyle name="Percent 10" xfId="94"/>
    <cellStyle name="Percent 11" xfId="95"/>
    <cellStyle name="Percent 12" xfId="96"/>
    <cellStyle name="Percent 13" xfId="97"/>
    <cellStyle name="Percent 14" xfId="98"/>
    <cellStyle name="Percent 2" xfId="99"/>
    <cellStyle name="Percent 3" xfId="100"/>
    <cellStyle name="Percent 4" xfId="101"/>
    <cellStyle name="Percent 5" xfId="102"/>
    <cellStyle name="Percent 6" xfId="103"/>
    <cellStyle name="Percent 7" xfId="104"/>
    <cellStyle name="Percent 8" xfId="105"/>
    <cellStyle name="Percent 9" xfId="106"/>
    <cellStyle name="Title" xfId="107"/>
    <cellStyle name="Total" xfId="108"/>
    <cellStyle name="Warning Text"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0</xdr:col>
      <xdr:colOff>704850</xdr:colOff>
      <xdr:row>4</xdr:row>
      <xdr:rowOff>9525</xdr:rowOff>
    </xdr:to>
    <xdr:pic>
      <xdr:nvPicPr>
        <xdr:cNvPr id="1" name="Picture 3" descr="epa_seal_small"/>
        <xdr:cNvPicPr preferRelativeResize="1">
          <a:picLocks noChangeAspect="1"/>
        </xdr:cNvPicPr>
      </xdr:nvPicPr>
      <xdr:blipFill>
        <a:blip r:embed="rId1"/>
        <a:stretch>
          <a:fillRect/>
        </a:stretch>
      </xdr:blipFill>
      <xdr:spPr>
        <a:xfrm>
          <a:off x="19050" y="9525"/>
          <a:ext cx="6858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800100</xdr:colOff>
      <xdr:row>4</xdr:row>
      <xdr:rowOff>114300</xdr:rowOff>
    </xdr:to>
    <xdr:pic>
      <xdr:nvPicPr>
        <xdr:cNvPr id="1" name="Picture 3" descr="epa_seal_small"/>
        <xdr:cNvPicPr preferRelativeResize="1">
          <a:picLocks noChangeAspect="1"/>
        </xdr:cNvPicPr>
      </xdr:nvPicPr>
      <xdr:blipFill>
        <a:blip r:embed="rId1"/>
        <a:stretch>
          <a:fillRect/>
        </a:stretch>
      </xdr:blipFill>
      <xdr:spPr>
        <a:xfrm>
          <a:off x="114300" y="114300"/>
          <a:ext cx="68580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114300</xdr:rowOff>
    </xdr:from>
    <xdr:to>
      <xdr:col>0</xdr:col>
      <xdr:colOff>704850</xdr:colOff>
      <xdr:row>4</xdr:row>
      <xdr:rowOff>114300</xdr:rowOff>
    </xdr:to>
    <xdr:pic>
      <xdr:nvPicPr>
        <xdr:cNvPr id="1" name="Picture 26" descr="epa_seal_small"/>
        <xdr:cNvPicPr preferRelativeResize="1">
          <a:picLocks noChangeAspect="1"/>
        </xdr:cNvPicPr>
      </xdr:nvPicPr>
      <xdr:blipFill>
        <a:blip r:embed="rId1"/>
        <a:stretch>
          <a:fillRect/>
        </a:stretch>
      </xdr:blipFill>
      <xdr:spPr>
        <a:xfrm>
          <a:off x="19050" y="114300"/>
          <a:ext cx="6858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0</xdr:rowOff>
    </xdr:from>
    <xdr:to>
      <xdr:col>1</xdr:col>
      <xdr:colOff>800100</xdr:colOff>
      <xdr:row>0</xdr:row>
      <xdr:rowOff>0</xdr:rowOff>
    </xdr:to>
    <xdr:pic>
      <xdr:nvPicPr>
        <xdr:cNvPr id="1" name="Picture 10" descr="epa_seal_small"/>
        <xdr:cNvPicPr preferRelativeResize="1">
          <a:picLocks noChangeAspect="1"/>
        </xdr:cNvPicPr>
      </xdr:nvPicPr>
      <xdr:blipFill>
        <a:blip r:embed="rId1"/>
        <a:stretch>
          <a:fillRect/>
        </a:stretch>
      </xdr:blipFill>
      <xdr:spPr>
        <a:xfrm>
          <a:off x="1162050" y="0"/>
          <a:ext cx="685800" cy="0"/>
        </a:xfrm>
        <a:prstGeom prst="rect">
          <a:avLst/>
        </a:prstGeom>
        <a:noFill/>
        <a:ln w="9525" cmpd="sng">
          <a:noFill/>
        </a:ln>
      </xdr:spPr>
    </xdr:pic>
    <xdr:clientData/>
  </xdr:twoCellAnchor>
  <xdr:twoCellAnchor>
    <xdr:from>
      <xdr:col>0</xdr:col>
      <xdr:colOff>114300</xdr:colOff>
      <xdr:row>1</xdr:row>
      <xdr:rowOff>19050</xdr:rowOff>
    </xdr:from>
    <xdr:to>
      <xdr:col>0</xdr:col>
      <xdr:colOff>800100</xdr:colOff>
      <xdr:row>4</xdr:row>
      <xdr:rowOff>161925</xdr:rowOff>
    </xdr:to>
    <xdr:pic>
      <xdr:nvPicPr>
        <xdr:cNvPr id="2" name="Picture 11" descr="epa_seal_small"/>
        <xdr:cNvPicPr preferRelativeResize="1">
          <a:picLocks noChangeAspect="1"/>
        </xdr:cNvPicPr>
      </xdr:nvPicPr>
      <xdr:blipFill>
        <a:blip r:embed="rId1"/>
        <a:stretch>
          <a:fillRect/>
        </a:stretch>
      </xdr:blipFill>
      <xdr:spPr>
        <a:xfrm>
          <a:off x="114300" y="161925"/>
          <a:ext cx="68580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19050</xdr:rowOff>
    </xdr:from>
    <xdr:to>
      <xdr:col>0</xdr:col>
      <xdr:colOff>800100</xdr:colOff>
      <xdr:row>4</xdr:row>
      <xdr:rowOff>161925</xdr:rowOff>
    </xdr:to>
    <xdr:pic>
      <xdr:nvPicPr>
        <xdr:cNvPr id="1" name="Picture 3" descr="epa_seal_small"/>
        <xdr:cNvPicPr preferRelativeResize="1">
          <a:picLocks noChangeAspect="1"/>
        </xdr:cNvPicPr>
      </xdr:nvPicPr>
      <xdr:blipFill>
        <a:blip r:embed="rId1"/>
        <a:stretch>
          <a:fillRect/>
        </a:stretch>
      </xdr:blipFill>
      <xdr:spPr>
        <a:xfrm>
          <a:off x="114300" y="161925"/>
          <a:ext cx="685800"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19050</xdr:rowOff>
    </xdr:from>
    <xdr:to>
      <xdr:col>0</xdr:col>
      <xdr:colOff>800100</xdr:colOff>
      <xdr:row>4</xdr:row>
      <xdr:rowOff>161925</xdr:rowOff>
    </xdr:to>
    <xdr:pic>
      <xdr:nvPicPr>
        <xdr:cNvPr id="1" name="Picture 5" descr="epa_seal_small"/>
        <xdr:cNvPicPr preferRelativeResize="1">
          <a:picLocks noChangeAspect="1"/>
        </xdr:cNvPicPr>
      </xdr:nvPicPr>
      <xdr:blipFill>
        <a:blip r:embed="rId1"/>
        <a:stretch>
          <a:fillRect/>
        </a:stretch>
      </xdr:blipFill>
      <xdr:spPr>
        <a:xfrm>
          <a:off x="114300" y="161925"/>
          <a:ext cx="68580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19050</xdr:rowOff>
    </xdr:from>
    <xdr:to>
      <xdr:col>0</xdr:col>
      <xdr:colOff>800100</xdr:colOff>
      <xdr:row>4</xdr:row>
      <xdr:rowOff>161925</xdr:rowOff>
    </xdr:to>
    <xdr:pic>
      <xdr:nvPicPr>
        <xdr:cNvPr id="1" name="Picture 5" descr="epa_seal_small"/>
        <xdr:cNvPicPr preferRelativeResize="1">
          <a:picLocks noChangeAspect="1"/>
        </xdr:cNvPicPr>
      </xdr:nvPicPr>
      <xdr:blipFill>
        <a:blip r:embed="rId1"/>
        <a:stretch>
          <a:fillRect/>
        </a:stretch>
      </xdr:blipFill>
      <xdr:spPr>
        <a:xfrm>
          <a:off x="114300" y="161925"/>
          <a:ext cx="685800" cy="714375"/>
        </a:xfrm>
        <a:prstGeom prst="rect">
          <a:avLst/>
        </a:prstGeom>
        <a:noFill/>
        <a:ln w="9525" cmpd="sng">
          <a:noFill/>
        </a:ln>
      </xdr:spPr>
    </xdr:pic>
    <xdr:clientData/>
  </xdr:twoCellAnchor>
  <xdr:oneCellAnchor>
    <xdr:from>
      <xdr:col>5</xdr:col>
      <xdr:colOff>304800</xdr:colOff>
      <xdr:row>28</xdr:row>
      <xdr:rowOff>28575</xdr:rowOff>
    </xdr:from>
    <xdr:ext cx="76200" cy="200025"/>
    <xdr:sp fLocksText="0">
      <xdr:nvSpPr>
        <xdr:cNvPr id="2" name="Text Box 82"/>
        <xdr:cNvSpPr txBox="1">
          <a:spLocks noChangeArrowheads="1"/>
        </xdr:cNvSpPr>
      </xdr:nvSpPr>
      <xdr:spPr>
        <a:xfrm>
          <a:off x="8496300" y="539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0</xdr:col>
      <xdr:colOff>733425</xdr:colOff>
      <xdr:row>4</xdr:row>
      <xdr:rowOff>38100</xdr:rowOff>
    </xdr:to>
    <xdr:pic>
      <xdr:nvPicPr>
        <xdr:cNvPr id="1" name="Picture 1" descr="epa_seal_small"/>
        <xdr:cNvPicPr preferRelativeResize="1">
          <a:picLocks noChangeAspect="1"/>
        </xdr:cNvPicPr>
      </xdr:nvPicPr>
      <xdr:blipFill>
        <a:blip r:embed="rId1"/>
        <a:stretch>
          <a:fillRect/>
        </a:stretch>
      </xdr:blipFill>
      <xdr:spPr>
        <a:xfrm>
          <a:off x="47625" y="38100"/>
          <a:ext cx="685800"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800100</xdr:colOff>
      <xdr:row>4</xdr:row>
      <xdr:rowOff>114300</xdr:rowOff>
    </xdr:to>
    <xdr:pic>
      <xdr:nvPicPr>
        <xdr:cNvPr id="1" name="Picture 1" descr="epa_seal_small"/>
        <xdr:cNvPicPr preferRelativeResize="1">
          <a:picLocks noChangeAspect="1"/>
        </xdr:cNvPicPr>
      </xdr:nvPicPr>
      <xdr:blipFill>
        <a:blip r:embed="rId1"/>
        <a:stretch>
          <a:fillRect/>
        </a:stretch>
      </xdr:blipFill>
      <xdr:spPr>
        <a:xfrm>
          <a:off x="114300" y="114300"/>
          <a:ext cx="6858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hyperlink" Target="http://tonto.eia.doe.gov/dnav/ng/ng_pri_sum_a_EPG0_PCS_DMcf_a.htm" TargetMode="External" /><Relationship Id="rId2" Type="http://schemas.openxmlformats.org/officeDocument/2006/relationships/hyperlink" Target="http://www.eia.doe.gov/cneaf/electricity/epm/table5_3.html" TargetMode="External" /><Relationship Id="rId3" Type="http://schemas.openxmlformats.org/officeDocument/2006/relationships/hyperlink" Target="http://www.eia.doe.gov/neic/experts/heatcalc.xls"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books.google.com/books?id=0GiiauhF6PwC&amp;pg=PA104&amp;lpg=PA104&amp;dq=California+Waste+hauling+cost+per+mile&amp;source=web&amp;ots=58DEyojq6V&amp;sig=A2YpxqiWvUW-IsworKBjxKPNUHw&amp;hl=en&amp;sa=X&amp;oi=book_result&amp;resnum=7&amp;ct=result" TargetMode="External" /><Relationship Id="rId2" Type="http://schemas.openxmlformats.org/officeDocument/2006/relationships/hyperlink" Target="http://www.dep.state.pa.us/dep/DEPUTATE/AIRWASTE/WM/RECYCLE/Tech_Rpts/Allegheny2.pdf" TargetMode="External" /><Relationship Id="rId3" Type="http://schemas.openxmlformats.org/officeDocument/2006/relationships/hyperlink" Target="http://books.google.com/books?id=0GiiauhF6PwC&amp;pg=PA104&amp;lpg=PA104&amp;dq=California+Waste+hauling+cost+per+mile&amp;source=web&amp;ots=58DEyojq6V&amp;sig=A2YpxqiWvUW-IsworKBjxKPNUHw&amp;hl=en&amp;sa=X&amp;oi=book_result&amp;resnum=7&amp;ct=result" TargetMode="External" /><Relationship Id="rId4" Type="http://schemas.openxmlformats.org/officeDocument/2006/relationships/hyperlink" Target="http://www.ottawa.ca/residents/recycling_garbage/green_bin_program/faq_en.html" TargetMode="Externa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undancegrinders.com/index.htm" TargetMode="External" /><Relationship Id="rId2" Type="http://schemas.openxmlformats.org/officeDocument/2006/relationships/hyperlink" Target="mailto:doug@sundancegrinders.com" TargetMode="External" /><Relationship Id="rId3" Type="http://schemas.openxmlformats.org/officeDocument/2006/relationships/hyperlink" Target="http://www.rotochopper.com/" TargetMode="External" /><Relationship Id="rId4" Type="http://schemas.openxmlformats.org/officeDocument/2006/relationships/hyperlink" Target="http://www.franklinmiller.com/" TargetMode="External" /><Relationship Id="rId5" Type="http://schemas.openxmlformats.org/officeDocument/2006/relationships/comments" Target="../comments7.xml" /><Relationship Id="rId6" Type="http://schemas.openxmlformats.org/officeDocument/2006/relationships/vmlDrawing" Target="../drawings/vmlDrawing3.vml" /><Relationship Id="rId7" Type="http://schemas.openxmlformats.org/officeDocument/2006/relationships/drawing" Target="../drawings/drawing6.xml" /><Relationship Id="rId8"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faculty.engineering.ucdavis.edu/jenkins/CBC/Calculator/EconModules/EconCalculator_GenericPowerOnly.xls" TargetMode="External" /><Relationship Id="rId2" Type="http://schemas.openxmlformats.org/officeDocument/2006/relationships/hyperlink" Target="http://www.epa.gov/region09/waste/organics/ad/EBMUDFactSheet.pdf"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W298"/>
  <sheetViews>
    <sheetView zoomScale="85" zoomScaleNormal="85" zoomScalePageLayoutView="0" workbookViewId="0" topLeftCell="A1">
      <selection activeCell="B10" sqref="B10:V10"/>
    </sheetView>
  </sheetViews>
  <sheetFormatPr defaultColWidth="9.140625" defaultRowHeight="12.75"/>
  <cols>
    <col min="1" max="1" width="13.00390625" style="1" customWidth="1"/>
    <col min="2" max="4" width="9.140625" style="1" customWidth="1"/>
    <col min="5" max="5" width="3.00390625" style="1" customWidth="1"/>
    <col min="6" max="7" width="9.140625" style="1" customWidth="1"/>
    <col min="8" max="8" width="8.8515625" style="1" customWidth="1"/>
    <col min="9" max="9" width="2.57421875" style="1" customWidth="1"/>
    <col min="10" max="10" width="5.140625" style="1" customWidth="1"/>
    <col min="11" max="11" width="9.140625" style="1" customWidth="1"/>
    <col min="12" max="12" width="5.28125" style="1" customWidth="1"/>
    <col min="13" max="13" width="3.140625" style="1" customWidth="1"/>
    <col min="14" max="14" width="2.57421875" style="2" customWidth="1"/>
    <col min="15" max="17" width="9.140625" style="1" customWidth="1"/>
    <col min="18" max="18" width="3.421875" style="1" customWidth="1"/>
    <col min="19" max="19" width="2.57421875" style="1" customWidth="1"/>
    <col min="20" max="20" width="9.140625" style="1" customWidth="1"/>
    <col min="21" max="21" width="10.140625" style="1" bestFit="1" customWidth="1"/>
    <col min="22" max="16384" width="9.140625" style="1" customWidth="1"/>
  </cols>
  <sheetData>
    <row r="1" ht="11.25" customHeight="1"/>
    <row r="2" spans="2:22" ht="18.75">
      <c r="B2" s="10" t="s">
        <v>569</v>
      </c>
      <c r="U2" s="858">
        <v>40373</v>
      </c>
      <c r="V2" s="858"/>
    </row>
    <row r="3" ht="16.5" customHeight="1">
      <c r="B3" s="496" t="s">
        <v>13</v>
      </c>
    </row>
    <row r="4" spans="2:23" ht="9.75" customHeight="1">
      <c r="B4" s="10"/>
      <c r="W4" s="15"/>
    </row>
    <row r="5" spans="2:23" ht="19.5" customHeight="1">
      <c r="B5" s="844" t="s">
        <v>294</v>
      </c>
      <c r="C5" s="216"/>
      <c r="D5" s="216" t="s">
        <v>317</v>
      </c>
      <c r="E5" s="216"/>
      <c r="F5" s="216"/>
      <c r="G5" s="845"/>
      <c r="H5" s="845"/>
      <c r="I5" s="845"/>
      <c r="J5" s="845"/>
      <c r="K5" s="845"/>
      <c r="L5" s="845"/>
      <c r="M5" s="845"/>
      <c r="N5" s="845"/>
      <c r="O5" s="845"/>
      <c r="P5" s="845"/>
      <c r="Q5" s="2"/>
      <c r="R5" s="2"/>
      <c r="S5" s="2"/>
      <c r="T5" s="2"/>
      <c r="U5" s="2"/>
      <c r="V5" s="2"/>
      <c r="W5" s="15"/>
    </row>
    <row r="6" spans="1:22" s="15" customFormat="1" ht="9.75" customHeight="1">
      <c r="A6" s="12"/>
      <c r="B6" s="12"/>
      <c r="C6" s="12"/>
      <c r="D6" s="12"/>
      <c r="E6" s="12"/>
      <c r="F6" s="12"/>
      <c r="G6" s="12"/>
      <c r="H6" s="12"/>
      <c r="I6" s="12"/>
      <c r="J6" s="12"/>
      <c r="K6" s="12"/>
      <c r="L6" s="12"/>
      <c r="M6" s="12"/>
      <c r="N6" s="13"/>
      <c r="O6" s="12"/>
      <c r="P6" s="12"/>
      <c r="Q6" s="12"/>
      <c r="R6" s="12"/>
      <c r="S6" s="12"/>
      <c r="T6" s="12"/>
      <c r="U6" s="12"/>
      <c r="V6" s="12"/>
    </row>
    <row r="7" spans="1:23" s="14" customFormat="1" ht="6" customHeight="1">
      <c r="A7" s="18"/>
      <c r="B7" s="18"/>
      <c r="C7" s="18"/>
      <c r="D7" s="18"/>
      <c r="E7" s="18"/>
      <c r="F7" s="18"/>
      <c r="G7" s="18"/>
      <c r="H7" s="18"/>
      <c r="I7" s="18"/>
      <c r="J7" s="18"/>
      <c r="K7" s="18"/>
      <c r="L7" s="18"/>
      <c r="M7" s="18"/>
      <c r="N7" s="19"/>
      <c r="O7" s="18"/>
      <c r="P7" s="18"/>
      <c r="Q7" s="18"/>
      <c r="R7" s="18"/>
      <c r="S7" s="18"/>
      <c r="T7" s="18"/>
      <c r="U7" s="18"/>
      <c r="V7" s="18"/>
      <c r="W7" s="16"/>
    </row>
    <row r="8" spans="2:23" s="14" customFormat="1" ht="57.75" customHeight="1">
      <c r="B8" s="865" t="s">
        <v>690</v>
      </c>
      <c r="C8" s="868"/>
      <c r="D8" s="868"/>
      <c r="E8" s="868"/>
      <c r="F8" s="868"/>
      <c r="G8" s="868"/>
      <c r="H8" s="868"/>
      <c r="I8" s="868"/>
      <c r="J8" s="868"/>
      <c r="K8" s="868"/>
      <c r="L8" s="868"/>
      <c r="M8" s="868"/>
      <c r="N8" s="868"/>
      <c r="O8" s="868"/>
      <c r="P8" s="868"/>
      <c r="Q8" s="868"/>
      <c r="R8" s="868"/>
      <c r="S8" s="868"/>
      <c r="T8" s="868"/>
      <c r="U8" s="868"/>
      <c r="V8" s="869"/>
      <c r="W8" s="229"/>
    </row>
    <row r="9" spans="2:23" ht="108.75" customHeight="1">
      <c r="B9" s="865" t="s">
        <v>268</v>
      </c>
      <c r="C9" s="866"/>
      <c r="D9" s="866"/>
      <c r="E9" s="866"/>
      <c r="F9" s="866"/>
      <c r="G9" s="866"/>
      <c r="H9" s="866"/>
      <c r="I9" s="866"/>
      <c r="J9" s="866"/>
      <c r="K9" s="866"/>
      <c r="L9" s="866"/>
      <c r="M9" s="866"/>
      <c r="N9" s="866"/>
      <c r="O9" s="866"/>
      <c r="P9" s="866"/>
      <c r="Q9" s="866"/>
      <c r="R9" s="866"/>
      <c r="S9" s="866"/>
      <c r="T9" s="866"/>
      <c r="U9" s="866"/>
      <c r="V9" s="867"/>
      <c r="W9" s="15"/>
    </row>
    <row r="10" spans="1:23" s="14" customFormat="1" ht="220.5" customHeight="1">
      <c r="A10" s="843"/>
      <c r="B10" s="859" t="s">
        <v>722</v>
      </c>
      <c r="C10" s="860"/>
      <c r="D10" s="860"/>
      <c r="E10" s="860"/>
      <c r="F10" s="860"/>
      <c r="G10" s="860"/>
      <c r="H10" s="860"/>
      <c r="I10" s="860"/>
      <c r="J10" s="860"/>
      <c r="K10" s="860"/>
      <c r="L10" s="860"/>
      <c r="M10" s="860"/>
      <c r="N10" s="860"/>
      <c r="O10" s="860"/>
      <c r="P10" s="860"/>
      <c r="Q10" s="860"/>
      <c r="R10" s="860"/>
      <c r="S10" s="860"/>
      <c r="T10" s="860"/>
      <c r="U10" s="860"/>
      <c r="V10" s="861"/>
      <c r="W10" s="229"/>
    </row>
    <row r="11" spans="2:23" s="14" customFormat="1" ht="79.5" customHeight="1">
      <c r="B11" s="862" t="s">
        <v>295</v>
      </c>
      <c r="C11" s="863"/>
      <c r="D11" s="863"/>
      <c r="E11" s="863"/>
      <c r="F11" s="863"/>
      <c r="G11" s="863"/>
      <c r="H11" s="863"/>
      <c r="I11" s="863"/>
      <c r="J11" s="863"/>
      <c r="K11" s="863"/>
      <c r="L11" s="863"/>
      <c r="M11" s="863"/>
      <c r="N11" s="863"/>
      <c r="O11" s="863"/>
      <c r="P11" s="863"/>
      <c r="Q11" s="863"/>
      <c r="R11" s="863"/>
      <c r="S11" s="863"/>
      <c r="T11" s="863"/>
      <c r="U11" s="863"/>
      <c r="V11" s="864"/>
      <c r="W11" s="229"/>
    </row>
    <row r="12" spans="2:23" ht="237" customHeight="1">
      <c r="B12" s="865" t="s">
        <v>691</v>
      </c>
      <c r="C12" s="866"/>
      <c r="D12" s="866"/>
      <c r="E12" s="866"/>
      <c r="F12" s="866"/>
      <c r="G12" s="866"/>
      <c r="H12" s="866"/>
      <c r="I12" s="866"/>
      <c r="J12" s="866"/>
      <c r="K12" s="866"/>
      <c r="L12" s="866"/>
      <c r="M12" s="866"/>
      <c r="N12" s="866"/>
      <c r="O12" s="866"/>
      <c r="P12" s="866"/>
      <c r="Q12" s="866"/>
      <c r="R12" s="866"/>
      <c r="S12" s="866"/>
      <c r="T12" s="866"/>
      <c r="U12" s="866"/>
      <c r="V12" s="867"/>
      <c r="W12" s="15"/>
    </row>
    <row r="13" spans="2:23" ht="127.5" customHeight="1">
      <c r="B13" s="865" t="s">
        <v>83</v>
      </c>
      <c r="C13" s="870"/>
      <c r="D13" s="870"/>
      <c r="E13" s="870"/>
      <c r="F13" s="870"/>
      <c r="G13" s="870"/>
      <c r="H13" s="870"/>
      <c r="I13" s="870"/>
      <c r="J13" s="870"/>
      <c r="K13" s="870"/>
      <c r="L13" s="878" t="s">
        <v>449</v>
      </c>
      <c r="M13" s="879"/>
      <c r="N13" s="879"/>
      <c r="O13" s="879"/>
      <c r="P13" s="879"/>
      <c r="Q13" s="879"/>
      <c r="R13" s="879"/>
      <c r="S13" s="879"/>
      <c r="T13" s="879"/>
      <c r="U13" s="879"/>
      <c r="V13" s="880"/>
      <c r="W13" s="15"/>
    </row>
    <row r="14" spans="2:23" ht="115.5" customHeight="1">
      <c r="B14" s="865" t="s">
        <v>450</v>
      </c>
      <c r="C14" s="870"/>
      <c r="D14" s="870"/>
      <c r="E14" s="870"/>
      <c r="F14" s="870"/>
      <c r="G14" s="870"/>
      <c r="H14" s="870"/>
      <c r="I14" s="870"/>
      <c r="J14" s="870"/>
      <c r="K14" s="871"/>
      <c r="L14" s="865" t="s">
        <v>692</v>
      </c>
      <c r="M14" s="866"/>
      <c r="N14" s="866"/>
      <c r="O14" s="866"/>
      <c r="P14" s="866"/>
      <c r="Q14" s="866"/>
      <c r="R14" s="866"/>
      <c r="S14" s="866"/>
      <c r="T14" s="866"/>
      <c r="U14" s="866"/>
      <c r="V14" s="867"/>
      <c r="W14" s="15"/>
    </row>
    <row r="15" spans="1:23" ht="198" customHeight="1">
      <c r="A15" s="475"/>
      <c r="B15" s="872" t="s">
        <v>688</v>
      </c>
      <c r="C15" s="873"/>
      <c r="D15" s="873"/>
      <c r="E15" s="873"/>
      <c r="F15" s="873"/>
      <c r="G15" s="873"/>
      <c r="H15" s="873"/>
      <c r="I15" s="873"/>
      <c r="J15" s="873"/>
      <c r="K15" s="874"/>
      <c r="L15" s="875" t="s">
        <v>578</v>
      </c>
      <c r="M15" s="876"/>
      <c r="N15" s="876"/>
      <c r="O15" s="876"/>
      <c r="P15" s="876"/>
      <c r="Q15" s="876"/>
      <c r="R15" s="876"/>
      <c r="S15" s="876"/>
      <c r="T15" s="876"/>
      <c r="U15" s="876"/>
      <c r="V15" s="877"/>
      <c r="W15" s="476"/>
    </row>
    <row r="16" spans="2:16" ht="15">
      <c r="B16" s="15"/>
      <c r="C16" s="15"/>
      <c r="D16" s="15"/>
      <c r="E16" s="15"/>
      <c r="F16" s="15"/>
      <c r="G16" s="15"/>
      <c r="H16" s="15"/>
      <c r="I16" s="15"/>
      <c r="J16" s="15"/>
      <c r="K16" s="15"/>
      <c r="L16" s="15"/>
      <c r="M16" s="15"/>
      <c r="N16" s="8"/>
      <c r="O16" s="15"/>
      <c r="P16" s="15"/>
    </row>
    <row r="17" spans="2:16" ht="24" customHeight="1">
      <c r="B17" s="15"/>
      <c r="C17" s="15"/>
      <c r="D17" s="15"/>
      <c r="E17" s="15"/>
      <c r="F17" s="15"/>
      <c r="G17" s="15"/>
      <c r="H17" s="15"/>
      <c r="I17" s="15"/>
      <c r="J17" s="15"/>
      <c r="K17" s="15"/>
      <c r="L17" s="15"/>
      <c r="M17" s="15"/>
      <c r="N17" s="8"/>
      <c r="O17" s="15"/>
      <c r="P17" s="15"/>
    </row>
    <row r="18" spans="2:16" ht="14.25" customHeight="1">
      <c r="B18" s="15"/>
      <c r="C18" s="15"/>
      <c r="D18" s="15"/>
      <c r="E18" s="15"/>
      <c r="F18" s="15"/>
      <c r="G18" s="15"/>
      <c r="H18" s="15"/>
      <c r="I18" s="15"/>
      <c r="J18" s="15"/>
      <c r="K18" s="15"/>
      <c r="L18" s="15"/>
      <c r="M18" s="15"/>
      <c r="N18" s="8"/>
      <c r="O18" s="15"/>
      <c r="P18" s="15"/>
    </row>
    <row r="19" s="8" customFormat="1" ht="15"/>
    <row r="20" s="8" customFormat="1" ht="15"/>
    <row r="21" s="8" customFormat="1" ht="15">
      <c r="B21" s="230"/>
    </row>
    <row r="22" spans="1:2" s="8" customFormat="1" ht="15">
      <c r="A22" s="7"/>
      <c r="B22" s="230"/>
    </row>
    <row r="23" spans="1:2" s="8" customFormat="1" ht="15">
      <c r="A23" s="224"/>
      <c r="B23" s="230"/>
    </row>
    <row r="24" spans="1:2" s="8" customFormat="1" ht="15">
      <c r="A24" s="223"/>
      <c r="B24" s="230"/>
    </row>
    <row r="25" spans="1:2" s="8" customFormat="1" ht="15">
      <c r="A25" s="7"/>
      <c r="B25" s="230"/>
    </row>
    <row r="26" spans="1:2" s="8" customFormat="1" ht="15">
      <c r="A26" s="7"/>
      <c r="B26" s="230"/>
    </row>
    <row r="27" spans="1:2" s="8" customFormat="1" ht="15">
      <c r="A27" s="7"/>
      <c r="B27" s="230"/>
    </row>
    <row r="28" spans="1:2" s="8" customFormat="1" ht="15">
      <c r="A28" s="7"/>
      <c r="B28" s="230"/>
    </row>
    <row r="29" spans="1:2" s="8" customFormat="1" ht="15">
      <c r="A29" s="7"/>
      <c r="B29" s="230"/>
    </row>
    <row r="30" s="8" customFormat="1" ht="15">
      <c r="A30" s="7"/>
    </row>
    <row r="31" s="8" customFormat="1" ht="15">
      <c r="A31" s="7"/>
    </row>
    <row r="32" spans="1:3" s="8" customFormat="1" ht="15">
      <c r="A32" s="128"/>
      <c r="B32" s="15"/>
      <c r="C32" s="15"/>
    </row>
    <row r="33" spans="1:3" s="8" customFormat="1" ht="15">
      <c r="A33"/>
      <c r="B33" s="15"/>
      <c r="C33" s="15"/>
    </row>
    <row r="34" spans="1:3" s="8" customFormat="1" ht="15">
      <c r="A34" s="128"/>
      <c r="B34" s="15"/>
      <c r="C34" s="15"/>
    </row>
    <row r="35" spans="1:3" s="8" customFormat="1" ht="15">
      <c r="A35" s="1"/>
      <c r="B35" s="15"/>
      <c r="C35" s="15"/>
    </row>
    <row r="36" spans="1:3" s="8" customFormat="1" ht="15">
      <c r="A36" s="3"/>
      <c r="B36" s="15"/>
      <c r="C36" s="15"/>
    </row>
    <row r="37" s="8" customFormat="1" ht="15">
      <c r="A37" s="223"/>
    </row>
    <row r="38" s="8" customFormat="1" ht="15">
      <c r="A38" s="7"/>
    </row>
    <row r="39" s="8" customFormat="1" ht="15">
      <c r="A39" s="228"/>
    </row>
    <row r="40" s="8" customFormat="1" ht="15">
      <c r="A40" s="7"/>
    </row>
    <row r="41" s="8" customFormat="1" ht="15">
      <c r="A41" s="7"/>
    </row>
    <row r="42" s="8" customFormat="1" ht="15">
      <c r="A42" s="7"/>
    </row>
    <row r="43" s="8" customFormat="1" ht="15">
      <c r="A43" s="7"/>
    </row>
    <row r="44" s="8" customFormat="1" ht="15">
      <c r="A44" s="7"/>
    </row>
    <row r="45" s="8" customFormat="1" ht="15">
      <c r="A45" s="224"/>
    </row>
    <row r="46" s="8" customFormat="1" ht="15"/>
    <row r="47" s="8" customFormat="1" ht="15">
      <c r="A47" s="225"/>
    </row>
    <row r="48" s="8" customFormat="1" ht="15">
      <c r="A48" s="29"/>
    </row>
    <row r="49" s="8" customFormat="1" ht="15">
      <c r="A49" s="223"/>
    </row>
    <row r="50" s="8" customFormat="1" ht="15">
      <c r="A50" s="7"/>
    </row>
    <row r="51" s="8" customFormat="1" ht="15">
      <c r="A51" s="7"/>
    </row>
    <row r="52" s="8" customFormat="1" ht="15">
      <c r="A52" s="223"/>
    </row>
    <row r="53" s="8" customFormat="1" ht="15">
      <c r="A53" s="7"/>
    </row>
    <row r="54" s="8" customFormat="1" ht="15">
      <c r="A54" s="226"/>
    </row>
    <row r="55" s="8" customFormat="1" ht="15">
      <c r="A55" s="227"/>
    </row>
    <row r="56" s="8" customFormat="1" ht="15">
      <c r="A56" s="223"/>
    </row>
    <row r="57" s="8" customFormat="1" ht="15">
      <c r="A57" s="29"/>
    </row>
    <row r="58" s="8" customFormat="1" ht="15">
      <c r="A58" s="223"/>
    </row>
    <row r="59" s="8" customFormat="1" ht="15">
      <c r="A59" s="29"/>
    </row>
    <row r="60" s="8" customFormat="1" ht="15">
      <c r="A60" s="223"/>
    </row>
    <row r="61" s="8" customFormat="1" ht="15">
      <c r="A61" s="29"/>
    </row>
    <row r="62" s="8" customFormat="1" ht="15">
      <c r="A62" s="223"/>
    </row>
    <row r="63" s="8" customFormat="1" ht="15">
      <c r="A63" s="29"/>
    </row>
    <row r="64" s="8" customFormat="1" ht="15">
      <c r="A64" s="223"/>
    </row>
    <row r="65" s="8" customFormat="1" ht="15"/>
    <row r="66" s="8" customFormat="1" ht="15"/>
    <row r="67" s="8" customFormat="1" ht="15">
      <c r="A67" s="225"/>
    </row>
    <row r="68" s="8" customFormat="1" ht="15">
      <c r="A68" s="29"/>
    </row>
    <row r="69" s="8" customFormat="1" ht="15">
      <c r="A69" s="223"/>
    </row>
    <row r="70" s="8" customFormat="1" ht="15">
      <c r="A70" s="7"/>
    </row>
    <row r="71" s="8" customFormat="1" ht="15">
      <c r="A71" s="7"/>
    </row>
    <row r="72" s="8" customFormat="1" ht="15">
      <c r="A72" s="7"/>
    </row>
    <row r="73" s="8" customFormat="1" ht="15">
      <c r="A73" s="224"/>
    </row>
    <row r="74" s="8" customFormat="1" ht="15">
      <c r="A74" s="223"/>
    </row>
    <row r="75" s="8" customFormat="1" ht="15">
      <c r="A75" s="7"/>
    </row>
    <row r="76" s="8" customFormat="1" ht="15">
      <c r="A76" s="7"/>
    </row>
    <row r="77" s="8" customFormat="1" ht="15">
      <c r="A77" s="224"/>
    </row>
    <row r="78" s="8" customFormat="1" ht="15">
      <c r="A78" s="223"/>
    </row>
    <row r="79" s="8" customFormat="1" ht="15">
      <c r="A79" s="7"/>
    </row>
    <row r="80" s="8" customFormat="1" ht="15">
      <c r="A80" s="7"/>
    </row>
    <row r="81" s="8" customFormat="1" ht="15">
      <c r="A81" s="7"/>
    </row>
    <row r="82" s="8" customFormat="1" ht="15">
      <c r="A82" s="29"/>
    </row>
    <row r="83" s="8" customFormat="1" ht="15">
      <c r="A83" s="223"/>
    </row>
    <row r="84" s="8" customFormat="1" ht="15">
      <c r="A84" s="7"/>
    </row>
    <row r="85" s="8" customFormat="1" ht="15">
      <c r="A85" s="7"/>
    </row>
    <row r="86" s="8" customFormat="1" ht="15">
      <c r="A86" s="7"/>
    </row>
    <row r="87" s="8" customFormat="1" ht="15">
      <c r="A87" s="224"/>
    </row>
    <row r="88" s="8" customFormat="1" ht="15">
      <c r="A88" s="223"/>
    </row>
    <row r="89" s="8" customFormat="1" ht="15">
      <c r="A89" s="7"/>
    </row>
    <row r="90" s="8" customFormat="1" ht="15">
      <c r="A90" s="7"/>
    </row>
    <row r="91" s="8" customFormat="1" ht="15">
      <c r="A91" s="224"/>
    </row>
    <row r="92" s="8" customFormat="1" ht="15">
      <c r="A92" s="223"/>
    </row>
    <row r="93" s="8" customFormat="1" ht="15">
      <c r="A93" s="7"/>
    </row>
    <row r="94" s="8" customFormat="1" ht="15">
      <c r="A94" s="7"/>
    </row>
    <row r="95" s="8" customFormat="1" ht="15">
      <c r="A95" s="224"/>
    </row>
    <row r="96" s="8" customFormat="1" ht="15"/>
    <row r="97" s="8" customFormat="1" ht="15">
      <c r="A97" s="225"/>
    </row>
    <row r="98" s="8" customFormat="1" ht="15">
      <c r="A98" s="29"/>
    </row>
    <row r="99" s="8" customFormat="1" ht="15">
      <c r="A99" s="223"/>
    </row>
    <row r="100" s="8" customFormat="1" ht="15">
      <c r="A100" s="7"/>
    </row>
    <row r="101" s="8" customFormat="1" ht="15">
      <c r="A101" s="223"/>
    </row>
    <row r="102" s="8" customFormat="1" ht="15">
      <c r="A102" s="7"/>
    </row>
    <row r="103" s="8" customFormat="1" ht="15">
      <c r="A103" s="223"/>
    </row>
    <row r="104" s="8" customFormat="1" ht="15">
      <c r="A104" s="7"/>
    </row>
    <row r="105" s="8" customFormat="1" ht="15">
      <c r="A105" s="7"/>
    </row>
    <row r="106" s="8" customFormat="1" ht="15">
      <c r="A106" s="7"/>
    </row>
    <row r="107" s="8" customFormat="1" ht="15">
      <c r="A107" s="7"/>
    </row>
    <row r="108" s="8" customFormat="1" ht="15">
      <c r="A108" s="224"/>
    </row>
    <row r="109" s="8" customFormat="1" ht="15">
      <c r="A109" s="223"/>
    </row>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95" spans="1:7" ht="15">
      <c r="A295" s="89"/>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sheetData>
  <sheetProtection/>
  <mergeCells count="12">
    <mergeCell ref="L14:V14"/>
    <mergeCell ref="B14:K14"/>
    <mergeCell ref="B15:K15"/>
    <mergeCell ref="L15:V15"/>
    <mergeCell ref="B13:K13"/>
    <mergeCell ref="L13:V13"/>
    <mergeCell ref="U2:V2"/>
    <mergeCell ref="B10:V10"/>
    <mergeCell ref="B11:V11"/>
    <mergeCell ref="B12:V12"/>
    <mergeCell ref="B8:V8"/>
    <mergeCell ref="B9:V9"/>
  </mergeCells>
  <printOptions/>
  <pageMargins left="0.46" right="0.46" top="0.46" bottom="0.36" header="0.36" footer="0.3"/>
  <pageSetup fitToHeight="4"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A1:AB226"/>
  <sheetViews>
    <sheetView showGridLines="0" zoomScalePageLayoutView="0" workbookViewId="0" topLeftCell="A1">
      <pane ySplit="7" topLeftCell="A50" activePane="bottomLeft" state="frozen"/>
      <selection pane="topLeft" activeCell="F47" sqref="F47"/>
      <selection pane="bottomLeft" activeCell="C75" sqref="C75:N76"/>
    </sheetView>
  </sheetViews>
  <sheetFormatPr defaultColWidth="9.140625" defaultRowHeight="12.75"/>
  <cols>
    <col min="1" max="1" width="13.140625" style="114" customWidth="1"/>
    <col min="2" max="2" width="0.85546875" style="114" customWidth="1"/>
    <col min="3" max="3" width="13.140625" style="114" customWidth="1"/>
    <col min="4" max="4" width="1.57421875" style="114" customWidth="1"/>
    <col min="5" max="5" width="16.57421875" style="114" customWidth="1"/>
    <col min="6" max="6" width="15.8515625" style="114" customWidth="1"/>
    <col min="7" max="7" width="15.7109375" style="114" customWidth="1"/>
    <col min="8" max="8" width="12.57421875" style="114" customWidth="1"/>
    <col min="9" max="9" width="1.7109375" style="114" customWidth="1"/>
    <col min="10" max="10" width="17.28125" style="114" customWidth="1"/>
    <col min="11" max="11" width="13.140625" style="114" customWidth="1"/>
    <col min="12" max="12" width="17.28125" style="114" customWidth="1"/>
    <col min="13" max="14" width="9.140625" style="114" customWidth="1"/>
    <col min="15" max="25" width="9.140625" style="115" customWidth="1"/>
    <col min="26" max="16384" width="9.140625" style="114" customWidth="1"/>
  </cols>
  <sheetData>
    <row r="1" spans="15:25" s="87" customFormat="1" ht="11.25" customHeight="1">
      <c r="O1" s="88"/>
      <c r="P1" s="88"/>
      <c r="Q1" s="89"/>
      <c r="R1" s="88"/>
      <c r="S1" s="88"/>
      <c r="T1" s="88"/>
      <c r="U1" s="88"/>
      <c r="V1" s="88"/>
      <c r="W1" s="88"/>
      <c r="X1" s="88"/>
      <c r="Y1" s="88"/>
    </row>
    <row r="2" spans="3:25" s="87" customFormat="1" ht="19.5">
      <c r="C2" s="694" t="s">
        <v>14</v>
      </c>
      <c r="D2" s="88"/>
      <c r="E2" s="88"/>
      <c r="F2" s="88"/>
      <c r="G2" s="88"/>
      <c r="J2" s="397" t="str">
        <f>'User Inputs'!J2</f>
        <v>Organization:</v>
      </c>
      <c r="K2" s="1043">
        <f>'User Inputs'!K2:P2</f>
        <v>0</v>
      </c>
      <c r="L2" s="1044"/>
      <c r="M2" s="1044"/>
      <c r="N2" s="1044"/>
      <c r="O2" s="1044"/>
      <c r="P2" s="1044"/>
      <c r="Q2" s="89"/>
      <c r="R2" s="88"/>
      <c r="S2" s="88"/>
      <c r="T2" s="88"/>
      <c r="U2" s="88"/>
      <c r="V2" s="88"/>
      <c r="W2" s="88"/>
      <c r="X2" s="88"/>
      <c r="Y2" s="88"/>
    </row>
    <row r="3" spans="3:25" s="87" customFormat="1" ht="16.5" customHeight="1">
      <c r="C3" s="695" t="s">
        <v>13</v>
      </c>
      <c r="D3" s="88"/>
      <c r="E3" s="88"/>
      <c r="F3" s="88"/>
      <c r="G3" s="88"/>
      <c r="J3" s="397" t="str">
        <f>'User Inputs'!J3</f>
        <v>Facility:</v>
      </c>
      <c r="K3" s="1043">
        <f>'User Inputs'!K3:P3</f>
        <v>0</v>
      </c>
      <c r="L3" s="1044"/>
      <c r="M3" s="1044"/>
      <c r="N3" s="1044"/>
      <c r="O3" s="1044"/>
      <c r="P3" s="1044"/>
      <c r="Q3" s="89"/>
      <c r="R3" s="88"/>
      <c r="S3" s="88"/>
      <c r="T3" s="88"/>
      <c r="U3" s="88"/>
      <c r="V3" s="88"/>
      <c r="W3" s="88"/>
      <c r="X3" s="88"/>
      <c r="Y3" s="88"/>
    </row>
    <row r="4" spans="3:26" s="87" customFormat="1" ht="9.75" customHeight="1">
      <c r="C4" s="90"/>
      <c r="O4" s="88"/>
      <c r="P4" s="88"/>
      <c r="Q4" s="89"/>
      <c r="R4" s="88"/>
      <c r="S4" s="88"/>
      <c r="T4" s="88"/>
      <c r="U4" s="88"/>
      <c r="V4" s="88"/>
      <c r="W4" s="88"/>
      <c r="X4" s="88"/>
      <c r="Y4" s="88"/>
      <c r="Z4" s="88"/>
    </row>
    <row r="5" spans="3:26" s="87" customFormat="1" ht="19.5" customHeight="1">
      <c r="C5" s="91" t="s">
        <v>271</v>
      </c>
      <c r="L5" s="89"/>
      <c r="M5" s="89"/>
      <c r="N5" s="89"/>
      <c r="O5" s="89"/>
      <c r="P5" s="89"/>
      <c r="Q5" s="89"/>
      <c r="R5" s="88"/>
      <c r="S5" s="88"/>
      <c r="T5" s="88"/>
      <c r="U5" s="88"/>
      <c r="V5" s="88"/>
      <c r="W5" s="88"/>
      <c r="X5" s="88"/>
      <c r="Y5" s="88"/>
      <c r="Z5" s="88"/>
    </row>
    <row r="6" spans="1:17" s="88" customFormat="1" ht="9.75" customHeight="1">
      <c r="A6" s="92"/>
      <c r="B6" s="92"/>
      <c r="C6" s="92"/>
      <c r="D6" s="92"/>
      <c r="E6" s="92"/>
      <c r="F6" s="92"/>
      <c r="G6" s="92"/>
      <c r="H6" s="92"/>
      <c r="I6" s="92"/>
      <c r="J6" s="92"/>
      <c r="K6" s="92"/>
      <c r="L6" s="92"/>
      <c r="M6" s="92"/>
      <c r="N6" s="92"/>
      <c r="O6" s="92"/>
      <c r="P6" s="92"/>
      <c r="Q6" s="89"/>
    </row>
    <row r="7" spans="1:26" s="96" customFormat="1" ht="6" customHeight="1">
      <c r="A7" s="93"/>
      <c r="B7" s="93"/>
      <c r="C7" s="93"/>
      <c r="D7" s="93"/>
      <c r="E7" s="93"/>
      <c r="F7" s="93"/>
      <c r="G7" s="93"/>
      <c r="H7" s="93"/>
      <c r="I7" s="93"/>
      <c r="J7" s="93"/>
      <c r="K7" s="93"/>
      <c r="L7" s="93"/>
      <c r="M7" s="93"/>
      <c r="N7" s="93"/>
      <c r="O7" s="93"/>
      <c r="P7" s="93"/>
      <c r="Q7" s="95"/>
      <c r="R7" s="94"/>
      <c r="S7" s="94"/>
      <c r="T7" s="94"/>
      <c r="U7" s="94"/>
      <c r="V7" s="94"/>
      <c r="W7" s="94"/>
      <c r="X7" s="94"/>
      <c r="Y7" s="94"/>
      <c r="Z7" s="94"/>
    </row>
    <row r="8" spans="1:26" s="96" customFormat="1" ht="19.5" customHeight="1">
      <c r="A8" s="94"/>
      <c r="B8" s="94"/>
      <c r="C8" s="1006" t="s">
        <v>272</v>
      </c>
      <c r="D8" s="1006"/>
      <c r="E8" s="1006"/>
      <c r="F8" s="1006"/>
      <c r="G8" s="1006"/>
      <c r="H8" s="1006"/>
      <c r="I8" s="1006"/>
      <c r="J8" s="1006"/>
      <c r="K8" s="1006"/>
      <c r="L8" s="1006"/>
      <c r="M8" s="1006"/>
      <c r="N8" s="1006"/>
      <c r="O8" s="94"/>
      <c r="P8" s="94"/>
      <c r="Q8" s="95"/>
      <c r="R8" s="94"/>
      <c r="S8" s="94"/>
      <c r="T8" s="94"/>
      <c r="U8" s="94"/>
      <c r="V8" s="94"/>
      <c r="W8" s="94"/>
      <c r="X8" s="94"/>
      <c r="Y8" s="94"/>
      <c r="Z8" s="94"/>
    </row>
    <row r="9" spans="3:25" s="220" customFormat="1" ht="39" customHeight="1" hidden="1">
      <c r="C9" s="1006"/>
      <c r="D9" s="1006"/>
      <c r="E9" s="1006"/>
      <c r="F9" s="1006"/>
      <c r="G9" s="1006"/>
      <c r="H9" s="1006"/>
      <c r="I9" s="1006"/>
      <c r="J9" s="1006"/>
      <c r="K9" s="1006"/>
      <c r="L9" s="1006"/>
      <c r="M9" s="1006"/>
      <c r="N9" s="1006"/>
      <c r="O9" s="222"/>
      <c r="P9" s="222"/>
      <c r="Q9" s="222"/>
      <c r="R9" s="222"/>
      <c r="S9" s="222"/>
      <c r="T9" s="222"/>
      <c r="U9" s="222"/>
      <c r="V9" s="222"/>
      <c r="W9" s="222"/>
      <c r="X9" s="222"/>
      <c r="Y9" s="222"/>
    </row>
    <row r="10" spans="15:26" s="96" customFormat="1" ht="6" customHeight="1">
      <c r="O10" s="94"/>
      <c r="P10" s="94"/>
      <c r="Q10" s="95"/>
      <c r="R10" s="94"/>
      <c r="S10" s="94"/>
      <c r="T10" s="94"/>
      <c r="U10" s="94"/>
      <c r="V10" s="94"/>
      <c r="W10" s="94"/>
      <c r="X10" s="94"/>
      <c r="Y10" s="94"/>
      <c r="Z10" s="94"/>
    </row>
    <row r="11" spans="1:17" s="88" customFormat="1" ht="9.75" customHeight="1">
      <c r="A11" s="92"/>
      <c r="B11" s="92"/>
      <c r="C11" s="92"/>
      <c r="D11" s="92"/>
      <c r="E11" s="92"/>
      <c r="F11" s="92"/>
      <c r="G11" s="92"/>
      <c r="H11" s="92"/>
      <c r="I11" s="92"/>
      <c r="J11" s="92"/>
      <c r="K11" s="92"/>
      <c r="L11" s="92"/>
      <c r="M11" s="92"/>
      <c r="N11" s="92"/>
      <c r="O11" s="92"/>
      <c r="P11" s="92"/>
      <c r="Q11" s="89"/>
    </row>
    <row r="12" spans="1:26" s="96" customFormat="1" ht="6" customHeight="1">
      <c r="A12" s="93"/>
      <c r="B12" s="93"/>
      <c r="C12" s="93"/>
      <c r="D12" s="93"/>
      <c r="E12" s="93"/>
      <c r="F12" s="93"/>
      <c r="G12" s="93"/>
      <c r="H12" s="93"/>
      <c r="I12" s="93"/>
      <c r="J12" s="93"/>
      <c r="K12" s="93"/>
      <c r="L12" s="93"/>
      <c r="M12" s="93"/>
      <c r="N12" s="93"/>
      <c r="O12" s="93"/>
      <c r="P12" s="93"/>
      <c r="Q12" s="95"/>
      <c r="R12" s="94"/>
      <c r="S12" s="94"/>
      <c r="T12" s="94"/>
      <c r="U12" s="94"/>
      <c r="V12" s="94"/>
      <c r="W12" s="94"/>
      <c r="X12" s="94"/>
      <c r="Y12" s="94"/>
      <c r="Z12" s="94"/>
    </row>
    <row r="13" spans="5:25" s="87" customFormat="1" ht="15">
      <c r="E13" s="126"/>
      <c r="L13" s="127"/>
      <c r="M13" s="89"/>
      <c r="N13" s="89"/>
      <c r="O13" s="89"/>
      <c r="P13" s="89"/>
      <c r="Q13" s="88"/>
      <c r="R13" s="88"/>
      <c r="S13" s="88"/>
      <c r="T13" s="88"/>
      <c r="U13" s="88"/>
      <c r="V13" s="88"/>
      <c r="W13" s="88"/>
      <c r="X13" s="88"/>
      <c r="Y13" s="88"/>
    </row>
    <row r="14" spans="1:26" s="96" customFormat="1" ht="39" customHeight="1">
      <c r="A14" s="88"/>
      <c r="B14" s="94"/>
      <c r="C14" s="881" t="s">
        <v>274</v>
      </c>
      <c r="D14" s="881"/>
      <c r="E14" s="881"/>
      <c r="F14" s="881"/>
      <c r="G14" s="881"/>
      <c r="H14" s="881"/>
      <c r="I14" s="881"/>
      <c r="J14" s="881"/>
      <c r="K14" s="881"/>
      <c r="L14" s="881"/>
      <c r="M14" s="881"/>
      <c r="N14" s="881"/>
      <c r="O14" s="881"/>
      <c r="P14" s="881"/>
      <c r="Q14" s="95"/>
      <c r="R14" s="94"/>
      <c r="S14" s="94"/>
      <c r="T14" s="94"/>
      <c r="U14" s="94"/>
      <c r="V14" s="94"/>
      <c r="W14" s="94"/>
      <c r="X14" s="94"/>
      <c r="Y14" s="94"/>
      <c r="Z14" s="94"/>
    </row>
    <row r="15" spans="1:26" s="96" customFormat="1" ht="12" customHeight="1">
      <c r="A15" s="88"/>
      <c r="B15" s="94"/>
      <c r="C15" s="88"/>
      <c r="D15" s="88"/>
      <c r="E15" s="442"/>
      <c r="F15" s="299"/>
      <c r="G15" s="299"/>
      <c r="H15" s="299"/>
      <c r="I15" s="299"/>
      <c r="J15" s="299"/>
      <c r="K15" s="299"/>
      <c r="L15" s="299"/>
      <c r="M15" s="299"/>
      <c r="N15" s="299"/>
      <c r="O15" s="344"/>
      <c r="P15" s="430"/>
      <c r="Q15" s="95"/>
      <c r="R15" s="95"/>
      <c r="S15" s="94"/>
      <c r="T15" s="94"/>
      <c r="U15" s="94"/>
      <c r="V15" s="94"/>
      <c r="W15" s="94"/>
      <c r="X15" s="94"/>
      <c r="Y15" s="94"/>
      <c r="Z15" s="94"/>
    </row>
    <row r="16" spans="1:25" s="87" customFormat="1" ht="17.25" customHeight="1" thickBot="1">
      <c r="A16" s="925"/>
      <c r="B16" s="97"/>
      <c r="C16" s="1042"/>
      <c r="D16" s="97"/>
      <c r="E16" s="398" t="s">
        <v>273</v>
      </c>
      <c r="F16" s="101"/>
      <c r="G16" s="101"/>
      <c r="H16" s="101"/>
      <c r="I16" s="101"/>
      <c r="J16" s="101"/>
      <c r="K16" s="101"/>
      <c r="L16" s="101"/>
      <c r="M16" s="101"/>
      <c r="N16" s="101"/>
      <c r="O16" s="89"/>
      <c r="P16" s="198"/>
      <c r="Q16" s="89"/>
      <c r="R16" s="89"/>
      <c r="S16" s="88"/>
      <c r="T16" s="88"/>
      <c r="U16" s="88"/>
      <c r="V16" s="88"/>
      <c r="W16" s="88"/>
      <c r="X16" s="88"/>
      <c r="Y16" s="88"/>
    </row>
    <row r="17" spans="1:25" s="87" customFormat="1" ht="17.25" thickBot="1">
      <c r="A17" s="925"/>
      <c r="B17" s="97"/>
      <c r="C17" s="1042"/>
      <c r="D17" s="98"/>
      <c r="E17" s="399">
        <f>'User Inputs'!E31</f>
        <v>0</v>
      </c>
      <c r="F17" s="402" t="s">
        <v>29</v>
      </c>
      <c r="G17" s="104"/>
      <c r="H17" s="101"/>
      <c r="I17" s="101"/>
      <c r="J17" s="101"/>
      <c r="K17" s="101"/>
      <c r="L17" s="101"/>
      <c r="M17" s="101"/>
      <c r="N17" s="101"/>
      <c r="O17" s="89"/>
      <c r="P17" s="198"/>
      <c r="Q17" s="89"/>
      <c r="R17" s="89"/>
      <c r="S17" s="88"/>
      <c r="T17" s="88"/>
      <c r="U17" s="88"/>
      <c r="V17" s="88"/>
      <c r="W17" s="88"/>
      <c r="X17" s="88"/>
      <c r="Y17" s="88"/>
    </row>
    <row r="18" spans="1:25" s="87" customFormat="1" ht="3.75" customHeight="1" thickBot="1">
      <c r="A18" s="925"/>
      <c r="C18" s="1042"/>
      <c r="E18" s="343"/>
      <c r="F18" s="101"/>
      <c r="G18" s="101"/>
      <c r="H18" s="101"/>
      <c r="I18" s="101"/>
      <c r="J18" s="101"/>
      <c r="K18" s="101"/>
      <c r="L18" s="101"/>
      <c r="M18" s="101"/>
      <c r="N18" s="101"/>
      <c r="O18" s="89"/>
      <c r="P18" s="198"/>
      <c r="Q18" s="88"/>
      <c r="R18" s="89"/>
      <c r="S18" s="88"/>
      <c r="T18" s="88"/>
      <c r="U18" s="88"/>
      <c r="V18" s="88"/>
      <c r="W18" s="88"/>
      <c r="X18" s="88"/>
      <c r="Y18" s="88"/>
    </row>
    <row r="19" spans="1:25" s="87" customFormat="1" ht="17.25" thickBot="1">
      <c r="A19" s="925"/>
      <c r="B19" s="97"/>
      <c r="C19" s="1042"/>
      <c r="D19" s="98"/>
      <c r="E19" s="399">
        <f>'User Inputs'!J75</f>
        <v>0</v>
      </c>
      <c r="F19" s="402" t="s">
        <v>30</v>
      </c>
      <c r="G19" s="104"/>
      <c r="H19" s="101"/>
      <c r="I19" s="101"/>
      <c r="J19" s="101"/>
      <c r="K19" s="101"/>
      <c r="L19" s="101"/>
      <c r="M19" s="101"/>
      <c r="N19" s="101"/>
      <c r="O19" s="89"/>
      <c r="P19" s="198"/>
      <c r="Q19" s="89"/>
      <c r="R19" s="89"/>
      <c r="S19" s="88"/>
      <c r="T19" s="88"/>
      <c r="U19" s="88"/>
      <c r="V19" s="88"/>
      <c r="W19" s="88"/>
      <c r="X19" s="88"/>
      <c r="Y19" s="88"/>
    </row>
    <row r="20" spans="1:25" s="87" customFormat="1" ht="3.75" customHeight="1" thickBot="1">
      <c r="A20" s="94"/>
      <c r="C20" s="94"/>
      <c r="E20" s="343"/>
      <c r="F20" s="101"/>
      <c r="G20" s="101"/>
      <c r="H20" s="101"/>
      <c r="I20" s="101"/>
      <c r="J20" s="101"/>
      <c r="K20" s="101"/>
      <c r="L20" s="101"/>
      <c r="M20" s="101"/>
      <c r="N20" s="101"/>
      <c r="O20" s="89"/>
      <c r="P20" s="198"/>
      <c r="Q20" s="88"/>
      <c r="R20" s="89"/>
      <c r="S20" s="88"/>
      <c r="T20" s="88"/>
      <c r="U20" s="88"/>
      <c r="V20" s="88"/>
      <c r="W20" s="88"/>
      <c r="X20" s="88"/>
      <c r="Y20" s="88"/>
    </row>
    <row r="21" spans="1:25" s="87" customFormat="1" ht="16.5">
      <c r="A21" s="97"/>
      <c r="B21" s="97"/>
      <c r="C21" s="382"/>
      <c r="D21" s="98"/>
      <c r="E21" s="410">
        <f>'User Inputs'!E92</f>
        <v>0</v>
      </c>
      <c r="F21" s="403" t="s">
        <v>608</v>
      </c>
      <c r="G21" s="199"/>
      <c r="H21" s="199"/>
      <c r="I21" s="199"/>
      <c r="J21" s="199"/>
      <c r="K21" s="199"/>
      <c r="L21" s="199"/>
      <c r="M21" s="199"/>
      <c r="N21" s="199"/>
      <c r="O21" s="295"/>
      <c r="P21" s="200"/>
      <c r="Q21" s="89"/>
      <c r="R21" s="89"/>
      <c r="S21" s="88"/>
      <c r="T21" s="88"/>
      <c r="U21" s="88"/>
      <c r="V21" s="88"/>
      <c r="W21" s="88"/>
      <c r="X21" s="88"/>
      <c r="Y21" s="88"/>
    </row>
    <row r="22" spans="1:25" s="87" customFormat="1" ht="3.75" customHeight="1">
      <c r="A22" s="94"/>
      <c r="C22" s="94"/>
      <c r="E22" s="233"/>
      <c r="F22" s="101"/>
      <c r="G22" s="101"/>
      <c r="H22" s="101"/>
      <c r="I22" s="101"/>
      <c r="J22" s="101"/>
      <c r="K22" s="101"/>
      <c r="L22" s="101"/>
      <c r="M22" s="101"/>
      <c r="N22" s="101"/>
      <c r="O22" s="89"/>
      <c r="P22" s="89"/>
      <c r="Q22" s="88"/>
      <c r="R22" s="89"/>
      <c r="S22" s="88"/>
      <c r="T22" s="88"/>
      <c r="U22" s="88"/>
      <c r="V22" s="88"/>
      <c r="W22" s="88"/>
      <c r="X22" s="88"/>
      <c r="Y22" s="88"/>
    </row>
    <row r="23" spans="1:26" s="96" customFormat="1" ht="6" customHeight="1">
      <c r="A23" s="94"/>
      <c r="B23" s="94"/>
      <c r="C23" s="94"/>
      <c r="D23" s="94"/>
      <c r="E23" s="94"/>
      <c r="F23" s="94"/>
      <c r="G23" s="94"/>
      <c r="H23" s="94"/>
      <c r="I23" s="94"/>
      <c r="J23" s="94"/>
      <c r="K23" s="94"/>
      <c r="L23" s="94"/>
      <c r="M23" s="94"/>
      <c r="N23" s="94"/>
      <c r="O23" s="94"/>
      <c r="P23" s="94"/>
      <c r="Q23" s="95"/>
      <c r="R23" s="95"/>
      <c r="S23" s="94"/>
      <c r="T23" s="94"/>
      <c r="U23" s="94"/>
      <c r="V23" s="94"/>
      <c r="W23" s="94"/>
      <c r="X23" s="94"/>
      <c r="Y23" s="94"/>
      <c r="Z23" s="94"/>
    </row>
    <row r="24" spans="1:25" s="87" customFormat="1" ht="17.25" customHeight="1">
      <c r="A24" s="925"/>
      <c r="B24" s="97"/>
      <c r="C24" s="382"/>
      <c r="D24" s="98"/>
      <c r="E24" s="202" t="s">
        <v>275</v>
      </c>
      <c r="F24" s="299"/>
      <c r="G24" s="299"/>
      <c r="H24" s="299"/>
      <c r="I24" s="299"/>
      <c r="J24" s="299"/>
      <c r="K24" s="299"/>
      <c r="L24" s="299"/>
      <c r="M24" s="299"/>
      <c r="N24" s="196"/>
      <c r="O24" s="299"/>
      <c r="P24" s="197"/>
      <c r="Q24" s="88"/>
      <c r="R24" s="89"/>
      <c r="S24" s="88"/>
      <c r="T24" s="88"/>
      <c r="U24" s="88"/>
      <c r="V24" s="88"/>
      <c r="W24" s="88"/>
      <c r="X24" s="88"/>
      <c r="Y24" s="88"/>
    </row>
    <row r="25" spans="1:25" s="87" customFormat="1" ht="17.25" thickBot="1">
      <c r="A25" s="925"/>
      <c r="B25" s="97"/>
      <c r="C25" s="382"/>
      <c r="D25" s="98"/>
      <c r="E25" s="369" t="s">
        <v>153</v>
      </c>
      <c r="F25" s="101"/>
      <c r="G25" s="370" t="s">
        <v>154</v>
      </c>
      <c r="H25" s="101"/>
      <c r="I25" s="101"/>
      <c r="J25" s="370" t="s">
        <v>155</v>
      </c>
      <c r="K25" s="101"/>
      <c r="L25" s="370" t="s">
        <v>182</v>
      </c>
      <c r="M25" s="101"/>
      <c r="N25" s="101"/>
      <c r="O25" s="89"/>
      <c r="P25" s="198"/>
      <c r="Q25" s="88"/>
      <c r="R25" s="89"/>
      <c r="S25" s="88"/>
      <c r="T25" s="88"/>
      <c r="U25" s="88"/>
      <c r="V25" s="88"/>
      <c r="W25" s="88"/>
      <c r="X25" s="88"/>
      <c r="Y25" s="88"/>
    </row>
    <row r="26" spans="1:25" s="87" customFormat="1" ht="17.25" thickBot="1">
      <c r="A26" s="925"/>
      <c r="B26" s="97"/>
      <c r="C26" s="382"/>
      <c r="D26" s="98"/>
      <c r="E26" s="399">
        <f>'User Inputs'!E107</f>
        <v>0</v>
      </c>
      <c r="F26" s="371"/>
      <c r="G26" s="399">
        <f>'User Inputs'!G107</f>
        <v>0</v>
      </c>
      <c r="H26" s="371"/>
      <c r="I26" s="371"/>
      <c r="J26" s="399">
        <f>'User Inputs'!J107</f>
        <v>0</v>
      </c>
      <c r="K26" s="101"/>
      <c r="L26" s="399">
        <f>'User Inputs'!L107</f>
        <v>0</v>
      </c>
      <c r="M26" s="101"/>
      <c r="N26" s="101"/>
      <c r="O26" s="89"/>
      <c r="P26" s="198"/>
      <c r="Q26" s="88"/>
      <c r="R26" s="89"/>
      <c r="S26" s="88"/>
      <c r="T26" s="88"/>
      <c r="U26" s="88"/>
      <c r="V26" s="88"/>
      <c r="W26" s="88"/>
      <c r="X26" s="88"/>
      <c r="Y26" s="88"/>
    </row>
    <row r="27" spans="1:26" s="96" customFormat="1" ht="6" customHeight="1">
      <c r="A27" s="925"/>
      <c r="B27" s="97"/>
      <c r="C27" s="382"/>
      <c r="D27" s="98"/>
      <c r="E27" s="339"/>
      <c r="F27" s="95"/>
      <c r="G27" s="95"/>
      <c r="H27" s="95"/>
      <c r="I27" s="95"/>
      <c r="J27" s="95"/>
      <c r="K27" s="95"/>
      <c r="L27" s="95"/>
      <c r="M27" s="95"/>
      <c r="N27" s="95"/>
      <c r="O27" s="95"/>
      <c r="P27" s="340"/>
      <c r="Q27" s="95"/>
      <c r="R27" s="95"/>
      <c r="S27" s="94"/>
      <c r="T27" s="94"/>
      <c r="U27" s="94"/>
      <c r="V27" s="94"/>
      <c r="W27" s="94"/>
      <c r="X27" s="94"/>
      <c r="Y27" s="94"/>
      <c r="Z27" s="94"/>
    </row>
    <row r="28" spans="1:25" s="87" customFormat="1" ht="17.25" customHeight="1" thickBot="1">
      <c r="A28" s="925"/>
      <c r="B28" s="97"/>
      <c r="C28" s="382"/>
      <c r="D28" s="98"/>
      <c r="E28" s="956" t="s">
        <v>38</v>
      </c>
      <c r="F28" s="951"/>
      <c r="G28" s="951"/>
      <c r="H28" s="951"/>
      <c r="I28" s="951"/>
      <c r="J28" s="951"/>
      <c r="K28" s="951"/>
      <c r="L28" s="951"/>
      <c r="M28" s="951"/>
      <c r="N28" s="951"/>
      <c r="O28" s="951"/>
      <c r="P28" s="952"/>
      <c r="Q28" s="88"/>
      <c r="R28" s="89"/>
      <c r="S28" s="88"/>
      <c r="T28" s="88"/>
      <c r="U28" s="88"/>
      <c r="V28" s="88"/>
      <c r="W28" s="88"/>
      <c r="X28" s="88"/>
      <c r="Y28" s="88"/>
    </row>
    <row r="29" spans="1:25" s="87" customFormat="1" ht="16.5">
      <c r="A29" s="925"/>
      <c r="B29" s="97"/>
      <c r="C29" s="382"/>
      <c r="D29" s="98"/>
      <c r="E29" s="409">
        <f>'User Inputs'!E110</f>
        <v>0</v>
      </c>
      <c r="F29" s="347" t="s">
        <v>157</v>
      </c>
      <c r="G29" s="372"/>
      <c r="H29" s="373"/>
      <c r="I29" s="373"/>
      <c r="J29" s="374"/>
      <c r="K29" s="199"/>
      <c r="L29" s="199"/>
      <c r="M29" s="199"/>
      <c r="N29" s="199"/>
      <c r="O29" s="295"/>
      <c r="P29" s="200"/>
      <c r="Q29" s="88"/>
      <c r="R29" s="89"/>
      <c r="S29" s="88"/>
      <c r="T29" s="88"/>
      <c r="U29" s="88"/>
      <c r="V29" s="88"/>
      <c r="W29" s="88"/>
      <c r="X29" s="88"/>
      <c r="Y29" s="88"/>
    </row>
    <row r="30" spans="1:26" s="96" customFormat="1" ht="6" customHeight="1">
      <c r="A30" s="94"/>
      <c r="B30" s="94"/>
      <c r="C30" s="94"/>
      <c r="D30" s="94"/>
      <c r="E30" s="94"/>
      <c r="F30" s="94"/>
      <c r="G30" s="94"/>
      <c r="H30" s="94"/>
      <c r="I30" s="94"/>
      <c r="J30" s="94"/>
      <c r="K30" s="94"/>
      <c r="L30" s="94"/>
      <c r="M30" s="94"/>
      <c r="N30" s="94"/>
      <c r="O30" s="94"/>
      <c r="P30" s="94"/>
      <c r="Q30" s="95"/>
      <c r="R30" s="95"/>
      <c r="S30" s="94"/>
      <c r="T30" s="94"/>
      <c r="U30" s="94"/>
      <c r="V30" s="94"/>
      <c r="W30" s="94"/>
      <c r="X30" s="94"/>
      <c r="Y30" s="94"/>
      <c r="Z30" s="94"/>
    </row>
    <row r="31" spans="1:25" s="87" customFormat="1" ht="3.75" customHeight="1" thickBot="1">
      <c r="A31" s="94"/>
      <c r="C31" s="94"/>
      <c r="E31" s="195"/>
      <c r="F31" s="196"/>
      <c r="G31" s="196"/>
      <c r="H31" s="196"/>
      <c r="I31" s="196"/>
      <c r="J31" s="196"/>
      <c r="K31" s="196"/>
      <c r="L31" s="196"/>
      <c r="M31" s="196"/>
      <c r="N31" s="196"/>
      <c r="O31" s="299"/>
      <c r="P31" s="197"/>
      <c r="Q31" s="88"/>
      <c r="R31" s="89"/>
      <c r="S31" s="88"/>
      <c r="T31" s="88"/>
      <c r="U31" s="88"/>
      <c r="V31" s="88"/>
      <c r="W31" s="88"/>
      <c r="X31" s="88"/>
      <c r="Y31" s="88"/>
    </row>
    <row r="32" spans="1:25" s="87" customFormat="1" ht="17.25" thickBot="1">
      <c r="A32" s="97"/>
      <c r="B32" s="97"/>
      <c r="C32" s="382"/>
      <c r="D32" s="98"/>
      <c r="E32" s="444" t="e">
        <f>'5. Digester Sizing'!C61</f>
        <v>#DIV/0!</v>
      </c>
      <c r="F32" s="401" t="s">
        <v>445</v>
      </c>
      <c r="G32" s="101"/>
      <c r="H32" s="101"/>
      <c r="I32" s="101"/>
      <c r="J32" s="101"/>
      <c r="K32" s="101"/>
      <c r="L32" s="101"/>
      <c r="M32" s="101"/>
      <c r="N32" s="101"/>
      <c r="O32" s="89"/>
      <c r="P32" s="198"/>
      <c r="Q32" s="89"/>
      <c r="R32" s="89"/>
      <c r="S32" s="88"/>
      <c r="T32" s="88"/>
      <c r="U32" s="88"/>
      <c r="V32" s="88"/>
      <c r="W32" s="88"/>
      <c r="X32" s="88"/>
      <c r="Y32" s="88"/>
    </row>
    <row r="33" spans="1:25" s="87" customFormat="1" ht="3.75" customHeight="1" thickBot="1">
      <c r="A33" s="94"/>
      <c r="C33" s="94"/>
      <c r="E33" s="343"/>
      <c r="F33" s="101"/>
      <c r="G33" s="101"/>
      <c r="H33" s="101"/>
      <c r="I33" s="101"/>
      <c r="J33" s="101"/>
      <c r="K33" s="101"/>
      <c r="L33" s="101"/>
      <c r="M33" s="101"/>
      <c r="N33" s="101"/>
      <c r="O33" s="89"/>
      <c r="P33" s="198"/>
      <c r="Q33" s="88"/>
      <c r="R33" s="89"/>
      <c r="S33" s="88"/>
      <c r="T33" s="88"/>
      <c r="U33" s="88"/>
      <c r="V33" s="88"/>
      <c r="W33" s="88"/>
      <c r="X33" s="88"/>
      <c r="Y33" s="88"/>
    </row>
    <row r="34" spans="1:25" s="87" customFormat="1" ht="17.25" thickBot="1">
      <c r="A34" s="97"/>
      <c r="B34" s="97"/>
      <c r="C34" s="382"/>
      <c r="D34" s="98"/>
      <c r="E34" s="444" t="e">
        <f>'5. Digester Sizing'!C79</f>
        <v>#DIV/0!</v>
      </c>
      <c r="F34" s="401" t="s">
        <v>33</v>
      </c>
      <c r="G34" s="101"/>
      <c r="H34" s="101"/>
      <c r="I34" s="101"/>
      <c r="J34" s="101"/>
      <c r="K34" s="101"/>
      <c r="L34" s="101"/>
      <c r="M34" s="101"/>
      <c r="N34" s="101"/>
      <c r="O34" s="89"/>
      <c r="P34" s="198"/>
      <c r="Q34" s="89"/>
      <c r="R34" s="89"/>
      <c r="S34" s="88"/>
      <c r="T34" s="88"/>
      <c r="U34" s="88"/>
      <c r="V34" s="88"/>
      <c r="W34" s="88"/>
      <c r="X34" s="88"/>
      <c r="Y34" s="88"/>
    </row>
    <row r="35" spans="1:25" s="87" customFormat="1" ht="3.75" customHeight="1" thickBot="1">
      <c r="A35" s="94"/>
      <c r="C35" s="94"/>
      <c r="E35" s="343"/>
      <c r="F35" s="101"/>
      <c r="G35" s="101"/>
      <c r="H35" s="101"/>
      <c r="I35" s="101"/>
      <c r="J35" s="101"/>
      <c r="K35" s="101"/>
      <c r="L35" s="101"/>
      <c r="M35" s="101"/>
      <c r="N35" s="101"/>
      <c r="O35" s="89"/>
      <c r="P35" s="198"/>
      <c r="Q35" s="88"/>
      <c r="R35" s="89"/>
      <c r="S35" s="88"/>
      <c r="T35" s="88"/>
      <c r="U35" s="88"/>
      <c r="V35" s="88"/>
      <c r="W35" s="88"/>
      <c r="X35" s="88"/>
      <c r="Y35" s="88"/>
    </row>
    <row r="36" spans="1:25" s="87" customFormat="1" ht="17.25" thickBot="1">
      <c r="A36" s="97"/>
      <c r="B36" s="97"/>
      <c r="C36" s="382"/>
      <c r="D36" s="98"/>
      <c r="E36" s="444" t="e">
        <f>'5. Digester Sizing'!C80</f>
        <v>#DIV/0!</v>
      </c>
      <c r="F36" s="401" t="s">
        <v>105</v>
      </c>
      <c r="G36" s="101"/>
      <c r="H36" s="101"/>
      <c r="I36" s="101"/>
      <c r="J36" s="101"/>
      <c r="K36" s="101"/>
      <c r="L36" s="101"/>
      <c r="M36" s="101"/>
      <c r="N36" s="101"/>
      <c r="O36" s="89"/>
      <c r="P36" s="198"/>
      <c r="Q36" s="89"/>
      <c r="R36" s="89"/>
      <c r="S36" s="88"/>
      <c r="T36" s="88"/>
      <c r="U36" s="88"/>
      <c r="V36" s="88"/>
      <c r="W36" s="88"/>
      <c r="X36" s="88"/>
      <c r="Y36" s="88"/>
    </row>
    <row r="37" spans="1:25" s="87" customFormat="1" ht="3.75" customHeight="1">
      <c r="A37" s="94"/>
      <c r="C37" s="94"/>
      <c r="E37" s="443"/>
      <c r="F37" s="199"/>
      <c r="G37" s="199"/>
      <c r="H37" s="199"/>
      <c r="I37" s="199"/>
      <c r="J37" s="199"/>
      <c r="K37" s="199"/>
      <c r="L37" s="199"/>
      <c r="M37" s="199"/>
      <c r="N37" s="199"/>
      <c r="O37" s="295"/>
      <c r="P37" s="200"/>
      <c r="Q37" s="88"/>
      <c r="R37" s="89"/>
      <c r="S37" s="88"/>
      <c r="T37" s="88"/>
      <c r="U37" s="88"/>
      <c r="V37" s="88"/>
      <c r="W37" s="88"/>
      <c r="X37" s="88"/>
      <c r="Y37" s="88"/>
    </row>
    <row r="38" spans="1:26" s="96" customFormat="1" ht="6" customHeight="1" thickBot="1">
      <c r="A38" s="97"/>
      <c r="B38" s="97"/>
      <c r="C38" s="382"/>
      <c r="D38" s="98"/>
      <c r="E38" s="432"/>
      <c r="F38" s="344"/>
      <c r="G38" s="344"/>
      <c r="H38" s="344"/>
      <c r="I38" s="344"/>
      <c r="J38" s="344"/>
      <c r="K38" s="344"/>
      <c r="L38" s="344"/>
      <c r="M38" s="344"/>
      <c r="N38" s="344"/>
      <c r="O38" s="344"/>
      <c r="P38" s="430"/>
      <c r="Q38" s="95"/>
      <c r="R38" s="95"/>
      <c r="S38" s="94"/>
      <c r="T38" s="94"/>
      <c r="U38" s="94"/>
      <c r="V38" s="94"/>
      <c r="W38" s="94"/>
      <c r="X38" s="94"/>
      <c r="Y38" s="94"/>
      <c r="Z38" s="94"/>
    </row>
    <row r="39" spans="1:25" s="87" customFormat="1" ht="17.25" thickBot="1">
      <c r="A39" s="97"/>
      <c r="B39" s="97"/>
      <c r="C39" s="382"/>
      <c r="D39" s="98"/>
      <c r="E39" s="400">
        <f>'User Inputs'!E122</f>
        <v>0</v>
      </c>
      <c r="F39" s="401" t="s">
        <v>276</v>
      </c>
      <c r="G39" s="101"/>
      <c r="H39" s="101"/>
      <c r="I39" s="101"/>
      <c r="J39" s="101"/>
      <c r="K39" s="101"/>
      <c r="L39" s="101"/>
      <c r="M39" s="101"/>
      <c r="O39" s="89"/>
      <c r="P39" s="198"/>
      <c r="Q39" s="89"/>
      <c r="R39" s="88"/>
      <c r="S39" s="88"/>
      <c r="T39" s="88"/>
      <c r="U39" s="88"/>
      <c r="V39" s="88"/>
      <c r="W39" s="88"/>
      <c r="X39" s="88"/>
      <c r="Y39" s="88"/>
    </row>
    <row r="40" spans="1:26" s="96" customFormat="1" ht="6" customHeight="1">
      <c r="A40" s="97"/>
      <c r="B40" s="97"/>
      <c r="C40" s="382"/>
      <c r="D40" s="98"/>
      <c r="E40" s="339"/>
      <c r="F40" s="95"/>
      <c r="G40" s="95"/>
      <c r="H40" s="95"/>
      <c r="I40" s="95"/>
      <c r="J40" s="95"/>
      <c r="K40" s="95"/>
      <c r="L40" s="95"/>
      <c r="M40" s="95"/>
      <c r="N40" s="95"/>
      <c r="O40" s="95"/>
      <c r="P40" s="340"/>
      <c r="Q40" s="95"/>
      <c r="R40" s="94"/>
      <c r="S40" s="94"/>
      <c r="T40" s="94"/>
      <c r="U40" s="94"/>
      <c r="V40" s="94"/>
      <c r="W40" s="94"/>
      <c r="X40" s="94"/>
      <c r="Y40" s="94"/>
      <c r="Z40" s="94"/>
    </row>
    <row r="41" spans="1:26" s="96" customFormat="1" ht="6" customHeight="1" thickBot="1">
      <c r="A41" s="97"/>
      <c r="B41" s="97"/>
      <c r="C41" s="382"/>
      <c r="D41" s="98"/>
      <c r="E41" s="339"/>
      <c r="F41" s="95"/>
      <c r="G41" s="95"/>
      <c r="H41" s="95"/>
      <c r="I41" s="95"/>
      <c r="J41" s="95"/>
      <c r="K41" s="95"/>
      <c r="L41" s="95"/>
      <c r="M41" s="95"/>
      <c r="N41" s="95"/>
      <c r="O41" s="95"/>
      <c r="P41" s="340"/>
      <c r="Q41" s="95"/>
      <c r="R41" s="94"/>
      <c r="S41" s="94"/>
      <c r="T41" s="94"/>
      <c r="U41" s="94"/>
      <c r="V41" s="94"/>
      <c r="W41" s="94"/>
      <c r="X41" s="94"/>
      <c r="Y41" s="94"/>
      <c r="Z41" s="94"/>
    </row>
    <row r="42" spans="1:25" s="87" customFormat="1" ht="16.5">
      <c r="A42" s="97"/>
      <c r="B42" s="97"/>
      <c r="C42" s="382"/>
      <c r="D42" s="98"/>
      <c r="E42" s="410">
        <f>'User Inputs'!E129</f>
        <v>0</v>
      </c>
      <c r="F42" s="403" t="s">
        <v>40</v>
      </c>
      <c r="G42" s="199"/>
      <c r="H42" s="199"/>
      <c r="I42" s="199"/>
      <c r="J42" s="199"/>
      <c r="K42" s="199"/>
      <c r="L42" s="199"/>
      <c r="M42" s="199"/>
      <c r="N42" s="199"/>
      <c r="O42" s="295"/>
      <c r="P42" s="200"/>
      <c r="Q42" s="89"/>
      <c r="R42" s="88"/>
      <c r="S42" s="88"/>
      <c r="T42" s="88"/>
      <c r="U42" s="88"/>
      <c r="V42" s="88"/>
      <c r="W42" s="88"/>
      <c r="X42" s="88"/>
      <c r="Y42" s="88"/>
    </row>
    <row r="43" spans="1:25" s="87" customFormat="1" ht="16.5">
      <c r="A43" s="97"/>
      <c r="B43" s="97"/>
      <c r="C43" s="382"/>
      <c r="D43" s="98"/>
      <c r="E43" s="101" t="s">
        <v>443</v>
      </c>
      <c r="F43" s="401"/>
      <c r="G43" s="101"/>
      <c r="H43" s="101"/>
      <c r="I43" s="101"/>
      <c r="J43" s="101"/>
      <c r="K43" s="101"/>
      <c r="L43" s="101"/>
      <c r="M43" s="101"/>
      <c r="N43" s="101"/>
      <c r="O43" s="89"/>
      <c r="P43" s="89"/>
      <c r="Q43" s="89"/>
      <c r="R43" s="88"/>
      <c r="S43" s="88"/>
      <c r="T43" s="88"/>
      <c r="U43" s="88"/>
      <c r="V43" s="88"/>
      <c r="W43" s="88"/>
      <c r="X43" s="88"/>
      <c r="Y43" s="88"/>
    </row>
    <row r="44" spans="1:25" s="87" customFormat="1" ht="16.5">
      <c r="A44" s="97"/>
      <c r="B44" s="97"/>
      <c r="C44" s="382"/>
      <c r="D44" s="98"/>
      <c r="E44" s="101" t="s">
        <v>628</v>
      </c>
      <c r="F44" s="401"/>
      <c r="G44" s="101"/>
      <c r="H44" s="101"/>
      <c r="I44" s="101"/>
      <c r="J44" s="101"/>
      <c r="K44" s="101"/>
      <c r="L44" s="101"/>
      <c r="M44" s="101"/>
      <c r="N44" s="101"/>
      <c r="O44" s="89"/>
      <c r="P44" s="89"/>
      <c r="Q44" s="89"/>
      <c r="R44" s="88"/>
      <c r="S44" s="88"/>
      <c r="T44" s="88"/>
      <c r="U44" s="88"/>
      <c r="V44" s="88"/>
      <c r="W44" s="88"/>
      <c r="X44" s="88"/>
      <c r="Y44" s="88"/>
    </row>
    <row r="45" spans="1:25" s="87" customFormat="1" ht="16.5">
      <c r="A45" s="97"/>
      <c r="B45" s="97"/>
      <c r="C45" s="382"/>
      <c r="D45" s="98"/>
      <c r="E45" s="87" t="s">
        <v>629</v>
      </c>
      <c r="F45" s="104"/>
      <c r="G45" s="404"/>
      <c r="H45" s="405"/>
      <c r="I45" s="405"/>
      <c r="J45" s="406"/>
      <c r="K45" s="101"/>
      <c r="L45" s="101"/>
      <c r="M45" s="101"/>
      <c r="N45" s="101"/>
      <c r="O45" s="89"/>
      <c r="P45" s="89"/>
      <c r="Q45" s="88"/>
      <c r="R45" s="88"/>
      <c r="S45" s="88"/>
      <c r="T45" s="88"/>
      <c r="U45" s="88"/>
      <c r="V45" s="88"/>
      <c r="W45" s="88"/>
      <c r="X45" s="88"/>
      <c r="Y45" s="88"/>
    </row>
    <row r="46" spans="1:25" s="87" customFormat="1" ht="18.75" thickBot="1">
      <c r="A46" s="97"/>
      <c r="B46" s="97"/>
      <c r="C46" s="382"/>
      <c r="D46" s="98"/>
      <c r="E46" s="433" t="s">
        <v>442</v>
      </c>
      <c r="F46" s="434"/>
      <c r="G46" s="434"/>
      <c r="H46" s="434"/>
      <c r="I46" s="434"/>
      <c r="J46" s="434"/>
      <c r="K46" s="435"/>
      <c r="L46" s="434"/>
      <c r="M46" s="196"/>
      <c r="N46" s="196"/>
      <c r="O46" s="299"/>
      <c r="P46" s="197"/>
      <c r="Q46" s="88"/>
      <c r="R46" s="88"/>
      <c r="S46" s="88"/>
      <c r="T46" s="88"/>
      <c r="U46" s="88"/>
      <c r="V46" s="88"/>
      <c r="W46" s="88"/>
      <c r="X46" s="88"/>
      <c r="Y46" s="88"/>
    </row>
    <row r="47" spans="1:25" s="87" customFormat="1" ht="33.75" customHeight="1" thickBot="1">
      <c r="A47" s="97"/>
      <c r="B47" s="97"/>
      <c r="C47" s="382"/>
      <c r="D47" s="98"/>
      <c r="E47" s="1045" t="s">
        <v>434</v>
      </c>
      <c r="F47" s="1046"/>
      <c r="G47" s="829">
        <f>'User Inputs'!K262</f>
        <v>0</v>
      </c>
      <c r="H47" s="436" t="s">
        <v>70</v>
      </c>
      <c r="I47" s="408"/>
      <c r="J47" s="408"/>
      <c r="K47" s="101"/>
      <c r="L47" s="101"/>
      <c r="M47" s="101"/>
      <c r="N47" s="101"/>
      <c r="O47" s="89"/>
      <c r="P47" s="198"/>
      <c r="Q47" s="88"/>
      <c r="R47" s="88"/>
      <c r="S47" s="88"/>
      <c r="T47" s="88"/>
      <c r="U47" s="88"/>
      <c r="V47" s="88"/>
      <c r="W47" s="88"/>
      <c r="X47" s="88"/>
      <c r="Y47" s="88"/>
    </row>
    <row r="48" spans="1:25" s="87" customFormat="1" ht="17.25" thickBot="1">
      <c r="A48" s="97"/>
      <c r="B48" s="97"/>
      <c r="C48" s="382"/>
      <c r="D48" s="98"/>
      <c r="E48" s="828"/>
      <c r="F48" s="408"/>
      <c r="G48" s="404"/>
      <c r="H48" s="436"/>
      <c r="I48" s="408"/>
      <c r="J48" s="408"/>
      <c r="K48" s="101"/>
      <c r="L48" s="101"/>
      <c r="M48" s="101"/>
      <c r="N48" s="101"/>
      <c r="O48" s="89"/>
      <c r="P48" s="198"/>
      <c r="Q48" s="88"/>
      <c r="R48" s="88"/>
      <c r="S48" s="88"/>
      <c r="T48" s="88"/>
      <c r="U48" s="88"/>
      <c r="V48" s="88"/>
      <c r="W48" s="88"/>
      <c r="X48" s="88"/>
      <c r="Y48" s="88"/>
    </row>
    <row r="49" spans="1:25" s="87" customFormat="1" ht="33.75" customHeight="1" thickBot="1">
      <c r="A49" s="97"/>
      <c r="B49" s="97"/>
      <c r="C49" s="382"/>
      <c r="D49" s="98"/>
      <c r="E49" s="1045" t="s">
        <v>433</v>
      </c>
      <c r="F49" s="1046"/>
      <c r="G49" s="829">
        <f>'User Inputs'!K264</f>
        <v>0</v>
      </c>
      <c r="H49" s="436" t="s">
        <v>70</v>
      </c>
      <c r="I49" s="408"/>
      <c r="J49" s="408"/>
      <c r="K49" s="101"/>
      <c r="L49" s="101"/>
      <c r="M49" s="101"/>
      <c r="N49" s="101"/>
      <c r="O49" s="89"/>
      <c r="P49" s="198"/>
      <c r="Q49" s="88"/>
      <c r="R49" s="88"/>
      <c r="S49" s="88"/>
      <c r="T49" s="88"/>
      <c r="U49" s="88"/>
      <c r="V49" s="88"/>
      <c r="W49" s="88"/>
      <c r="X49" s="88"/>
      <c r="Y49" s="88"/>
    </row>
    <row r="50" spans="1:25" s="87" customFormat="1" ht="17.25" thickBot="1">
      <c r="A50" s="97"/>
      <c r="B50" s="97"/>
      <c r="C50" s="382"/>
      <c r="D50" s="98"/>
      <c r="E50" s="828"/>
      <c r="F50" s="408"/>
      <c r="G50" s="404"/>
      <c r="H50" s="436"/>
      <c r="I50" s="408"/>
      <c r="J50" s="408"/>
      <c r="K50" s="101"/>
      <c r="L50" s="101"/>
      <c r="M50" s="101"/>
      <c r="N50" s="101"/>
      <c r="O50" s="89"/>
      <c r="P50" s="198"/>
      <c r="Q50" s="88"/>
      <c r="R50" s="88"/>
      <c r="S50" s="88"/>
      <c r="T50" s="88"/>
      <c r="U50" s="88"/>
      <c r="V50" s="88"/>
      <c r="W50" s="88"/>
      <c r="X50" s="88"/>
      <c r="Y50" s="88"/>
    </row>
    <row r="51" spans="1:25" s="87" customFormat="1" ht="50.25" customHeight="1" thickBot="1">
      <c r="A51" s="97"/>
      <c r="B51" s="97"/>
      <c r="C51" s="382"/>
      <c r="D51" s="98"/>
      <c r="E51" s="1045" t="s">
        <v>435</v>
      </c>
      <c r="F51" s="1046"/>
      <c r="G51" s="829">
        <f>-'User Inputs'!K266</f>
        <v>0</v>
      </c>
      <c r="H51" s="436" t="s">
        <v>70</v>
      </c>
      <c r="I51" s="408"/>
      <c r="J51" s="408"/>
      <c r="K51" s="101"/>
      <c r="L51" s="101"/>
      <c r="M51" s="101"/>
      <c r="N51" s="101"/>
      <c r="O51" s="89"/>
      <c r="P51" s="198"/>
      <c r="Q51" s="88"/>
      <c r="R51" s="88"/>
      <c r="S51" s="88"/>
      <c r="T51" s="88"/>
      <c r="U51" s="88"/>
      <c r="V51" s="88"/>
      <c r="W51" s="88"/>
      <c r="X51" s="88"/>
      <c r="Y51" s="88"/>
    </row>
    <row r="52" spans="1:25" s="87" customFormat="1" ht="17.25" thickBot="1">
      <c r="A52" s="97"/>
      <c r="B52" s="97"/>
      <c r="C52" s="382"/>
      <c r="D52" s="98"/>
      <c r="E52" s="828"/>
      <c r="F52" s="408"/>
      <c r="G52" s="404"/>
      <c r="H52" s="436"/>
      <c r="I52" s="408"/>
      <c r="J52" s="408"/>
      <c r="K52" s="101"/>
      <c r="L52" s="101"/>
      <c r="M52" s="101"/>
      <c r="N52" s="101"/>
      <c r="O52" s="89"/>
      <c r="P52" s="198"/>
      <c r="Q52" s="88"/>
      <c r="R52" s="88"/>
      <c r="S52" s="88"/>
      <c r="T52" s="88"/>
      <c r="U52" s="88"/>
      <c r="V52" s="88"/>
      <c r="W52" s="88"/>
      <c r="X52" s="88"/>
      <c r="Y52" s="88"/>
    </row>
    <row r="53" spans="1:25" s="87" customFormat="1" ht="51" customHeight="1" thickBot="1">
      <c r="A53" s="97"/>
      <c r="B53" s="97"/>
      <c r="C53" s="382"/>
      <c r="D53" s="98"/>
      <c r="E53" s="1045" t="s">
        <v>438</v>
      </c>
      <c r="F53" s="1046"/>
      <c r="G53" s="829">
        <f>'User Inputs'!K268</f>
        <v>0</v>
      </c>
      <c r="H53" s="436" t="s">
        <v>70</v>
      </c>
      <c r="I53" s="408"/>
      <c r="J53" s="408"/>
      <c r="K53" s="101"/>
      <c r="L53" s="101"/>
      <c r="M53" s="101"/>
      <c r="N53" s="101"/>
      <c r="O53" s="89"/>
      <c r="P53" s="198"/>
      <c r="Q53" s="88"/>
      <c r="R53" s="88"/>
      <c r="S53" s="88"/>
      <c r="T53" s="88"/>
      <c r="U53" s="88"/>
      <c r="V53" s="88"/>
      <c r="W53" s="88"/>
      <c r="X53" s="88"/>
      <c r="Y53" s="88"/>
    </row>
    <row r="54" spans="1:25" s="87" customFormat="1" ht="17.25" thickBot="1">
      <c r="A54" s="97"/>
      <c r="B54" s="97"/>
      <c r="C54" s="382"/>
      <c r="D54" s="98"/>
      <c r="E54" s="437"/>
      <c r="F54" s="407"/>
      <c r="G54" s="370"/>
      <c r="H54" s="436"/>
      <c r="I54" s="407"/>
      <c r="J54" s="407"/>
      <c r="K54" s="101"/>
      <c r="L54" s="101"/>
      <c r="M54" s="101"/>
      <c r="N54" s="101"/>
      <c r="O54" s="89"/>
      <c r="P54" s="198"/>
      <c r="Q54" s="88"/>
      <c r="R54" s="88"/>
      <c r="S54" s="88"/>
      <c r="T54" s="88"/>
      <c r="U54" s="88"/>
      <c r="V54" s="88"/>
      <c r="W54" s="88"/>
      <c r="X54" s="88"/>
      <c r="Y54" s="88"/>
    </row>
    <row r="55" spans="1:25" s="87" customFormat="1" ht="51.75" customHeight="1" thickBot="1">
      <c r="A55" s="97"/>
      <c r="B55" s="97"/>
      <c r="C55" s="382"/>
      <c r="D55" s="98"/>
      <c r="E55" s="1045" t="s">
        <v>439</v>
      </c>
      <c r="F55" s="1046"/>
      <c r="G55" s="829">
        <f>'User Inputs'!K270</f>
        <v>0</v>
      </c>
      <c r="H55" s="436" t="s">
        <v>70</v>
      </c>
      <c r="I55" s="408"/>
      <c r="J55" s="408"/>
      <c r="K55" s="101"/>
      <c r="L55" s="101"/>
      <c r="M55" s="101"/>
      <c r="N55" s="101"/>
      <c r="O55" s="89"/>
      <c r="P55" s="198"/>
      <c r="Q55" s="88"/>
      <c r="R55" s="88"/>
      <c r="S55" s="88"/>
      <c r="T55" s="88"/>
      <c r="U55" s="88"/>
      <c r="V55" s="88"/>
      <c r="W55" s="88"/>
      <c r="X55" s="88"/>
      <c r="Y55" s="88"/>
    </row>
    <row r="56" spans="1:25" s="87" customFormat="1" ht="17.25" thickBot="1">
      <c r="A56" s="97"/>
      <c r="B56" s="97"/>
      <c r="C56" s="382"/>
      <c r="D56" s="98"/>
      <c r="E56" s="437"/>
      <c r="F56" s="407"/>
      <c r="G56" s="370"/>
      <c r="H56" s="407"/>
      <c r="I56" s="407"/>
      <c r="J56" s="407"/>
      <c r="K56" s="101"/>
      <c r="L56" s="95"/>
      <c r="M56" s="101"/>
      <c r="N56" s="101"/>
      <c r="O56" s="89"/>
      <c r="P56" s="198"/>
      <c r="Q56" s="88"/>
      <c r="R56" s="88"/>
      <c r="S56" s="88"/>
      <c r="T56" s="88"/>
      <c r="U56" s="88"/>
      <c r="V56" s="88"/>
      <c r="W56" s="88"/>
      <c r="X56" s="88"/>
      <c r="Y56" s="88"/>
    </row>
    <row r="57" spans="1:25" s="87" customFormat="1" ht="17.25" thickBot="1">
      <c r="A57" s="97"/>
      <c r="B57" s="97"/>
      <c r="C57" s="382"/>
      <c r="D57" s="98"/>
      <c r="E57" s="1045" t="s">
        <v>440</v>
      </c>
      <c r="F57" s="1046"/>
      <c r="G57" s="832">
        <f>'User Inputs'!K272</f>
        <v>0</v>
      </c>
      <c r="H57" s="408"/>
      <c r="I57" s="408"/>
      <c r="J57" s="408"/>
      <c r="K57" s="101"/>
      <c r="L57" s="95"/>
      <c r="M57" s="101"/>
      <c r="N57" s="101"/>
      <c r="O57" s="89"/>
      <c r="P57" s="198"/>
      <c r="Q57" s="88"/>
      <c r="R57" s="88"/>
      <c r="S57" s="88"/>
      <c r="T57" s="88"/>
      <c r="U57" s="88"/>
      <c r="V57" s="88"/>
      <c r="W57" s="88"/>
      <c r="X57" s="88"/>
      <c r="Y57" s="88"/>
    </row>
    <row r="58" spans="1:25" s="87" customFormat="1" ht="17.25" thickBot="1">
      <c r="A58" s="97"/>
      <c r="B58" s="97"/>
      <c r="C58" s="382"/>
      <c r="D58" s="98"/>
      <c r="E58" s="438"/>
      <c r="F58" s="407"/>
      <c r="G58" s="370"/>
      <c r="H58" s="407"/>
      <c r="I58" s="407"/>
      <c r="J58" s="407"/>
      <c r="K58" s="101"/>
      <c r="L58" s="95"/>
      <c r="M58" s="101"/>
      <c r="N58" s="101"/>
      <c r="O58" s="89"/>
      <c r="P58" s="198"/>
      <c r="Q58" s="88"/>
      <c r="R58" s="88"/>
      <c r="S58" s="88"/>
      <c r="T58" s="88"/>
      <c r="U58" s="88"/>
      <c r="V58" s="88"/>
      <c r="W58" s="88"/>
      <c r="X58" s="88"/>
      <c r="Y58" s="88"/>
    </row>
    <row r="59" spans="1:25" s="87" customFormat="1" ht="16.5">
      <c r="A59" s="97"/>
      <c r="B59" s="97"/>
      <c r="C59" s="382"/>
      <c r="D59" s="98"/>
      <c r="E59" s="1047" t="s">
        <v>234</v>
      </c>
      <c r="F59" s="1048"/>
      <c r="G59" s="439">
        <f>'User Inputs'!K274</f>
        <v>0</v>
      </c>
      <c r="H59" s="700" t="s">
        <v>590</v>
      </c>
      <c r="I59" s="440"/>
      <c r="J59" s="440"/>
      <c r="K59" s="199"/>
      <c r="L59" s="199"/>
      <c r="M59" s="199"/>
      <c r="N59" s="199"/>
      <c r="O59" s="295"/>
      <c r="P59" s="200"/>
      <c r="Q59" s="88"/>
      <c r="R59" s="88"/>
      <c r="S59" s="88"/>
      <c r="T59" s="88"/>
      <c r="U59" s="88"/>
      <c r="V59" s="88"/>
      <c r="W59" s="88"/>
      <c r="X59" s="88"/>
      <c r="Y59" s="88"/>
    </row>
    <row r="60" spans="1:25" s="87" customFormat="1" ht="15">
      <c r="A60" s="106"/>
      <c r="O60" s="88"/>
      <c r="P60" s="88"/>
      <c r="Q60" s="88"/>
      <c r="R60" s="88"/>
      <c r="S60" s="88"/>
      <c r="T60" s="88"/>
      <c r="U60" s="88"/>
      <c r="V60" s="88"/>
      <c r="W60" s="88"/>
      <c r="X60" s="88"/>
      <c r="Y60" s="88"/>
    </row>
    <row r="61" spans="1:26" s="96" customFormat="1" ht="39" customHeight="1">
      <c r="A61" s="925"/>
      <c r="B61" s="94"/>
      <c r="C61" s="881" t="s">
        <v>264</v>
      </c>
      <c r="D61" s="881"/>
      <c r="E61" s="881"/>
      <c r="F61" s="881"/>
      <c r="G61" s="881"/>
      <c r="H61" s="881"/>
      <c r="I61" s="881"/>
      <c r="J61" s="881"/>
      <c r="K61" s="881"/>
      <c r="L61" s="881"/>
      <c r="M61" s="881"/>
      <c r="N61" s="881"/>
      <c r="O61" s="881"/>
      <c r="P61" s="881"/>
      <c r="Q61" s="95"/>
      <c r="R61" s="94"/>
      <c r="S61" s="94"/>
      <c r="T61" s="94"/>
      <c r="U61" s="94"/>
      <c r="V61" s="94"/>
      <c r="W61" s="94"/>
      <c r="X61" s="94"/>
      <c r="Y61" s="94"/>
      <c r="Z61" s="94"/>
    </row>
    <row r="62" spans="1:26" s="96" customFormat="1" ht="6" customHeight="1">
      <c r="A62" s="925"/>
      <c r="B62" s="94"/>
      <c r="C62" s="94"/>
      <c r="D62" s="94"/>
      <c r="E62" s="94"/>
      <c r="F62" s="94"/>
      <c r="G62" s="94"/>
      <c r="H62" s="94"/>
      <c r="I62" s="94"/>
      <c r="J62" s="94"/>
      <c r="K62" s="94"/>
      <c r="L62" s="94"/>
      <c r="M62" s="94"/>
      <c r="N62" s="94"/>
      <c r="O62" s="94"/>
      <c r="P62" s="94"/>
      <c r="Q62" s="95"/>
      <c r="R62" s="94"/>
      <c r="S62" s="94"/>
      <c r="T62" s="94"/>
      <c r="U62" s="94"/>
      <c r="V62" s="94"/>
      <c r="W62" s="94"/>
      <c r="X62" s="94"/>
      <c r="Y62" s="94"/>
      <c r="Z62" s="94"/>
    </row>
    <row r="63" spans="1:28" s="87" customFormat="1" ht="17.25" customHeight="1" thickBot="1">
      <c r="A63" s="925"/>
      <c r="B63" s="97"/>
      <c r="C63" s="202" t="s">
        <v>277</v>
      </c>
      <c r="D63" s="299"/>
      <c r="E63" s="299"/>
      <c r="F63" s="196"/>
      <c r="G63" s="196"/>
      <c r="H63" s="299"/>
      <c r="I63" s="299"/>
      <c r="J63" s="299"/>
      <c r="K63" s="299"/>
      <c r="L63" s="299"/>
      <c r="M63" s="299"/>
      <c r="N63" s="299"/>
      <c r="O63" s="299"/>
      <c r="P63" s="197"/>
      <c r="Q63" s="367"/>
      <c r="R63" s="89"/>
      <c r="S63" s="89"/>
      <c r="T63" s="88"/>
      <c r="U63" s="88"/>
      <c r="V63" s="88"/>
      <c r="W63" s="88"/>
      <c r="X63" s="88"/>
      <c r="Y63" s="88"/>
      <c r="Z63" s="88"/>
      <c r="AA63" s="88"/>
      <c r="AB63" s="88"/>
    </row>
    <row r="64" spans="1:28" s="87" customFormat="1" ht="15.75" thickBot="1">
      <c r="A64" s="925"/>
      <c r="B64" s="97"/>
      <c r="C64" s="453">
        <f>'User Inputs'!$E$280</f>
        <v>0</v>
      </c>
      <c r="D64" s="331" t="s">
        <v>279</v>
      </c>
      <c r="E64" s="101"/>
      <c r="F64" s="101"/>
      <c r="G64" s="101"/>
      <c r="H64" s="101"/>
      <c r="I64" s="101"/>
      <c r="J64" s="101"/>
      <c r="K64" s="101"/>
      <c r="L64" s="101"/>
      <c r="M64" s="101"/>
      <c r="N64" s="101"/>
      <c r="O64" s="101"/>
      <c r="P64" s="334"/>
      <c r="Q64" s="367"/>
      <c r="R64" s="89"/>
      <c r="S64" s="89"/>
      <c r="T64" s="88"/>
      <c r="U64" s="88"/>
      <c r="V64" s="88"/>
      <c r="W64" s="88"/>
      <c r="X64" s="88"/>
      <c r="Y64" s="88"/>
      <c r="Z64" s="88"/>
      <c r="AA64" s="88"/>
      <c r="AB64" s="88"/>
    </row>
    <row r="65" spans="1:28" s="87" customFormat="1" ht="15">
      <c r="A65" s="925"/>
      <c r="B65" s="97"/>
      <c r="C65" s="454">
        <f>'User Inputs'!$E$281</f>
        <v>0</v>
      </c>
      <c r="D65" s="346" t="s">
        <v>278</v>
      </c>
      <c r="E65" s="199"/>
      <c r="F65" s="199"/>
      <c r="G65" s="199"/>
      <c r="H65" s="199"/>
      <c r="I65" s="199"/>
      <c r="J65" s="199"/>
      <c r="K65" s="199"/>
      <c r="L65" s="199"/>
      <c r="M65" s="199"/>
      <c r="N65" s="199"/>
      <c r="O65" s="199"/>
      <c r="P65" s="336"/>
      <c r="Q65" s="367"/>
      <c r="R65" s="89"/>
      <c r="S65" s="89"/>
      <c r="T65" s="88"/>
      <c r="U65" s="88"/>
      <c r="V65" s="88"/>
      <c r="W65" s="88"/>
      <c r="X65" s="88"/>
      <c r="Y65" s="88"/>
      <c r="Z65" s="88"/>
      <c r="AA65" s="88"/>
      <c r="AB65" s="88"/>
    </row>
    <row r="66" spans="1:25" s="87" customFormat="1" ht="15.75" thickBot="1">
      <c r="A66" s="106"/>
      <c r="C66" s="395"/>
      <c r="D66" s="98"/>
      <c r="O66" s="88"/>
      <c r="P66" s="88"/>
      <c r="Q66" s="88"/>
      <c r="R66" s="88"/>
      <c r="S66" s="88"/>
      <c r="T66" s="88"/>
      <c r="U66" s="88"/>
      <c r="V66" s="88"/>
      <c r="W66" s="88"/>
      <c r="X66" s="88"/>
      <c r="Y66" s="88"/>
    </row>
    <row r="67" spans="3:25" s="87" customFormat="1" ht="15">
      <c r="C67" s="415"/>
      <c r="D67" s="416"/>
      <c r="E67" s="411" t="s">
        <v>491</v>
      </c>
      <c r="F67" s="420">
        <f>'6. Financial Model Output'!C16</f>
        <v>0</v>
      </c>
      <c r="G67" s="147"/>
      <c r="H67" s="415"/>
      <c r="I67" s="416"/>
      <c r="J67" s="411" t="s">
        <v>499</v>
      </c>
      <c r="K67" s="776">
        <f>'6. Financial Model Output'!C22</f>
        <v>0</v>
      </c>
      <c r="L67" s="147" t="s">
        <v>189</v>
      </c>
      <c r="M67" s="1049" t="s">
        <v>441</v>
      </c>
      <c r="N67" s="1049"/>
      <c r="O67" s="1049"/>
      <c r="P67" s="1050"/>
      <c r="Q67" s="88"/>
      <c r="R67" s="88"/>
      <c r="S67" s="88"/>
      <c r="T67" s="88"/>
      <c r="U67" s="88"/>
      <c r="V67" s="88"/>
      <c r="W67" s="88"/>
      <c r="X67" s="88"/>
      <c r="Y67" s="88"/>
    </row>
    <row r="68" spans="3:25" s="87" customFormat="1" ht="15.75" thickBot="1">
      <c r="C68" s="417"/>
      <c r="D68" s="418"/>
      <c r="E68" s="389" t="s">
        <v>420</v>
      </c>
      <c r="F68" s="421">
        <f>'6. Financial Model Output'!C17</f>
        <v>0</v>
      </c>
      <c r="G68" s="58"/>
      <c r="H68" s="419"/>
      <c r="I68" s="101"/>
      <c r="J68" s="413" t="s">
        <v>500</v>
      </c>
      <c r="K68" s="777">
        <f>'6. Financial Model Output'!C23</f>
        <v>0</v>
      </c>
      <c r="L68" s="54" t="s">
        <v>189</v>
      </c>
      <c r="M68" s="1049"/>
      <c r="N68" s="1049"/>
      <c r="O68" s="1049"/>
      <c r="P68" s="1050"/>
      <c r="Q68" s="88"/>
      <c r="R68" s="88"/>
      <c r="S68" s="88"/>
      <c r="T68" s="88"/>
      <c r="U68" s="88"/>
      <c r="V68" s="88"/>
      <c r="W68" s="88"/>
      <c r="X68" s="88"/>
      <c r="Y68" s="88"/>
    </row>
    <row r="69" spans="5:25" s="87" customFormat="1" ht="15.75" thickBot="1">
      <c r="E69" s="393"/>
      <c r="F69" s="69"/>
      <c r="G69" s="1"/>
      <c r="H69" s="417"/>
      <c r="I69" s="418"/>
      <c r="J69" s="389" t="s">
        <v>501</v>
      </c>
      <c r="K69" s="778">
        <f>'6. Financial Model Output'!C24</f>
        <v>0</v>
      </c>
      <c r="L69" s="58" t="s">
        <v>189</v>
      </c>
      <c r="M69" s="1049"/>
      <c r="N69" s="1049"/>
      <c r="O69" s="1049"/>
      <c r="P69" s="1050"/>
      <c r="Q69" s="88"/>
      <c r="R69" s="88"/>
      <c r="S69" s="88"/>
      <c r="T69" s="88"/>
      <c r="U69" s="88"/>
      <c r="V69" s="88"/>
      <c r="W69" s="88"/>
      <c r="X69" s="88"/>
      <c r="Y69" s="88"/>
    </row>
    <row r="70" spans="3:25" s="87" customFormat="1" ht="15.75" thickBot="1">
      <c r="C70" s="415"/>
      <c r="D70" s="416"/>
      <c r="E70" s="411" t="s">
        <v>503</v>
      </c>
      <c r="F70" s="422">
        <f>'6. Financial Model Output'!C19</f>
        <v>0</v>
      </c>
      <c r="G70" s="147" t="s">
        <v>254</v>
      </c>
      <c r="J70" s="21"/>
      <c r="K70" s="42"/>
      <c r="L70" s="1"/>
      <c r="M70" s="1049"/>
      <c r="N70" s="1049"/>
      <c r="O70" s="1049"/>
      <c r="P70" s="1050"/>
      <c r="Q70" s="88"/>
      <c r="R70" s="88"/>
      <c r="S70" s="88"/>
      <c r="T70" s="88"/>
      <c r="U70" s="88"/>
      <c r="V70" s="88"/>
      <c r="W70" s="88"/>
      <c r="X70" s="88"/>
      <c r="Y70" s="88"/>
    </row>
    <row r="71" spans="3:25" s="87" customFormat="1" ht="15.75" thickBot="1">
      <c r="C71" s="417"/>
      <c r="D71" s="418"/>
      <c r="E71" s="412" t="s">
        <v>27</v>
      </c>
      <c r="F71" s="385">
        <f>'6. Financial Model Output'!C20</f>
        <v>0</v>
      </c>
      <c r="G71" s="58" t="s">
        <v>254</v>
      </c>
      <c r="H71" s="415"/>
      <c r="I71" s="416"/>
      <c r="J71" s="411" t="s">
        <v>190</v>
      </c>
      <c r="K71" s="776">
        <f>'6. Financial Model Output'!C29</f>
        <v>0</v>
      </c>
      <c r="L71" s="147" t="s">
        <v>189</v>
      </c>
      <c r="M71" s="1049"/>
      <c r="N71" s="1049"/>
      <c r="O71" s="1049"/>
      <c r="P71" s="1050"/>
      <c r="Q71" s="88"/>
      <c r="R71" s="88"/>
      <c r="S71" s="88"/>
      <c r="T71" s="88"/>
      <c r="U71" s="88"/>
      <c r="V71" s="88"/>
      <c r="W71" s="88"/>
      <c r="X71" s="88"/>
      <c r="Y71" s="88"/>
    </row>
    <row r="72" spans="5:25" s="87" customFormat="1" ht="15.75" thickBot="1">
      <c r="E72" s="21"/>
      <c r="F72" s="42"/>
      <c r="G72" s="1"/>
      <c r="H72" s="417"/>
      <c r="I72" s="418"/>
      <c r="J72" s="412" t="s">
        <v>419</v>
      </c>
      <c r="K72" s="778">
        <f>'6. Financial Model Output'!C30</f>
        <v>0</v>
      </c>
      <c r="L72" s="58" t="s">
        <v>189</v>
      </c>
      <c r="M72" s="1049"/>
      <c r="N72" s="1049"/>
      <c r="O72" s="1049"/>
      <c r="P72" s="1050"/>
      <c r="Q72" s="88"/>
      <c r="R72" s="88"/>
      <c r="S72" s="88"/>
      <c r="T72" s="88"/>
      <c r="U72" s="88"/>
      <c r="V72" s="88"/>
      <c r="W72" s="88"/>
      <c r="X72" s="88"/>
      <c r="Y72" s="88"/>
    </row>
    <row r="73" spans="1:26" s="96" customFormat="1" ht="6" customHeight="1">
      <c r="A73" s="94"/>
      <c r="B73" s="94"/>
      <c r="C73" s="94"/>
      <c r="D73" s="94"/>
      <c r="E73" s="94"/>
      <c r="F73" s="94"/>
      <c r="G73" s="94"/>
      <c r="H73" s="94"/>
      <c r="I73" s="94"/>
      <c r="J73" s="94"/>
      <c r="K73" s="94"/>
      <c r="L73" s="94"/>
      <c r="M73" s="94"/>
      <c r="N73" s="94"/>
      <c r="O73" s="94"/>
      <c r="P73" s="94"/>
      <c r="Q73" s="95"/>
      <c r="R73" s="94"/>
      <c r="S73" s="94"/>
      <c r="T73" s="94"/>
      <c r="U73" s="94"/>
      <c r="V73" s="94"/>
      <c r="W73" s="94"/>
      <c r="X73" s="94"/>
      <c r="Y73" s="94"/>
      <c r="Z73" s="94"/>
    </row>
    <row r="74" spans="1:26" s="96" customFormat="1" ht="9" customHeight="1">
      <c r="A74" s="88"/>
      <c r="B74" s="94"/>
      <c r="C74" s="94"/>
      <c r="D74" s="88"/>
      <c r="E74" s="88"/>
      <c r="F74" s="88"/>
      <c r="G74" s="88"/>
      <c r="H74" s="88"/>
      <c r="I74" s="88"/>
      <c r="J74" s="88"/>
      <c r="K74" s="88"/>
      <c r="L74" s="88"/>
      <c r="M74" s="88"/>
      <c r="N74" s="88"/>
      <c r="O74" s="94"/>
      <c r="P74" s="94"/>
      <c r="Q74" s="95"/>
      <c r="R74" s="94"/>
      <c r="S74" s="94"/>
      <c r="T74" s="94"/>
      <c r="U74" s="94"/>
      <c r="V74" s="94"/>
      <c r="W74" s="94"/>
      <c r="X74" s="94"/>
      <c r="Y74" s="94"/>
      <c r="Z74" s="94"/>
    </row>
    <row r="75" spans="1:26" s="96" customFormat="1" ht="15" customHeight="1">
      <c r="A75" s="925"/>
      <c r="B75" s="94"/>
      <c r="C75" s="1051" t="s">
        <v>324</v>
      </c>
      <c r="D75" s="1052"/>
      <c r="E75" s="1052"/>
      <c r="F75" s="1052"/>
      <c r="G75" s="1052"/>
      <c r="H75" s="1052"/>
      <c r="I75" s="1052"/>
      <c r="J75" s="1052"/>
      <c r="K75" s="1052"/>
      <c r="L75" s="1052"/>
      <c r="M75" s="1052"/>
      <c r="N75" s="1053"/>
      <c r="Q75" s="95"/>
      <c r="R75" s="94"/>
      <c r="S75" s="94"/>
      <c r="T75" s="94"/>
      <c r="U75" s="94"/>
      <c r="V75" s="94"/>
      <c r="W75" s="94"/>
      <c r="X75" s="94"/>
      <c r="Y75" s="94"/>
      <c r="Z75" s="94"/>
    </row>
    <row r="76" spans="1:26" s="96" customFormat="1" ht="15.75" customHeight="1">
      <c r="A76" s="925"/>
      <c r="B76" s="94"/>
      <c r="C76" s="1054"/>
      <c r="D76" s="1055"/>
      <c r="E76" s="1055"/>
      <c r="F76" s="1055"/>
      <c r="G76" s="1055"/>
      <c r="H76" s="1055"/>
      <c r="I76" s="1055"/>
      <c r="J76" s="1055"/>
      <c r="K76" s="1055"/>
      <c r="L76" s="1055"/>
      <c r="M76" s="1055"/>
      <c r="N76" s="1056"/>
      <c r="Q76" s="95"/>
      <c r="R76" s="94"/>
      <c r="S76" s="94"/>
      <c r="T76" s="94"/>
      <c r="U76" s="94"/>
      <c r="V76" s="94"/>
      <c r="W76" s="94"/>
      <c r="X76" s="94"/>
      <c r="Y76" s="94"/>
      <c r="Z76" s="94"/>
    </row>
    <row r="77" spans="1:26" s="96" customFormat="1" ht="15.75" customHeight="1">
      <c r="A77" s="106"/>
      <c r="B77" s="94"/>
      <c r="C77" s="474">
        <f>'User Inputs'!E179*365</f>
        <v>0</v>
      </c>
      <c r="D77" s="326"/>
      <c r="E77" s="700" t="s">
        <v>676</v>
      </c>
      <c r="F77" s="326"/>
      <c r="G77" s="326"/>
      <c r="H77" s="326"/>
      <c r="I77" s="326"/>
      <c r="J77" s="326"/>
      <c r="K77" s="326"/>
      <c r="L77" s="326"/>
      <c r="M77" s="326"/>
      <c r="N77" s="363"/>
      <c r="Q77" s="95"/>
      <c r="R77" s="94"/>
      <c r="S77" s="94"/>
      <c r="T77" s="94"/>
      <c r="U77" s="94"/>
      <c r="V77" s="94"/>
      <c r="W77" s="94"/>
      <c r="X77" s="94"/>
      <c r="Y77" s="94"/>
      <c r="Z77" s="94"/>
    </row>
    <row r="78" spans="1:26" s="96" customFormat="1" ht="6" customHeight="1" thickBot="1">
      <c r="A78" s="94"/>
      <c r="B78" s="94"/>
      <c r="C78" s="94"/>
      <c r="D78" s="94"/>
      <c r="E78" s="94"/>
      <c r="F78" s="94"/>
      <c r="G78" s="94"/>
      <c r="H78" s="94"/>
      <c r="I78" s="94"/>
      <c r="J78" s="94"/>
      <c r="K78" s="94"/>
      <c r="L78" s="94"/>
      <c r="M78" s="94"/>
      <c r="N78" s="94"/>
      <c r="Q78" s="95"/>
      <c r="R78" s="94"/>
      <c r="S78" s="94"/>
      <c r="T78" s="94"/>
      <c r="U78" s="94"/>
      <c r="V78" s="94"/>
      <c r="W78" s="94"/>
      <c r="X78" s="94"/>
      <c r="Y78" s="94"/>
      <c r="Z78" s="94"/>
    </row>
    <row r="79" spans="1:25" s="87" customFormat="1" ht="17.25" thickBot="1">
      <c r="A79" s="1057" t="s">
        <v>400</v>
      </c>
      <c r="C79" s="202" t="s">
        <v>39</v>
      </c>
      <c r="D79" s="441"/>
      <c r="E79" s="441"/>
      <c r="F79" s="441"/>
      <c r="G79" s="441"/>
      <c r="H79" s="441"/>
      <c r="I79" s="299"/>
      <c r="J79" s="299"/>
      <c r="K79" s="299"/>
      <c r="L79" s="196"/>
      <c r="M79" s="299"/>
      <c r="N79" s="197"/>
      <c r="Q79" s="88"/>
      <c r="R79" s="88"/>
      <c r="S79" s="88"/>
      <c r="T79" s="88"/>
      <c r="U79" s="88"/>
      <c r="V79" s="88"/>
      <c r="W79" s="88"/>
      <c r="X79" s="88"/>
      <c r="Y79" s="88"/>
    </row>
    <row r="80" spans="1:25" s="87" customFormat="1" ht="15">
      <c r="A80" s="1058"/>
      <c r="C80" s="452" t="e">
        <f>'User Inputs'!E288*'1-Page Summary'!E34</f>
        <v>#DIV/0!</v>
      </c>
      <c r="D80" s="346"/>
      <c r="E80" s="700" t="s">
        <v>676</v>
      </c>
      <c r="F80" s="199"/>
      <c r="G80" s="199"/>
      <c r="H80" s="199"/>
      <c r="I80" s="199"/>
      <c r="J80" s="199"/>
      <c r="K80" s="199"/>
      <c r="L80" s="199"/>
      <c r="M80" s="295"/>
      <c r="N80" s="200"/>
      <c r="Q80" s="88"/>
      <c r="R80" s="88"/>
      <c r="S80" s="88"/>
      <c r="T80" s="88"/>
      <c r="U80" s="88"/>
      <c r="V80" s="88"/>
      <c r="W80" s="88"/>
      <c r="X80" s="88"/>
      <c r="Y80" s="88"/>
    </row>
    <row r="81" spans="1:26" s="96" customFormat="1" ht="6" customHeight="1">
      <c r="A81" s="1058"/>
      <c r="B81" s="94"/>
      <c r="C81" s="94"/>
      <c r="D81" s="94"/>
      <c r="E81" s="94"/>
      <c r="F81" s="94"/>
      <c r="G81" s="94"/>
      <c r="H81" s="94"/>
      <c r="I81" s="94"/>
      <c r="J81" s="94"/>
      <c r="K81" s="94"/>
      <c r="L81" s="94"/>
      <c r="M81" s="94"/>
      <c r="N81" s="94"/>
      <c r="Q81" s="95"/>
      <c r="R81" s="94"/>
      <c r="S81" s="94"/>
      <c r="T81" s="94"/>
      <c r="U81" s="94"/>
      <c r="V81" s="94"/>
      <c r="W81" s="94"/>
      <c r="X81" s="94"/>
      <c r="Y81" s="94"/>
      <c r="Z81" s="94"/>
    </row>
    <row r="82" spans="1:25" s="87" customFormat="1" ht="17.25" thickBot="1">
      <c r="A82" s="1058"/>
      <c r="C82" s="202" t="s">
        <v>444</v>
      </c>
      <c r="D82" s="441"/>
      <c r="E82" s="441"/>
      <c r="F82" s="441"/>
      <c r="G82" s="441"/>
      <c r="H82" s="441"/>
      <c r="I82" s="299"/>
      <c r="J82" s="299"/>
      <c r="K82" s="299"/>
      <c r="L82" s="196"/>
      <c r="M82" s="299"/>
      <c r="N82" s="197"/>
      <c r="Q82" s="88"/>
      <c r="R82" s="88"/>
      <c r="S82" s="88"/>
      <c r="T82" s="88"/>
      <c r="U82" s="88"/>
      <c r="V82" s="88"/>
      <c r="W82" s="88"/>
      <c r="X82" s="88"/>
      <c r="Y82" s="88"/>
    </row>
    <row r="83" spans="1:25" s="87" customFormat="1" ht="15.75" thickBot="1">
      <c r="A83" s="1059"/>
      <c r="C83" s="452" t="e">
        <f>E36*'User Inputs'!E284</f>
        <v>#DIV/0!</v>
      </c>
      <c r="D83" s="346"/>
      <c r="E83" s="700" t="s">
        <v>676</v>
      </c>
      <c r="F83" s="199"/>
      <c r="G83" s="199"/>
      <c r="H83" s="199"/>
      <c r="I83" s="199"/>
      <c r="J83" s="199"/>
      <c r="K83" s="199"/>
      <c r="L83" s="199"/>
      <c r="M83" s="295"/>
      <c r="N83" s="200"/>
      <c r="Q83" s="88"/>
      <c r="R83" s="88"/>
      <c r="S83" s="88"/>
      <c r="T83" s="88"/>
      <c r="U83" s="88"/>
      <c r="V83" s="88"/>
      <c r="W83" s="88"/>
      <c r="X83" s="88"/>
      <c r="Y83" s="88"/>
    </row>
    <row r="84" spans="5:25" s="87" customFormat="1" ht="15.75" thickBot="1">
      <c r="E84" s="414"/>
      <c r="F84" s="43"/>
      <c r="G84" s="2"/>
      <c r="O84" s="88"/>
      <c r="P84" s="88"/>
      <c r="Q84" s="88"/>
      <c r="R84" s="88"/>
      <c r="S84" s="88"/>
      <c r="T84" s="88"/>
      <c r="U84" s="88"/>
      <c r="V84" s="88"/>
      <c r="W84" s="88"/>
      <c r="X84" s="88"/>
      <c r="Y84" s="88"/>
    </row>
    <row r="85" spans="3:25" s="87" customFormat="1" ht="15">
      <c r="C85" s="415"/>
      <c r="D85" s="416"/>
      <c r="E85" s="416"/>
      <c r="F85" s="416"/>
      <c r="G85" s="423"/>
      <c r="O85" s="88"/>
      <c r="P85" s="88"/>
      <c r="Q85" s="88"/>
      <c r="R85" s="88"/>
      <c r="S85" s="88"/>
      <c r="T85" s="88"/>
      <c r="U85" s="88"/>
      <c r="V85" s="88"/>
      <c r="W85" s="88"/>
      <c r="X85" s="88"/>
      <c r="Y85" s="88"/>
    </row>
    <row r="86" spans="3:25" s="87" customFormat="1" ht="16.5">
      <c r="C86" s="419"/>
      <c r="D86" s="101"/>
      <c r="E86" s="424" t="s">
        <v>461</v>
      </c>
      <c r="F86" s="472" t="s">
        <v>408</v>
      </c>
      <c r="G86" s="425"/>
      <c r="O86" s="88"/>
      <c r="P86" s="88"/>
      <c r="Q86" s="88"/>
      <c r="R86" s="88"/>
      <c r="S86" s="88"/>
      <c r="T86" s="88"/>
      <c r="U86" s="88"/>
      <c r="V86" s="88"/>
      <c r="W86" s="88"/>
      <c r="X86" s="88"/>
      <c r="Y86" s="88"/>
    </row>
    <row r="87" spans="3:25" s="87" customFormat="1" ht="15">
      <c r="C87" s="837"/>
      <c r="D87" s="196"/>
      <c r="E87" s="465" t="s">
        <v>455</v>
      </c>
      <c r="F87" s="215"/>
      <c r="G87" s="838"/>
      <c r="O87" s="88"/>
      <c r="P87" s="88"/>
      <c r="Q87" s="88"/>
      <c r="R87" s="88"/>
      <c r="S87" s="88"/>
      <c r="T87" s="88"/>
      <c r="U87" s="88"/>
      <c r="V87" s="88"/>
      <c r="W87" s="88"/>
      <c r="X87" s="88"/>
      <c r="Y87" s="88"/>
    </row>
    <row r="88" spans="3:25" s="87" customFormat="1" ht="15">
      <c r="C88" s="419"/>
      <c r="D88" s="101"/>
      <c r="E88" s="414" t="s">
        <v>456</v>
      </c>
      <c r="F88" s="426">
        <f>'6. Financial Model Output'!C43</f>
        <v>0</v>
      </c>
      <c r="G88" s="425"/>
      <c r="O88" s="88"/>
      <c r="P88" s="88"/>
      <c r="Q88" s="88"/>
      <c r="R88" s="88"/>
      <c r="S88" s="88"/>
      <c r="T88" s="88"/>
      <c r="U88" s="88"/>
      <c r="V88" s="88"/>
      <c r="W88" s="88"/>
      <c r="X88" s="88"/>
      <c r="Y88" s="88"/>
    </row>
    <row r="89" spans="3:25" s="87" customFormat="1" ht="15">
      <c r="C89" s="839"/>
      <c r="D89" s="199"/>
      <c r="E89" s="833" t="s">
        <v>504</v>
      </c>
      <c r="F89" s="834">
        <f>'6. Financial Model Output'!C44</f>
        <v>0</v>
      </c>
      <c r="G89" s="840"/>
      <c r="O89" s="88"/>
      <c r="P89" s="88"/>
      <c r="Q89" s="88"/>
      <c r="R89" s="88"/>
      <c r="S89" s="88"/>
      <c r="T89" s="88"/>
      <c r="U89" s="88"/>
      <c r="V89" s="88"/>
      <c r="W89" s="88"/>
      <c r="X89" s="88"/>
      <c r="Y89" s="88"/>
    </row>
    <row r="90" spans="3:25" s="87" customFormat="1" ht="15">
      <c r="C90" s="837"/>
      <c r="D90" s="196"/>
      <c r="E90" s="465" t="s">
        <v>457</v>
      </c>
      <c r="F90" s="462"/>
      <c r="G90" s="838"/>
      <c r="O90" s="88"/>
      <c r="P90" s="88"/>
      <c r="Q90" s="88"/>
      <c r="R90" s="88"/>
      <c r="S90" s="88"/>
      <c r="T90" s="88"/>
      <c r="U90" s="88"/>
      <c r="V90" s="88"/>
      <c r="W90" s="88"/>
      <c r="X90" s="88"/>
      <c r="Y90" s="88"/>
    </row>
    <row r="91" spans="3:25" s="87" customFormat="1" ht="15">
      <c r="C91" s="419"/>
      <c r="D91" s="101"/>
      <c r="E91" s="414" t="s">
        <v>505</v>
      </c>
      <c r="F91" s="426">
        <f>'6. Financial Model Output'!C47</f>
        <v>0</v>
      </c>
      <c r="G91" s="425"/>
      <c r="O91" s="88"/>
      <c r="P91" s="88"/>
      <c r="Q91" s="88"/>
      <c r="R91" s="88"/>
      <c r="S91" s="88"/>
      <c r="T91" s="88"/>
      <c r="U91" s="88"/>
      <c r="V91" s="88"/>
      <c r="W91" s="88"/>
      <c r="X91" s="88"/>
      <c r="Y91" s="88"/>
    </row>
    <row r="92" spans="3:25" s="87" customFormat="1" ht="15">
      <c r="C92" s="419"/>
      <c r="D92" s="101"/>
      <c r="E92" s="414" t="s">
        <v>506</v>
      </c>
      <c r="F92" s="426">
        <f>'6. Financial Model Output'!C48</f>
        <v>0</v>
      </c>
      <c r="G92" s="425"/>
      <c r="O92" s="88"/>
      <c r="P92" s="88"/>
      <c r="Q92" s="88"/>
      <c r="R92" s="88"/>
      <c r="S92" s="88"/>
      <c r="T92" s="88"/>
      <c r="U92" s="88"/>
      <c r="V92" s="88"/>
      <c r="W92" s="88"/>
      <c r="X92" s="88"/>
      <c r="Y92" s="88"/>
    </row>
    <row r="93" spans="3:25" s="87" customFormat="1" ht="15">
      <c r="C93" s="419"/>
      <c r="D93" s="101"/>
      <c r="E93" s="414" t="s">
        <v>507</v>
      </c>
      <c r="F93" s="426">
        <f>'6. Financial Model Output'!C49</f>
        <v>0</v>
      </c>
      <c r="G93" s="425"/>
      <c r="O93" s="88"/>
      <c r="P93" s="88"/>
      <c r="Q93" s="88"/>
      <c r="R93" s="88"/>
      <c r="S93" s="88"/>
      <c r="T93" s="88"/>
      <c r="U93" s="88"/>
      <c r="V93" s="88"/>
      <c r="W93" s="88"/>
      <c r="X93" s="88"/>
      <c r="Y93" s="88"/>
    </row>
    <row r="94" spans="3:25" s="87" customFormat="1" ht="15">
      <c r="C94" s="839"/>
      <c r="D94" s="199"/>
      <c r="E94" s="833" t="s">
        <v>458</v>
      </c>
      <c r="F94" s="834">
        <f>'6. Financial Model Output'!C50</f>
        <v>0</v>
      </c>
      <c r="G94" s="840"/>
      <c r="O94" s="88"/>
      <c r="P94" s="88"/>
      <c r="Q94" s="88"/>
      <c r="R94" s="88"/>
      <c r="S94" s="88"/>
      <c r="T94" s="88"/>
      <c r="U94" s="88"/>
      <c r="V94" s="88"/>
      <c r="W94" s="88"/>
      <c r="X94" s="88"/>
      <c r="Y94" s="88"/>
    </row>
    <row r="95" spans="3:25" s="87" customFormat="1" ht="15">
      <c r="C95" s="841"/>
      <c r="D95" s="483"/>
      <c r="E95" s="835" t="s">
        <v>352</v>
      </c>
      <c r="F95" s="836">
        <f>'6. Financial Model Output'!C52</f>
        <v>0</v>
      </c>
      <c r="G95" s="842"/>
      <c r="O95" s="88"/>
      <c r="P95" s="88"/>
      <c r="Q95" s="88"/>
      <c r="R95" s="88"/>
      <c r="S95" s="88"/>
      <c r="T95" s="88"/>
      <c r="U95" s="88"/>
      <c r="V95" s="88"/>
      <c r="W95" s="88"/>
      <c r="X95" s="88"/>
      <c r="Y95" s="88"/>
    </row>
    <row r="96" spans="3:25" s="87" customFormat="1" ht="15">
      <c r="C96" s="419"/>
      <c r="D96" s="101"/>
      <c r="E96" s="414"/>
      <c r="F96" s="2"/>
      <c r="G96" s="425"/>
      <c r="O96" s="88"/>
      <c r="P96" s="88"/>
      <c r="Q96" s="88"/>
      <c r="R96" s="88"/>
      <c r="S96" s="88"/>
      <c r="T96" s="88"/>
      <c r="U96" s="88"/>
      <c r="V96" s="88"/>
      <c r="W96" s="88"/>
      <c r="X96" s="88"/>
      <c r="Y96" s="88"/>
    </row>
    <row r="97" spans="3:25" s="87" customFormat="1" ht="16.5">
      <c r="C97" s="419"/>
      <c r="D97" s="101"/>
      <c r="E97" s="424" t="s">
        <v>401</v>
      </c>
      <c r="F97" s="472" t="s">
        <v>408</v>
      </c>
      <c r="G97" s="425"/>
      <c r="O97" s="88"/>
      <c r="P97" s="88"/>
      <c r="Q97" s="88"/>
      <c r="R97" s="88"/>
      <c r="S97" s="88"/>
      <c r="T97" s="88"/>
      <c r="U97" s="88"/>
      <c r="V97" s="88"/>
      <c r="W97" s="88"/>
      <c r="X97" s="88"/>
      <c r="Y97" s="88"/>
    </row>
    <row r="98" spans="3:25" s="87" customFormat="1" ht="15">
      <c r="C98" s="419"/>
      <c r="D98" s="101"/>
      <c r="E98" s="188" t="s">
        <v>409</v>
      </c>
      <c r="F98" s="426" t="e">
        <f>'6. Financial Model Output'!C58</f>
        <v>#DIV/0!</v>
      </c>
      <c r="G98" s="425"/>
      <c r="O98" s="88"/>
      <c r="P98" s="88"/>
      <c r="Q98" s="88"/>
      <c r="R98" s="88"/>
      <c r="S98" s="88"/>
      <c r="T98" s="88"/>
      <c r="U98" s="88"/>
      <c r="V98" s="88"/>
      <c r="W98" s="88"/>
      <c r="X98" s="88"/>
      <c r="Y98" s="88"/>
    </row>
    <row r="99" spans="3:25" s="87" customFormat="1" ht="15">
      <c r="C99" s="419"/>
      <c r="D99" s="101"/>
      <c r="E99" s="188" t="str">
        <f>'6. Financial Model Output'!B59</f>
        <v>Total Benefit ($)</v>
      </c>
      <c r="F99" s="473" t="e">
        <f>'6. Financial Model Output'!C59</f>
        <v>#DIV/0!</v>
      </c>
      <c r="G99" s="425"/>
      <c r="O99" s="88"/>
      <c r="P99" s="88"/>
      <c r="Q99" s="88"/>
      <c r="R99" s="88"/>
      <c r="S99" s="88"/>
      <c r="T99" s="88"/>
      <c r="U99" s="88"/>
      <c r="V99" s="88"/>
      <c r="W99" s="88"/>
      <c r="X99" s="88"/>
      <c r="Y99" s="88"/>
    </row>
    <row r="100" spans="3:25" s="87" customFormat="1" ht="16.5">
      <c r="C100" s="419"/>
      <c r="D100" s="101"/>
      <c r="E100" s="428" t="s">
        <v>366</v>
      </c>
      <c r="F100" s="473" t="e">
        <f>'6. Financial Model Output'!C61</f>
        <v>#DIV/0!</v>
      </c>
      <c r="G100" s="425"/>
      <c r="O100" s="88"/>
      <c r="P100" s="88"/>
      <c r="Q100" s="88"/>
      <c r="R100" s="88"/>
      <c r="S100" s="88"/>
      <c r="T100" s="88"/>
      <c r="U100" s="88"/>
      <c r="V100" s="88"/>
      <c r="W100" s="88"/>
      <c r="X100" s="88"/>
      <c r="Y100" s="88"/>
    </row>
    <row r="101" spans="3:25" s="87" customFormat="1" ht="15.75" thickBot="1">
      <c r="C101" s="417"/>
      <c r="D101" s="418"/>
      <c r="E101" s="418"/>
      <c r="F101" s="418"/>
      <c r="G101" s="427"/>
      <c r="O101" s="88"/>
      <c r="P101" s="88"/>
      <c r="Q101" s="88"/>
      <c r="R101" s="88"/>
      <c r="S101" s="88"/>
      <c r="T101" s="88"/>
      <c r="U101" s="88"/>
      <c r="V101" s="88"/>
      <c r="W101" s="88"/>
      <c r="X101" s="88"/>
      <c r="Y101" s="88"/>
    </row>
    <row r="102" spans="15:25" s="87" customFormat="1" ht="15">
      <c r="O102" s="88"/>
      <c r="P102" s="88"/>
      <c r="Q102" s="88"/>
      <c r="R102" s="88"/>
      <c r="S102" s="88"/>
      <c r="T102" s="88"/>
      <c r="U102" s="88"/>
      <c r="V102" s="88"/>
      <c r="W102" s="88"/>
      <c r="X102" s="88"/>
      <c r="Y102" s="88"/>
    </row>
    <row r="103" spans="15:25" s="87" customFormat="1" ht="15">
      <c r="O103" s="88"/>
      <c r="P103" s="88"/>
      <c r="Q103" s="88"/>
      <c r="R103" s="88"/>
      <c r="S103" s="88"/>
      <c r="T103" s="88"/>
      <c r="U103" s="88"/>
      <c r="V103" s="88"/>
      <c r="W103" s="88"/>
      <c r="X103" s="88"/>
      <c r="Y103" s="88"/>
    </row>
    <row r="104" spans="15:25" s="87" customFormat="1" ht="15">
      <c r="O104" s="88"/>
      <c r="P104" s="88"/>
      <c r="Q104" s="88"/>
      <c r="R104" s="88"/>
      <c r="S104" s="88"/>
      <c r="T104" s="88"/>
      <c r="U104" s="88"/>
      <c r="V104" s="88"/>
      <c r="W104" s="88"/>
      <c r="X104" s="88"/>
      <c r="Y104" s="88"/>
    </row>
    <row r="105" spans="15:25" s="87" customFormat="1" ht="15">
      <c r="O105" s="88"/>
      <c r="P105" s="88"/>
      <c r="Q105" s="88"/>
      <c r="R105" s="88"/>
      <c r="S105" s="88"/>
      <c r="T105" s="88"/>
      <c r="U105" s="88"/>
      <c r="V105" s="88"/>
      <c r="W105" s="88"/>
      <c r="X105" s="88"/>
      <c r="Y105" s="88"/>
    </row>
    <row r="106" spans="15:25" s="87" customFormat="1" ht="15">
      <c r="O106" s="88"/>
      <c r="P106" s="88"/>
      <c r="Q106" s="88"/>
      <c r="R106" s="88"/>
      <c r="S106" s="88"/>
      <c r="T106" s="88"/>
      <c r="U106" s="88"/>
      <c r="V106" s="88"/>
      <c r="W106" s="88"/>
      <c r="X106" s="88"/>
      <c r="Y106" s="88"/>
    </row>
    <row r="107" spans="15:25" s="87" customFormat="1" ht="15">
      <c r="O107" s="88"/>
      <c r="P107" s="88"/>
      <c r="Q107" s="88"/>
      <c r="R107" s="88"/>
      <c r="S107" s="88"/>
      <c r="T107" s="88"/>
      <c r="U107" s="88"/>
      <c r="V107" s="88"/>
      <c r="W107" s="88"/>
      <c r="X107" s="88"/>
      <c r="Y107" s="88"/>
    </row>
    <row r="108" spans="15:25" s="87" customFormat="1" ht="15">
      <c r="O108" s="88"/>
      <c r="P108" s="88"/>
      <c r="Q108" s="88"/>
      <c r="R108" s="88"/>
      <c r="S108" s="88"/>
      <c r="T108" s="88"/>
      <c r="U108" s="88"/>
      <c r="V108" s="88"/>
      <c r="W108" s="88"/>
      <c r="X108" s="88"/>
      <c r="Y108" s="88"/>
    </row>
    <row r="109" spans="15:25" s="87" customFormat="1" ht="15">
      <c r="O109" s="88"/>
      <c r="P109" s="88"/>
      <c r="Q109" s="88"/>
      <c r="R109" s="88"/>
      <c r="S109" s="88"/>
      <c r="T109" s="88"/>
      <c r="U109" s="88"/>
      <c r="V109" s="88"/>
      <c r="W109" s="88"/>
      <c r="X109" s="88"/>
      <c r="Y109" s="88"/>
    </row>
    <row r="110" spans="15:25" s="87" customFormat="1" ht="15">
      <c r="O110" s="88"/>
      <c r="P110" s="88"/>
      <c r="Q110" s="88"/>
      <c r="R110" s="88"/>
      <c r="S110" s="88"/>
      <c r="T110" s="88"/>
      <c r="U110" s="88"/>
      <c r="V110" s="88"/>
      <c r="W110" s="88"/>
      <c r="X110" s="88"/>
      <c r="Y110" s="88"/>
    </row>
    <row r="111" spans="15:25" s="87" customFormat="1" ht="15">
      <c r="O111" s="88"/>
      <c r="P111" s="88"/>
      <c r="Q111" s="88"/>
      <c r="R111" s="88"/>
      <c r="S111" s="88"/>
      <c r="T111" s="88"/>
      <c r="U111" s="88"/>
      <c r="V111" s="88"/>
      <c r="W111" s="88"/>
      <c r="X111" s="88"/>
      <c r="Y111" s="88"/>
    </row>
    <row r="112" spans="15:25" s="87" customFormat="1" ht="15">
      <c r="O112" s="88"/>
      <c r="P112" s="88"/>
      <c r="Q112" s="88"/>
      <c r="R112" s="88"/>
      <c r="S112" s="88"/>
      <c r="T112" s="88"/>
      <c r="U112" s="88"/>
      <c r="V112" s="88"/>
      <c r="W112" s="88"/>
      <c r="X112" s="88"/>
      <c r="Y112" s="88"/>
    </row>
    <row r="113" spans="15:25" s="87" customFormat="1" ht="15">
      <c r="O113" s="88"/>
      <c r="P113" s="88"/>
      <c r="Q113" s="88"/>
      <c r="R113" s="88"/>
      <c r="S113" s="88"/>
      <c r="T113" s="88"/>
      <c r="U113" s="88"/>
      <c r="V113" s="88"/>
      <c r="W113" s="88"/>
      <c r="X113" s="88"/>
      <c r="Y113" s="88"/>
    </row>
    <row r="114" spans="15:25" s="87" customFormat="1" ht="15">
      <c r="O114" s="88"/>
      <c r="P114" s="88"/>
      <c r="Q114" s="88"/>
      <c r="R114" s="88"/>
      <c r="S114" s="88"/>
      <c r="T114" s="88"/>
      <c r="U114" s="88"/>
      <c r="V114" s="88"/>
      <c r="W114" s="88"/>
      <c r="X114" s="88"/>
      <c r="Y114" s="88"/>
    </row>
    <row r="115" spans="15:25" s="87" customFormat="1" ht="15">
      <c r="O115" s="88"/>
      <c r="P115" s="88"/>
      <c r="Q115" s="88"/>
      <c r="R115" s="88"/>
      <c r="S115" s="88"/>
      <c r="T115" s="88"/>
      <c r="U115" s="88"/>
      <c r="V115" s="88"/>
      <c r="W115" s="88"/>
      <c r="X115" s="88"/>
      <c r="Y115" s="88"/>
    </row>
    <row r="116" spans="15:25" s="87" customFormat="1" ht="15">
      <c r="O116" s="88"/>
      <c r="P116" s="88"/>
      <c r="Q116" s="88"/>
      <c r="R116" s="88"/>
      <c r="S116" s="88"/>
      <c r="T116" s="88"/>
      <c r="U116" s="88"/>
      <c r="V116" s="88"/>
      <c r="W116" s="88"/>
      <c r="X116" s="88"/>
      <c r="Y116" s="88"/>
    </row>
    <row r="117" spans="15:25" s="87" customFormat="1" ht="15">
      <c r="O117" s="88"/>
      <c r="P117" s="88"/>
      <c r="Q117" s="88"/>
      <c r="R117" s="88"/>
      <c r="S117" s="88"/>
      <c r="T117" s="88"/>
      <c r="U117" s="88"/>
      <c r="V117" s="88"/>
      <c r="W117" s="88"/>
      <c r="X117" s="88"/>
      <c r="Y117" s="88"/>
    </row>
    <row r="118" spans="15:25" s="87" customFormat="1" ht="15">
      <c r="O118" s="88"/>
      <c r="P118" s="88"/>
      <c r="Q118" s="88"/>
      <c r="R118" s="88"/>
      <c r="S118" s="88"/>
      <c r="T118" s="88"/>
      <c r="U118" s="88"/>
      <c r="V118" s="88"/>
      <c r="W118" s="88"/>
      <c r="X118" s="88"/>
      <c r="Y118" s="88"/>
    </row>
    <row r="119" spans="15:25" s="87" customFormat="1" ht="15">
      <c r="O119" s="88"/>
      <c r="P119" s="88"/>
      <c r="Q119" s="88"/>
      <c r="R119" s="88"/>
      <c r="S119" s="88"/>
      <c r="T119" s="88"/>
      <c r="U119" s="88"/>
      <c r="V119" s="88"/>
      <c r="W119" s="88"/>
      <c r="X119" s="88"/>
      <c r="Y119" s="88"/>
    </row>
    <row r="120" spans="15:25" s="87" customFormat="1" ht="15">
      <c r="O120" s="88"/>
      <c r="P120" s="88"/>
      <c r="Q120" s="88"/>
      <c r="R120" s="88"/>
      <c r="S120" s="88"/>
      <c r="T120" s="88"/>
      <c r="U120" s="88"/>
      <c r="V120" s="88"/>
      <c r="W120" s="88"/>
      <c r="X120" s="88"/>
      <c r="Y120" s="88"/>
    </row>
    <row r="121" spans="15:25" s="87" customFormat="1" ht="15">
      <c r="O121" s="88"/>
      <c r="P121" s="88"/>
      <c r="Q121" s="88"/>
      <c r="R121" s="88"/>
      <c r="S121" s="88"/>
      <c r="T121" s="88"/>
      <c r="U121" s="88"/>
      <c r="V121" s="88"/>
      <c r="W121" s="88"/>
      <c r="X121" s="88"/>
      <c r="Y121" s="88"/>
    </row>
    <row r="122" spans="15:25" s="87" customFormat="1" ht="15">
      <c r="O122" s="88"/>
      <c r="P122" s="88"/>
      <c r="Q122" s="88"/>
      <c r="R122" s="88"/>
      <c r="S122" s="88"/>
      <c r="T122" s="88"/>
      <c r="U122" s="88"/>
      <c r="V122" s="88"/>
      <c r="W122" s="88"/>
      <c r="X122" s="88"/>
      <c r="Y122" s="88"/>
    </row>
    <row r="123" spans="15:25" s="87" customFormat="1" ht="15">
      <c r="O123" s="88"/>
      <c r="P123" s="88"/>
      <c r="Q123" s="88"/>
      <c r="R123" s="88"/>
      <c r="S123" s="88"/>
      <c r="T123" s="88"/>
      <c r="U123" s="88"/>
      <c r="V123" s="88"/>
      <c r="W123" s="88"/>
      <c r="X123" s="88"/>
      <c r="Y123" s="88"/>
    </row>
    <row r="124" spans="15:25" s="87" customFormat="1" ht="15">
      <c r="O124" s="88"/>
      <c r="P124" s="88"/>
      <c r="Q124" s="88"/>
      <c r="R124" s="88"/>
      <c r="S124" s="88"/>
      <c r="T124" s="88"/>
      <c r="U124" s="88"/>
      <c r="V124" s="88"/>
      <c r="W124" s="88"/>
      <c r="X124" s="88"/>
      <c r="Y124" s="88"/>
    </row>
    <row r="125" spans="15:25" s="87" customFormat="1" ht="15">
      <c r="O125" s="88"/>
      <c r="P125" s="88"/>
      <c r="Q125" s="88"/>
      <c r="R125" s="88"/>
      <c r="S125" s="88"/>
      <c r="T125" s="88"/>
      <c r="U125" s="88"/>
      <c r="V125" s="88"/>
      <c r="W125" s="88"/>
      <c r="X125" s="88"/>
      <c r="Y125" s="88"/>
    </row>
    <row r="126" spans="15:25" s="87" customFormat="1" ht="15">
      <c r="O126" s="88"/>
      <c r="P126" s="88"/>
      <c r="Q126" s="88"/>
      <c r="R126" s="88"/>
      <c r="S126" s="88"/>
      <c r="T126" s="88"/>
      <c r="U126" s="88"/>
      <c r="V126" s="88"/>
      <c r="W126" s="88"/>
      <c r="X126" s="88"/>
      <c r="Y126" s="88"/>
    </row>
    <row r="127" spans="15:25" s="87" customFormat="1" ht="15">
      <c r="O127" s="88"/>
      <c r="P127" s="88"/>
      <c r="Q127" s="88"/>
      <c r="R127" s="88"/>
      <c r="S127" s="88"/>
      <c r="T127" s="88"/>
      <c r="U127" s="88"/>
      <c r="V127" s="88"/>
      <c r="W127" s="88"/>
      <c r="X127" s="88"/>
      <c r="Y127" s="88"/>
    </row>
    <row r="128" spans="15:25" s="87" customFormat="1" ht="15">
      <c r="O128" s="88"/>
      <c r="P128" s="88"/>
      <c r="Q128" s="88"/>
      <c r="R128" s="88"/>
      <c r="S128" s="88"/>
      <c r="T128" s="88"/>
      <c r="U128" s="88"/>
      <c r="V128" s="88"/>
      <c r="W128" s="88"/>
      <c r="X128" s="88"/>
      <c r="Y128" s="88"/>
    </row>
    <row r="129" spans="15:25" s="87" customFormat="1" ht="15">
      <c r="O129" s="88"/>
      <c r="P129" s="88"/>
      <c r="Q129" s="88"/>
      <c r="R129" s="88"/>
      <c r="S129" s="88"/>
      <c r="T129" s="88"/>
      <c r="U129" s="88"/>
      <c r="V129" s="88"/>
      <c r="W129" s="88"/>
      <c r="X129" s="88"/>
      <c r="Y129" s="88"/>
    </row>
    <row r="130" spans="15:25" s="87" customFormat="1" ht="15">
      <c r="O130" s="88"/>
      <c r="P130" s="88"/>
      <c r="Q130" s="88"/>
      <c r="R130" s="88"/>
      <c r="S130" s="88"/>
      <c r="T130" s="88"/>
      <c r="U130" s="88"/>
      <c r="V130" s="88"/>
      <c r="W130" s="88"/>
      <c r="X130" s="88"/>
      <c r="Y130" s="88"/>
    </row>
    <row r="131" spans="15:25" s="87" customFormat="1" ht="15">
      <c r="O131" s="88"/>
      <c r="P131" s="88"/>
      <c r="Q131" s="88"/>
      <c r="R131" s="88"/>
      <c r="S131" s="88"/>
      <c r="T131" s="88"/>
      <c r="U131" s="88"/>
      <c r="V131" s="88"/>
      <c r="W131" s="88"/>
      <c r="X131" s="88"/>
      <c r="Y131" s="88"/>
    </row>
    <row r="132" spans="15:25" s="87" customFormat="1" ht="15">
      <c r="O132" s="88"/>
      <c r="P132" s="88"/>
      <c r="Q132" s="88"/>
      <c r="R132" s="88"/>
      <c r="S132" s="88"/>
      <c r="T132" s="88"/>
      <c r="U132" s="88"/>
      <c r="V132" s="88"/>
      <c r="W132" s="88"/>
      <c r="X132" s="88"/>
      <c r="Y132" s="88"/>
    </row>
    <row r="133" spans="15:25" s="87" customFormat="1" ht="15">
      <c r="O133" s="88"/>
      <c r="P133" s="88"/>
      <c r="Q133" s="88"/>
      <c r="R133" s="88"/>
      <c r="S133" s="88"/>
      <c r="T133" s="88"/>
      <c r="U133" s="88"/>
      <c r="V133" s="88"/>
      <c r="W133" s="88"/>
      <c r="X133" s="88"/>
      <c r="Y133" s="88"/>
    </row>
    <row r="134" spans="15:25" s="87" customFormat="1" ht="15">
      <c r="O134" s="88"/>
      <c r="P134" s="88"/>
      <c r="Q134" s="88"/>
      <c r="R134" s="88"/>
      <c r="S134" s="88"/>
      <c r="T134" s="88"/>
      <c r="U134" s="88"/>
      <c r="V134" s="88"/>
      <c r="W134" s="88"/>
      <c r="X134" s="88"/>
      <c r="Y134" s="88"/>
    </row>
    <row r="135" spans="15:25" s="87" customFormat="1" ht="15">
      <c r="O135" s="88"/>
      <c r="P135" s="88"/>
      <c r="Q135" s="88"/>
      <c r="R135" s="88"/>
      <c r="S135" s="88"/>
      <c r="T135" s="88"/>
      <c r="U135" s="88"/>
      <c r="V135" s="88"/>
      <c r="W135" s="88"/>
      <c r="X135" s="88"/>
      <c r="Y135" s="88"/>
    </row>
    <row r="136" spans="15:25" s="87" customFormat="1" ht="15">
      <c r="O136" s="88"/>
      <c r="P136" s="88"/>
      <c r="Q136" s="88"/>
      <c r="R136" s="88"/>
      <c r="S136" s="88"/>
      <c r="T136" s="88"/>
      <c r="U136" s="88"/>
      <c r="V136" s="88"/>
      <c r="W136" s="88"/>
      <c r="X136" s="88"/>
      <c r="Y136" s="88"/>
    </row>
    <row r="137" spans="15:25" s="87" customFormat="1" ht="15">
      <c r="O137" s="88"/>
      <c r="P137" s="88"/>
      <c r="Q137" s="88"/>
      <c r="R137" s="88"/>
      <c r="S137" s="88"/>
      <c r="T137" s="88"/>
      <c r="U137" s="88"/>
      <c r="V137" s="88"/>
      <c r="W137" s="88"/>
      <c r="X137" s="88"/>
      <c r="Y137" s="88"/>
    </row>
    <row r="138" spans="15:25" s="87" customFormat="1" ht="15">
      <c r="O138" s="88"/>
      <c r="P138" s="88"/>
      <c r="Q138" s="88"/>
      <c r="R138" s="88"/>
      <c r="S138" s="88"/>
      <c r="T138" s="88"/>
      <c r="U138" s="88"/>
      <c r="V138" s="88"/>
      <c r="W138" s="88"/>
      <c r="X138" s="88"/>
      <c r="Y138" s="88"/>
    </row>
    <row r="139" spans="15:25" s="87" customFormat="1" ht="15">
      <c r="O139" s="88"/>
      <c r="P139" s="88"/>
      <c r="Q139" s="88"/>
      <c r="R139" s="88"/>
      <c r="S139" s="88"/>
      <c r="T139" s="88"/>
      <c r="U139" s="88"/>
      <c r="V139" s="88"/>
      <c r="W139" s="88"/>
      <c r="X139" s="88"/>
      <c r="Y139" s="88"/>
    </row>
    <row r="140" spans="15:25" s="87" customFormat="1" ht="15">
      <c r="O140" s="88"/>
      <c r="P140" s="88"/>
      <c r="Q140" s="88"/>
      <c r="R140" s="88"/>
      <c r="S140" s="88"/>
      <c r="T140" s="88"/>
      <c r="U140" s="88"/>
      <c r="V140" s="88"/>
      <c r="W140" s="88"/>
      <c r="X140" s="88"/>
      <c r="Y140" s="88"/>
    </row>
    <row r="141" spans="15:25" s="87" customFormat="1" ht="15">
      <c r="O141" s="88"/>
      <c r="P141" s="88"/>
      <c r="Q141" s="88"/>
      <c r="R141" s="88"/>
      <c r="S141" s="88"/>
      <c r="T141" s="88"/>
      <c r="U141" s="88"/>
      <c r="V141" s="88"/>
      <c r="W141" s="88"/>
      <c r="X141" s="88"/>
      <c r="Y141" s="88"/>
    </row>
    <row r="142" spans="15:25" s="87" customFormat="1" ht="15">
      <c r="O142" s="88"/>
      <c r="P142" s="88"/>
      <c r="Q142" s="88"/>
      <c r="R142" s="88"/>
      <c r="S142" s="88"/>
      <c r="T142" s="88"/>
      <c r="U142" s="88"/>
      <c r="V142" s="88"/>
      <c r="W142" s="88"/>
      <c r="X142" s="88"/>
      <c r="Y142" s="88"/>
    </row>
    <row r="143" spans="15:25" s="87" customFormat="1" ht="15">
      <c r="O143" s="88"/>
      <c r="P143" s="88"/>
      <c r="Q143" s="88"/>
      <c r="R143" s="88"/>
      <c r="S143" s="88"/>
      <c r="T143" s="88"/>
      <c r="U143" s="88"/>
      <c r="V143" s="88"/>
      <c r="W143" s="88"/>
      <c r="X143" s="88"/>
      <c r="Y143" s="88"/>
    </row>
    <row r="144" spans="15:25" s="87" customFormat="1" ht="15">
      <c r="O144" s="88"/>
      <c r="P144" s="88"/>
      <c r="Q144" s="88"/>
      <c r="R144" s="88"/>
      <c r="S144" s="88"/>
      <c r="T144" s="88"/>
      <c r="U144" s="88"/>
      <c r="V144" s="88"/>
      <c r="W144" s="88"/>
      <c r="X144" s="88"/>
      <c r="Y144" s="88"/>
    </row>
    <row r="145" spans="15:25" s="87" customFormat="1" ht="15">
      <c r="O145" s="88"/>
      <c r="P145" s="88"/>
      <c r="Q145" s="88"/>
      <c r="R145" s="88"/>
      <c r="S145" s="88"/>
      <c r="T145" s="88"/>
      <c r="U145" s="88"/>
      <c r="V145" s="88"/>
      <c r="W145" s="88"/>
      <c r="X145" s="88"/>
      <c r="Y145" s="88"/>
    </row>
    <row r="146" spans="15:25" s="87" customFormat="1" ht="15">
      <c r="O146" s="88"/>
      <c r="P146" s="88"/>
      <c r="Q146" s="88"/>
      <c r="R146" s="88"/>
      <c r="S146" s="88"/>
      <c r="T146" s="88"/>
      <c r="U146" s="88"/>
      <c r="V146" s="88"/>
      <c r="W146" s="88"/>
      <c r="X146" s="88"/>
      <c r="Y146" s="88"/>
    </row>
    <row r="147" spans="15:25" s="87" customFormat="1" ht="15">
      <c r="O147" s="88"/>
      <c r="P147" s="88"/>
      <c r="Q147" s="88"/>
      <c r="R147" s="88"/>
      <c r="S147" s="88"/>
      <c r="T147" s="88"/>
      <c r="U147" s="88"/>
      <c r="V147" s="88"/>
      <c r="W147" s="88"/>
      <c r="X147" s="88"/>
      <c r="Y147" s="88"/>
    </row>
    <row r="148" spans="15:25" s="87" customFormat="1" ht="15">
      <c r="O148" s="88"/>
      <c r="P148" s="88"/>
      <c r="Q148" s="88"/>
      <c r="R148" s="88"/>
      <c r="S148" s="88"/>
      <c r="T148" s="88"/>
      <c r="U148" s="88"/>
      <c r="V148" s="88"/>
      <c r="W148" s="88"/>
      <c r="X148" s="88"/>
      <c r="Y148" s="88"/>
    </row>
    <row r="149" spans="15:25" s="87" customFormat="1" ht="15">
      <c r="O149" s="88"/>
      <c r="P149" s="88"/>
      <c r="Q149" s="88"/>
      <c r="R149" s="88"/>
      <c r="S149" s="88"/>
      <c r="T149" s="88"/>
      <c r="U149" s="88"/>
      <c r="V149" s="88"/>
      <c r="W149" s="88"/>
      <c r="X149" s="88"/>
      <c r="Y149" s="88"/>
    </row>
    <row r="150" spans="15:25" s="87" customFormat="1" ht="15">
      <c r="O150" s="88"/>
      <c r="P150" s="88"/>
      <c r="Q150" s="88"/>
      <c r="R150" s="88"/>
      <c r="S150" s="88"/>
      <c r="T150" s="88"/>
      <c r="U150" s="88"/>
      <c r="V150" s="88"/>
      <c r="W150" s="88"/>
      <c r="X150" s="88"/>
      <c r="Y150" s="88"/>
    </row>
    <row r="151" spans="15:25" s="87" customFormat="1" ht="15">
      <c r="O151" s="88"/>
      <c r="P151" s="88"/>
      <c r="Q151" s="88"/>
      <c r="R151" s="88"/>
      <c r="S151" s="88"/>
      <c r="T151" s="88"/>
      <c r="U151" s="88"/>
      <c r="V151" s="88"/>
      <c r="W151" s="88"/>
      <c r="X151" s="88"/>
      <c r="Y151" s="88"/>
    </row>
    <row r="152" spans="15:25" s="87" customFormat="1" ht="15">
      <c r="O152" s="88"/>
      <c r="P152" s="88"/>
      <c r="Q152" s="88"/>
      <c r="R152" s="88"/>
      <c r="S152" s="88"/>
      <c r="T152" s="88"/>
      <c r="U152" s="88"/>
      <c r="V152" s="88"/>
      <c r="W152" s="88"/>
      <c r="X152" s="88"/>
      <c r="Y152" s="88"/>
    </row>
    <row r="153" spans="15:25" s="87" customFormat="1" ht="15">
      <c r="O153" s="88"/>
      <c r="P153" s="88"/>
      <c r="Q153" s="88"/>
      <c r="R153" s="88"/>
      <c r="S153" s="88"/>
      <c r="T153" s="88"/>
      <c r="U153" s="88"/>
      <c r="V153" s="88"/>
      <c r="W153" s="88"/>
      <c r="X153" s="88"/>
      <c r="Y153" s="88"/>
    </row>
    <row r="154" spans="15:25" s="87" customFormat="1" ht="15">
      <c r="O154" s="88"/>
      <c r="P154" s="88"/>
      <c r="Q154" s="88"/>
      <c r="R154" s="88"/>
      <c r="S154" s="88"/>
      <c r="T154" s="88"/>
      <c r="U154" s="88"/>
      <c r="V154" s="88"/>
      <c r="W154" s="88"/>
      <c r="X154" s="88"/>
      <c r="Y154" s="88"/>
    </row>
    <row r="155" spans="15:25" s="87" customFormat="1" ht="15">
      <c r="O155" s="88"/>
      <c r="P155" s="88"/>
      <c r="Q155" s="88"/>
      <c r="R155" s="88"/>
      <c r="S155" s="88"/>
      <c r="T155" s="88"/>
      <c r="U155" s="88"/>
      <c r="V155" s="88"/>
      <c r="W155" s="88"/>
      <c r="X155" s="88"/>
      <c r="Y155" s="88"/>
    </row>
    <row r="156" spans="15:25" s="87" customFormat="1" ht="15">
      <c r="O156" s="88"/>
      <c r="P156" s="88"/>
      <c r="Q156" s="88"/>
      <c r="R156" s="88"/>
      <c r="S156" s="88"/>
      <c r="T156" s="88"/>
      <c r="U156" s="88"/>
      <c r="V156" s="88"/>
      <c r="W156" s="88"/>
      <c r="X156" s="88"/>
      <c r="Y156" s="88"/>
    </row>
    <row r="157" spans="15:25" s="87" customFormat="1" ht="15">
      <c r="O157" s="88"/>
      <c r="P157" s="88"/>
      <c r="Q157" s="88"/>
      <c r="R157" s="88"/>
      <c r="S157" s="88"/>
      <c r="T157" s="88"/>
      <c r="U157" s="88"/>
      <c r="V157" s="88"/>
      <c r="W157" s="88"/>
      <c r="X157" s="88"/>
      <c r="Y157" s="88"/>
    </row>
    <row r="158" spans="15:25" s="87" customFormat="1" ht="15">
      <c r="O158" s="88"/>
      <c r="P158" s="88"/>
      <c r="Q158" s="88"/>
      <c r="R158" s="88"/>
      <c r="S158" s="88"/>
      <c r="T158" s="88"/>
      <c r="U158" s="88"/>
      <c r="V158" s="88"/>
      <c r="W158" s="88"/>
      <c r="X158" s="88"/>
      <c r="Y158" s="88"/>
    </row>
    <row r="159" spans="15:25" s="87" customFormat="1" ht="15">
      <c r="O159" s="88"/>
      <c r="P159" s="88"/>
      <c r="Q159" s="88"/>
      <c r="R159" s="88"/>
      <c r="S159" s="88"/>
      <c r="T159" s="88"/>
      <c r="U159" s="88"/>
      <c r="V159" s="88"/>
      <c r="W159" s="88"/>
      <c r="X159" s="88"/>
      <c r="Y159" s="88"/>
    </row>
    <row r="160" spans="15:25" s="87" customFormat="1" ht="15">
      <c r="O160" s="88"/>
      <c r="P160" s="88"/>
      <c r="Q160" s="88"/>
      <c r="R160" s="88"/>
      <c r="S160" s="88"/>
      <c r="T160" s="88"/>
      <c r="U160" s="88"/>
      <c r="V160" s="88"/>
      <c r="W160" s="88"/>
      <c r="X160" s="88"/>
      <c r="Y160" s="88"/>
    </row>
    <row r="161" spans="15:25" s="87" customFormat="1" ht="15">
      <c r="O161" s="88"/>
      <c r="P161" s="88"/>
      <c r="Q161" s="88"/>
      <c r="R161" s="88"/>
      <c r="S161" s="88"/>
      <c r="T161" s="88"/>
      <c r="U161" s="88"/>
      <c r="V161" s="88"/>
      <c r="W161" s="88"/>
      <c r="X161" s="88"/>
      <c r="Y161" s="88"/>
    </row>
    <row r="162" spans="15:25" s="87" customFormat="1" ht="15">
      <c r="O162" s="88"/>
      <c r="P162" s="88"/>
      <c r="Q162" s="88"/>
      <c r="R162" s="88"/>
      <c r="S162" s="88"/>
      <c r="T162" s="88"/>
      <c r="U162" s="88"/>
      <c r="V162" s="88"/>
      <c r="W162" s="88"/>
      <c r="X162" s="88"/>
      <c r="Y162" s="88"/>
    </row>
    <row r="163" spans="15:25" s="87" customFormat="1" ht="15">
      <c r="O163" s="88"/>
      <c r="P163" s="88"/>
      <c r="Q163" s="88"/>
      <c r="R163" s="88"/>
      <c r="S163" s="88"/>
      <c r="T163" s="88"/>
      <c r="U163" s="88"/>
      <c r="V163" s="88"/>
      <c r="W163" s="88"/>
      <c r="X163" s="88"/>
      <c r="Y163" s="88"/>
    </row>
    <row r="164" spans="15:25" s="87" customFormat="1" ht="15">
      <c r="O164" s="88"/>
      <c r="P164" s="88"/>
      <c r="Q164" s="88"/>
      <c r="R164" s="88"/>
      <c r="S164" s="88"/>
      <c r="T164" s="88"/>
      <c r="U164" s="88"/>
      <c r="V164" s="88"/>
      <c r="W164" s="88"/>
      <c r="X164" s="88"/>
      <c r="Y164" s="88"/>
    </row>
    <row r="165" spans="15:25" s="87" customFormat="1" ht="15">
      <c r="O165" s="88"/>
      <c r="P165" s="88"/>
      <c r="Q165" s="88"/>
      <c r="R165" s="88"/>
      <c r="S165" s="88"/>
      <c r="T165" s="88"/>
      <c r="U165" s="88"/>
      <c r="V165" s="88"/>
      <c r="W165" s="88"/>
      <c r="X165" s="88"/>
      <c r="Y165" s="88"/>
    </row>
    <row r="166" spans="15:25" s="87" customFormat="1" ht="15">
      <c r="O166" s="88"/>
      <c r="P166" s="88"/>
      <c r="Q166" s="88"/>
      <c r="R166" s="88"/>
      <c r="S166" s="88"/>
      <c r="T166" s="88"/>
      <c r="U166" s="88"/>
      <c r="V166" s="88"/>
      <c r="W166" s="88"/>
      <c r="X166" s="88"/>
      <c r="Y166" s="88"/>
    </row>
    <row r="167" spans="15:25" s="87" customFormat="1" ht="15">
      <c r="O167" s="88"/>
      <c r="P167" s="88"/>
      <c r="Q167" s="88"/>
      <c r="R167" s="88"/>
      <c r="S167" s="88"/>
      <c r="T167" s="88"/>
      <c r="U167" s="88"/>
      <c r="V167" s="88"/>
      <c r="W167" s="88"/>
      <c r="X167" s="88"/>
      <c r="Y167" s="88"/>
    </row>
    <row r="168" spans="15:25" s="87" customFormat="1" ht="15">
      <c r="O168" s="88"/>
      <c r="P168" s="88"/>
      <c r="Q168" s="88"/>
      <c r="R168" s="88"/>
      <c r="S168" s="88"/>
      <c r="T168" s="88"/>
      <c r="U168" s="88"/>
      <c r="V168" s="88"/>
      <c r="W168" s="88"/>
      <c r="X168" s="88"/>
      <c r="Y168" s="88"/>
    </row>
    <row r="169" spans="15:25" s="87" customFormat="1" ht="15">
      <c r="O169" s="88"/>
      <c r="P169" s="88"/>
      <c r="Q169" s="88"/>
      <c r="R169" s="88"/>
      <c r="S169" s="88"/>
      <c r="T169" s="88"/>
      <c r="U169" s="88"/>
      <c r="V169" s="88"/>
      <c r="W169" s="88"/>
      <c r="X169" s="88"/>
      <c r="Y169" s="88"/>
    </row>
    <row r="170" spans="15:25" s="87" customFormat="1" ht="15">
      <c r="O170" s="88"/>
      <c r="P170" s="88"/>
      <c r="Q170" s="88"/>
      <c r="R170" s="88"/>
      <c r="S170" s="88"/>
      <c r="T170" s="88"/>
      <c r="U170" s="88"/>
      <c r="V170" s="88"/>
      <c r="W170" s="88"/>
      <c r="X170" s="88"/>
      <c r="Y170" s="88"/>
    </row>
    <row r="171" spans="15:25" s="87" customFormat="1" ht="15">
      <c r="O171" s="88"/>
      <c r="P171" s="88"/>
      <c r="Q171" s="88"/>
      <c r="R171" s="88"/>
      <c r="S171" s="88"/>
      <c r="T171" s="88"/>
      <c r="U171" s="88"/>
      <c r="V171" s="88"/>
      <c r="W171" s="88"/>
      <c r="X171" s="88"/>
      <c r="Y171" s="88"/>
    </row>
    <row r="172" spans="15:25" s="87" customFormat="1" ht="15">
      <c r="O172" s="88"/>
      <c r="P172" s="88"/>
      <c r="Q172" s="88"/>
      <c r="R172" s="88"/>
      <c r="S172" s="88"/>
      <c r="T172" s="88"/>
      <c r="U172" s="88"/>
      <c r="V172" s="88"/>
      <c r="W172" s="88"/>
      <c r="X172" s="88"/>
      <c r="Y172" s="88"/>
    </row>
    <row r="173" spans="15:25" s="87" customFormat="1" ht="15">
      <c r="O173" s="88"/>
      <c r="P173" s="88"/>
      <c r="Q173" s="88"/>
      <c r="R173" s="88"/>
      <c r="S173" s="88"/>
      <c r="T173" s="88"/>
      <c r="U173" s="88"/>
      <c r="V173" s="88"/>
      <c r="W173" s="88"/>
      <c r="X173" s="88"/>
      <c r="Y173" s="88"/>
    </row>
    <row r="174" spans="15:25" s="87" customFormat="1" ht="15">
      <c r="O174" s="88"/>
      <c r="P174" s="88"/>
      <c r="Q174" s="88"/>
      <c r="R174" s="88"/>
      <c r="S174" s="88"/>
      <c r="T174" s="88"/>
      <c r="U174" s="88"/>
      <c r="V174" s="88"/>
      <c r="W174" s="88"/>
      <c r="X174" s="88"/>
      <c r="Y174" s="88"/>
    </row>
    <row r="175" spans="15:25" s="87" customFormat="1" ht="15">
      <c r="O175" s="88"/>
      <c r="P175" s="88"/>
      <c r="Q175" s="88"/>
      <c r="R175" s="88"/>
      <c r="S175" s="88"/>
      <c r="T175" s="88"/>
      <c r="U175" s="88"/>
      <c r="V175" s="88"/>
      <c r="W175" s="88"/>
      <c r="X175" s="88"/>
      <c r="Y175" s="88"/>
    </row>
    <row r="176" spans="15:25" s="87" customFormat="1" ht="15">
      <c r="O176" s="88"/>
      <c r="P176" s="88"/>
      <c r="Q176" s="88"/>
      <c r="R176" s="88"/>
      <c r="S176" s="88"/>
      <c r="T176" s="88"/>
      <c r="U176" s="88"/>
      <c r="V176" s="88"/>
      <c r="W176" s="88"/>
      <c r="X176" s="88"/>
      <c r="Y176" s="88"/>
    </row>
    <row r="177" spans="15:25" s="87" customFormat="1" ht="15">
      <c r="O177" s="88"/>
      <c r="P177" s="88"/>
      <c r="Q177" s="88"/>
      <c r="R177" s="88"/>
      <c r="S177" s="88"/>
      <c r="T177" s="88"/>
      <c r="U177" s="88"/>
      <c r="V177" s="88"/>
      <c r="W177" s="88"/>
      <c r="X177" s="88"/>
      <c r="Y177" s="88"/>
    </row>
    <row r="178" spans="15:25" s="87" customFormat="1" ht="15">
      <c r="O178" s="88"/>
      <c r="P178" s="88"/>
      <c r="Q178" s="88"/>
      <c r="R178" s="88"/>
      <c r="S178" s="88"/>
      <c r="T178" s="88"/>
      <c r="U178" s="88"/>
      <c r="V178" s="88"/>
      <c r="W178" s="88"/>
      <c r="X178" s="88"/>
      <c r="Y178" s="88"/>
    </row>
    <row r="179" spans="15:25" s="87" customFormat="1" ht="15">
      <c r="O179" s="88"/>
      <c r="P179" s="88"/>
      <c r="Q179" s="88"/>
      <c r="R179" s="88"/>
      <c r="S179" s="88"/>
      <c r="T179" s="88"/>
      <c r="U179" s="88"/>
      <c r="V179" s="88"/>
      <c r="W179" s="88"/>
      <c r="X179" s="88"/>
      <c r="Y179" s="88"/>
    </row>
    <row r="180" spans="15:25" s="87" customFormat="1" ht="15">
      <c r="O180" s="88"/>
      <c r="P180" s="88"/>
      <c r="Q180" s="88"/>
      <c r="R180" s="88"/>
      <c r="S180" s="88"/>
      <c r="T180" s="88"/>
      <c r="U180" s="88"/>
      <c r="V180" s="88"/>
      <c r="W180" s="88"/>
      <c r="X180" s="88"/>
      <c r="Y180" s="88"/>
    </row>
    <row r="181" spans="15:25" s="87" customFormat="1" ht="15">
      <c r="O181" s="88"/>
      <c r="P181" s="88"/>
      <c r="Q181" s="88"/>
      <c r="R181" s="88"/>
      <c r="S181" s="88"/>
      <c r="T181" s="88"/>
      <c r="U181" s="88"/>
      <c r="V181" s="88"/>
      <c r="W181" s="88"/>
      <c r="X181" s="88"/>
      <c r="Y181" s="88"/>
    </row>
    <row r="182" spans="15:25" s="87" customFormat="1" ht="15">
      <c r="O182" s="88"/>
      <c r="P182" s="88"/>
      <c r="Q182" s="88"/>
      <c r="R182" s="88"/>
      <c r="S182" s="88"/>
      <c r="T182" s="88"/>
      <c r="U182" s="88"/>
      <c r="V182" s="88"/>
      <c r="W182" s="88"/>
      <c r="X182" s="88"/>
      <c r="Y182" s="88"/>
    </row>
    <row r="183" spans="15:25" s="87" customFormat="1" ht="15">
      <c r="O183" s="88"/>
      <c r="P183" s="88"/>
      <c r="Q183" s="88"/>
      <c r="R183" s="88"/>
      <c r="S183" s="88"/>
      <c r="T183" s="88"/>
      <c r="U183" s="88"/>
      <c r="V183" s="88"/>
      <c r="W183" s="88"/>
      <c r="X183" s="88"/>
      <c r="Y183" s="88"/>
    </row>
    <row r="184" spans="15:25" s="87" customFormat="1" ht="15">
      <c r="O184" s="88"/>
      <c r="P184" s="88"/>
      <c r="Q184" s="88"/>
      <c r="R184" s="88"/>
      <c r="S184" s="88"/>
      <c r="T184" s="88"/>
      <c r="U184" s="88"/>
      <c r="V184" s="88"/>
      <c r="W184" s="88"/>
      <c r="X184" s="88"/>
      <c r="Y184" s="88"/>
    </row>
    <row r="185" spans="15:25" s="87" customFormat="1" ht="15">
      <c r="O185" s="88"/>
      <c r="P185" s="88"/>
      <c r="Q185" s="88"/>
      <c r="R185" s="88"/>
      <c r="S185" s="88"/>
      <c r="T185" s="88"/>
      <c r="U185" s="88"/>
      <c r="V185" s="88"/>
      <c r="W185" s="88"/>
      <c r="X185" s="88"/>
      <c r="Y185" s="88"/>
    </row>
    <row r="186" spans="15:25" s="87" customFormat="1" ht="15">
      <c r="O186" s="88"/>
      <c r="P186" s="88"/>
      <c r="Q186" s="88"/>
      <c r="R186" s="88"/>
      <c r="S186" s="88"/>
      <c r="T186" s="88"/>
      <c r="U186" s="88"/>
      <c r="V186" s="88"/>
      <c r="W186" s="88"/>
      <c r="X186" s="88"/>
      <c r="Y186" s="88"/>
    </row>
    <row r="187" spans="15:25" s="87" customFormat="1" ht="15">
      <c r="O187" s="88"/>
      <c r="P187" s="88"/>
      <c r="Q187" s="88"/>
      <c r="R187" s="88"/>
      <c r="S187" s="88"/>
      <c r="T187" s="88"/>
      <c r="U187" s="88"/>
      <c r="V187" s="88"/>
      <c r="W187" s="88"/>
      <c r="X187" s="88"/>
      <c r="Y187" s="88"/>
    </row>
    <row r="188" spans="15:25" s="87" customFormat="1" ht="15">
      <c r="O188" s="88"/>
      <c r="P188" s="88"/>
      <c r="Q188" s="88"/>
      <c r="R188" s="88"/>
      <c r="S188" s="88"/>
      <c r="T188" s="88"/>
      <c r="U188" s="88"/>
      <c r="V188" s="88"/>
      <c r="W188" s="88"/>
      <c r="X188" s="88"/>
      <c r="Y188" s="88"/>
    </row>
    <row r="189" spans="15:25" s="87" customFormat="1" ht="15">
      <c r="O189" s="88"/>
      <c r="P189" s="88"/>
      <c r="Q189" s="88"/>
      <c r="R189" s="88"/>
      <c r="S189" s="88"/>
      <c r="T189" s="88"/>
      <c r="U189" s="88"/>
      <c r="V189" s="88"/>
      <c r="W189" s="88"/>
      <c r="X189" s="88"/>
      <c r="Y189" s="88"/>
    </row>
    <row r="190" spans="15:25" s="87" customFormat="1" ht="15">
      <c r="O190" s="88"/>
      <c r="P190" s="88"/>
      <c r="Q190" s="88"/>
      <c r="R190" s="88"/>
      <c r="S190" s="88"/>
      <c r="T190" s="88"/>
      <c r="U190" s="88"/>
      <c r="V190" s="88"/>
      <c r="W190" s="88"/>
      <c r="X190" s="88"/>
      <c r="Y190" s="88"/>
    </row>
    <row r="191" spans="15:25" s="87" customFormat="1" ht="15">
      <c r="O191" s="88"/>
      <c r="P191" s="88"/>
      <c r="Q191" s="88"/>
      <c r="R191" s="88"/>
      <c r="S191" s="88"/>
      <c r="T191" s="88"/>
      <c r="U191" s="88"/>
      <c r="V191" s="88"/>
      <c r="W191" s="88"/>
      <c r="X191" s="88"/>
      <c r="Y191" s="88"/>
    </row>
    <row r="192" spans="15:25" s="87" customFormat="1" ht="15">
      <c r="O192" s="88"/>
      <c r="P192" s="88"/>
      <c r="Q192" s="88"/>
      <c r="R192" s="88"/>
      <c r="S192" s="88"/>
      <c r="T192" s="88"/>
      <c r="U192" s="88"/>
      <c r="V192" s="88"/>
      <c r="W192" s="88"/>
      <c r="X192" s="88"/>
      <c r="Y192" s="88"/>
    </row>
    <row r="193" spans="15:25" s="87" customFormat="1" ht="15">
      <c r="O193" s="88"/>
      <c r="P193" s="88"/>
      <c r="Q193" s="88"/>
      <c r="R193" s="88"/>
      <c r="S193" s="88"/>
      <c r="T193" s="88"/>
      <c r="U193" s="88"/>
      <c r="V193" s="88"/>
      <c r="W193" s="88"/>
      <c r="X193" s="88"/>
      <c r="Y193" s="88"/>
    </row>
    <row r="194" spans="15:25" s="87" customFormat="1" ht="15">
      <c r="O194" s="88"/>
      <c r="P194" s="88"/>
      <c r="Q194" s="88"/>
      <c r="R194" s="88"/>
      <c r="S194" s="88"/>
      <c r="T194" s="88"/>
      <c r="U194" s="88"/>
      <c r="V194" s="88"/>
      <c r="W194" s="88"/>
      <c r="X194" s="88"/>
      <c r="Y194" s="88"/>
    </row>
    <row r="195" spans="15:25" s="87" customFormat="1" ht="15">
      <c r="O195" s="88"/>
      <c r="P195" s="88"/>
      <c r="Q195" s="88"/>
      <c r="R195" s="88"/>
      <c r="S195" s="88"/>
      <c r="T195" s="88"/>
      <c r="U195" s="88"/>
      <c r="V195" s="88"/>
      <c r="W195" s="88"/>
      <c r="X195" s="88"/>
      <c r="Y195" s="88"/>
    </row>
    <row r="196" spans="15:25" s="87" customFormat="1" ht="15">
      <c r="O196" s="88"/>
      <c r="P196" s="88"/>
      <c r="Q196" s="88"/>
      <c r="R196" s="88"/>
      <c r="S196" s="88"/>
      <c r="T196" s="88"/>
      <c r="U196" s="88"/>
      <c r="V196" s="88"/>
      <c r="W196" s="88"/>
      <c r="X196" s="88"/>
      <c r="Y196" s="88"/>
    </row>
    <row r="197" spans="15:25" s="87" customFormat="1" ht="15">
      <c r="O197" s="88"/>
      <c r="P197" s="88"/>
      <c r="Q197" s="88"/>
      <c r="R197" s="88"/>
      <c r="S197" s="88"/>
      <c r="T197" s="88"/>
      <c r="U197" s="88"/>
      <c r="V197" s="88"/>
      <c r="W197" s="88"/>
      <c r="X197" s="88"/>
      <c r="Y197" s="88"/>
    </row>
    <row r="198" spans="15:25" s="87" customFormat="1" ht="15">
      <c r="O198" s="88"/>
      <c r="P198" s="88"/>
      <c r="Q198" s="88"/>
      <c r="R198" s="88"/>
      <c r="S198" s="88"/>
      <c r="T198" s="88"/>
      <c r="U198" s="88"/>
      <c r="V198" s="88"/>
      <c r="W198" s="88"/>
      <c r="X198" s="88"/>
      <c r="Y198" s="88"/>
    </row>
    <row r="199" spans="15:25" s="87" customFormat="1" ht="15">
      <c r="O199" s="88"/>
      <c r="P199" s="88"/>
      <c r="Q199" s="88"/>
      <c r="R199" s="88"/>
      <c r="S199" s="88"/>
      <c r="T199" s="88"/>
      <c r="U199" s="88"/>
      <c r="V199" s="88"/>
      <c r="W199" s="88"/>
      <c r="X199" s="88"/>
      <c r="Y199" s="88"/>
    </row>
    <row r="200" spans="15:25" s="87" customFormat="1" ht="15">
      <c r="O200" s="88"/>
      <c r="P200" s="88"/>
      <c r="Q200" s="88"/>
      <c r="R200" s="88"/>
      <c r="S200" s="88"/>
      <c r="T200" s="88"/>
      <c r="U200" s="88"/>
      <c r="V200" s="88"/>
      <c r="W200" s="88"/>
      <c r="X200" s="88"/>
      <c r="Y200" s="88"/>
    </row>
    <row r="201" spans="15:25" s="87" customFormat="1" ht="15">
      <c r="O201" s="88"/>
      <c r="P201" s="88"/>
      <c r="Q201" s="88"/>
      <c r="R201" s="88"/>
      <c r="S201" s="88"/>
      <c r="T201" s="88"/>
      <c r="U201" s="88"/>
      <c r="V201" s="88"/>
      <c r="W201" s="88"/>
      <c r="X201" s="88"/>
      <c r="Y201" s="88"/>
    </row>
    <row r="202" spans="15:25" s="87" customFormat="1" ht="15">
      <c r="O202" s="88"/>
      <c r="P202" s="88"/>
      <c r="Q202" s="88"/>
      <c r="R202" s="88"/>
      <c r="S202" s="88"/>
      <c r="T202" s="88"/>
      <c r="U202" s="88"/>
      <c r="V202" s="88"/>
      <c r="W202" s="88"/>
      <c r="X202" s="88"/>
      <c r="Y202" s="88"/>
    </row>
    <row r="203" spans="15:25" s="87" customFormat="1" ht="15">
      <c r="O203" s="88"/>
      <c r="P203" s="88"/>
      <c r="Q203" s="88"/>
      <c r="R203" s="88"/>
      <c r="S203" s="88"/>
      <c r="T203" s="88"/>
      <c r="U203" s="88"/>
      <c r="V203" s="88"/>
      <c r="W203" s="88"/>
      <c r="X203" s="88"/>
      <c r="Y203" s="88"/>
    </row>
    <row r="204" spans="15:25" s="87" customFormat="1" ht="15">
      <c r="O204" s="88"/>
      <c r="P204" s="88"/>
      <c r="Q204" s="88"/>
      <c r="R204" s="88"/>
      <c r="S204" s="88"/>
      <c r="T204" s="88"/>
      <c r="U204" s="88"/>
      <c r="V204" s="88"/>
      <c r="W204" s="88"/>
      <c r="X204" s="88"/>
      <c r="Y204" s="88"/>
    </row>
    <row r="205" spans="15:25" s="87" customFormat="1" ht="15">
      <c r="O205" s="88"/>
      <c r="P205" s="88"/>
      <c r="Q205" s="88"/>
      <c r="R205" s="88"/>
      <c r="S205" s="88"/>
      <c r="T205" s="88"/>
      <c r="U205" s="88"/>
      <c r="V205" s="88"/>
      <c r="W205" s="88"/>
      <c r="X205" s="88"/>
      <c r="Y205" s="88"/>
    </row>
    <row r="206" spans="15:25" s="87" customFormat="1" ht="15">
      <c r="O206" s="88"/>
      <c r="P206" s="88"/>
      <c r="Q206" s="88"/>
      <c r="R206" s="88"/>
      <c r="S206" s="88"/>
      <c r="T206" s="88"/>
      <c r="U206" s="88"/>
      <c r="V206" s="88"/>
      <c r="W206" s="88"/>
      <c r="X206" s="88"/>
      <c r="Y206" s="88"/>
    </row>
    <row r="207" spans="15:25" s="87" customFormat="1" ht="15">
      <c r="O207" s="88"/>
      <c r="P207" s="88"/>
      <c r="Q207" s="88"/>
      <c r="R207" s="88"/>
      <c r="S207" s="88"/>
      <c r="T207" s="88"/>
      <c r="U207" s="88"/>
      <c r="V207" s="88"/>
      <c r="W207" s="88"/>
      <c r="X207" s="88"/>
      <c r="Y207" s="88"/>
    </row>
    <row r="208" spans="15:25" s="87" customFormat="1" ht="15">
      <c r="O208" s="88"/>
      <c r="P208" s="88"/>
      <c r="Q208" s="88"/>
      <c r="R208" s="88"/>
      <c r="S208" s="88"/>
      <c r="T208" s="88"/>
      <c r="U208" s="88"/>
      <c r="V208" s="88"/>
      <c r="W208" s="88"/>
      <c r="X208" s="88"/>
      <c r="Y208" s="88"/>
    </row>
    <row r="209" spans="15:25" s="87" customFormat="1" ht="15">
      <c r="O209" s="88"/>
      <c r="P209" s="88"/>
      <c r="Q209" s="88"/>
      <c r="R209" s="88"/>
      <c r="S209" s="88"/>
      <c r="T209" s="88"/>
      <c r="U209" s="88"/>
      <c r="V209" s="88"/>
      <c r="W209" s="88"/>
      <c r="X209" s="88"/>
      <c r="Y209" s="88"/>
    </row>
    <row r="210" spans="15:25" s="87" customFormat="1" ht="15">
      <c r="O210" s="88"/>
      <c r="P210" s="88"/>
      <c r="Q210" s="88"/>
      <c r="R210" s="88"/>
      <c r="S210" s="88"/>
      <c r="T210" s="88"/>
      <c r="U210" s="88"/>
      <c r="V210" s="88"/>
      <c r="W210" s="88"/>
      <c r="X210" s="88"/>
      <c r="Y210" s="88"/>
    </row>
    <row r="211" spans="15:25" s="87" customFormat="1" ht="15">
      <c r="O211" s="88"/>
      <c r="P211" s="88"/>
      <c r="Q211" s="88"/>
      <c r="R211" s="88"/>
      <c r="S211" s="88"/>
      <c r="T211" s="88"/>
      <c r="U211" s="88"/>
      <c r="V211" s="88"/>
      <c r="W211" s="88"/>
      <c r="X211" s="88"/>
      <c r="Y211" s="88"/>
    </row>
    <row r="212" spans="15:25" s="87" customFormat="1" ht="15">
      <c r="O212" s="88"/>
      <c r="P212" s="88"/>
      <c r="Q212" s="88"/>
      <c r="R212" s="88"/>
      <c r="S212" s="88"/>
      <c r="T212" s="88"/>
      <c r="U212" s="88"/>
      <c r="V212" s="88"/>
      <c r="W212" s="88"/>
      <c r="X212" s="88"/>
      <c r="Y212" s="88"/>
    </row>
    <row r="213" spans="15:25" s="87" customFormat="1" ht="15">
      <c r="O213" s="88"/>
      <c r="P213" s="88"/>
      <c r="Q213" s="88"/>
      <c r="R213" s="88"/>
      <c r="S213" s="88"/>
      <c r="T213" s="88"/>
      <c r="U213" s="88"/>
      <c r="V213" s="88"/>
      <c r="W213" s="88"/>
      <c r="X213" s="88"/>
      <c r="Y213" s="88"/>
    </row>
    <row r="214" spans="15:25" s="87" customFormat="1" ht="15">
      <c r="O214" s="88"/>
      <c r="P214" s="88"/>
      <c r="Q214" s="88"/>
      <c r="R214" s="88"/>
      <c r="S214" s="88"/>
      <c r="T214" s="88"/>
      <c r="U214" s="88"/>
      <c r="V214" s="88"/>
      <c r="W214" s="88"/>
      <c r="X214" s="88"/>
      <c r="Y214" s="88"/>
    </row>
    <row r="215" spans="15:25" s="87" customFormat="1" ht="15">
      <c r="O215" s="88"/>
      <c r="P215" s="88"/>
      <c r="Q215" s="88"/>
      <c r="R215" s="88"/>
      <c r="S215" s="88"/>
      <c r="T215" s="88"/>
      <c r="U215" s="88"/>
      <c r="V215" s="88"/>
      <c r="W215" s="88"/>
      <c r="X215" s="88"/>
      <c r="Y215" s="88"/>
    </row>
    <row r="216" spans="15:25" s="87" customFormat="1" ht="15">
      <c r="O216" s="88"/>
      <c r="P216" s="88"/>
      <c r="Q216" s="88"/>
      <c r="R216" s="88"/>
      <c r="S216" s="88"/>
      <c r="T216" s="88"/>
      <c r="U216" s="88"/>
      <c r="V216" s="88"/>
      <c r="W216" s="88"/>
      <c r="X216" s="88"/>
      <c r="Y216" s="88"/>
    </row>
    <row r="217" spans="15:25" s="87" customFormat="1" ht="15">
      <c r="O217" s="88"/>
      <c r="P217" s="88"/>
      <c r="Q217" s="88"/>
      <c r="R217" s="88"/>
      <c r="S217" s="88"/>
      <c r="T217" s="88"/>
      <c r="U217" s="88"/>
      <c r="V217" s="88"/>
      <c r="W217" s="88"/>
      <c r="X217" s="88"/>
      <c r="Y217" s="88"/>
    </row>
    <row r="218" spans="15:25" s="87" customFormat="1" ht="15">
      <c r="O218" s="88"/>
      <c r="P218" s="88"/>
      <c r="Q218" s="88"/>
      <c r="R218" s="88"/>
      <c r="S218" s="88"/>
      <c r="T218" s="88"/>
      <c r="U218" s="88"/>
      <c r="V218" s="88"/>
      <c r="W218" s="88"/>
      <c r="X218" s="88"/>
      <c r="Y218" s="88"/>
    </row>
    <row r="219" spans="15:25" s="87" customFormat="1" ht="15">
      <c r="O219" s="88"/>
      <c r="P219" s="88"/>
      <c r="Q219" s="88"/>
      <c r="R219" s="88"/>
      <c r="S219" s="88"/>
      <c r="T219" s="88"/>
      <c r="U219" s="88"/>
      <c r="V219" s="88"/>
      <c r="W219" s="88"/>
      <c r="X219" s="88"/>
      <c r="Y219" s="88"/>
    </row>
    <row r="220" spans="15:25" s="87" customFormat="1" ht="15">
      <c r="O220" s="88"/>
      <c r="P220" s="88"/>
      <c r="Q220" s="88"/>
      <c r="R220" s="88"/>
      <c r="S220" s="88"/>
      <c r="T220" s="88"/>
      <c r="U220" s="88"/>
      <c r="V220" s="88"/>
      <c r="W220" s="88"/>
      <c r="X220" s="88"/>
      <c r="Y220" s="88"/>
    </row>
    <row r="221" spans="15:25" s="87" customFormat="1" ht="15">
      <c r="O221" s="88"/>
      <c r="P221" s="88"/>
      <c r="Q221" s="88"/>
      <c r="R221" s="88"/>
      <c r="S221" s="88"/>
      <c r="T221" s="88"/>
      <c r="U221" s="88"/>
      <c r="V221" s="88"/>
      <c r="W221" s="88"/>
      <c r="X221" s="88"/>
      <c r="Y221" s="88"/>
    </row>
    <row r="222" spans="15:25" s="87" customFormat="1" ht="15">
      <c r="O222" s="88"/>
      <c r="P222" s="88"/>
      <c r="Q222" s="88"/>
      <c r="R222" s="88"/>
      <c r="S222" s="88"/>
      <c r="T222" s="88"/>
      <c r="U222" s="88"/>
      <c r="V222" s="88"/>
      <c r="W222" s="88"/>
      <c r="X222" s="88"/>
      <c r="Y222" s="88"/>
    </row>
    <row r="223" spans="15:25" s="87" customFormat="1" ht="15">
      <c r="O223" s="88"/>
      <c r="P223" s="88"/>
      <c r="Q223" s="88"/>
      <c r="R223" s="88"/>
      <c r="S223" s="88"/>
      <c r="T223" s="88"/>
      <c r="U223" s="88"/>
      <c r="V223" s="88"/>
      <c r="W223" s="88"/>
      <c r="X223" s="88"/>
      <c r="Y223" s="88"/>
    </row>
    <row r="224" spans="15:25" s="87" customFormat="1" ht="15">
      <c r="O224" s="88"/>
      <c r="P224" s="88"/>
      <c r="Q224" s="88"/>
      <c r="R224" s="88"/>
      <c r="S224" s="88"/>
      <c r="T224" s="88"/>
      <c r="U224" s="88"/>
      <c r="V224" s="88"/>
      <c r="W224" s="88"/>
      <c r="X224" s="88"/>
      <c r="Y224" s="88"/>
    </row>
    <row r="225" spans="15:25" s="87" customFormat="1" ht="15">
      <c r="O225" s="88"/>
      <c r="P225" s="88"/>
      <c r="Q225" s="88"/>
      <c r="R225" s="88"/>
      <c r="S225" s="88"/>
      <c r="T225" s="88"/>
      <c r="U225" s="88"/>
      <c r="V225" s="88"/>
      <c r="W225" s="88"/>
      <c r="X225" s="88"/>
      <c r="Y225" s="88"/>
    </row>
    <row r="226" spans="5:25" s="87" customFormat="1" ht="15">
      <c r="E226" s="114"/>
      <c r="F226" s="114"/>
      <c r="G226" s="114"/>
      <c r="H226" s="114"/>
      <c r="I226" s="114"/>
      <c r="J226" s="114"/>
      <c r="K226" s="114"/>
      <c r="L226" s="114"/>
      <c r="M226" s="114"/>
      <c r="O226" s="88"/>
      <c r="P226" s="88"/>
      <c r="Q226" s="88"/>
      <c r="R226" s="88"/>
      <c r="S226" s="88"/>
      <c r="T226" s="88"/>
      <c r="U226" s="88"/>
      <c r="V226" s="88"/>
      <c r="W226" s="88"/>
      <c r="X226" s="88"/>
      <c r="Y226" s="88"/>
    </row>
  </sheetData>
  <sheetProtection/>
  <mergeCells count="22">
    <mergeCell ref="E57:F57"/>
    <mergeCell ref="E59:F59"/>
    <mergeCell ref="M67:P72"/>
    <mergeCell ref="C75:N76"/>
    <mergeCell ref="A79:A83"/>
    <mergeCell ref="C61:P61"/>
    <mergeCell ref="A75:A76"/>
    <mergeCell ref="A61:A65"/>
    <mergeCell ref="E47:F47"/>
    <mergeCell ref="E49:F49"/>
    <mergeCell ref="E51:F51"/>
    <mergeCell ref="E53:F53"/>
    <mergeCell ref="E55:F55"/>
    <mergeCell ref="C14:P14"/>
    <mergeCell ref="A16:A19"/>
    <mergeCell ref="A24:A29"/>
    <mergeCell ref="C16:C19"/>
    <mergeCell ref="E28:P28"/>
    <mergeCell ref="K2:P2"/>
    <mergeCell ref="K3:P3"/>
    <mergeCell ref="C8:N8"/>
    <mergeCell ref="C9:N9"/>
  </mergeCells>
  <printOptions/>
  <pageMargins left="0.75" right="0.75" top="0.41" bottom="0.48" header="0.28" footer="0.37"/>
  <pageSetup fitToHeight="10" fitToWidth="1" horizontalDpi="300" verticalDpi="300" orientation="portrait" scale="48" r:id="rId2"/>
  <drawing r:id="rId1"/>
</worksheet>
</file>

<file path=xl/worksheets/sheet11.xml><?xml version="1.0" encoding="utf-8"?>
<worksheet xmlns="http://schemas.openxmlformats.org/spreadsheetml/2006/main" xmlns:r="http://schemas.openxmlformats.org/officeDocument/2006/relationships">
  <sheetPr>
    <tabColor indexed="22"/>
  </sheetPr>
  <dimension ref="A2:K54"/>
  <sheetViews>
    <sheetView zoomScalePageLayoutView="0" workbookViewId="0" topLeftCell="A24">
      <selection activeCell="A48" sqref="A48"/>
    </sheetView>
  </sheetViews>
  <sheetFormatPr defaultColWidth="9.140625" defaultRowHeight="12.75"/>
  <cols>
    <col min="11" max="11" width="8.7109375" style="0" customWidth="1"/>
  </cols>
  <sheetData>
    <row r="2" ht="18">
      <c r="A2" s="189" t="s">
        <v>177</v>
      </c>
    </row>
    <row r="4" spans="1:11" ht="15">
      <c r="A4" s="768" t="s">
        <v>205</v>
      </c>
      <c r="B4" s="1"/>
      <c r="C4" s="1"/>
      <c r="D4" s="1"/>
      <c r="E4" s="1"/>
      <c r="F4" s="1"/>
      <c r="G4" s="1"/>
      <c r="H4" s="1"/>
      <c r="I4" s="1"/>
      <c r="J4" s="1"/>
      <c r="K4" s="1"/>
    </row>
    <row r="5" spans="1:11" ht="15">
      <c r="A5" s="768"/>
      <c r="B5" s="1"/>
      <c r="C5" s="1"/>
      <c r="D5" s="1"/>
      <c r="E5" s="1"/>
      <c r="F5" s="1"/>
      <c r="G5" s="1"/>
      <c r="H5" s="1"/>
      <c r="I5" s="1"/>
      <c r="J5" s="1"/>
      <c r="K5" s="1"/>
    </row>
    <row r="6" spans="1:11" ht="15">
      <c r="A6" s="768" t="s">
        <v>206</v>
      </c>
      <c r="B6" s="1"/>
      <c r="C6" s="1"/>
      <c r="D6" s="1"/>
      <c r="E6" s="1"/>
      <c r="F6" s="1"/>
      <c r="G6" s="1"/>
      <c r="H6" s="1"/>
      <c r="I6" s="1"/>
      <c r="J6" s="1"/>
      <c r="K6" s="1"/>
    </row>
    <row r="7" spans="1:11" ht="15">
      <c r="A7" s="768"/>
      <c r="B7" s="1"/>
      <c r="C7" s="1"/>
      <c r="D7" s="1"/>
      <c r="E7" s="1"/>
      <c r="F7" s="1"/>
      <c r="G7" s="1"/>
      <c r="H7" s="1"/>
      <c r="I7" s="1"/>
      <c r="J7" s="1"/>
      <c r="K7" s="1"/>
    </row>
    <row r="8" spans="1:11" ht="15">
      <c r="A8" s="768" t="s">
        <v>684</v>
      </c>
      <c r="B8" s="1"/>
      <c r="C8" s="1"/>
      <c r="D8" s="1"/>
      <c r="E8" s="1"/>
      <c r="F8" s="1"/>
      <c r="G8" s="1"/>
      <c r="H8" s="1"/>
      <c r="I8" s="1"/>
      <c r="J8" s="1"/>
      <c r="K8" s="1"/>
    </row>
    <row r="9" spans="1:11" ht="18">
      <c r="A9" s="280"/>
      <c r="B9" s="1"/>
      <c r="C9" s="1"/>
      <c r="D9" s="1"/>
      <c r="E9" s="1"/>
      <c r="F9" s="1"/>
      <c r="G9" s="1"/>
      <c r="H9" s="1"/>
      <c r="I9" s="1"/>
      <c r="J9" s="1"/>
      <c r="K9" s="1"/>
    </row>
    <row r="10" spans="1:11" ht="15">
      <c r="A10" s="767" t="s">
        <v>298</v>
      </c>
      <c r="B10" s="1"/>
      <c r="C10" s="1"/>
      <c r="D10" s="1"/>
      <c r="E10" s="1"/>
      <c r="F10" s="1"/>
      <c r="G10" s="1"/>
      <c r="H10" s="1"/>
      <c r="I10" s="1"/>
      <c r="J10" s="1"/>
      <c r="K10" s="1"/>
    </row>
    <row r="11" spans="1:11" ht="18">
      <c r="A11" s="280"/>
      <c r="B11" s="1"/>
      <c r="C11" s="1"/>
      <c r="D11" s="1"/>
      <c r="E11" s="1"/>
      <c r="F11" s="1"/>
      <c r="G11" s="1"/>
      <c r="H11" s="1"/>
      <c r="I11" s="1"/>
      <c r="J11" s="1"/>
      <c r="K11" s="1"/>
    </row>
    <row r="12" spans="1:11" ht="15">
      <c r="A12" s="767" t="s">
        <v>299</v>
      </c>
      <c r="B12" s="1"/>
      <c r="C12" s="1"/>
      <c r="D12" s="1"/>
      <c r="E12" s="1"/>
      <c r="F12" s="1"/>
      <c r="G12" s="1"/>
      <c r="H12" s="1"/>
      <c r="I12" s="1"/>
      <c r="J12" s="1"/>
      <c r="K12" s="1"/>
    </row>
    <row r="13" spans="1:11" ht="18">
      <c r="A13" s="280"/>
      <c r="B13" s="1"/>
      <c r="C13" s="1"/>
      <c r="D13" s="1"/>
      <c r="E13" s="1"/>
      <c r="F13" s="1"/>
      <c r="G13" s="1"/>
      <c r="H13" s="1"/>
      <c r="I13" s="1"/>
      <c r="J13" s="1"/>
      <c r="K13" s="1"/>
    </row>
    <row r="14" spans="1:11" ht="15">
      <c r="A14" s="767" t="s">
        <v>300</v>
      </c>
      <c r="B14" s="1"/>
      <c r="C14" s="1"/>
      <c r="D14" s="1"/>
      <c r="E14" s="1"/>
      <c r="F14" s="1"/>
      <c r="G14" s="1"/>
      <c r="H14" s="1"/>
      <c r="I14" s="1"/>
      <c r="J14" s="1"/>
      <c r="K14" s="1"/>
    </row>
    <row r="15" spans="1:11" ht="18">
      <c r="A15" s="280"/>
      <c r="B15" s="1"/>
      <c r="C15" s="1"/>
      <c r="D15" s="1"/>
      <c r="E15" s="1"/>
      <c r="F15" s="1"/>
      <c r="G15" s="1"/>
      <c r="H15" s="1"/>
      <c r="I15" s="1"/>
      <c r="J15" s="1"/>
      <c r="K15" s="1"/>
    </row>
    <row r="16" spans="1:11" ht="15">
      <c r="A16" s="767" t="s">
        <v>301</v>
      </c>
      <c r="B16" s="1"/>
      <c r="C16" s="1"/>
      <c r="D16" s="1"/>
      <c r="E16" s="1"/>
      <c r="F16" s="1"/>
      <c r="G16" s="1"/>
      <c r="H16" s="1"/>
      <c r="I16" s="1"/>
      <c r="J16" s="1"/>
      <c r="K16" s="1"/>
    </row>
    <row r="17" spans="1:11" ht="18">
      <c r="A17" s="280"/>
      <c r="B17" s="1"/>
      <c r="C17" s="1"/>
      <c r="D17" s="1"/>
      <c r="E17" s="1"/>
      <c r="F17" s="1"/>
      <c r="G17" s="1"/>
      <c r="H17" s="1"/>
      <c r="I17" s="1"/>
      <c r="J17" s="1"/>
      <c r="K17" s="1"/>
    </row>
    <row r="18" spans="1:11" ht="15">
      <c r="A18" s="767" t="s">
        <v>302</v>
      </c>
      <c r="B18" s="1"/>
      <c r="C18" s="1"/>
      <c r="D18" s="1"/>
      <c r="E18" s="1"/>
      <c r="F18" s="1"/>
      <c r="G18" s="1"/>
      <c r="H18" s="1"/>
      <c r="I18" s="1"/>
      <c r="J18" s="1"/>
      <c r="K18" s="1"/>
    </row>
    <row r="19" spans="1:11" ht="18">
      <c r="A19" s="280"/>
      <c r="B19" s="1"/>
      <c r="C19" s="1"/>
      <c r="D19" s="1"/>
      <c r="E19" s="1"/>
      <c r="F19" s="1"/>
      <c r="G19" s="1"/>
      <c r="H19" s="1"/>
      <c r="I19" s="1"/>
      <c r="J19" s="1"/>
      <c r="K19" s="1"/>
    </row>
    <row r="20" spans="1:11" ht="15">
      <c r="A20" s="767" t="s">
        <v>303</v>
      </c>
      <c r="B20" s="1"/>
      <c r="C20" s="1"/>
      <c r="D20" s="1"/>
      <c r="E20" s="1"/>
      <c r="F20" s="1"/>
      <c r="G20" s="1"/>
      <c r="H20" s="1"/>
      <c r="I20" s="1"/>
      <c r="J20" s="1"/>
      <c r="K20" s="1"/>
    </row>
    <row r="21" spans="1:11" ht="18">
      <c r="A21" s="280"/>
      <c r="B21" s="1"/>
      <c r="C21" s="1"/>
      <c r="D21" s="1"/>
      <c r="E21" s="1"/>
      <c r="F21" s="1"/>
      <c r="G21" s="1"/>
      <c r="H21" s="1"/>
      <c r="I21" s="1"/>
      <c r="J21" s="1"/>
      <c r="K21" s="1"/>
    </row>
    <row r="22" spans="1:11" ht="15">
      <c r="A22" s="767" t="s">
        <v>304</v>
      </c>
      <c r="B22" s="1"/>
      <c r="C22" s="1"/>
      <c r="D22" s="1"/>
      <c r="E22" s="1"/>
      <c r="F22" s="1"/>
      <c r="G22" s="1"/>
      <c r="H22" s="1"/>
      <c r="I22" s="1"/>
      <c r="J22" s="1"/>
      <c r="K22" s="1"/>
    </row>
    <row r="23" spans="1:11" ht="18">
      <c r="A23" s="280"/>
      <c r="B23" s="1"/>
      <c r="C23" s="1"/>
      <c r="D23" s="1"/>
      <c r="E23" s="1"/>
      <c r="F23" s="1"/>
      <c r="G23" s="1"/>
      <c r="H23" s="1"/>
      <c r="I23" s="1"/>
      <c r="J23" s="1"/>
      <c r="K23" s="1"/>
    </row>
    <row r="24" spans="1:11" ht="15">
      <c r="A24" s="767" t="s">
        <v>306</v>
      </c>
      <c r="B24" s="1"/>
      <c r="C24" s="1"/>
      <c r="D24" s="1"/>
      <c r="E24" s="1"/>
      <c r="F24" s="1"/>
      <c r="G24" s="1"/>
      <c r="H24" s="1"/>
      <c r="I24" s="1"/>
      <c r="J24" s="1"/>
      <c r="K24" s="1"/>
    </row>
    <row r="25" spans="1:11" ht="18">
      <c r="A25" s="280"/>
      <c r="B25" s="1"/>
      <c r="C25" s="1"/>
      <c r="D25" s="1"/>
      <c r="E25" s="1"/>
      <c r="F25" s="1"/>
      <c r="G25" s="1"/>
      <c r="H25" s="1"/>
      <c r="I25" s="1"/>
      <c r="J25" s="1"/>
      <c r="K25" s="1"/>
    </row>
    <row r="26" spans="1:11" ht="15">
      <c r="A26" s="767" t="s">
        <v>207</v>
      </c>
      <c r="B26" s="1"/>
      <c r="C26" s="1"/>
      <c r="D26" s="1"/>
      <c r="E26" s="1"/>
      <c r="F26" s="1"/>
      <c r="G26" s="1"/>
      <c r="H26" s="1"/>
      <c r="I26" s="1"/>
      <c r="J26" s="1"/>
      <c r="K26" s="1"/>
    </row>
    <row r="27" spans="1:11" ht="18">
      <c r="A27" s="280"/>
      <c r="B27" s="1"/>
      <c r="C27" s="1"/>
      <c r="D27" s="1"/>
      <c r="E27" s="1"/>
      <c r="F27" s="1"/>
      <c r="G27" s="1"/>
      <c r="H27" s="1"/>
      <c r="I27" s="1"/>
      <c r="J27" s="1"/>
      <c r="K27" s="1"/>
    </row>
    <row r="28" spans="1:11" ht="15">
      <c r="A28" s="767" t="s">
        <v>192</v>
      </c>
      <c r="B28" s="1"/>
      <c r="C28" s="1"/>
      <c r="D28" s="1"/>
      <c r="E28" s="1"/>
      <c r="F28" s="1"/>
      <c r="G28" s="1"/>
      <c r="H28" s="1"/>
      <c r="I28" s="1"/>
      <c r="J28" s="1"/>
      <c r="K28" s="1"/>
    </row>
    <row r="29" spans="1:11" ht="18">
      <c r="A29" s="280"/>
      <c r="B29" s="1"/>
      <c r="C29" s="1"/>
      <c r="D29" s="1"/>
      <c r="E29" s="1"/>
      <c r="F29" s="1"/>
      <c r="G29" s="1"/>
      <c r="H29" s="1"/>
      <c r="I29" s="1"/>
      <c r="J29" s="1"/>
      <c r="K29" s="1"/>
    </row>
    <row r="30" spans="1:11" ht="15">
      <c r="A30" s="767" t="s">
        <v>236</v>
      </c>
      <c r="B30" s="1"/>
      <c r="C30" s="1"/>
      <c r="D30" s="1"/>
      <c r="E30" s="1"/>
      <c r="F30" s="1"/>
      <c r="G30" s="1"/>
      <c r="H30" s="1"/>
      <c r="I30" s="1"/>
      <c r="J30" s="1"/>
      <c r="K30" s="1"/>
    </row>
    <row r="31" spans="1:11" ht="15">
      <c r="A31" s="1"/>
      <c r="B31" s="1"/>
      <c r="C31" s="1"/>
      <c r="D31" s="1"/>
      <c r="E31" s="1"/>
      <c r="F31" s="1"/>
      <c r="G31" s="1"/>
      <c r="H31" s="1"/>
      <c r="I31" s="1"/>
      <c r="J31" s="1"/>
      <c r="K31" s="1"/>
    </row>
    <row r="32" ht="12.75">
      <c r="A32" s="767" t="s">
        <v>305</v>
      </c>
    </row>
    <row r="34" ht="12.75">
      <c r="A34" t="s">
        <v>307</v>
      </c>
    </row>
    <row r="36" ht="12.75">
      <c r="A36" t="s">
        <v>308</v>
      </c>
    </row>
    <row r="38" ht="12.75">
      <c r="A38" t="s">
        <v>309</v>
      </c>
    </row>
    <row r="40" ht="12.75">
      <c r="A40" t="s">
        <v>310</v>
      </c>
    </row>
    <row r="42" ht="12.75">
      <c r="A42" t="s">
        <v>312</v>
      </c>
    </row>
    <row r="44" ht="12.75">
      <c r="A44" t="s">
        <v>313</v>
      </c>
    </row>
    <row r="46" ht="12.75">
      <c r="A46" t="s">
        <v>202</v>
      </c>
    </row>
    <row r="48" ht="12.75">
      <c r="A48" t="s">
        <v>625</v>
      </c>
    </row>
    <row r="50" ht="12.75">
      <c r="A50" t="s">
        <v>314</v>
      </c>
    </row>
    <row r="52" ht="12.75">
      <c r="A52" t="s">
        <v>315</v>
      </c>
    </row>
    <row r="54" ht="12.75">
      <c r="A54" t="s">
        <v>316</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4"/>
  <sheetViews>
    <sheetView zoomScalePageLayoutView="0" workbookViewId="0" topLeftCell="A1">
      <selection activeCell="F47" sqref="F47"/>
    </sheetView>
  </sheetViews>
  <sheetFormatPr defaultColWidth="9.140625" defaultRowHeight="12.75"/>
  <sheetData>
    <row r="1" spans="1:3" ht="12.75">
      <c r="A1" t="s">
        <v>121</v>
      </c>
      <c r="B1" t="s">
        <v>119</v>
      </c>
      <c r="C1" t="s">
        <v>124</v>
      </c>
    </row>
    <row r="2" spans="1:3" ht="12.75">
      <c r="A2" t="s">
        <v>459</v>
      </c>
      <c r="B2">
        <v>20</v>
      </c>
      <c r="C2" s="85" t="s">
        <v>125</v>
      </c>
    </row>
    <row r="3" spans="1:3" ht="12.75">
      <c r="A3" t="s">
        <v>460</v>
      </c>
      <c r="B3">
        <v>10</v>
      </c>
      <c r="C3" s="85" t="s">
        <v>126</v>
      </c>
    </row>
    <row r="4" spans="2:3" ht="12.75">
      <c r="B4">
        <v>5</v>
      </c>
      <c r="C4" s="85" t="s">
        <v>127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3"/>
    <pageSetUpPr fitToPage="1"/>
  </sheetPr>
  <dimension ref="A1:AI474"/>
  <sheetViews>
    <sheetView showGridLines="0" tabSelected="1" zoomScale="85" zoomScaleNormal="85" zoomScalePageLayoutView="0" workbookViewId="0" topLeftCell="A1">
      <selection activeCell="P113" sqref="P113"/>
    </sheetView>
  </sheetViews>
  <sheetFormatPr defaultColWidth="9.140625" defaultRowHeight="12.75"/>
  <cols>
    <col min="1" max="1" width="13.140625" style="114" customWidth="1"/>
    <col min="2" max="2" width="0.85546875" style="114" customWidth="1"/>
    <col min="3" max="3" width="15.140625" style="114" customWidth="1"/>
    <col min="4" max="4" width="1.57421875" style="114" customWidth="1"/>
    <col min="5" max="5" width="16.57421875" style="114" customWidth="1"/>
    <col min="6" max="6" width="13.140625" style="114" customWidth="1"/>
    <col min="7" max="7" width="15.7109375" style="114" customWidth="1"/>
    <col min="8" max="8" width="12.57421875" style="114" customWidth="1"/>
    <col min="9" max="9" width="1.7109375" style="114" customWidth="1"/>
    <col min="10" max="10" width="17.28125" style="114" customWidth="1"/>
    <col min="11" max="11" width="13.140625" style="114" customWidth="1"/>
    <col min="12" max="12" width="17.28125" style="114" customWidth="1"/>
    <col min="13" max="14" width="9.140625" style="114" customWidth="1"/>
    <col min="15" max="15" width="9.140625" style="115" customWidth="1"/>
    <col min="16" max="16" width="11.8515625" style="115" customWidth="1"/>
    <col min="17" max="25" width="9.140625" style="115" customWidth="1"/>
    <col min="26" max="16384" width="9.140625" style="114" customWidth="1"/>
  </cols>
  <sheetData>
    <row r="1" spans="15:25" s="87" customFormat="1" ht="11.25" customHeight="1">
      <c r="O1" s="88"/>
      <c r="P1" s="88"/>
      <c r="Q1" s="89"/>
      <c r="R1" s="88"/>
      <c r="S1" s="88"/>
      <c r="T1" s="88"/>
      <c r="U1" s="88"/>
      <c r="V1" s="88"/>
      <c r="W1" s="88"/>
      <c r="X1" s="88"/>
      <c r="Y1" s="88"/>
    </row>
    <row r="2" spans="3:25" s="87" customFormat="1" ht="18.75">
      <c r="C2" s="497" t="s">
        <v>14</v>
      </c>
      <c r="D2" s="498"/>
      <c r="E2" s="498"/>
      <c r="F2" s="498"/>
      <c r="G2" s="498"/>
      <c r="J2" s="396" t="s">
        <v>269</v>
      </c>
      <c r="K2" s="919"/>
      <c r="L2" s="920"/>
      <c r="M2" s="920"/>
      <c r="N2" s="920"/>
      <c r="O2" s="920"/>
      <c r="P2" s="920"/>
      <c r="Q2" s="80"/>
      <c r="R2" s="88"/>
      <c r="S2" s="88"/>
      <c r="T2" s="88"/>
      <c r="U2" s="88"/>
      <c r="V2" s="88"/>
      <c r="W2" s="88"/>
      <c r="X2" s="88"/>
      <c r="Y2" s="88"/>
    </row>
    <row r="3" spans="3:25" s="87" customFormat="1" ht="16.5" customHeight="1">
      <c r="C3" s="499" t="s">
        <v>13</v>
      </c>
      <c r="D3" s="498"/>
      <c r="E3" s="498"/>
      <c r="F3" s="498"/>
      <c r="J3" s="396" t="s">
        <v>270</v>
      </c>
      <c r="K3" s="919"/>
      <c r="L3" s="920"/>
      <c r="M3" s="920"/>
      <c r="N3" s="920"/>
      <c r="O3" s="920"/>
      <c r="P3" s="920"/>
      <c r="Q3" s="80"/>
      <c r="R3" s="88"/>
      <c r="S3" s="88"/>
      <c r="T3" s="88"/>
      <c r="U3" s="88"/>
      <c r="V3" s="88"/>
      <c r="W3" s="88"/>
      <c r="X3" s="88"/>
      <c r="Y3" s="88"/>
    </row>
    <row r="4" spans="3:26" s="87" customFormat="1" ht="9.75" customHeight="1">
      <c r="C4" s="497"/>
      <c r="D4" s="498"/>
      <c r="E4" s="498"/>
      <c r="F4" s="498"/>
      <c r="O4" s="88"/>
      <c r="P4" s="88"/>
      <c r="Q4" s="89"/>
      <c r="R4" s="88"/>
      <c r="S4" s="88"/>
      <c r="T4" s="88"/>
      <c r="U4" s="88"/>
      <c r="V4" s="88"/>
      <c r="W4" s="88"/>
      <c r="X4" s="88"/>
      <c r="Y4" s="88"/>
      <c r="Z4" s="88"/>
    </row>
    <row r="5" spans="3:26" s="87" customFormat="1" ht="19.5" customHeight="1">
      <c r="C5" s="91" t="s">
        <v>111</v>
      </c>
      <c r="L5" s="89"/>
      <c r="M5" s="89"/>
      <c r="N5" s="89"/>
      <c r="O5" s="89"/>
      <c r="P5" s="89"/>
      <c r="Q5" s="89"/>
      <c r="R5" s="88"/>
      <c r="S5" s="88"/>
      <c r="T5" s="88"/>
      <c r="U5" s="88"/>
      <c r="V5" s="88"/>
      <c r="W5" s="88"/>
      <c r="X5" s="88"/>
      <c r="Y5" s="88"/>
      <c r="Z5" s="88"/>
    </row>
    <row r="6" spans="1:17" s="88" customFormat="1" ht="9.75" customHeight="1">
      <c r="A6" s="92"/>
      <c r="B6" s="92"/>
      <c r="C6" s="92"/>
      <c r="D6" s="92"/>
      <c r="E6" s="92"/>
      <c r="F6" s="92"/>
      <c r="G6" s="92"/>
      <c r="H6" s="92"/>
      <c r="I6" s="92"/>
      <c r="J6" s="92"/>
      <c r="K6" s="92"/>
      <c r="L6" s="92"/>
      <c r="M6" s="92"/>
      <c r="N6" s="92"/>
      <c r="O6" s="92"/>
      <c r="P6" s="92"/>
      <c r="Q6" s="89"/>
    </row>
    <row r="7" spans="1:26" s="96" customFormat="1" ht="6" customHeight="1">
      <c r="A7" s="93"/>
      <c r="B7" s="93"/>
      <c r="C7" s="93"/>
      <c r="D7" s="93"/>
      <c r="E7" s="93"/>
      <c r="F7" s="93"/>
      <c r="G7" s="93"/>
      <c r="H7" s="93"/>
      <c r="I7" s="93"/>
      <c r="J7" s="93"/>
      <c r="K7" s="93"/>
      <c r="L7" s="93"/>
      <c r="M7" s="93"/>
      <c r="N7" s="93"/>
      <c r="O7" s="93"/>
      <c r="P7" s="93"/>
      <c r="Q7" s="95"/>
      <c r="R7" s="94"/>
      <c r="S7" s="94"/>
      <c r="T7" s="94"/>
      <c r="U7" s="94"/>
      <c r="V7" s="94"/>
      <c r="W7" s="94"/>
      <c r="X7" s="94"/>
      <c r="Y7" s="94"/>
      <c r="Z7" s="94"/>
    </row>
    <row r="8" spans="1:26" s="96" customFormat="1" ht="123.75" customHeight="1">
      <c r="A8" s="94"/>
      <c r="B8" s="94"/>
      <c r="C8" s="989" t="s">
        <v>689</v>
      </c>
      <c r="D8" s="990"/>
      <c r="E8" s="990"/>
      <c r="F8" s="990"/>
      <c r="G8" s="990"/>
      <c r="H8" s="990"/>
      <c r="I8" s="990"/>
      <c r="J8" s="990"/>
      <c r="K8" s="990"/>
      <c r="L8" s="990"/>
      <c r="M8" s="990"/>
      <c r="N8" s="990"/>
      <c r="O8" s="344"/>
      <c r="P8" s="430"/>
      <c r="Q8" s="95"/>
      <c r="R8" s="94"/>
      <c r="S8" s="94"/>
      <c r="T8" s="94"/>
      <c r="U8" s="94"/>
      <c r="V8" s="94"/>
      <c r="W8" s="94"/>
      <c r="X8" s="94"/>
      <c r="Y8" s="94"/>
      <c r="Z8" s="94"/>
    </row>
    <row r="9" spans="3:25" s="220" customFormat="1" ht="39" customHeight="1">
      <c r="C9" s="991" t="s">
        <v>721</v>
      </c>
      <c r="D9" s="992"/>
      <c r="E9" s="992"/>
      <c r="F9" s="992"/>
      <c r="G9" s="992"/>
      <c r="H9" s="992"/>
      <c r="I9" s="992"/>
      <c r="J9" s="992"/>
      <c r="K9" s="992"/>
      <c r="L9" s="992"/>
      <c r="M9" s="992"/>
      <c r="N9" s="992"/>
      <c r="O9" s="713"/>
      <c r="P9" s="714"/>
      <c r="Q9" s="222"/>
      <c r="R9" s="222"/>
      <c r="S9" s="222"/>
      <c r="T9" s="222"/>
      <c r="U9" s="222"/>
      <c r="V9" s="222"/>
      <c r="W9" s="222"/>
      <c r="X9" s="222"/>
      <c r="Y9" s="222"/>
    </row>
    <row r="10" spans="3:25" s="220" customFormat="1" ht="57" customHeight="1">
      <c r="C10" s="991" t="s">
        <v>297</v>
      </c>
      <c r="D10" s="992"/>
      <c r="E10" s="992"/>
      <c r="F10" s="992"/>
      <c r="G10" s="992"/>
      <c r="H10" s="992"/>
      <c r="I10" s="992"/>
      <c r="J10" s="992"/>
      <c r="K10" s="992"/>
      <c r="L10" s="992"/>
      <c r="M10" s="992"/>
      <c r="N10" s="992"/>
      <c r="O10" s="713"/>
      <c r="P10" s="714"/>
      <c r="Q10" s="222"/>
      <c r="R10" s="222"/>
      <c r="S10" s="222"/>
      <c r="T10" s="222"/>
      <c r="U10" s="222"/>
      <c r="V10" s="222"/>
      <c r="W10" s="222"/>
      <c r="X10" s="222"/>
      <c r="Y10" s="222"/>
    </row>
    <row r="11" spans="3:25" s="220" customFormat="1" ht="39.75" customHeight="1">
      <c r="C11" s="993" t="s">
        <v>293</v>
      </c>
      <c r="D11" s="994"/>
      <c r="E11" s="994"/>
      <c r="F11" s="994"/>
      <c r="G11" s="994"/>
      <c r="H11" s="994"/>
      <c r="I11" s="994"/>
      <c r="J11" s="994"/>
      <c r="K11" s="994"/>
      <c r="L11" s="994"/>
      <c r="M11" s="994"/>
      <c r="N11" s="994"/>
      <c r="O11" s="994"/>
      <c r="P11" s="995"/>
      <c r="Q11" s="222"/>
      <c r="R11" s="222"/>
      <c r="S11" s="222"/>
      <c r="T11" s="222"/>
      <c r="U11" s="222"/>
      <c r="V11" s="222"/>
      <c r="W11" s="222"/>
      <c r="X11" s="222"/>
      <c r="Y11" s="222"/>
    </row>
    <row r="12" spans="3:25" s="220" customFormat="1" ht="17.25" customHeight="1">
      <c r="C12" s="980" t="s">
        <v>158</v>
      </c>
      <c r="D12" s="981"/>
      <c r="E12" s="981"/>
      <c r="F12" s="981"/>
      <c r="G12" s="981"/>
      <c r="H12" s="981"/>
      <c r="I12" s="981"/>
      <c r="J12" s="981"/>
      <c r="K12" s="981"/>
      <c r="L12" s="981"/>
      <c r="M12" s="981"/>
      <c r="N12" s="981"/>
      <c r="O12" s="981"/>
      <c r="P12" s="982"/>
      <c r="Q12" s="222"/>
      <c r="R12" s="222"/>
      <c r="S12" s="222"/>
      <c r="T12" s="222"/>
      <c r="U12" s="222"/>
      <c r="V12" s="222"/>
      <c r="W12" s="222"/>
      <c r="X12" s="222"/>
      <c r="Y12" s="222"/>
    </row>
    <row r="13" spans="3:26" s="96" customFormat="1" ht="6" customHeight="1">
      <c r="C13" s="715"/>
      <c r="D13" s="716"/>
      <c r="E13" s="716"/>
      <c r="F13" s="716"/>
      <c r="G13" s="716"/>
      <c r="H13" s="716"/>
      <c r="I13" s="716"/>
      <c r="J13" s="716"/>
      <c r="K13" s="716"/>
      <c r="L13" s="716"/>
      <c r="M13" s="716"/>
      <c r="N13" s="716"/>
      <c r="O13" s="326"/>
      <c r="P13" s="363"/>
      <c r="Q13" s="95"/>
      <c r="R13" s="94"/>
      <c r="S13" s="94"/>
      <c r="T13" s="94"/>
      <c r="U13" s="94"/>
      <c r="V13" s="94"/>
      <c r="W13" s="94"/>
      <c r="X13" s="94"/>
      <c r="Y13" s="94"/>
      <c r="Z13" s="94"/>
    </row>
    <row r="14" spans="1:17" s="88" customFormat="1" ht="9.75" customHeight="1">
      <c r="A14" s="92"/>
      <c r="B14" s="92"/>
      <c r="C14" s="92"/>
      <c r="D14" s="92"/>
      <c r="E14" s="92"/>
      <c r="F14" s="92"/>
      <c r="G14" s="92"/>
      <c r="H14" s="92"/>
      <c r="I14" s="92"/>
      <c r="J14" s="92"/>
      <c r="K14" s="92"/>
      <c r="L14" s="92"/>
      <c r="M14" s="92"/>
      <c r="N14" s="92"/>
      <c r="O14" s="92"/>
      <c r="P14" s="92"/>
      <c r="Q14" s="89"/>
    </row>
    <row r="15" spans="1:26" s="96" customFormat="1" ht="6" customHeight="1">
      <c r="A15" s="93"/>
      <c r="B15" s="93"/>
      <c r="C15" s="93"/>
      <c r="D15" s="93"/>
      <c r="E15" s="93"/>
      <c r="F15" s="93"/>
      <c r="G15" s="93"/>
      <c r="H15" s="93"/>
      <c r="I15" s="93"/>
      <c r="J15" s="93"/>
      <c r="K15" s="93"/>
      <c r="L15" s="93"/>
      <c r="M15" s="93"/>
      <c r="N15" s="93"/>
      <c r="O15" s="93"/>
      <c r="P15" s="93"/>
      <c r="Q15" s="95"/>
      <c r="R15" s="94"/>
      <c r="S15" s="94"/>
      <c r="T15" s="94"/>
      <c r="U15" s="94"/>
      <c r="V15" s="94"/>
      <c r="W15" s="94"/>
      <c r="X15" s="94"/>
      <c r="Y15" s="94"/>
      <c r="Z15" s="94"/>
    </row>
    <row r="16" spans="5:25" s="87" customFormat="1" ht="15">
      <c r="E16" s="126"/>
      <c r="L16" s="127"/>
      <c r="M16" s="89"/>
      <c r="N16" s="89"/>
      <c r="O16" s="89"/>
      <c r="P16" s="89"/>
      <c r="Q16" s="88"/>
      <c r="R16" s="88"/>
      <c r="S16" s="88"/>
      <c r="T16" s="88"/>
      <c r="U16" s="88"/>
      <c r="V16" s="88"/>
      <c r="W16" s="88"/>
      <c r="X16" s="88"/>
      <c r="Y16" s="88"/>
    </row>
    <row r="17" spans="1:26" s="96" customFormat="1" ht="42.75" customHeight="1">
      <c r="A17" s="88"/>
      <c r="B17" s="94"/>
      <c r="C17" s="881" t="s">
        <v>222</v>
      </c>
      <c r="D17" s="881"/>
      <c r="E17" s="881"/>
      <c r="F17" s="881"/>
      <c r="G17" s="881"/>
      <c r="H17" s="881"/>
      <c r="I17" s="881"/>
      <c r="J17" s="881"/>
      <c r="K17" s="881"/>
      <c r="L17" s="881"/>
      <c r="M17" s="881"/>
      <c r="N17" s="881"/>
      <c r="O17" s="881"/>
      <c r="P17" s="881"/>
      <c r="Q17" s="95"/>
      <c r="R17" s="94"/>
      <c r="S17" s="94"/>
      <c r="T17" s="94"/>
      <c r="U17" s="94"/>
      <c r="V17" s="94"/>
      <c r="W17" s="94"/>
      <c r="X17" s="94"/>
      <c r="Y17" s="94"/>
      <c r="Z17" s="94"/>
    </row>
    <row r="18" spans="1:26" s="96" customFormat="1" ht="12" customHeight="1">
      <c r="A18" s="88"/>
      <c r="B18" s="94"/>
      <c r="C18" s="88"/>
      <c r="D18" s="88"/>
      <c r="E18" s="88"/>
      <c r="F18" s="88"/>
      <c r="G18" s="88"/>
      <c r="H18" s="88"/>
      <c r="I18" s="88"/>
      <c r="J18" s="88"/>
      <c r="K18" s="88"/>
      <c r="L18" s="88"/>
      <c r="M18" s="88"/>
      <c r="N18" s="88"/>
      <c r="O18" s="94"/>
      <c r="P18" s="94"/>
      <c r="Q18" s="95"/>
      <c r="R18" s="94"/>
      <c r="S18" s="94"/>
      <c r="T18" s="94"/>
      <c r="U18" s="94"/>
      <c r="V18" s="94"/>
      <c r="W18" s="94"/>
      <c r="X18" s="94"/>
      <c r="Y18" s="94"/>
      <c r="Z18" s="94"/>
    </row>
    <row r="19" spans="1:25" s="87" customFormat="1" ht="16.5" customHeight="1">
      <c r="A19" s="925" t="s">
        <v>296</v>
      </c>
      <c r="B19" s="97"/>
      <c r="C19" s="957" t="s">
        <v>129</v>
      </c>
      <c r="E19" s="934" t="s">
        <v>188</v>
      </c>
      <c r="F19" s="935"/>
      <c r="G19" s="935"/>
      <c r="H19" s="935"/>
      <c r="I19" s="935"/>
      <c r="J19" s="935"/>
      <c r="K19" s="935"/>
      <c r="L19" s="935"/>
      <c r="M19" s="935"/>
      <c r="N19" s="935"/>
      <c r="O19" s="935"/>
      <c r="P19" s="936"/>
      <c r="Q19" s="88"/>
      <c r="R19" s="88"/>
      <c r="S19" s="88"/>
      <c r="T19" s="88"/>
      <c r="U19" s="88"/>
      <c r="V19" s="88"/>
      <c r="W19" s="88"/>
      <c r="X19" s="88"/>
      <c r="Y19" s="88"/>
    </row>
    <row r="20" spans="1:25" s="87" customFormat="1" ht="16.5" customHeight="1">
      <c r="A20" s="925"/>
      <c r="B20" s="97"/>
      <c r="C20" s="957"/>
      <c r="E20" s="999" t="s">
        <v>175</v>
      </c>
      <c r="F20" s="1000"/>
      <c r="G20" s="1000"/>
      <c r="H20" s="1000"/>
      <c r="I20" s="1000"/>
      <c r="J20" s="1000"/>
      <c r="K20" s="1000"/>
      <c r="L20" s="1000"/>
      <c r="M20" s="1000"/>
      <c r="N20" s="1000"/>
      <c r="O20" s="1000"/>
      <c r="P20" s="1001"/>
      <c r="Q20" s="88"/>
      <c r="R20" s="88"/>
      <c r="S20" s="88"/>
      <c r="T20" s="88"/>
      <c r="U20" s="88"/>
      <c r="V20" s="88"/>
      <c r="W20" s="88"/>
      <c r="X20" s="88"/>
      <c r="Y20" s="88"/>
    </row>
    <row r="21" spans="1:35" s="96" customFormat="1" ht="6" customHeight="1">
      <c r="A21" s="925"/>
      <c r="B21" s="94"/>
      <c r="C21" s="957"/>
      <c r="D21" s="94"/>
      <c r="E21" s="94"/>
      <c r="F21" s="94"/>
      <c r="G21" s="94"/>
      <c r="H21" s="94"/>
      <c r="I21" s="94"/>
      <c r="J21" s="94"/>
      <c r="K21" s="94"/>
      <c r="L21" s="94"/>
      <c r="M21" s="94"/>
      <c r="N21" s="94"/>
      <c r="O21" s="94"/>
      <c r="P21" s="94"/>
      <c r="Q21" s="95"/>
      <c r="R21" s="95"/>
      <c r="S21" s="95"/>
      <c r="T21" s="95"/>
      <c r="U21" s="95"/>
      <c r="V21" s="95"/>
      <c r="W21" s="95"/>
      <c r="X21" s="95"/>
      <c r="Y21" s="95"/>
      <c r="Z21" s="95"/>
      <c r="AA21" s="231"/>
      <c r="AB21" s="231"/>
      <c r="AC21" s="231"/>
      <c r="AD21" s="231"/>
      <c r="AE21" s="231"/>
      <c r="AF21" s="231"/>
      <c r="AG21" s="231"/>
      <c r="AH21" s="231"/>
      <c r="AI21" s="231"/>
    </row>
    <row r="22" spans="1:35" s="87" customFormat="1" ht="16.5" customHeight="1">
      <c r="A22" s="925"/>
      <c r="C22" s="957"/>
      <c r="E22" s="983" t="s">
        <v>639</v>
      </c>
      <c r="F22" s="984"/>
      <c r="G22" s="984"/>
      <c r="H22" s="984"/>
      <c r="I22" s="984"/>
      <c r="J22" s="984"/>
      <c r="K22" s="984"/>
      <c r="L22" s="984"/>
      <c r="M22" s="984"/>
      <c r="N22" s="984"/>
      <c r="O22" s="984"/>
      <c r="P22" s="985"/>
      <c r="Q22" s="89"/>
      <c r="R22" s="232"/>
      <c r="S22" s="101"/>
      <c r="T22" s="101"/>
      <c r="U22" s="101"/>
      <c r="V22" s="101"/>
      <c r="W22" s="101"/>
      <c r="X22" s="101"/>
      <c r="Y22" s="101"/>
      <c r="Z22" s="101"/>
      <c r="AA22" s="101"/>
      <c r="AB22" s="89"/>
      <c r="AC22" s="89"/>
      <c r="AD22" s="101"/>
      <c r="AE22" s="101"/>
      <c r="AF22" s="101"/>
      <c r="AG22" s="101"/>
      <c r="AH22" s="101"/>
      <c r="AI22" s="101"/>
    </row>
    <row r="23" spans="1:35" s="87" customFormat="1" ht="120.75" customHeight="1">
      <c r="A23" s="925"/>
      <c r="C23" s="957"/>
      <c r="E23" s="986"/>
      <c r="F23" s="987"/>
      <c r="G23" s="987"/>
      <c r="H23" s="987"/>
      <c r="I23" s="987"/>
      <c r="J23" s="987"/>
      <c r="K23" s="987"/>
      <c r="L23" s="987"/>
      <c r="M23" s="987"/>
      <c r="N23" s="987"/>
      <c r="O23" s="987"/>
      <c r="P23" s="988"/>
      <c r="Q23" s="89"/>
      <c r="R23" s="233"/>
      <c r="S23" s="101"/>
      <c r="T23" s="101"/>
      <c r="U23" s="101"/>
      <c r="V23" s="101"/>
      <c r="W23" s="101"/>
      <c r="X23" s="101"/>
      <c r="Y23" s="101"/>
      <c r="Z23" s="101"/>
      <c r="AA23" s="101"/>
      <c r="AB23" s="89"/>
      <c r="AC23" s="89"/>
      <c r="AD23" s="101"/>
      <c r="AE23" s="101"/>
      <c r="AF23" s="101"/>
      <c r="AG23" s="101"/>
      <c r="AH23" s="101"/>
      <c r="AI23" s="101"/>
    </row>
    <row r="24" spans="1:35" s="87" customFormat="1" ht="15" customHeight="1">
      <c r="A24" s="925"/>
      <c r="C24" s="957"/>
      <c r="E24" s="931" t="s">
        <v>686</v>
      </c>
      <c r="F24" s="932"/>
      <c r="G24" s="932"/>
      <c r="H24" s="932"/>
      <c r="I24" s="932"/>
      <c r="J24" s="932"/>
      <c r="K24" s="932"/>
      <c r="L24" s="932"/>
      <c r="M24" s="932"/>
      <c r="N24" s="932"/>
      <c r="O24" s="932"/>
      <c r="P24" s="933"/>
      <c r="Q24" s="89"/>
      <c r="R24" s="89"/>
      <c r="S24" s="89"/>
      <c r="T24" s="89"/>
      <c r="U24" s="89"/>
      <c r="V24" s="89"/>
      <c r="W24" s="89"/>
      <c r="X24" s="89"/>
      <c r="Y24" s="89"/>
      <c r="Z24" s="101"/>
      <c r="AA24" s="101"/>
      <c r="AB24" s="101"/>
      <c r="AC24" s="101"/>
      <c r="AD24" s="101"/>
      <c r="AE24" s="101"/>
      <c r="AF24" s="101"/>
      <c r="AG24" s="101"/>
      <c r="AH24" s="101"/>
      <c r="AI24" s="101"/>
    </row>
    <row r="25" spans="1:35" s="87" customFormat="1" ht="125.25" customHeight="1">
      <c r="A25" s="925"/>
      <c r="C25" s="957"/>
      <c r="E25" s="931"/>
      <c r="F25" s="932"/>
      <c r="G25" s="932"/>
      <c r="H25" s="932"/>
      <c r="I25" s="932"/>
      <c r="J25" s="932"/>
      <c r="K25" s="932"/>
      <c r="L25" s="932"/>
      <c r="M25" s="932"/>
      <c r="N25" s="932"/>
      <c r="O25" s="932"/>
      <c r="P25" s="933"/>
      <c r="Q25" s="89"/>
      <c r="R25" s="89"/>
      <c r="S25" s="89"/>
      <c r="T25" s="89"/>
      <c r="U25" s="89"/>
      <c r="V25" s="89"/>
      <c r="W25" s="89"/>
      <c r="X25" s="89"/>
      <c r="Y25" s="89"/>
      <c r="Z25" s="101"/>
      <c r="AA25" s="101"/>
      <c r="AB25" s="101"/>
      <c r="AC25" s="101"/>
      <c r="AD25" s="101"/>
      <c r="AE25" s="101"/>
      <c r="AF25" s="101"/>
      <c r="AG25" s="101"/>
      <c r="AH25" s="101"/>
      <c r="AI25" s="101"/>
    </row>
    <row r="26" spans="1:35" s="87" customFormat="1" ht="36.75" customHeight="1">
      <c r="A26" s="925"/>
      <c r="C26" s="957"/>
      <c r="E26" s="996" t="s">
        <v>687</v>
      </c>
      <c r="F26" s="997"/>
      <c r="G26" s="997"/>
      <c r="H26" s="997"/>
      <c r="I26" s="997"/>
      <c r="J26" s="997"/>
      <c r="K26" s="997"/>
      <c r="L26" s="997"/>
      <c r="M26" s="997"/>
      <c r="N26" s="997"/>
      <c r="O26" s="997"/>
      <c r="P26" s="998"/>
      <c r="Q26" s="89"/>
      <c r="R26" s="89"/>
      <c r="S26" s="89"/>
      <c r="T26" s="89"/>
      <c r="U26" s="89"/>
      <c r="V26" s="89"/>
      <c r="W26" s="89"/>
      <c r="X26" s="89"/>
      <c r="Y26" s="89"/>
      <c r="Z26" s="101"/>
      <c r="AA26" s="101"/>
      <c r="AB26" s="101"/>
      <c r="AC26" s="101"/>
      <c r="AD26" s="101"/>
      <c r="AE26" s="101"/>
      <c r="AF26" s="101"/>
      <c r="AG26" s="101"/>
      <c r="AH26" s="101"/>
      <c r="AI26" s="101"/>
    </row>
    <row r="27" spans="1:26" s="96" customFormat="1" ht="6" customHeight="1">
      <c r="A27" s="925"/>
      <c r="B27" s="94"/>
      <c r="C27" s="957"/>
      <c r="D27" s="94"/>
      <c r="E27" s="94"/>
      <c r="F27" s="94"/>
      <c r="G27" s="94"/>
      <c r="H27" s="94"/>
      <c r="I27" s="94"/>
      <c r="J27" s="94"/>
      <c r="K27" s="94"/>
      <c r="L27" s="94"/>
      <c r="M27" s="94"/>
      <c r="N27" s="94"/>
      <c r="O27" s="94"/>
      <c r="P27" s="94"/>
      <c r="Q27" s="95"/>
      <c r="R27" s="94"/>
      <c r="S27" s="94"/>
      <c r="T27" s="94"/>
      <c r="U27" s="94"/>
      <c r="V27" s="94"/>
      <c r="W27" s="94"/>
      <c r="X27" s="94"/>
      <c r="Y27" s="94"/>
      <c r="Z27" s="94"/>
    </row>
    <row r="28" spans="1:25" s="87" customFormat="1" ht="16.5">
      <c r="A28" s="925"/>
      <c r="B28" s="97"/>
      <c r="C28" s="957"/>
      <c r="D28" s="98"/>
      <c r="E28" s="882" t="s">
        <v>557</v>
      </c>
      <c r="F28" s="883"/>
      <c r="G28" s="883"/>
      <c r="H28" s="883"/>
      <c r="I28" s="883"/>
      <c r="J28" s="883"/>
      <c r="K28" s="883"/>
      <c r="L28" s="883"/>
      <c r="M28" s="883"/>
      <c r="N28" s="883"/>
      <c r="O28" s="883"/>
      <c r="P28" s="884"/>
      <c r="Q28" s="480"/>
      <c r="R28" s="480"/>
      <c r="S28" s="88"/>
      <c r="T28" s="88"/>
      <c r="U28" s="88"/>
      <c r="V28" s="88"/>
      <c r="W28" s="88"/>
      <c r="X28" s="88"/>
      <c r="Y28" s="88"/>
    </row>
    <row r="29" spans="1:26" s="96" customFormat="1" ht="6" customHeight="1">
      <c r="A29" s="925"/>
      <c r="B29" s="94"/>
      <c r="C29" s="957"/>
      <c r="D29" s="94"/>
      <c r="E29" s="885"/>
      <c r="F29" s="886"/>
      <c r="G29" s="886"/>
      <c r="H29" s="886"/>
      <c r="I29" s="886"/>
      <c r="J29" s="886"/>
      <c r="K29" s="886"/>
      <c r="L29" s="886"/>
      <c r="M29" s="886"/>
      <c r="N29" s="886"/>
      <c r="O29" s="886"/>
      <c r="P29" s="887"/>
      <c r="Q29" s="95"/>
      <c r="R29" s="95"/>
      <c r="S29" s="94"/>
      <c r="T29" s="94"/>
      <c r="U29" s="94"/>
      <c r="V29" s="94"/>
      <c r="W29" s="94"/>
      <c r="X29" s="94"/>
      <c r="Y29" s="94"/>
      <c r="Z29" s="94"/>
    </row>
    <row r="30" spans="1:25" s="87" customFormat="1" ht="17.25" customHeight="1" thickBot="1">
      <c r="A30" s="925"/>
      <c r="B30" s="97"/>
      <c r="C30" s="957"/>
      <c r="D30" s="97"/>
      <c r="E30" s="330" t="s">
        <v>640</v>
      </c>
      <c r="F30" s="101"/>
      <c r="G30" s="316"/>
      <c r="H30" s="316"/>
      <c r="I30" s="316"/>
      <c r="J30" s="316"/>
      <c r="K30" s="316"/>
      <c r="L30" s="101"/>
      <c r="M30" s="101"/>
      <c r="N30" s="101"/>
      <c r="O30" s="89"/>
      <c r="P30" s="198"/>
      <c r="Q30" s="89"/>
      <c r="R30" s="89"/>
      <c r="S30" s="88"/>
      <c r="T30" s="88"/>
      <c r="U30" s="88"/>
      <c r="V30" s="88"/>
      <c r="W30" s="88"/>
      <c r="X30" s="88"/>
      <c r="Y30" s="88"/>
    </row>
    <row r="31" spans="1:25" s="87" customFormat="1" ht="15.75" thickBot="1">
      <c r="A31" s="925"/>
      <c r="B31" s="97"/>
      <c r="C31" s="957"/>
      <c r="D31" s="98"/>
      <c r="E31" s="364">
        <v>0</v>
      </c>
      <c r="F31" s="331" t="s">
        <v>553</v>
      </c>
      <c r="G31" s="104"/>
      <c r="H31" s="101"/>
      <c r="I31" s="101"/>
      <c r="J31" s="101"/>
      <c r="K31" s="101"/>
      <c r="L31" s="101"/>
      <c r="M31" s="101"/>
      <c r="N31" s="101"/>
      <c r="O31" s="89"/>
      <c r="P31" s="198"/>
      <c r="Q31" s="89"/>
      <c r="R31" s="89"/>
      <c r="S31" s="88"/>
      <c r="T31" s="88"/>
      <c r="U31" s="88"/>
      <c r="V31" s="88"/>
      <c r="W31" s="88"/>
      <c r="X31" s="88"/>
      <c r="Y31" s="88"/>
    </row>
    <row r="32" spans="1:25" s="87" customFormat="1" ht="15">
      <c r="A32" s="925"/>
      <c r="B32" s="97"/>
      <c r="C32" s="957"/>
      <c r="D32" s="98"/>
      <c r="E32" s="325" t="s">
        <v>112</v>
      </c>
      <c r="F32" s="101"/>
      <c r="G32" s="101"/>
      <c r="H32" s="101"/>
      <c r="I32" s="101"/>
      <c r="J32" s="101"/>
      <c r="K32" s="101"/>
      <c r="L32" s="101"/>
      <c r="M32" s="101"/>
      <c r="N32" s="101"/>
      <c r="O32" s="89"/>
      <c r="P32" s="198"/>
      <c r="Q32" s="89"/>
      <c r="R32" s="89"/>
      <c r="S32" s="88"/>
      <c r="T32" s="88"/>
      <c r="U32" s="88"/>
      <c r="V32" s="88"/>
      <c r="W32" s="88"/>
      <c r="X32" s="88"/>
      <c r="Y32" s="88"/>
    </row>
    <row r="33" spans="1:25" s="87" customFormat="1" ht="17.25" thickBot="1">
      <c r="A33" s="925"/>
      <c r="B33" s="97"/>
      <c r="C33" s="957"/>
      <c r="D33" s="98"/>
      <c r="E33" s="365" t="s">
        <v>326</v>
      </c>
      <c r="F33" s="101"/>
      <c r="G33" s="101"/>
      <c r="H33" s="101"/>
      <c r="I33" s="101"/>
      <c r="J33" s="101"/>
      <c r="K33" s="101"/>
      <c r="L33" s="95"/>
      <c r="M33" s="101"/>
      <c r="N33" s="101"/>
      <c r="O33" s="89"/>
      <c r="P33" s="198"/>
      <c r="Q33" s="89"/>
      <c r="R33" s="89"/>
      <c r="S33" s="88"/>
      <c r="T33" s="88"/>
      <c r="U33" s="88"/>
      <c r="V33" s="88"/>
      <c r="W33" s="88"/>
      <c r="X33" s="88"/>
      <c r="Y33" s="88"/>
    </row>
    <row r="34" spans="1:25" s="87" customFormat="1" ht="15.75" thickBot="1">
      <c r="A34" s="925"/>
      <c r="B34" s="97"/>
      <c r="C34" s="957"/>
      <c r="D34" s="98"/>
      <c r="E34" s="364">
        <v>0</v>
      </c>
      <c r="F34" s="331" t="s">
        <v>696</v>
      </c>
      <c r="G34" s="104"/>
      <c r="H34" s="101"/>
      <c r="I34" s="101"/>
      <c r="J34" s="101"/>
      <c r="K34" s="101"/>
      <c r="L34" s="95"/>
      <c r="M34" s="101"/>
      <c r="N34" s="101"/>
      <c r="O34" s="89"/>
      <c r="P34" s="198"/>
      <c r="Q34" s="89"/>
      <c r="R34" s="89"/>
      <c r="S34" s="88"/>
      <c r="T34" s="88"/>
      <c r="U34" s="88"/>
      <c r="V34" s="88"/>
      <c r="W34" s="88"/>
      <c r="X34" s="88"/>
      <c r="Y34" s="88"/>
    </row>
    <row r="35" spans="1:25" s="87" customFormat="1" ht="15">
      <c r="A35" s="925"/>
      <c r="B35" s="97"/>
      <c r="C35" s="957"/>
      <c r="D35" s="98"/>
      <c r="E35" s="329" t="s">
        <v>112</v>
      </c>
      <c r="F35" s="199"/>
      <c r="G35" s="199"/>
      <c r="H35" s="199"/>
      <c r="I35" s="199"/>
      <c r="J35" s="199"/>
      <c r="K35" s="199"/>
      <c r="L35" s="326"/>
      <c r="M35" s="199"/>
      <c r="N35" s="199"/>
      <c r="O35" s="295"/>
      <c r="P35" s="200"/>
      <c r="Q35" s="89"/>
      <c r="R35" s="89"/>
      <c r="S35" s="88"/>
      <c r="T35" s="88"/>
      <c r="U35" s="88"/>
      <c r="V35" s="88"/>
      <c r="W35" s="88"/>
      <c r="X35" s="88"/>
      <c r="Y35" s="88"/>
    </row>
    <row r="36" spans="1:26" s="96" customFormat="1" ht="6" customHeight="1">
      <c r="A36" s="925"/>
      <c r="B36" s="94"/>
      <c r="C36" s="957"/>
      <c r="D36" s="94"/>
      <c r="E36" s="94"/>
      <c r="F36" s="94"/>
      <c r="G36" s="94"/>
      <c r="H36" s="94"/>
      <c r="I36" s="94"/>
      <c r="J36" s="94"/>
      <c r="K36" s="94"/>
      <c r="L36" s="94"/>
      <c r="M36" s="94"/>
      <c r="N36" s="94"/>
      <c r="O36" s="94"/>
      <c r="P36" s="94"/>
      <c r="Q36" s="95"/>
      <c r="R36" s="94"/>
      <c r="S36" s="94"/>
      <c r="T36" s="94"/>
      <c r="U36" s="94"/>
      <c r="V36" s="94"/>
      <c r="W36" s="94"/>
      <c r="X36" s="94"/>
      <c r="Y36" s="94"/>
      <c r="Z36" s="94"/>
    </row>
    <row r="37" spans="1:25" s="87" customFormat="1" ht="17.25" customHeight="1">
      <c r="A37" s="925"/>
      <c r="B37" s="97"/>
      <c r="C37" s="957"/>
      <c r="D37" s="97"/>
      <c r="E37" s="338" t="s">
        <v>0</v>
      </c>
      <c r="F37" s="196"/>
      <c r="G37" s="500"/>
      <c r="H37" s="500"/>
      <c r="I37" s="500"/>
      <c r="J37" s="500"/>
      <c r="K37" s="500"/>
      <c r="L37" s="500"/>
      <c r="M37" s="500"/>
      <c r="N37" s="500"/>
      <c r="O37" s="299"/>
      <c r="P37" s="197"/>
      <c r="Q37" s="88"/>
      <c r="R37" s="88"/>
      <c r="S37" s="88"/>
      <c r="T37" s="88"/>
      <c r="U37" s="88"/>
      <c r="V37" s="88"/>
      <c r="W37" s="88"/>
      <c r="X37" s="88"/>
      <c r="Y37" s="88"/>
    </row>
    <row r="38" spans="1:26" s="96" customFormat="1" ht="6" customHeight="1">
      <c r="A38" s="925"/>
      <c r="B38" s="94"/>
      <c r="C38" s="957"/>
      <c r="D38" s="94"/>
      <c r="E38" s="339"/>
      <c r="F38" s="95"/>
      <c r="G38" s="95"/>
      <c r="H38" s="95"/>
      <c r="I38" s="95"/>
      <c r="J38" s="95"/>
      <c r="K38" s="95"/>
      <c r="L38" s="95"/>
      <c r="M38" s="95"/>
      <c r="N38" s="95"/>
      <c r="O38" s="95"/>
      <c r="P38" s="340"/>
      <c r="Q38" s="95"/>
      <c r="R38" s="94"/>
      <c r="S38" s="94"/>
      <c r="T38" s="94"/>
      <c r="U38" s="94"/>
      <c r="V38" s="94"/>
      <c r="W38" s="94"/>
      <c r="X38" s="94"/>
      <c r="Y38" s="94"/>
      <c r="Z38" s="94"/>
    </row>
    <row r="39" spans="1:26" s="96" customFormat="1" ht="15.75" customHeight="1" thickBot="1">
      <c r="A39" s="925"/>
      <c r="B39" s="94"/>
      <c r="C39" s="957"/>
      <c r="D39" s="94"/>
      <c r="E39" s="330" t="s">
        <v>194</v>
      </c>
      <c r="F39" s="101"/>
      <c r="G39" s="101"/>
      <c r="H39" s="101"/>
      <c r="I39" s="101"/>
      <c r="J39" s="101"/>
      <c r="K39" s="857" t="s">
        <v>558</v>
      </c>
      <c r="L39" s="366"/>
      <c r="M39" s="366"/>
      <c r="N39" s="366"/>
      <c r="O39" s="95"/>
      <c r="P39" s="340"/>
      <c r="Q39" s="95"/>
      <c r="R39" s="94"/>
      <c r="S39" s="94"/>
      <c r="T39" s="94"/>
      <c r="U39" s="94"/>
      <c r="V39" s="94"/>
      <c r="W39" s="94"/>
      <c r="X39" s="94"/>
      <c r="Y39" s="94"/>
      <c r="Z39" s="94"/>
    </row>
    <row r="40" spans="1:26" s="96" customFormat="1" ht="15" customHeight="1" thickBot="1">
      <c r="A40" s="925"/>
      <c r="B40" s="94"/>
      <c r="C40" s="957"/>
      <c r="D40" s="94"/>
      <c r="E40" s="717" t="s">
        <v>459</v>
      </c>
      <c r="F40" s="331" t="s">
        <v>181</v>
      </c>
      <c r="G40" s="104"/>
      <c r="H40" s="101"/>
      <c r="I40" s="101"/>
      <c r="J40" s="101"/>
      <c r="K40" s="101"/>
      <c r="L40" s="95"/>
      <c r="M40" s="95"/>
      <c r="N40" s="95"/>
      <c r="O40" s="95"/>
      <c r="P40" s="340"/>
      <c r="Q40" s="95"/>
      <c r="R40" s="94"/>
      <c r="S40" s="94"/>
      <c r="T40" s="94"/>
      <c r="U40" s="94"/>
      <c r="V40" s="94"/>
      <c r="W40" s="94"/>
      <c r="X40" s="94"/>
      <c r="Y40" s="94"/>
      <c r="Z40" s="94"/>
    </row>
    <row r="41" spans="1:26" s="96" customFormat="1" ht="15" customHeight="1">
      <c r="A41" s="925"/>
      <c r="B41" s="94"/>
      <c r="C41" s="957"/>
      <c r="D41" s="94"/>
      <c r="E41" s="325" t="s">
        <v>113</v>
      </c>
      <c r="F41" s="101"/>
      <c r="G41" s="101"/>
      <c r="H41" s="101"/>
      <c r="I41" s="101"/>
      <c r="J41" s="101"/>
      <c r="K41" s="101"/>
      <c r="L41" s="95"/>
      <c r="M41" s="95"/>
      <c r="N41" s="95"/>
      <c r="O41" s="95"/>
      <c r="P41" s="340"/>
      <c r="Q41" s="95"/>
      <c r="R41" s="94"/>
      <c r="S41" s="94"/>
      <c r="T41" s="94"/>
      <c r="U41" s="94"/>
      <c r="V41" s="94"/>
      <c r="W41" s="94"/>
      <c r="X41" s="94"/>
      <c r="Y41" s="94"/>
      <c r="Z41" s="94"/>
    </row>
    <row r="42" spans="1:26" s="96" customFormat="1" ht="15.75" customHeight="1" thickBot="1">
      <c r="A42" s="925"/>
      <c r="B42" s="94"/>
      <c r="C42" s="957"/>
      <c r="D42" s="94"/>
      <c r="E42" s="330" t="s">
        <v>195</v>
      </c>
      <c r="F42" s="101"/>
      <c r="G42" s="101"/>
      <c r="H42" s="101"/>
      <c r="I42" s="101"/>
      <c r="J42" s="101"/>
      <c r="K42" s="101"/>
      <c r="L42" s="95"/>
      <c r="M42" s="95"/>
      <c r="N42" s="95"/>
      <c r="O42" s="95"/>
      <c r="P42" s="340"/>
      <c r="Q42" s="95"/>
      <c r="R42" s="94"/>
      <c r="S42" s="94"/>
      <c r="T42" s="94"/>
      <c r="U42" s="94"/>
      <c r="V42" s="94"/>
      <c r="W42" s="94"/>
      <c r="X42" s="94"/>
      <c r="Y42" s="94"/>
      <c r="Z42" s="94"/>
    </row>
    <row r="43" spans="1:26" s="96" customFormat="1" ht="15" customHeight="1" thickBot="1">
      <c r="A43" s="925"/>
      <c r="B43" s="94"/>
      <c r="C43" s="957"/>
      <c r="D43" s="94"/>
      <c r="E43" s="718" t="s">
        <v>459</v>
      </c>
      <c r="F43" s="331" t="s">
        <v>181</v>
      </c>
      <c r="G43" s="104"/>
      <c r="H43" s="101"/>
      <c r="I43" s="101"/>
      <c r="J43" s="101"/>
      <c r="K43" s="101"/>
      <c r="L43" s="95"/>
      <c r="M43" s="95"/>
      <c r="N43" s="95"/>
      <c r="O43" s="95"/>
      <c r="P43" s="340"/>
      <c r="Q43" s="95"/>
      <c r="R43" s="94"/>
      <c r="S43" s="94"/>
      <c r="T43" s="94"/>
      <c r="U43" s="94"/>
      <c r="V43" s="94"/>
      <c r="W43" s="94"/>
      <c r="X43" s="94"/>
      <c r="Y43" s="94"/>
      <c r="Z43" s="94"/>
    </row>
    <row r="44" spans="1:26" s="96" customFormat="1" ht="15" customHeight="1">
      <c r="A44" s="925"/>
      <c r="B44" s="94"/>
      <c r="C44" s="957"/>
      <c r="D44" s="94"/>
      <c r="E44" s="325" t="s">
        <v>113</v>
      </c>
      <c r="F44" s="101"/>
      <c r="G44" s="101"/>
      <c r="H44" s="101"/>
      <c r="I44" s="101"/>
      <c r="J44" s="101"/>
      <c r="K44" s="101"/>
      <c r="L44" s="95"/>
      <c r="M44" s="95"/>
      <c r="N44" s="95"/>
      <c r="O44" s="95"/>
      <c r="P44" s="340"/>
      <c r="Q44" s="95"/>
      <c r="R44" s="94"/>
      <c r="S44" s="94"/>
      <c r="T44" s="94"/>
      <c r="U44" s="94"/>
      <c r="V44" s="94"/>
      <c r="W44" s="94"/>
      <c r="X44" s="94"/>
      <c r="Y44" s="94"/>
      <c r="Z44" s="94"/>
    </row>
    <row r="45" spans="1:26" s="96" customFormat="1" ht="15.75" customHeight="1" thickBot="1">
      <c r="A45" s="925"/>
      <c r="B45" s="94"/>
      <c r="C45" s="957"/>
      <c r="D45" s="94"/>
      <c r="E45" s="330" t="s">
        <v>196</v>
      </c>
      <c r="F45" s="101"/>
      <c r="G45" s="101"/>
      <c r="H45" s="101"/>
      <c r="I45" s="101"/>
      <c r="J45" s="101"/>
      <c r="K45" s="101"/>
      <c r="L45" s="95"/>
      <c r="M45" s="95"/>
      <c r="N45" s="95"/>
      <c r="O45" s="95"/>
      <c r="P45" s="340"/>
      <c r="Q45" s="95"/>
      <c r="R45" s="94"/>
      <c r="S45" s="94"/>
      <c r="T45" s="94"/>
      <c r="U45" s="94"/>
      <c r="V45" s="94"/>
      <c r="W45" s="94"/>
      <c r="X45" s="94"/>
      <c r="Y45" s="94"/>
      <c r="Z45" s="94"/>
    </row>
    <row r="46" spans="1:26" s="96" customFormat="1" ht="15" customHeight="1" thickBot="1">
      <c r="A46" s="925"/>
      <c r="B46" s="94"/>
      <c r="C46" s="957"/>
      <c r="D46" s="94"/>
      <c r="E46" s="718" t="s">
        <v>459</v>
      </c>
      <c r="F46" s="331" t="s">
        <v>181</v>
      </c>
      <c r="G46" s="104"/>
      <c r="H46" s="101"/>
      <c r="I46" s="101"/>
      <c r="J46" s="101"/>
      <c r="K46" s="101"/>
      <c r="L46" s="95"/>
      <c r="M46" s="95"/>
      <c r="N46" s="95"/>
      <c r="O46" s="95"/>
      <c r="P46" s="340"/>
      <c r="Q46" s="95"/>
      <c r="R46" s="94"/>
      <c r="S46" s="94"/>
      <c r="T46" s="94"/>
      <c r="U46" s="94"/>
      <c r="V46" s="94"/>
      <c r="W46" s="94"/>
      <c r="X46" s="94"/>
      <c r="Y46" s="94"/>
      <c r="Z46" s="94"/>
    </row>
    <row r="47" spans="1:26" s="96" customFormat="1" ht="15" customHeight="1">
      <c r="A47" s="925"/>
      <c r="B47" s="94"/>
      <c r="C47" s="957"/>
      <c r="D47" s="94"/>
      <c r="E47" s="325" t="s">
        <v>113</v>
      </c>
      <c r="F47" s="101"/>
      <c r="G47" s="101"/>
      <c r="H47" s="101"/>
      <c r="I47" s="101"/>
      <c r="J47" s="101"/>
      <c r="K47" s="101"/>
      <c r="L47" s="95"/>
      <c r="M47" s="95"/>
      <c r="N47" s="95"/>
      <c r="O47" s="95"/>
      <c r="P47" s="340"/>
      <c r="Q47" s="95"/>
      <c r="R47" s="94"/>
      <c r="S47" s="94"/>
      <c r="T47" s="94"/>
      <c r="U47" s="94"/>
      <c r="V47" s="94"/>
      <c r="W47" s="94"/>
      <c r="X47" s="94"/>
      <c r="Y47" s="94"/>
      <c r="Z47" s="94"/>
    </row>
    <row r="48" spans="1:26" s="96" customFormat="1" ht="15.75" customHeight="1" thickBot="1">
      <c r="A48" s="925"/>
      <c r="B48" s="94"/>
      <c r="C48" s="957"/>
      <c r="D48" s="94"/>
      <c r="E48" s="330" t="s">
        <v>197</v>
      </c>
      <c r="F48" s="101"/>
      <c r="G48" s="101"/>
      <c r="H48" s="101"/>
      <c r="I48" s="101"/>
      <c r="J48" s="101"/>
      <c r="K48" s="101"/>
      <c r="L48" s="95"/>
      <c r="M48" s="95"/>
      <c r="N48" s="95"/>
      <c r="O48" s="95"/>
      <c r="P48" s="340"/>
      <c r="Q48" s="95"/>
      <c r="R48" s="94"/>
      <c r="S48" s="94"/>
      <c r="T48" s="94"/>
      <c r="U48" s="94"/>
      <c r="V48" s="94"/>
      <c r="W48" s="94"/>
      <c r="X48" s="94"/>
      <c r="Y48" s="94"/>
      <c r="Z48" s="94"/>
    </row>
    <row r="49" spans="1:26" s="96" customFormat="1" ht="15" customHeight="1" thickBot="1">
      <c r="A49" s="925"/>
      <c r="B49" s="94"/>
      <c r="C49" s="957"/>
      <c r="D49" s="94"/>
      <c r="E49" s="718" t="s">
        <v>459</v>
      </c>
      <c r="F49" s="331" t="s">
        <v>181</v>
      </c>
      <c r="G49" s="104"/>
      <c r="H49" s="101"/>
      <c r="I49" s="101"/>
      <c r="J49" s="101"/>
      <c r="K49" s="101"/>
      <c r="L49" s="95"/>
      <c r="M49" s="95"/>
      <c r="N49" s="95"/>
      <c r="O49" s="95"/>
      <c r="P49" s="340"/>
      <c r="Q49" s="95"/>
      <c r="R49" s="94"/>
      <c r="S49" s="94"/>
      <c r="T49" s="94"/>
      <c r="U49" s="94"/>
      <c r="V49" s="94"/>
      <c r="W49" s="94"/>
      <c r="X49" s="94"/>
      <c r="Y49" s="94"/>
      <c r="Z49" s="94"/>
    </row>
    <row r="50" spans="1:26" s="96" customFormat="1" ht="15" customHeight="1">
      <c r="A50" s="925"/>
      <c r="B50" s="94"/>
      <c r="C50" s="957"/>
      <c r="D50" s="94"/>
      <c r="E50" s="325" t="s">
        <v>113</v>
      </c>
      <c r="F50" s="101"/>
      <c r="G50" s="101"/>
      <c r="H50" s="101"/>
      <c r="I50" s="101"/>
      <c r="J50" s="101"/>
      <c r="K50" s="101"/>
      <c r="L50" s="95"/>
      <c r="M50" s="95"/>
      <c r="N50" s="95"/>
      <c r="O50" s="95"/>
      <c r="P50" s="340"/>
      <c r="Q50" s="95"/>
      <c r="R50" s="94"/>
      <c r="S50" s="94"/>
      <c r="T50" s="94"/>
      <c r="U50" s="94"/>
      <c r="V50" s="94"/>
      <c r="W50" s="94"/>
      <c r="X50" s="94"/>
      <c r="Y50" s="94"/>
      <c r="Z50" s="94"/>
    </row>
    <row r="51" spans="1:26" s="96" customFormat="1" ht="15.75" customHeight="1" thickBot="1">
      <c r="A51" s="925"/>
      <c r="B51" s="94"/>
      <c r="C51" s="957"/>
      <c r="D51" s="94"/>
      <c r="E51" s="330" t="s">
        <v>198</v>
      </c>
      <c r="F51" s="101"/>
      <c r="G51" s="101"/>
      <c r="H51" s="101"/>
      <c r="I51" s="101"/>
      <c r="J51" s="101"/>
      <c r="K51" s="101"/>
      <c r="L51" s="95"/>
      <c r="M51" s="95"/>
      <c r="N51" s="95"/>
      <c r="O51" s="95"/>
      <c r="P51" s="340"/>
      <c r="Q51" s="95"/>
      <c r="R51" s="94"/>
      <c r="S51" s="94"/>
      <c r="T51" s="94"/>
      <c r="U51" s="94"/>
      <c r="V51" s="94"/>
      <c r="W51" s="94"/>
      <c r="X51" s="94"/>
      <c r="Y51" s="94"/>
      <c r="Z51" s="94"/>
    </row>
    <row r="52" spans="1:26" s="96" customFormat="1" ht="15" customHeight="1" thickBot="1">
      <c r="A52" s="925"/>
      <c r="B52" s="94"/>
      <c r="C52" s="957"/>
      <c r="D52" s="94"/>
      <c r="E52" s="718" t="s">
        <v>459</v>
      </c>
      <c r="F52" s="331" t="s">
        <v>181</v>
      </c>
      <c r="G52" s="104"/>
      <c r="H52" s="101"/>
      <c r="I52" s="101"/>
      <c r="J52" s="101"/>
      <c r="K52" s="101"/>
      <c r="L52" s="95"/>
      <c r="M52" s="95"/>
      <c r="N52" s="95"/>
      <c r="O52" s="95"/>
      <c r="P52" s="340"/>
      <c r="Q52" s="95"/>
      <c r="R52" s="94"/>
      <c r="S52" s="94"/>
      <c r="T52" s="94"/>
      <c r="U52" s="94"/>
      <c r="V52" s="94"/>
      <c r="W52" s="94"/>
      <c r="X52" s="94"/>
      <c r="Y52" s="94"/>
      <c r="Z52" s="94"/>
    </row>
    <row r="53" spans="1:26" s="96" customFormat="1" ht="15" customHeight="1">
      <c r="A53" s="925"/>
      <c r="B53" s="94"/>
      <c r="C53" s="957"/>
      <c r="D53" s="94"/>
      <c r="E53" s="325" t="s">
        <v>113</v>
      </c>
      <c r="F53" s="101"/>
      <c r="G53" s="101"/>
      <c r="H53" s="101"/>
      <c r="I53" s="101"/>
      <c r="J53" s="101"/>
      <c r="K53" s="101"/>
      <c r="L53" s="95"/>
      <c r="M53" s="95"/>
      <c r="N53" s="95"/>
      <c r="O53" s="95"/>
      <c r="P53" s="340"/>
      <c r="Q53" s="95"/>
      <c r="R53" s="94"/>
      <c r="S53" s="94"/>
      <c r="T53" s="94"/>
      <c r="U53" s="94"/>
      <c r="V53" s="94"/>
      <c r="W53" s="94"/>
      <c r="X53" s="94"/>
      <c r="Y53" s="94"/>
      <c r="Z53" s="94"/>
    </row>
    <row r="54" spans="1:26" s="96" customFormat="1" ht="30" customHeight="1">
      <c r="A54" s="925"/>
      <c r="B54" s="94"/>
      <c r="C54" s="957"/>
      <c r="D54" s="94"/>
      <c r="E54" s="897" t="s">
        <v>662</v>
      </c>
      <c r="F54" s="898"/>
      <c r="G54" s="898"/>
      <c r="H54" s="898"/>
      <c r="I54" s="898"/>
      <c r="J54" s="898"/>
      <c r="K54" s="898"/>
      <c r="L54" s="898"/>
      <c r="M54" s="898"/>
      <c r="N54" s="898"/>
      <c r="O54" s="898"/>
      <c r="P54" s="899"/>
      <c r="Q54" s="95"/>
      <c r="R54" s="94"/>
      <c r="S54" s="94"/>
      <c r="T54" s="94"/>
      <c r="U54" s="94"/>
      <c r="V54" s="94"/>
      <c r="W54" s="94"/>
      <c r="X54" s="94"/>
      <c r="Y54" s="94"/>
      <c r="Z54" s="94"/>
    </row>
    <row r="55" spans="1:26" s="96" customFormat="1" ht="6" customHeight="1">
      <c r="A55" s="925"/>
      <c r="B55" s="94"/>
      <c r="C55" s="781"/>
      <c r="D55" s="94"/>
      <c r="E55" s="94"/>
      <c r="F55" s="94"/>
      <c r="G55" s="94"/>
      <c r="H55" s="94"/>
      <c r="I55" s="94"/>
      <c r="J55" s="94"/>
      <c r="K55" s="94"/>
      <c r="L55" s="94"/>
      <c r="M55" s="94"/>
      <c r="N55" s="94"/>
      <c r="O55" s="94"/>
      <c r="P55" s="94"/>
      <c r="Q55" s="95"/>
      <c r="R55" s="94"/>
      <c r="S55" s="94"/>
      <c r="T55" s="94"/>
      <c r="U55" s="94"/>
      <c r="V55" s="94"/>
      <c r="W55" s="94"/>
      <c r="X55" s="94"/>
      <c r="Y55" s="94"/>
      <c r="Z55" s="94"/>
    </row>
    <row r="56" spans="1:25" s="87" customFormat="1" ht="16.5" customHeight="1">
      <c r="A56" s="925"/>
      <c r="B56" s="97"/>
      <c r="C56" s="781"/>
      <c r="E56" s="298" t="s">
        <v>131</v>
      </c>
      <c r="O56" s="88"/>
      <c r="P56" s="88"/>
      <c r="Q56" s="88"/>
      <c r="R56" s="88"/>
      <c r="S56" s="88"/>
      <c r="T56" s="88"/>
      <c r="U56" s="88"/>
      <c r="V56" s="88"/>
      <c r="W56" s="88"/>
      <c r="X56" s="88"/>
      <c r="Y56" s="88"/>
    </row>
    <row r="57" spans="1:26" s="96" customFormat="1" ht="6" customHeight="1">
      <c r="A57" s="94"/>
      <c r="B57" s="94"/>
      <c r="C57" s="105"/>
      <c r="D57" s="94"/>
      <c r="E57" s="94"/>
      <c r="F57" s="94"/>
      <c r="G57" s="94"/>
      <c r="H57" s="94"/>
      <c r="I57" s="94"/>
      <c r="J57" s="94"/>
      <c r="K57" s="94"/>
      <c r="L57" s="94"/>
      <c r="M57" s="94"/>
      <c r="N57" s="94"/>
      <c r="O57" s="94"/>
      <c r="P57" s="94"/>
      <c r="Q57" s="95"/>
      <c r="R57" s="94"/>
      <c r="S57" s="94"/>
      <c r="T57" s="94"/>
      <c r="U57" s="94"/>
      <c r="V57" s="94"/>
      <c r="W57" s="94"/>
      <c r="X57" s="94"/>
      <c r="Y57" s="94"/>
      <c r="Z57" s="94"/>
    </row>
    <row r="58" spans="1:25" s="87" customFormat="1" ht="17.25" customHeight="1">
      <c r="A58" s="925" t="s">
        <v>117</v>
      </c>
      <c r="B58" s="97"/>
      <c r="C58" s="957" t="s">
        <v>130</v>
      </c>
      <c r="D58" s="97"/>
      <c r="E58" s="338" t="s">
        <v>641</v>
      </c>
      <c r="F58" s="196"/>
      <c r="G58" s="196"/>
      <c r="H58" s="196"/>
      <c r="I58" s="196"/>
      <c r="J58" s="196"/>
      <c r="K58" s="196"/>
      <c r="L58" s="196"/>
      <c r="M58" s="196"/>
      <c r="N58" s="196"/>
      <c r="O58" s="299"/>
      <c r="P58" s="197"/>
      <c r="Q58" s="88"/>
      <c r="R58" s="88"/>
      <c r="S58" s="88"/>
      <c r="T58" s="88"/>
      <c r="U58" s="88"/>
      <c r="V58" s="88"/>
      <c r="W58" s="88"/>
      <c r="X58" s="88"/>
      <c r="Y58" s="88"/>
    </row>
    <row r="59" spans="1:25" s="87" customFormat="1" ht="16.5" customHeight="1">
      <c r="A59" s="925"/>
      <c r="B59" s="97"/>
      <c r="C59" s="957"/>
      <c r="E59" s="921" t="s">
        <v>208</v>
      </c>
      <c r="F59" s="922"/>
      <c r="G59" s="922"/>
      <c r="H59" s="922"/>
      <c r="I59" s="922"/>
      <c r="J59" s="922"/>
      <c r="K59" s="922"/>
      <c r="L59" s="101"/>
      <c r="M59" s="101"/>
      <c r="N59" s="101"/>
      <c r="O59" s="89"/>
      <c r="P59" s="198"/>
      <c r="Q59" s="88"/>
      <c r="R59" s="88"/>
      <c r="S59" s="88"/>
      <c r="T59" s="88"/>
      <c r="U59" s="88"/>
      <c r="V59" s="88"/>
      <c r="W59" s="88"/>
      <c r="X59" s="88"/>
      <c r="Y59" s="88"/>
    </row>
    <row r="60" spans="1:26" s="96" customFormat="1" ht="0.75" customHeight="1">
      <c r="A60" s="925"/>
      <c r="B60" s="94"/>
      <c r="C60" s="957"/>
      <c r="D60" s="94"/>
      <c r="E60" s="339"/>
      <c r="F60" s="95"/>
      <c r="G60" s="95"/>
      <c r="H60" s="95"/>
      <c r="I60" s="95"/>
      <c r="J60" s="95"/>
      <c r="K60" s="95"/>
      <c r="L60" s="95"/>
      <c r="M60" s="95"/>
      <c r="N60" s="95"/>
      <c r="O60" s="95"/>
      <c r="P60" s="340"/>
      <c r="Q60" s="95"/>
      <c r="R60" s="94"/>
      <c r="S60" s="94"/>
      <c r="T60" s="94"/>
      <c r="U60" s="94"/>
      <c r="V60" s="94"/>
      <c r="W60" s="94"/>
      <c r="X60" s="94"/>
      <c r="Y60" s="94"/>
      <c r="Z60" s="94"/>
    </row>
    <row r="61" spans="1:25" s="87" customFormat="1" ht="16.5">
      <c r="A61" s="925"/>
      <c r="B61" s="97"/>
      <c r="C61" s="957"/>
      <c r="E61" s="921" t="s">
        <v>216</v>
      </c>
      <c r="F61" s="922"/>
      <c r="G61" s="922"/>
      <c r="H61" s="922"/>
      <c r="I61" s="922"/>
      <c r="J61" s="922"/>
      <c r="K61" s="922"/>
      <c r="L61" s="101"/>
      <c r="M61" s="101"/>
      <c r="N61" s="101"/>
      <c r="O61" s="89"/>
      <c r="P61" s="198"/>
      <c r="Q61" s="88"/>
      <c r="R61" s="88"/>
      <c r="S61" s="88"/>
      <c r="T61" s="88"/>
      <c r="U61" s="88"/>
      <c r="V61" s="88"/>
      <c r="W61" s="88"/>
      <c r="X61" s="88"/>
      <c r="Y61" s="88"/>
    </row>
    <row r="62" spans="1:25" s="87" customFormat="1" ht="15">
      <c r="A62" s="925"/>
      <c r="B62" s="97"/>
      <c r="C62" s="957"/>
      <c r="E62" s="341" t="s">
        <v>217</v>
      </c>
      <c r="F62" s="101"/>
      <c r="G62" s="101"/>
      <c r="H62" s="101"/>
      <c r="I62" s="101"/>
      <c r="J62" s="924" t="s">
        <v>218</v>
      </c>
      <c r="K62" s="924"/>
      <c r="L62" s="101"/>
      <c r="M62" s="101"/>
      <c r="N62" s="101"/>
      <c r="O62" s="89"/>
      <c r="P62" s="198"/>
      <c r="Q62" s="88"/>
      <c r="R62" s="88"/>
      <c r="S62" s="88"/>
      <c r="T62" s="88"/>
      <c r="U62" s="88"/>
      <c r="V62" s="88"/>
      <c r="W62" s="88"/>
      <c r="X62" s="88"/>
      <c r="Y62" s="88"/>
    </row>
    <row r="63" spans="1:25" s="87" customFormat="1" ht="15">
      <c r="A63" s="925"/>
      <c r="B63" s="97"/>
      <c r="C63" s="957"/>
      <c r="E63" s="348" t="s">
        <v>63</v>
      </c>
      <c r="F63" s="297"/>
      <c r="G63" s="297"/>
      <c r="H63" s="297"/>
      <c r="I63" s="297"/>
      <c r="J63" s="913">
        <v>0</v>
      </c>
      <c r="K63" s="913"/>
      <c r="L63" s="101"/>
      <c r="M63" s="101"/>
      <c r="N63" s="101"/>
      <c r="O63" s="89"/>
      <c r="P63" s="198"/>
      <c r="Q63" s="88"/>
      <c r="R63" s="88"/>
      <c r="S63" s="88"/>
      <c r="T63" s="88"/>
      <c r="U63" s="88"/>
      <c r="V63" s="88"/>
      <c r="W63" s="88"/>
      <c r="X63" s="88"/>
      <c r="Y63" s="88"/>
    </row>
    <row r="64" spans="1:25" s="87" customFormat="1" ht="15">
      <c r="A64" s="925"/>
      <c r="B64" s="97"/>
      <c r="C64" s="957"/>
      <c r="E64" s="348" t="s">
        <v>64</v>
      </c>
      <c r="F64" s="297"/>
      <c r="G64" s="297"/>
      <c r="H64" s="297"/>
      <c r="I64" s="297"/>
      <c r="J64" s="913">
        <v>0</v>
      </c>
      <c r="K64" s="913"/>
      <c r="L64" s="101"/>
      <c r="M64" s="101"/>
      <c r="N64" s="101"/>
      <c r="O64" s="89"/>
      <c r="P64" s="198"/>
      <c r="Q64" s="88"/>
      <c r="R64" s="88"/>
      <c r="S64" s="88"/>
      <c r="T64" s="88"/>
      <c r="U64" s="88"/>
      <c r="V64" s="88"/>
      <c r="W64" s="88"/>
      <c r="X64" s="88"/>
      <c r="Y64" s="88"/>
    </row>
    <row r="65" spans="1:25" s="87" customFormat="1" ht="15">
      <c r="A65" s="925"/>
      <c r="B65" s="97"/>
      <c r="C65" s="957"/>
      <c r="E65" s="348" t="s">
        <v>65</v>
      </c>
      <c r="F65" s="297"/>
      <c r="G65" s="297"/>
      <c r="H65" s="297"/>
      <c r="I65" s="297"/>
      <c r="J65" s="913">
        <v>0</v>
      </c>
      <c r="K65" s="913"/>
      <c r="L65" s="101"/>
      <c r="M65" s="101"/>
      <c r="N65" s="101"/>
      <c r="O65" s="89"/>
      <c r="P65" s="198"/>
      <c r="Q65" s="88"/>
      <c r="R65" s="88"/>
      <c r="S65" s="88"/>
      <c r="T65" s="88"/>
      <c r="U65" s="88"/>
      <c r="V65" s="88"/>
      <c r="W65" s="88"/>
      <c r="X65" s="88"/>
      <c r="Y65" s="88"/>
    </row>
    <row r="66" spans="1:25" s="87" customFormat="1" ht="15">
      <c r="A66" s="925"/>
      <c r="B66" s="97"/>
      <c r="C66" s="957"/>
      <c r="E66" s="348" t="s">
        <v>66</v>
      </c>
      <c r="F66" s="297"/>
      <c r="G66" s="297"/>
      <c r="H66" s="297"/>
      <c r="I66" s="297"/>
      <c r="J66" s="913">
        <v>0</v>
      </c>
      <c r="K66" s="913"/>
      <c r="L66" s="101"/>
      <c r="M66" s="101"/>
      <c r="N66" s="101"/>
      <c r="O66" s="89"/>
      <c r="P66" s="198"/>
      <c r="Q66" s="88"/>
      <c r="R66" s="88"/>
      <c r="S66" s="88"/>
      <c r="T66" s="88"/>
      <c r="U66" s="88"/>
      <c r="V66" s="88"/>
      <c r="W66" s="88"/>
      <c r="X66" s="88"/>
      <c r="Y66" s="88"/>
    </row>
    <row r="67" spans="1:25" s="87" customFormat="1" ht="15">
      <c r="A67" s="925"/>
      <c r="B67" s="97"/>
      <c r="C67" s="957"/>
      <c r="E67" s="348" t="s">
        <v>219</v>
      </c>
      <c r="F67" s="297"/>
      <c r="G67" s="297"/>
      <c r="H67" s="297"/>
      <c r="I67" s="297"/>
      <c r="J67" s="913">
        <v>0</v>
      </c>
      <c r="K67" s="913"/>
      <c r="L67" s="101"/>
      <c r="M67" s="101"/>
      <c r="N67" s="101"/>
      <c r="O67" s="89"/>
      <c r="P67" s="198"/>
      <c r="Q67" s="88"/>
      <c r="R67" s="88"/>
      <c r="S67" s="88"/>
      <c r="T67" s="88"/>
      <c r="U67" s="88"/>
      <c r="V67" s="88"/>
      <c r="W67" s="88"/>
      <c r="X67" s="88"/>
      <c r="Y67" s="88"/>
    </row>
    <row r="68" spans="1:25" s="87" customFormat="1" ht="15">
      <c r="A68" s="925"/>
      <c r="B68" s="97"/>
      <c r="C68" s="957"/>
      <c r="E68" s="348" t="s">
        <v>647</v>
      </c>
      <c r="F68" s="297"/>
      <c r="G68" s="297"/>
      <c r="H68" s="297"/>
      <c r="I68" s="297"/>
      <c r="J68" s="913">
        <v>0</v>
      </c>
      <c r="K68" s="913"/>
      <c r="L68" s="101"/>
      <c r="M68" s="101"/>
      <c r="N68" s="101"/>
      <c r="O68" s="89"/>
      <c r="P68" s="198"/>
      <c r="Q68" s="88"/>
      <c r="R68" s="88"/>
      <c r="S68" s="88"/>
      <c r="T68" s="88"/>
      <c r="U68" s="88"/>
      <c r="V68" s="88"/>
      <c r="W68" s="88"/>
      <c r="X68" s="88"/>
      <c r="Y68" s="88"/>
    </row>
    <row r="69" spans="1:25" s="87" customFormat="1" ht="15">
      <c r="A69" s="925"/>
      <c r="B69" s="97"/>
      <c r="C69" s="957"/>
      <c r="E69" s="348" t="s">
        <v>69</v>
      </c>
      <c r="F69" s="297"/>
      <c r="G69" s="297"/>
      <c r="H69" s="297"/>
      <c r="I69" s="297"/>
      <c r="J69" s="913">
        <v>0</v>
      </c>
      <c r="K69" s="913"/>
      <c r="L69" s="101"/>
      <c r="M69" s="101"/>
      <c r="N69" s="101"/>
      <c r="O69" s="89"/>
      <c r="P69" s="198"/>
      <c r="Q69" s="88"/>
      <c r="R69" s="88"/>
      <c r="S69" s="88"/>
      <c r="T69" s="88"/>
      <c r="U69" s="88"/>
      <c r="V69" s="88"/>
      <c r="W69" s="88"/>
      <c r="X69" s="88"/>
      <c r="Y69" s="88"/>
    </row>
    <row r="70" spans="1:25" s="87" customFormat="1" ht="15">
      <c r="A70" s="925"/>
      <c r="B70" s="97"/>
      <c r="C70" s="957"/>
      <c r="E70" s="348" t="s">
        <v>71</v>
      </c>
      <c r="F70" s="297"/>
      <c r="G70" s="297"/>
      <c r="H70" s="297"/>
      <c r="I70" s="297"/>
      <c r="J70" s="913">
        <v>0</v>
      </c>
      <c r="K70" s="913"/>
      <c r="L70" s="101"/>
      <c r="M70" s="101"/>
      <c r="N70" s="101"/>
      <c r="O70" s="89"/>
      <c r="P70" s="198"/>
      <c r="Q70" s="88"/>
      <c r="R70" s="88"/>
      <c r="S70" s="88"/>
      <c r="T70" s="88"/>
      <c r="U70" s="88"/>
      <c r="V70" s="88"/>
      <c r="W70" s="88"/>
      <c r="X70" s="88"/>
      <c r="Y70" s="88"/>
    </row>
    <row r="71" spans="1:25" s="87" customFormat="1" ht="15">
      <c r="A71" s="925"/>
      <c r="B71" s="97"/>
      <c r="C71" s="957"/>
      <c r="E71" s="342" t="s">
        <v>72</v>
      </c>
      <c r="F71" s="101"/>
      <c r="G71" s="101"/>
      <c r="H71" s="101"/>
      <c r="I71" s="101"/>
      <c r="J71" s="917"/>
      <c r="K71" s="918"/>
      <c r="L71" s="101"/>
      <c r="M71" s="101"/>
      <c r="N71" s="101"/>
      <c r="O71" s="89"/>
      <c r="P71" s="198"/>
      <c r="Q71" s="88"/>
      <c r="R71" s="88"/>
      <c r="S71" s="88"/>
      <c r="T71" s="88"/>
      <c r="U71" s="88"/>
      <c r="V71" s="88"/>
      <c r="W71" s="88"/>
      <c r="X71" s="88"/>
      <c r="Y71" s="88"/>
    </row>
    <row r="72" spans="1:25" s="87" customFormat="1" ht="15">
      <c r="A72" s="925"/>
      <c r="B72" s="97"/>
      <c r="C72" s="957"/>
      <c r="E72" s="349" t="s">
        <v>73</v>
      </c>
      <c r="F72" s="297"/>
      <c r="G72" s="297"/>
      <c r="H72" s="297"/>
      <c r="I72" s="297"/>
      <c r="J72" s="913">
        <v>0</v>
      </c>
      <c r="K72" s="913"/>
      <c r="L72" s="101"/>
      <c r="M72" s="101"/>
      <c r="N72" s="101"/>
      <c r="O72" s="89"/>
      <c r="P72" s="198"/>
      <c r="Q72" s="88"/>
      <c r="R72" s="88"/>
      <c r="S72" s="88"/>
      <c r="T72" s="88"/>
      <c r="U72" s="88"/>
      <c r="V72" s="88"/>
      <c r="W72" s="88"/>
      <c r="X72" s="88"/>
      <c r="Y72" s="88"/>
    </row>
    <row r="73" spans="1:25" s="87" customFormat="1" ht="15">
      <c r="A73" s="925"/>
      <c r="B73" s="97"/>
      <c r="C73" s="957"/>
      <c r="E73" s="349" t="s">
        <v>74</v>
      </c>
      <c r="F73" s="297"/>
      <c r="G73" s="297"/>
      <c r="H73" s="297"/>
      <c r="I73" s="297"/>
      <c r="J73" s="913">
        <v>0</v>
      </c>
      <c r="K73" s="913"/>
      <c r="L73" s="101"/>
      <c r="M73" s="101"/>
      <c r="N73" s="101"/>
      <c r="O73" s="89"/>
      <c r="P73" s="198"/>
      <c r="Q73" s="88"/>
      <c r="R73" s="88"/>
      <c r="S73" s="88"/>
      <c r="T73" s="88"/>
      <c r="U73" s="88"/>
      <c r="V73" s="88"/>
      <c r="W73" s="88"/>
      <c r="X73" s="88"/>
      <c r="Y73" s="88"/>
    </row>
    <row r="74" spans="1:25" s="87" customFormat="1" ht="15">
      <c r="A74" s="925"/>
      <c r="B74" s="97"/>
      <c r="C74" s="957"/>
      <c r="E74" s="348" t="s">
        <v>75</v>
      </c>
      <c r="F74" s="297"/>
      <c r="G74" s="297"/>
      <c r="H74" s="297"/>
      <c r="I74" s="297"/>
      <c r="J74" s="913">
        <v>0</v>
      </c>
      <c r="K74" s="913"/>
      <c r="L74" s="101"/>
      <c r="M74" s="101"/>
      <c r="N74" s="101"/>
      <c r="O74" s="89"/>
      <c r="P74" s="198"/>
      <c r="Q74" s="88"/>
      <c r="R74" s="88"/>
      <c r="S74" s="88"/>
      <c r="T74" s="88"/>
      <c r="U74" s="88"/>
      <c r="V74" s="88"/>
      <c r="W74" s="88"/>
      <c r="X74" s="88"/>
      <c r="Y74" s="88"/>
    </row>
    <row r="75" spans="1:25" s="87" customFormat="1" ht="15">
      <c r="A75" s="925"/>
      <c r="B75" s="97"/>
      <c r="C75" s="957"/>
      <c r="E75" s="927" t="s">
        <v>533</v>
      </c>
      <c r="F75" s="928"/>
      <c r="G75" s="928"/>
      <c r="H75" s="928"/>
      <c r="I75" s="324"/>
      <c r="J75" s="929">
        <f>SUM(J63:J74)</f>
        <v>0</v>
      </c>
      <c r="K75" s="930"/>
      <c r="L75" s="337" t="s">
        <v>220</v>
      </c>
      <c r="M75" s="101"/>
      <c r="N75" s="101"/>
      <c r="O75" s="89"/>
      <c r="P75" s="198"/>
      <c r="Q75" s="88"/>
      <c r="R75" s="88"/>
      <c r="S75" s="88"/>
      <c r="T75" s="88"/>
      <c r="U75" s="88"/>
      <c r="V75" s="88"/>
      <c r="W75" s="88"/>
      <c r="X75" s="88"/>
      <c r="Y75" s="88"/>
    </row>
    <row r="76" spans="1:25" s="87" customFormat="1" ht="33" customHeight="1">
      <c r="A76" s="97"/>
      <c r="B76" s="97"/>
      <c r="C76" s="958"/>
      <c r="E76" s="914" t="s">
        <v>663</v>
      </c>
      <c r="F76" s="915"/>
      <c r="G76" s="915"/>
      <c r="H76" s="915"/>
      <c r="I76" s="915"/>
      <c r="J76" s="915"/>
      <c r="K76" s="915"/>
      <c r="L76" s="915"/>
      <c r="M76" s="915"/>
      <c r="N76" s="915"/>
      <c r="O76" s="915"/>
      <c r="P76" s="916"/>
      <c r="Q76" s="88"/>
      <c r="R76" s="88"/>
      <c r="S76" s="88"/>
      <c r="T76" s="88"/>
      <c r="U76" s="88"/>
      <c r="V76" s="88"/>
      <c r="W76" s="88"/>
      <c r="X76" s="88"/>
      <c r="Y76" s="88"/>
    </row>
    <row r="77" spans="1:25" s="87" customFormat="1" ht="6" customHeight="1">
      <c r="A77" s="97"/>
      <c r="B77" s="97"/>
      <c r="C77" s="958"/>
      <c r="D77" s="98"/>
      <c r="E77" s="329"/>
      <c r="F77" s="199"/>
      <c r="G77" s="199"/>
      <c r="H77" s="199"/>
      <c r="I77" s="199"/>
      <c r="J77" s="923"/>
      <c r="K77" s="923"/>
      <c r="L77" s="199"/>
      <c r="M77" s="199"/>
      <c r="N77" s="199"/>
      <c r="O77" s="295"/>
      <c r="P77" s="200"/>
      <c r="Q77" s="88"/>
      <c r="R77" s="88"/>
      <c r="S77" s="88"/>
      <c r="T77" s="88"/>
      <c r="U77" s="88"/>
      <c r="V77" s="88"/>
      <c r="W77" s="88"/>
      <c r="X77" s="88"/>
      <c r="Y77" s="88"/>
    </row>
    <row r="78" spans="1:25" s="87" customFormat="1" ht="16.5" customHeight="1">
      <c r="A78" s="94"/>
      <c r="B78" s="97"/>
      <c r="C78" s="94"/>
      <c r="E78" s="298" t="s">
        <v>131</v>
      </c>
      <c r="O78" s="88"/>
      <c r="P78" s="88"/>
      <c r="Q78" s="88"/>
      <c r="R78" s="88"/>
      <c r="S78" s="88"/>
      <c r="T78" s="88"/>
      <c r="U78" s="88"/>
      <c r="V78" s="88"/>
      <c r="W78" s="88"/>
      <c r="X78" s="88"/>
      <c r="Y78" s="88"/>
    </row>
    <row r="79" spans="1:25" s="87" customFormat="1" ht="17.25" customHeight="1">
      <c r="A79" s="94"/>
      <c r="C79" s="957" t="s">
        <v>199</v>
      </c>
      <c r="E79" s="195" t="s">
        <v>176</v>
      </c>
      <c r="F79" s="196"/>
      <c r="G79" s="196"/>
      <c r="H79" s="196"/>
      <c r="I79" s="196"/>
      <c r="J79" s="196"/>
      <c r="K79" s="196"/>
      <c r="L79" s="196"/>
      <c r="M79" s="196"/>
      <c r="N79" s="196"/>
      <c r="O79" s="299"/>
      <c r="P79" s="197"/>
      <c r="Q79" s="88"/>
      <c r="R79" s="88"/>
      <c r="S79" s="88"/>
      <c r="T79" s="88"/>
      <c r="U79" s="88"/>
      <c r="V79" s="88"/>
      <c r="W79" s="88"/>
      <c r="X79" s="88"/>
      <c r="Y79" s="88"/>
    </row>
    <row r="80" spans="1:25" s="87" customFormat="1" ht="3.75" customHeight="1" thickBot="1">
      <c r="A80" s="94"/>
      <c r="C80" s="957"/>
      <c r="E80" s="343"/>
      <c r="F80" s="101"/>
      <c r="G80" s="101"/>
      <c r="H80" s="101"/>
      <c r="I80" s="101"/>
      <c r="J80" s="101"/>
      <c r="K80" s="101"/>
      <c r="L80" s="101"/>
      <c r="M80" s="101"/>
      <c r="N80" s="101"/>
      <c r="O80" s="89"/>
      <c r="P80" s="198"/>
      <c r="Q80" s="88"/>
      <c r="R80" s="88"/>
      <c r="S80" s="88"/>
      <c r="T80" s="88"/>
      <c r="U80" s="88"/>
      <c r="V80" s="88"/>
      <c r="W80" s="88"/>
      <c r="X80" s="88"/>
      <c r="Y80" s="88"/>
    </row>
    <row r="81" spans="1:25" s="87" customFormat="1" ht="15.75" thickBot="1">
      <c r="A81" s="94"/>
      <c r="C81" s="957"/>
      <c r="E81" s="718" t="s">
        <v>459</v>
      </c>
      <c r="F81" s="332" t="s">
        <v>120</v>
      </c>
      <c r="G81" s="719">
        <v>0</v>
      </c>
      <c r="H81" s="331" t="s">
        <v>695</v>
      </c>
      <c r="I81" s="333"/>
      <c r="J81" s="101"/>
      <c r="K81" s="101"/>
      <c r="L81" s="101"/>
      <c r="M81" s="101"/>
      <c r="N81" s="101"/>
      <c r="O81" s="89"/>
      <c r="P81" s="198"/>
      <c r="Q81" s="88"/>
      <c r="R81" s="88"/>
      <c r="S81" s="88"/>
      <c r="T81" s="88"/>
      <c r="U81" s="88"/>
      <c r="V81" s="88"/>
      <c r="W81" s="88"/>
      <c r="X81" s="88"/>
      <c r="Y81" s="88"/>
    </row>
    <row r="82" spans="1:25" s="87" customFormat="1" ht="15">
      <c r="A82" s="94"/>
      <c r="C82" s="957"/>
      <c r="E82" s="325" t="s">
        <v>113</v>
      </c>
      <c r="F82" s="101"/>
      <c r="G82" s="477" t="s">
        <v>112</v>
      </c>
      <c r="H82" s="101"/>
      <c r="I82" s="101"/>
      <c r="J82" s="101"/>
      <c r="K82" s="101"/>
      <c r="L82" s="101"/>
      <c r="M82" s="101"/>
      <c r="N82" s="101"/>
      <c r="O82" s="89"/>
      <c r="P82" s="198"/>
      <c r="Q82" s="88"/>
      <c r="R82" s="88"/>
      <c r="S82" s="88"/>
      <c r="T82" s="88"/>
      <c r="U82" s="88"/>
      <c r="V82" s="88"/>
      <c r="W82" s="88"/>
      <c r="X82" s="88"/>
      <c r="Y82" s="88"/>
    </row>
    <row r="83" spans="1:25" s="87" customFormat="1" ht="34.5" customHeight="1">
      <c r="A83" s="94"/>
      <c r="C83" s="957"/>
      <c r="E83" s="959" t="s">
        <v>693</v>
      </c>
      <c r="F83" s="960"/>
      <c r="G83" s="960"/>
      <c r="H83" s="960"/>
      <c r="I83" s="960"/>
      <c r="J83" s="960"/>
      <c r="K83" s="960"/>
      <c r="L83" s="960"/>
      <c r="M83" s="960"/>
      <c r="N83" s="960"/>
      <c r="O83" s="960"/>
      <c r="P83" s="961"/>
      <c r="Q83" s="88"/>
      <c r="R83" s="88"/>
      <c r="S83" s="88"/>
      <c r="T83" s="88"/>
      <c r="U83" s="88"/>
      <c r="V83" s="88"/>
      <c r="W83" s="88"/>
      <c r="X83" s="88"/>
      <c r="Y83" s="88"/>
    </row>
    <row r="84" spans="1:25" s="87" customFormat="1" ht="8.25" customHeight="1" thickBot="1">
      <c r="A84" s="94"/>
      <c r="C84" s="94"/>
      <c r="E84" s="233"/>
      <c r="F84" s="101"/>
      <c r="G84" s="101"/>
      <c r="H84" s="101"/>
      <c r="I84" s="101"/>
      <c r="J84" s="101"/>
      <c r="K84" s="101"/>
      <c r="L84" s="101"/>
      <c r="M84" s="101"/>
      <c r="N84" s="101"/>
      <c r="O84" s="89"/>
      <c r="P84" s="89"/>
      <c r="Q84" s="88"/>
      <c r="R84" s="88"/>
      <c r="S84" s="88"/>
      <c r="T84" s="88"/>
      <c r="U84" s="88"/>
      <c r="V84" s="88"/>
      <c r="W84" s="88"/>
      <c r="X84" s="88"/>
      <c r="Y84" s="88"/>
    </row>
    <row r="85" spans="1:25" s="87" customFormat="1" ht="33.75" customHeight="1">
      <c r="A85" s="94"/>
      <c r="B85" s="97"/>
      <c r="C85" s="854" t="s">
        <v>200</v>
      </c>
      <c r="E85" s="942" t="s">
        <v>660</v>
      </c>
      <c r="F85" s="943"/>
      <c r="G85" s="943"/>
      <c r="H85" s="943"/>
      <c r="I85" s="943"/>
      <c r="J85" s="943"/>
      <c r="K85" s="943"/>
      <c r="L85" s="943"/>
      <c r="M85" s="943"/>
      <c r="N85" s="943"/>
      <c r="O85" s="943"/>
      <c r="P85" s="944"/>
      <c r="Q85" s="88"/>
      <c r="R85" s="88"/>
      <c r="S85" s="88"/>
      <c r="T85" s="88"/>
      <c r="U85" s="88"/>
      <c r="V85" s="88"/>
      <c r="W85" s="88"/>
      <c r="X85" s="88"/>
      <c r="Y85" s="88"/>
    </row>
    <row r="86" spans="1:25" s="87" customFormat="1" ht="31.5" customHeight="1" thickBot="1">
      <c r="A86" s="94"/>
      <c r="B86" s="97"/>
      <c r="C86" s="855"/>
      <c r="E86" s="945" t="s">
        <v>469</v>
      </c>
      <c r="F86" s="946"/>
      <c r="G86" s="946"/>
      <c r="H86" s="946"/>
      <c r="I86" s="946"/>
      <c r="J86" s="946"/>
      <c r="K86" s="946"/>
      <c r="L86" s="946"/>
      <c r="M86" s="946"/>
      <c r="N86" s="946"/>
      <c r="O86" s="946"/>
      <c r="P86" s="947"/>
      <c r="Q86" s="88"/>
      <c r="R86" s="88"/>
      <c r="S86" s="88"/>
      <c r="T86" s="88"/>
      <c r="U86" s="88"/>
      <c r="V86" s="88"/>
      <c r="W86" s="88"/>
      <c r="X86" s="88"/>
      <c r="Y86" s="88"/>
    </row>
    <row r="87" spans="1:25" s="87" customFormat="1" ht="3.75" customHeight="1">
      <c r="A87" s="94"/>
      <c r="C87" s="855"/>
      <c r="E87" s="233"/>
      <c r="F87" s="101"/>
      <c r="G87" s="101"/>
      <c r="H87" s="101"/>
      <c r="I87" s="101"/>
      <c r="J87" s="101"/>
      <c r="K87" s="101"/>
      <c r="L87" s="101"/>
      <c r="M87" s="101"/>
      <c r="N87" s="101"/>
      <c r="O87" s="89"/>
      <c r="P87" s="89"/>
      <c r="Q87" s="88"/>
      <c r="R87" s="88"/>
      <c r="S87" s="88"/>
      <c r="T87" s="88"/>
      <c r="U87" s="88"/>
      <c r="V87" s="88"/>
      <c r="W87" s="88"/>
      <c r="X87" s="88"/>
      <c r="Y87" s="88"/>
    </row>
    <row r="88" spans="1:25" s="87" customFormat="1" ht="17.25" thickBot="1">
      <c r="A88" s="94"/>
      <c r="B88" s="97"/>
      <c r="C88" s="855"/>
      <c r="D88" s="98"/>
      <c r="E88" s="502" t="s">
        <v>22</v>
      </c>
      <c r="F88" s="196"/>
      <c r="G88" s="196"/>
      <c r="H88" s="196"/>
      <c r="I88" s="196"/>
      <c r="J88" s="196"/>
      <c r="K88" s="196"/>
      <c r="L88" s="344"/>
      <c r="M88" s="196"/>
      <c r="N88" s="196"/>
      <c r="O88" s="299"/>
      <c r="P88" s="197"/>
      <c r="Q88" s="88"/>
      <c r="R88" s="88"/>
      <c r="S88" s="88"/>
      <c r="T88" s="88"/>
      <c r="U88" s="88"/>
      <c r="V88" s="88"/>
      <c r="W88" s="88"/>
      <c r="X88" s="88"/>
      <c r="Y88" s="88"/>
    </row>
    <row r="89" spans="1:25" s="87" customFormat="1" ht="15">
      <c r="A89" s="94"/>
      <c r="B89" s="97"/>
      <c r="C89" s="855"/>
      <c r="D89" s="98"/>
      <c r="E89" s="345">
        <v>0</v>
      </c>
      <c r="F89" s="346" t="s">
        <v>694</v>
      </c>
      <c r="G89" s="347"/>
      <c r="H89" s="199"/>
      <c r="I89" s="199"/>
      <c r="J89" s="199"/>
      <c r="K89" s="199"/>
      <c r="L89" s="326"/>
      <c r="M89" s="199"/>
      <c r="N89" s="199"/>
      <c r="O89" s="295"/>
      <c r="P89" s="200"/>
      <c r="Q89" s="88"/>
      <c r="R89" s="88"/>
      <c r="S89" s="88"/>
      <c r="T89" s="88"/>
      <c r="U89" s="88"/>
      <c r="V89" s="88"/>
      <c r="W89" s="88"/>
      <c r="X89" s="88"/>
      <c r="Y89" s="88"/>
    </row>
    <row r="90" spans="1:25" s="87" customFormat="1" ht="3.75" customHeight="1">
      <c r="A90" s="94"/>
      <c r="C90" s="855"/>
      <c r="E90" s="233"/>
      <c r="F90" s="101"/>
      <c r="G90" s="101"/>
      <c r="H90" s="101"/>
      <c r="I90" s="101"/>
      <c r="J90" s="101"/>
      <c r="K90" s="101"/>
      <c r="L90" s="101"/>
      <c r="M90" s="101"/>
      <c r="N90" s="101"/>
      <c r="O90" s="89"/>
      <c r="P90" s="89"/>
      <c r="Q90" s="88"/>
      <c r="R90" s="88"/>
      <c r="S90" s="88"/>
      <c r="T90" s="88"/>
      <c r="U90" s="88"/>
      <c r="V90" s="88"/>
      <c r="W90" s="88"/>
      <c r="X90" s="88"/>
      <c r="Y90" s="88"/>
    </row>
    <row r="91" spans="1:25" s="87" customFormat="1" ht="15.75" thickBot="1">
      <c r="A91" s="94"/>
      <c r="B91" s="97"/>
      <c r="C91" s="855"/>
      <c r="D91" s="98"/>
      <c r="E91" s="720"/>
      <c r="F91" s="471"/>
      <c r="G91" s="721"/>
      <c r="H91" s="196"/>
      <c r="I91" s="196"/>
      <c r="J91" s="196"/>
      <c r="K91" s="196"/>
      <c r="L91" s="344"/>
      <c r="M91" s="196"/>
      <c r="N91" s="196"/>
      <c r="O91" s="299"/>
      <c r="P91" s="197"/>
      <c r="Q91" s="89"/>
      <c r="R91" s="89"/>
      <c r="S91" s="88"/>
      <c r="T91" s="88"/>
      <c r="U91" s="88"/>
      <c r="V91" s="88"/>
      <c r="W91" s="88"/>
      <c r="X91" s="88"/>
      <c r="Y91" s="88"/>
    </row>
    <row r="92" spans="1:25" s="87" customFormat="1" ht="17.25" thickBot="1">
      <c r="A92" s="97"/>
      <c r="B92" s="97"/>
      <c r="C92" s="856"/>
      <c r="D92" s="98"/>
      <c r="E92" s="375">
        <f>SUM('1. Feedstock Parameters'!C24:C39)-'User Inputs'!E89</f>
        <v>0</v>
      </c>
      <c r="F92" s="148" t="s">
        <v>697</v>
      </c>
      <c r="G92" s="316"/>
      <c r="H92" s="316"/>
      <c r="I92" s="316"/>
      <c r="J92" s="316"/>
      <c r="K92" s="316"/>
      <c r="L92" s="316"/>
      <c r="M92" s="101"/>
      <c r="N92" s="101"/>
      <c r="O92" s="89"/>
      <c r="P92" s="198"/>
      <c r="Q92" s="89"/>
      <c r="R92" s="89"/>
      <c r="S92" s="88"/>
      <c r="T92" s="88"/>
      <c r="U92" s="88"/>
      <c r="V92" s="88"/>
      <c r="W92" s="88"/>
      <c r="X92" s="88"/>
      <c r="Y92" s="88"/>
    </row>
    <row r="93" spans="1:25" s="87" customFormat="1" ht="3.75" customHeight="1" thickBot="1">
      <c r="A93" s="94"/>
      <c r="C93" s="855"/>
      <c r="E93" s="343"/>
      <c r="F93" s="101"/>
      <c r="G93" s="316"/>
      <c r="H93" s="316"/>
      <c r="I93" s="316"/>
      <c r="J93" s="316"/>
      <c r="K93" s="316"/>
      <c r="L93" s="316"/>
      <c r="M93" s="101"/>
      <c r="N93" s="101"/>
      <c r="O93" s="89"/>
      <c r="P93" s="198"/>
      <c r="Q93" s="89"/>
      <c r="R93" s="89"/>
      <c r="S93" s="88"/>
      <c r="T93" s="88"/>
      <c r="U93" s="88"/>
      <c r="V93" s="88"/>
      <c r="W93" s="88"/>
      <c r="X93" s="88"/>
      <c r="Y93" s="88"/>
    </row>
    <row r="94" spans="1:25" s="87" customFormat="1" ht="18.75" thickBot="1">
      <c r="A94" s="97"/>
      <c r="B94" s="97"/>
      <c r="C94" s="856"/>
      <c r="D94" s="98"/>
      <c r="E94" s="375" t="e">
        <f>'1-Page Summary'!E32</f>
        <v>#DIV/0!</v>
      </c>
      <c r="F94" s="501" t="s">
        <v>698</v>
      </c>
      <c r="G94" s="316"/>
      <c r="H94" s="316"/>
      <c r="I94" s="316"/>
      <c r="J94" s="316"/>
      <c r="K94" s="316"/>
      <c r="L94" s="316"/>
      <c r="M94" s="101"/>
      <c r="N94" s="101"/>
      <c r="O94" s="89"/>
      <c r="P94" s="198"/>
      <c r="Q94" s="89"/>
      <c r="R94" s="89"/>
      <c r="S94" s="88"/>
      <c r="T94" s="88"/>
      <c r="U94" s="88"/>
      <c r="V94" s="88"/>
      <c r="W94" s="88"/>
      <c r="X94" s="88"/>
      <c r="Y94" s="88"/>
    </row>
    <row r="95" spans="1:25" s="87" customFormat="1" ht="3.75" customHeight="1" thickBot="1">
      <c r="A95" s="94"/>
      <c r="C95" s="855"/>
      <c r="E95" s="343"/>
      <c r="F95" s="101"/>
      <c r="G95" s="101"/>
      <c r="H95" s="101"/>
      <c r="I95" s="101"/>
      <c r="J95" s="101"/>
      <c r="K95" s="101"/>
      <c r="L95" s="101"/>
      <c r="M95" s="101"/>
      <c r="N95" s="101"/>
      <c r="O95" s="89"/>
      <c r="P95" s="198"/>
      <c r="Q95" s="89"/>
      <c r="R95" s="89"/>
      <c r="S95" s="88"/>
      <c r="T95" s="88"/>
      <c r="U95" s="88"/>
      <c r="V95" s="88"/>
      <c r="W95" s="88"/>
      <c r="X95" s="88"/>
      <c r="Y95" s="88"/>
    </row>
    <row r="96" spans="1:25" s="87" customFormat="1" ht="17.25" thickBot="1">
      <c r="A96" s="97"/>
      <c r="B96" s="97"/>
      <c r="C96" s="856"/>
      <c r="D96" s="98"/>
      <c r="E96" s="722" t="e">
        <f>'1-Page Summary'!E34</f>
        <v>#DIV/0!</v>
      </c>
      <c r="F96" s="401" t="s">
        <v>699</v>
      </c>
      <c r="G96" s="101"/>
      <c r="H96" s="101"/>
      <c r="I96" s="101"/>
      <c r="J96" s="101"/>
      <c r="K96" s="101"/>
      <c r="L96" s="101"/>
      <c r="M96" s="101"/>
      <c r="N96" s="101"/>
      <c r="O96" s="89"/>
      <c r="P96" s="198"/>
      <c r="Q96" s="89"/>
      <c r="R96" s="89"/>
      <c r="S96" s="88"/>
      <c r="T96" s="88"/>
      <c r="U96" s="88"/>
      <c r="V96" s="88"/>
      <c r="W96" s="88"/>
      <c r="X96" s="88"/>
      <c r="Y96" s="88"/>
    </row>
    <row r="97" spans="1:25" s="87" customFormat="1" ht="15">
      <c r="A97" s="94"/>
      <c r="B97" s="97"/>
      <c r="C97" s="94"/>
      <c r="D97" s="98"/>
      <c r="E97" s="723"/>
      <c r="F97" s="346"/>
      <c r="G97" s="347"/>
      <c r="H97" s="199"/>
      <c r="I97" s="199"/>
      <c r="J97" s="199"/>
      <c r="K97" s="199"/>
      <c r="L97" s="326"/>
      <c r="M97" s="199"/>
      <c r="N97" s="199"/>
      <c r="O97" s="295"/>
      <c r="P97" s="200"/>
      <c r="Q97" s="88"/>
      <c r="R97" s="88"/>
      <c r="S97" s="88"/>
      <c r="T97" s="88"/>
      <c r="U97" s="88"/>
      <c r="V97" s="88"/>
      <c r="W97" s="88"/>
      <c r="X97" s="88"/>
      <c r="Y97" s="88"/>
    </row>
    <row r="98" spans="1:26" s="96" customFormat="1" ht="42.75" customHeight="1">
      <c r="A98" s="88"/>
      <c r="B98" s="94"/>
      <c r="C98" s="881" t="s">
        <v>642</v>
      </c>
      <c r="D98" s="881"/>
      <c r="E98" s="881"/>
      <c r="F98" s="881"/>
      <c r="G98" s="881"/>
      <c r="H98" s="881"/>
      <c r="I98" s="881"/>
      <c r="J98" s="881"/>
      <c r="K98" s="881"/>
      <c r="L98" s="881"/>
      <c r="M98" s="881"/>
      <c r="N98" s="881"/>
      <c r="O98" s="881"/>
      <c r="P98" s="881"/>
      <c r="Q98" s="95"/>
      <c r="R98" s="94"/>
      <c r="S98" s="94"/>
      <c r="T98" s="94"/>
      <c r="U98" s="94"/>
      <c r="V98" s="94"/>
      <c r="W98" s="94"/>
      <c r="X98" s="94"/>
      <c r="Y98" s="94"/>
      <c r="Z98" s="94"/>
    </row>
    <row r="99" spans="1:26" s="96" customFormat="1" ht="6" customHeight="1">
      <c r="A99" s="94"/>
      <c r="B99" s="94"/>
      <c r="C99" s="94"/>
      <c r="D99" s="94"/>
      <c r="E99" s="317"/>
      <c r="F99" s="317"/>
      <c r="G99" s="317"/>
      <c r="H99" s="317"/>
      <c r="I99" s="317"/>
      <c r="J99" s="317"/>
      <c r="K99" s="317"/>
      <c r="L99" s="94"/>
      <c r="M99" s="94"/>
      <c r="N99" s="94"/>
      <c r="O99" s="94"/>
      <c r="P99" s="94"/>
      <c r="Q99" s="95"/>
      <c r="R99" s="94"/>
      <c r="S99" s="94"/>
      <c r="T99" s="94"/>
      <c r="U99" s="94"/>
      <c r="V99" s="94"/>
      <c r="W99" s="94"/>
      <c r="X99" s="94"/>
      <c r="Y99" s="94"/>
      <c r="Z99" s="94"/>
    </row>
    <row r="100" spans="1:25" s="87" customFormat="1" ht="17.25" customHeight="1">
      <c r="A100" s="925" t="s">
        <v>117</v>
      </c>
      <c r="B100" s="97"/>
      <c r="C100" s="926" t="s">
        <v>118</v>
      </c>
      <c r="D100" s="98"/>
      <c r="E100" s="503" t="s">
        <v>1</v>
      </c>
      <c r="F100" s="500"/>
      <c r="G100" s="500"/>
      <c r="H100" s="500"/>
      <c r="I100" s="500"/>
      <c r="J100" s="500"/>
      <c r="K100" s="500"/>
      <c r="L100" s="299"/>
      <c r="M100" s="299"/>
      <c r="N100" s="196"/>
      <c r="O100" s="299"/>
      <c r="P100" s="197"/>
      <c r="Q100" s="88"/>
      <c r="R100" s="88"/>
      <c r="S100" s="88"/>
      <c r="T100" s="88"/>
      <c r="U100" s="88"/>
      <c r="V100" s="88"/>
      <c r="W100" s="88"/>
      <c r="X100" s="88"/>
      <c r="Y100" s="88"/>
    </row>
    <row r="101" spans="1:25" s="87" customFormat="1" ht="17.25" customHeight="1" thickBot="1">
      <c r="A101" s="925"/>
      <c r="B101" s="97"/>
      <c r="C101" s="926"/>
      <c r="D101" s="98"/>
      <c r="E101" s="367"/>
      <c r="F101" s="89"/>
      <c r="G101" s="89"/>
      <c r="H101" s="89"/>
      <c r="I101" s="89"/>
      <c r="J101" s="89"/>
      <c r="K101" s="89"/>
      <c r="L101" s="89"/>
      <c r="M101" s="89"/>
      <c r="N101" s="101"/>
      <c r="O101" s="89"/>
      <c r="P101" s="198"/>
      <c r="Q101" s="88"/>
      <c r="R101" s="88"/>
      <c r="S101" s="88"/>
      <c r="T101" s="88"/>
      <c r="U101" s="88"/>
      <c r="V101" s="88"/>
      <c r="W101" s="88"/>
      <c r="X101" s="88"/>
      <c r="Y101" s="88"/>
    </row>
    <row r="102" spans="1:25" s="87" customFormat="1" ht="17.25" thickBot="1">
      <c r="A102" s="925"/>
      <c r="B102" s="97"/>
      <c r="C102" s="926"/>
      <c r="D102" s="98"/>
      <c r="E102" s="328" t="s">
        <v>459</v>
      </c>
      <c r="F102" s="894" t="s">
        <v>685</v>
      </c>
      <c r="G102" s="895"/>
      <c r="H102" s="895"/>
      <c r="I102" s="895"/>
      <c r="J102" s="895"/>
      <c r="K102" s="895"/>
      <c r="L102" s="895"/>
      <c r="M102" s="895"/>
      <c r="N102" s="895"/>
      <c r="O102" s="895"/>
      <c r="P102" s="896"/>
      <c r="Q102" s="88"/>
      <c r="R102" s="88"/>
      <c r="S102" s="88"/>
      <c r="T102" s="88"/>
      <c r="U102" s="88"/>
      <c r="V102" s="88"/>
      <c r="W102" s="88"/>
      <c r="X102" s="88"/>
      <c r="Y102" s="88"/>
    </row>
    <row r="103" spans="1:25" s="87" customFormat="1" ht="15">
      <c r="A103" s="925"/>
      <c r="B103" s="97"/>
      <c r="C103" s="926"/>
      <c r="D103" s="98"/>
      <c r="E103" s="325"/>
      <c r="F103" s="101"/>
      <c r="G103" s="101"/>
      <c r="H103" s="101"/>
      <c r="I103" s="101"/>
      <c r="J103" s="101"/>
      <c r="K103" s="101"/>
      <c r="L103" s="101"/>
      <c r="M103" s="101"/>
      <c r="N103" s="101"/>
      <c r="O103" s="89"/>
      <c r="P103" s="198"/>
      <c r="Q103" s="88"/>
      <c r="R103" s="88"/>
      <c r="S103" s="88"/>
      <c r="T103" s="88"/>
      <c r="U103" s="88"/>
      <c r="V103" s="88"/>
      <c r="W103" s="88"/>
      <c r="X103" s="88"/>
      <c r="Y103" s="88"/>
    </row>
    <row r="104" spans="1:26" s="96" customFormat="1" ht="6" customHeight="1">
      <c r="A104" s="925"/>
      <c r="B104" s="97"/>
      <c r="C104" s="926"/>
      <c r="D104" s="98"/>
      <c r="E104" s="339"/>
      <c r="F104" s="95"/>
      <c r="G104" s="95"/>
      <c r="H104" s="95"/>
      <c r="I104" s="95"/>
      <c r="J104" s="95"/>
      <c r="K104" s="95"/>
      <c r="L104" s="95"/>
      <c r="M104" s="95"/>
      <c r="N104" s="95"/>
      <c r="O104" s="95"/>
      <c r="P104" s="340"/>
      <c r="Q104" s="95"/>
      <c r="R104" s="94"/>
      <c r="S104" s="94"/>
      <c r="T104" s="94"/>
      <c r="U104" s="94"/>
      <c r="V104" s="94"/>
      <c r="W104" s="94"/>
      <c r="X104" s="94"/>
      <c r="Y104" s="94"/>
      <c r="Z104" s="94"/>
    </row>
    <row r="105" spans="1:25" s="87" customFormat="1" ht="16.5">
      <c r="A105" s="925"/>
      <c r="B105" s="97"/>
      <c r="C105" s="926"/>
      <c r="D105" s="98"/>
      <c r="E105" s="504" t="s">
        <v>2</v>
      </c>
      <c r="F105" s="316"/>
      <c r="G105" s="316"/>
      <c r="H105" s="316"/>
      <c r="I105" s="316"/>
      <c r="J105" s="316"/>
      <c r="K105" s="505"/>
      <c r="L105" s="89"/>
      <c r="M105" s="89"/>
      <c r="N105" s="101"/>
      <c r="O105" s="89"/>
      <c r="P105" s="198"/>
      <c r="Q105" s="88"/>
      <c r="R105" s="88"/>
      <c r="S105" s="88"/>
      <c r="T105" s="88"/>
      <c r="U105" s="88"/>
      <c r="V105" s="88"/>
      <c r="W105" s="88"/>
      <c r="X105" s="88"/>
      <c r="Y105" s="88"/>
    </row>
    <row r="106" spans="1:25" s="87" customFormat="1" ht="15.75" thickBot="1">
      <c r="A106" s="925"/>
      <c r="B106" s="97"/>
      <c r="C106" s="926"/>
      <c r="D106" s="98"/>
      <c r="E106" s="369" t="s">
        <v>153</v>
      </c>
      <c r="F106" s="101"/>
      <c r="G106" s="370" t="s">
        <v>154</v>
      </c>
      <c r="H106" s="101"/>
      <c r="I106" s="101"/>
      <c r="J106" s="370" t="s">
        <v>612</v>
      </c>
      <c r="K106" s="101"/>
      <c r="L106" s="370" t="s">
        <v>182</v>
      </c>
      <c r="M106" s="101"/>
      <c r="N106" s="101"/>
      <c r="O106" s="89"/>
      <c r="P106" s="198"/>
      <c r="Q106" s="88"/>
      <c r="R106" s="88"/>
      <c r="S106" s="88"/>
      <c r="T106" s="88"/>
      <c r="U106" s="88"/>
      <c r="V106" s="88"/>
      <c r="W106" s="88"/>
      <c r="X106" s="88"/>
      <c r="Y106" s="88"/>
    </row>
    <row r="107" spans="1:25" s="87" customFormat="1" ht="15.75" thickBot="1">
      <c r="A107" s="925"/>
      <c r="B107" s="97"/>
      <c r="C107" s="926"/>
      <c r="D107" s="98"/>
      <c r="E107" s="364">
        <v>0</v>
      </c>
      <c r="F107" s="371"/>
      <c r="G107" s="116">
        <v>0</v>
      </c>
      <c r="H107" s="371"/>
      <c r="I107" s="371"/>
      <c r="J107" s="118">
        <v>0</v>
      </c>
      <c r="K107" s="101"/>
      <c r="L107" s="294">
        <v>0</v>
      </c>
      <c r="M107" s="101"/>
      <c r="N107" s="101"/>
      <c r="O107" s="89"/>
      <c r="P107" s="198"/>
      <c r="Q107" s="88"/>
      <c r="R107" s="88"/>
      <c r="S107" s="88"/>
      <c r="T107" s="88"/>
      <c r="U107" s="88"/>
      <c r="V107" s="88"/>
      <c r="W107" s="88"/>
      <c r="X107" s="88"/>
      <c r="Y107" s="88"/>
    </row>
    <row r="108" spans="1:26" s="96" customFormat="1" ht="6" customHeight="1">
      <c r="A108" s="925"/>
      <c r="B108" s="97"/>
      <c r="C108" s="926"/>
      <c r="D108" s="98"/>
      <c r="E108" s="339"/>
      <c r="F108" s="95"/>
      <c r="G108" s="95"/>
      <c r="H108" s="95"/>
      <c r="I108" s="95"/>
      <c r="J108" s="95"/>
      <c r="K108" s="95"/>
      <c r="L108" s="95"/>
      <c r="M108" s="95"/>
      <c r="N108" s="95"/>
      <c r="O108" s="95"/>
      <c r="P108" s="340"/>
      <c r="Q108" s="95"/>
      <c r="R108" s="94"/>
      <c r="S108" s="94"/>
      <c r="T108" s="94"/>
      <c r="U108" s="94"/>
      <c r="V108" s="94"/>
      <c r="W108" s="94"/>
      <c r="X108" s="94"/>
      <c r="Y108" s="94"/>
      <c r="Z108" s="94"/>
    </row>
    <row r="109" spans="1:25" s="87" customFormat="1" ht="36.75" customHeight="1" thickBot="1">
      <c r="A109" s="925"/>
      <c r="B109" s="97"/>
      <c r="C109" s="926"/>
      <c r="D109" s="98"/>
      <c r="E109" s="956" t="s">
        <v>554</v>
      </c>
      <c r="F109" s="951"/>
      <c r="G109" s="951"/>
      <c r="H109" s="951"/>
      <c r="I109" s="951"/>
      <c r="J109" s="951"/>
      <c r="K109" s="951"/>
      <c r="L109" s="951"/>
      <c r="M109" s="951"/>
      <c r="N109" s="951"/>
      <c r="O109" s="951"/>
      <c r="P109" s="952"/>
      <c r="Q109" s="88"/>
      <c r="R109" s="88"/>
      <c r="S109" s="88"/>
      <c r="T109" s="88"/>
      <c r="U109" s="88"/>
      <c r="V109" s="88"/>
      <c r="W109" s="88"/>
      <c r="X109" s="88"/>
      <c r="Y109" s="88"/>
    </row>
    <row r="110" spans="1:25" s="87" customFormat="1" ht="15">
      <c r="A110" s="925"/>
      <c r="B110" s="97"/>
      <c r="C110" s="926"/>
      <c r="D110" s="98"/>
      <c r="E110" s="345">
        <v>0</v>
      </c>
      <c r="F110" s="347" t="s">
        <v>157</v>
      </c>
      <c r="G110" s="372"/>
      <c r="H110" s="373"/>
      <c r="I110" s="373"/>
      <c r="J110" s="374"/>
      <c r="K110" s="199"/>
      <c r="L110" s="199"/>
      <c r="M110" s="199"/>
      <c r="N110" s="199"/>
      <c r="O110" s="295"/>
      <c r="P110" s="200"/>
      <c r="Q110" s="88"/>
      <c r="R110" s="88"/>
      <c r="S110" s="88"/>
      <c r="T110" s="88"/>
      <c r="U110" s="88"/>
      <c r="V110" s="88"/>
      <c r="W110" s="88"/>
      <c r="X110" s="88"/>
      <c r="Y110" s="88"/>
    </row>
    <row r="111" spans="1:26" s="96" customFormat="1" ht="6" customHeight="1">
      <c r="A111" s="94"/>
      <c r="B111" s="94"/>
      <c r="C111" s="94"/>
      <c r="D111" s="94"/>
      <c r="E111" s="94"/>
      <c r="F111" s="94"/>
      <c r="G111" s="94"/>
      <c r="H111" s="94"/>
      <c r="I111" s="94"/>
      <c r="J111" s="94"/>
      <c r="K111" s="94"/>
      <c r="L111" s="94"/>
      <c r="M111" s="94"/>
      <c r="N111" s="94"/>
      <c r="O111" s="94"/>
      <c r="P111" s="94"/>
      <c r="Q111" s="95"/>
      <c r="R111" s="94"/>
      <c r="S111" s="94"/>
      <c r="T111" s="94"/>
      <c r="U111" s="94"/>
      <c r="V111" s="94"/>
      <c r="W111" s="94"/>
      <c r="X111" s="94"/>
      <c r="Y111" s="94"/>
      <c r="Z111" s="94"/>
    </row>
    <row r="112" spans="1:25" s="87" customFormat="1" ht="17.25" customHeight="1">
      <c r="A112" s="925" t="s">
        <v>296</v>
      </c>
      <c r="B112" s="97"/>
      <c r="C112" s="970" t="s">
        <v>648</v>
      </c>
      <c r="D112" s="98"/>
      <c r="E112" s="503" t="s">
        <v>3</v>
      </c>
      <c r="F112" s="500"/>
      <c r="G112" s="500"/>
      <c r="H112" s="500"/>
      <c r="I112" s="500"/>
      <c r="J112" s="500"/>
      <c r="K112" s="299"/>
      <c r="L112" s="299"/>
      <c r="M112" s="299"/>
      <c r="N112" s="196"/>
      <c r="O112" s="299"/>
      <c r="P112" s="197"/>
      <c r="Q112" s="89"/>
      <c r="R112" s="89"/>
      <c r="S112" s="89"/>
      <c r="T112" s="89"/>
      <c r="U112" s="89"/>
      <c r="V112" s="89"/>
      <c r="W112" s="88"/>
      <c r="X112" s="88"/>
      <c r="Y112" s="88"/>
    </row>
    <row r="113" spans="1:25" s="87" customFormat="1" ht="17.25" customHeight="1" thickBot="1">
      <c r="A113" s="925"/>
      <c r="B113" s="97"/>
      <c r="C113" s="970"/>
      <c r="D113" s="98"/>
      <c r="E113" s="367"/>
      <c r="F113" s="89"/>
      <c r="G113" s="89"/>
      <c r="H113" s="89"/>
      <c r="I113" s="89"/>
      <c r="J113" s="89"/>
      <c r="K113" s="89"/>
      <c r="L113" s="89"/>
      <c r="M113" s="89"/>
      <c r="N113" s="101"/>
      <c r="O113" s="89"/>
      <c r="P113" s="198"/>
      <c r="Q113" s="89"/>
      <c r="R113" s="89"/>
      <c r="S113" s="89"/>
      <c r="T113" s="89"/>
      <c r="U113" s="89"/>
      <c r="V113" s="88"/>
      <c r="W113" s="88"/>
      <c r="X113" s="88"/>
      <c r="Y113" s="88"/>
    </row>
    <row r="114" spans="1:25" s="87" customFormat="1" ht="17.25" thickBot="1">
      <c r="A114" s="925"/>
      <c r="B114" s="97"/>
      <c r="C114" s="970"/>
      <c r="D114" s="98"/>
      <c r="E114" s="328" t="s">
        <v>459</v>
      </c>
      <c r="F114" s="148" t="s">
        <v>178</v>
      </c>
      <c r="G114" s="101"/>
      <c r="H114" s="101"/>
      <c r="I114" s="101"/>
      <c r="J114" s="101"/>
      <c r="K114" s="101"/>
      <c r="L114" s="101"/>
      <c r="M114" s="101"/>
      <c r="N114" s="101"/>
      <c r="O114" s="89"/>
      <c r="P114" s="198"/>
      <c r="Q114" s="89"/>
      <c r="R114" s="89"/>
      <c r="S114" s="89"/>
      <c r="T114" s="89"/>
      <c r="U114" s="89"/>
      <c r="V114" s="88"/>
      <c r="W114" s="88"/>
      <c r="X114" s="88"/>
      <c r="Y114" s="88"/>
    </row>
    <row r="115" spans="1:25" s="87" customFormat="1" ht="15">
      <c r="A115" s="925"/>
      <c r="B115" s="97"/>
      <c r="C115" s="970"/>
      <c r="D115" s="98"/>
      <c r="E115" s="325"/>
      <c r="F115" s="101"/>
      <c r="G115" s="101"/>
      <c r="H115" s="101"/>
      <c r="I115" s="101"/>
      <c r="J115" s="101"/>
      <c r="K115" s="101"/>
      <c r="L115" s="101"/>
      <c r="M115" s="101"/>
      <c r="N115" s="101"/>
      <c r="O115" s="89"/>
      <c r="P115" s="198"/>
      <c r="Q115" s="89"/>
      <c r="R115" s="89"/>
      <c r="S115" s="89"/>
      <c r="T115" s="89"/>
      <c r="U115" s="89"/>
      <c r="V115" s="88"/>
      <c r="W115" s="88"/>
      <c r="X115" s="88"/>
      <c r="Y115" s="88"/>
    </row>
    <row r="116" spans="1:26" s="96" customFormat="1" ht="6" customHeight="1">
      <c r="A116" s="925"/>
      <c r="B116" s="97"/>
      <c r="C116" s="970"/>
      <c r="D116" s="98"/>
      <c r="E116" s="339"/>
      <c r="F116" s="95"/>
      <c r="G116" s="95"/>
      <c r="H116" s="95"/>
      <c r="I116" s="95"/>
      <c r="J116" s="95"/>
      <c r="K116" s="95"/>
      <c r="L116" s="506"/>
      <c r="M116" s="506"/>
      <c r="N116" s="95"/>
      <c r="O116" s="95"/>
      <c r="P116" s="340"/>
      <c r="Q116" s="95"/>
      <c r="R116" s="95"/>
      <c r="S116" s="95"/>
      <c r="T116" s="95"/>
      <c r="U116" s="95"/>
      <c r="V116" s="94"/>
      <c r="W116" s="94"/>
      <c r="X116" s="94"/>
      <c r="Y116" s="94"/>
      <c r="Z116" s="94"/>
    </row>
    <row r="117" spans="1:25" s="87" customFormat="1" ht="16.5">
      <c r="A117" s="925"/>
      <c r="B117" s="97"/>
      <c r="C117" s="970"/>
      <c r="D117" s="98"/>
      <c r="E117" s="203" t="s">
        <v>18</v>
      </c>
      <c r="F117" s="101"/>
      <c r="G117" s="316"/>
      <c r="H117" s="101"/>
      <c r="I117" s="101"/>
      <c r="J117" s="101"/>
      <c r="K117" s="368"/>
      <c r="L117" s="316"/>
      <c r="M117" s="316"/>
      <c r="N117" s="101"/>
      <c r="O117" s="89"/>
      <c r="P117" s="198"/>
      <c r="Q117" s="89"/>
      <c r="R117" s="89"/>
      <c r="S117" s="89"/>
      <c r="T117" s="89"/>
      <c r="U117" s="89"/>
      <c r="V117" s="88"/>
      <c r="W117" s="88"/>
      <c r="X117" s="88"/>
      <c r="Y117" s="88"/>
    </row>
    <row r="118" spans="1:25" s="87" customFormat="1" ht="16.5">
      <c r="A118" s="925"/>
      <c r="B118" s="97"/>
      <c r="C118" s="970"/>
      <c r="D118" s="98"/>
      <c r="E118" s="203" t="s">
        <v>700</v>
      </c>
      <c r="F118" s="101"/>
      <c r="G118" s="101"/>
      <c r="H118" s="101"/>
      <c r="I118" s="101"/>
      <c r="J118" s="101"/>
      <c r="K118" s="505"/>
      <c r="L118" s="316"/>
      <c r="M118" s="316"/>
      <c r="N118" s="101"/>
      <c r="O118" s="89"/>
      <c r="P118" s="198"/>
      <c r="Q118" s="89"/>
      <c r="R118" s="89"/>
      <c r="S118" s="89"/>
      <c r="T118" s="89"/>
      <c r="U118" s="89"/>
      <c r="V118" s="88"/>
      <c r="W118" s="88"/>
      <c r="X118" s="88"/>
      <c r="Y118" s="88"/>
    </row>
    <row r="119" spans="1:25" s="87" customFormat="1" ht="15.75" thickBot="1">
      <c r="A119" s="925"/>
      <c r="B119" s="97"/>
      <c r="C119" s="970"/>
      <c r="D119" s="98"/>
      <c r="E119" s="369" t="s">
        <v>471</v>
      </c>
      <c r="F119" s="101"/>
      <c r="G119" s="507" t="s">
        <v>15</v>
      </c>
      <c r="H119" s="101"/>
      <c r="I119" s="101"/>
      <c r="J119" s="507" t="s">
        <v>16</v>
      </c>
      <c r="K119" s="101"/>
      <c r="L119" s="507" t="s">
        <v>17</v>
      </c>
      <c r="M119" s="101"/>
      <c r="N119" s="101"/>
      <c r="O119" s="89"/>
      <c r="P119" s="198"/>
      <c r="Q119" s="89"/>
      <c r="R119" s="89"/>
      <c r="S119" s="89"/>
      <c r="T119" s="89"/>
      <c r="U119" s="89"/>
      <c r="V119" s="88"/>
      <c r="W119" s="88"/>
      <c r="X119" s="88"/>
      <c r="Y119" s="88"/>
    </row>
    <row r="120" spans="1:25" s="87" customFormat="1" ht="15.75" thickBot="1">
      <c r="A120" s="925"/>
      <c r="B120" s="97"/>
      <c r="C120" s="970"/>
      <c r="D120" s="98"/>
      <c r="E120" s="328" t="s">
        <v>459</v>
      </c>
      <c r="F120" s="371"/>
      <c r="G120" s="117" t="s">
        <v>459</v>
      </c>
      <c r="H120" s="371"/>
      <c r="I120" s="371"/>
      <c r="J120" s="117" t="s">
        <v>459</v>
      </c>
      <c r="K120" s="101"/>
      <c r="L120" s="117" t="s">
        <v>459</v>
      </c>
      <c r="M120" s="101"/>
      <c r="N120" s="101"/>
      <c r="O120" s="89"/>
      <c r="P120" s="198"/>
      <c r="Q120" s="89"/>
      <c r="R120" s="89"/>
      <c r="S120" s="89"/>
      <c r="T120" s="89"/>
      <c r="U120" s="89"/>
      <c r="V120" s="88"/>
      <c r="W120" s="88"/>
      <c r="X120" s="88"/>
      <c r="Y120" s="88"/>
    </row>
    <row r="121" spans="1:26" s="96" customFormat="1" ht="6" customHeight="1" thickBot="1">
      <c r="A121" s="925"/>
      <c r="B121" s="97"/>
      <c r="C121" s="970"/>
      <c r="D121" s="98"/>
      <c r="E121" s="339"/>
      <c r="F121" s="95"/>
      <c r="G121" s="95"/>
      <c r="H121" s="95"/>
      <c r="I121" s="95"/>
      <c r="J121" s="95"/>
      <c r="K121" s="95"/>
      <c r="L121" s="95"/>
      <c r="M121" s="95"/>
      <c r="N121" s="95"/>
      <c r="O121" s="95"/>
      <c r="P121" s="340"/>
      <c r="Q121" s="95"/>
      <c r="R121" s="95"/>
      <c r="S121" s="95"/>
      <c r="T121" s="95"/>
      <c r="U121" s="95"/>
      <c r="V121" s="94"/>
      <c r="W121" s="94"/>
      <c r="X121" s="94"/>
      <c r="Y121" s="94"/>
      <c r="Z121" s="94"/>
    </row>
    <row r="122" spans="1:25" s="87" customFormat="1" ht="35.25" customHeight="1" thickBot="1">
      <c r="A122" s="97"/>
      <c r="B122" s="97"/>
      <c r="C122" s="301"/>
      <c r="D122" s="98"/>
      <c r="E122" s="830">
        <f>IF(E120="Yes",'1. Feedstock Parameters'!D52,IF(G120="YES",'1. Feedstock Parameters'!E52,IF(J120="YES",'1. Feedstock Parameters'!F52,IF(L120="YES",'1. Feedstock Parameters'!G52,0))))</f>
        <v>0</v>
      </c>
      <c r="F122" s="950" t="s">
        <v>82</v>
      </c>
      <c r="G122" s="951"/>
      <c r="H122" s="951"/>
      <c r="I122" s="951"/>
      <c r="J122" s="951"/>
      <c r="K122" s="951"/>
      <c r="L122" s="951"/>
      <c r="M122" s="951"/>
      <c r="N122" s="951"/>
      <c r="O122" s="951"/>
      <c r="P122" s="952"/>
      <c r="Q122" s="478"/>
      <c r="R122" s="478"/>
      <c r="S122" s="478"/>
      <c r="T122" s="478"/>
      <c r="U122" s="478"/>
      <c r="V122" s="88"/>
      <c r="W122" s="88"/>
      <c r="X122" s="88"/>
      <c r="Y122" s="88"/>
    </row>
    <row r="123" spans="1:26" s="96" customFormat="1" ht="6" customHeight="1">
      <c r="A123" s="97"/>
      <c r="B123" s="97"/>
      <c r="C123" s="301"/>
      <c r="D123" s="98"/>
      <c r="E123" s="339"/>
      <c r="F123" s="95"/>
      <c r="G123" s="95"/>
      <c r="H123" s="95"/>
      <c r="I123" s="95"/>
      <c r="J123" s="95"/>
      <c r="K123" s="95"/>
      <c r="L123" s="95"/>
      <c r="M123" s="95"/>
      <c r="N123" s="95"/>
      <c r="O123" s="95"/>
      <c r="P123" s="340"/>
      <c r="Q123" s="95"/>
      <c r="R123" s="95"/>
      <c r="S123" s="95"/>
      <c r="T123" s="95"/>
      <c r="U123" s="95"/>
      <c r="V123" s="94"/>
      <c r="W123" s="94"/>
      <c r="X123" s="94"/>
      <c r="Y123" s="94"/>
      <c r="Z123" s="94"/>
    </row>
    <row r="124" spans="1:25" s="87" customFormat="1" ht="16.5">
      <c r="A124" s="97"/>
      <c r="B124" s="97"/>
      <c r="C124" s="301"/>
      <c r="D124" s="98"/>
      <c r="E124" s="891" t="s">
        <v>24</v>
      </c>
      <c r="F124" s="892"/>
      <c r="G124" s="892"/>
      <c r="H124" s="892"/>
      <c r="I124" s="892"/>
      <c r="J124" s="892"/>
      <c r="K124" s="892"/>
      <c r="L124" s="892"/>
      <c r="M124" s="892"/>
      <c r="N124" s="892"/>
      <c r="O124" s="892"/>
      <c r="P124" s="893"/>
      <c r="Q124" s="89"/>
      <c r="R124" s="89"/>
      <c r="S124" s="89"/>
      <c r="T124" s="89"/>
      <c r="U124" s="89"/>
      <c r="V124" s="88"/>
      <c r="W124" s="88"/>
      <c r="X124" s="88"/>
      <c r="Y124" s="88"/>
    </row>
    <row r="125" spans="1:25" s="87" customFormat="1" ht="16.5">
      <c r="A125" s="97"/>
      <c r="B125" s="97"/>
      <c r="C125" s="301"/>
      <c r="D125" s="98"/>
      <c r="E125" s="891"/>
      <c r="F125" s="892"/>
      <c r="G125" s="892"/>
      <c r="H125" s="892"/>
      <c r="I125" s="892"/>
      <c r="J125" s="892"/>
      <c r="K125" s="892"/>
      <c r="L125" s="892"/>
      <c r="M125" s="892"/>
      <c r="N125" s="892"/>
      <c r="O125" s="892"/>
      <c r="P125" s="893"/>
      <c r="Q125" s="89"/>
      <c r="R125" s="89"/>
      <c r="S125" s="89"/>
      <c r="T125" s="89"/>
      <c r="U125" s="89"/>
      <c r="V125" s="88"/>
      <c r="W125" s="88"/>
      <c r="X125" s="88"/>
      <c r="Y125" s="88"/>
    </row>
    <row r="126" spans="1:25" s="87" customFormat="1" ht="17.25" thickBot="1">
      <c r="A126" s="97"/>
      <c r="B126" s="97"/>
      <c r="C126" s="301"/>
      <c r="D126" s="98"/>
      <c r="E126" s="369" t="s">
        <v>241</v>
      </c>
      <c r="F126" s="101"/>
      <c r="G126" s="370" t="s">
        <v>242</v>
      </c>
      <c r="H126" s="101"/>
      <c r="I126" s="101"/>
      <c r="J126" s="370" t="s">
        <v>243</v>
      </c>
      <c r="K126" s="101"/>
      <c r="L126" s="370" t="s">
        <v>244</v>
      </c>
      <c r="M126" s="101"/>
      <c r="N126" s="101"/>
      <c r="O126" s="89"/>
      <c r="P126" s="198"/>
      <c r="Q126" s="89"/>
      <c r="R126" s="89"/>
      <c r="S126" s="89"/>
      <c r="T126" s="89"/>
      <c r="U126" s="89"/>
      <c r="V126" s="88"/>
      <c r="W126" s="88"/>
      <c r="X126" s="88"/>
      <c r="Y126" s="88"/>
    </row>
    <row r="127" spans="1:25" s="87" customFormat="1" ht="17.25" thickBot="1">
      <c r="A127" s="97"/>
      <c r="B127" s="97"/>
      <c r="C127" s="301"/>
      <c r="D127" s="98"/>
      <c r="E127" s="328" t="s">
        <v>459</v>
      </c>
      <c r="F127" s="371"/>
      <c r="G127" s="117" t="s">
        <v>459</v>
      </c>
      <c r="H127" s="371"/>
      <c r="I127" s="371"/>
      <c r="J127" s="117" t="s">
        <v>459</v>
      </c>
      <c r="K127" s="101"/>
      <c r="L127" s="117" t="s">
        <v>459</v>
      </c>
      <c r="M127" s="101"/>
      <c r="N127" s="101"/>
      <c r="O127" s="89"/>
      <c r="P127" s="198"/>
      <c r="Q127" s="89"/>
      <c r="R127" s="89"/>
      <c r="S127" s="89"/>
      <c r="T127" s="89"/>
      <c r="U127" s="89"/>
      <c r="V127" s="88"/>
      <c r="W127" s="88"/>
      <c r="X127" s="88"/>
      <c r="Y127" s="88"/>
    </row>
    <row r="128" spans="1:26" s="96" customFormat="1" ht="6" customHeight="1" thickBot="1">
      <c r="A128" s="97"/>
      <c r="B128" s="97"/>
      <c r="C128" s="301"/>
      <c r="D128" s="98"/>
      <c r="E128" s="339"/>
      <c r="F128" s="95"/>
      <c r="G128" s="95"/>
      <c r="H128" s="95"/>
      <c r="I128" s="95"/>
      <c r="J128" s="95"/>
      <c r="K128" s="95"/>
      <c r="L128" s="95"/>
      <c r="M128" s="95"/>
      <c r="N128" s="95"/>
      <c r="O128" s="95"/>
      <c r="P128" s="340"/>
      <c r="Q128" s="95"/>
      <c r="R128" s="95"/>
      <c r="S128" s="95"/>
      <c r="T128" s="95"/>
      <c r="U128" s="95"/>
      <c r="V128" s="94"/>
      <c r="W128" s="94"/>
      <c r="X128" s="94"/>
      <c r="Y128" s="94"/>
      <c r="Z128" s="94"/>
    </row>
    <row r="129" spans="1:25" s="87" customFormat="1" ht="20.25" customHeight="1">
      <c r="A129" s="97"/>
      <c r="B129" s="97"/>
      <c r="C129" s="301"/>
      <c r="D129" s="98"/>
      <c r="E129" s="831">
        <f>IF(E127="Yes",'1. Feedstock Parameters'!F55,IF(G127="YES",'1. Feedstock Parameters'!F56,IF(J127="YES",'1. Feedstock Parameters'!F57,IF(L127="YES",'1. Feedstock Parameters'!F58,0))))</f>
        <v>0</v>
      </c>
      <c r="F129" s="953" t="s">
        <v>80</v>
      </c>
      <c r="G129" s="954"/>
      <c r="H129" s="954"/>
      <c r="I129" s="954"/>
      <c r="J129" s="954"/>
      <c r="K129" s="954"/>
      <c r="L129" s="954"/>
      <c r="M129" s="954"/>
      <c r="N129" s="954"/>
      <c r="O129" s="954"/>
      <c r="P129" s="955"/>
      <c r="Q129" s="89"/>
      <c r="R129" s="89"/>
      <c r="S129" s="89"/>
      <c r="T129" s="89"/>
      <c r="U129" s="89"/>
      <c r="V129" s="88"/>
      <c r="W129" s="88"/>
      <c r="X129" s="88"/>
      <c r="Y129" s="88"/>
    </row>
    <row r="130" spans="1:26" s="96" customFormat="1" ht="6" customHeight="1">
      <c r="A130" s="88"/>
      <c r="B130" s="94"/>
      <c r="C130" s="94"/>
      <c r="D130" s="88"/>
      <c r="E130" s="88"/>
      <c r="F130" s="88"/>
      <c r="G130" s="88"/>
      <c r="H130" s="88"/>
      <c r="I130" s="88"/>
      <c r="J130" s="88"/>
      <c r="K130" s="88"/>
      <c r="L130" s="88"/>
      <c r="M130" s="88"/>
      <c r="N130" s="88"/>
      <c r="O130" s="94"/>
      <c r="P130" s="94"/>
      <c r="Q130" s="95"/>
      <c r="R130" s="94"/>
      <c r="S130" s="94"/>
      <c r="T130" s="94"/>
      <c r="U130" s="94"/>
      <c r="V130" s="94"/>
      <c r="W130" s="94"/>
      <c r="X130" s="94"/>
      <c r="Y130" s="94"/>
      <c r="Z130" s="94"/>
    </row>
    <row r="131" spans="1:26" s="96" customFormat="1" ht="6" customHeight="1">
      <c r="A131" s="88"/>
      <c r="B131" s="94"/>
      <c r="C131" s="105"/>
      <c r="D131" s="94"/>
      <c r="E131" s="94"/>
      <c r="F131" s="94"/>
      <c r="G131" s="94"/>
      <c r="H131" s="94"/>
      <c r="I131" s="94"/>
      <c r="J131" s="94"/>
      <c r="K131" s="94"/>
      <c r="L131" s="94"/>
      <c r="M131" s="94"/>
      <c r="N131" s="94"/>
      <c r="O131" s="94"/>
      <c r="P131" s="94"/>
      <c r="Q131" s="95"/>
      <c r="R131" s="94"/>
      <c r="S131" s="94"/>
      <c r="T131" s="94"/>
      <c r="U131" s="94"/>
      <c r="V131" s="94"/>
      <c r="W131" s="94"/>
      <c r="X131" s="94"/>
      <c r="Y131" s="94"/>
      <c r="Z131" s="94"/>
    </row>
    <row r="132" spans="1:25" s="87" customFormat="1" ht="17.25" customHeight="1" thickBot="1">
      <c r="A132" s="88"/>
      <c r="C132" s="948" t="s">
        <v>348</v>
      </c>
      <c r="E132" s="503" t="s">
        <v>620</v>
      </c>
      <c r="F132" s="500"/>
      <c r="G132" s="500"/>
      <c r="H132" s="500"/>
      <c r="I132" s="500"/>
      <c r="J132" s="500"/>
      <c r="K132" s="500"/>
      <c r="L132" s="500"/>
      <c r="M132" s="500"/>
      <c r="N132" s="500"/>
      <c r="O132" s="500"/>
      <c r="P132" s="197"/>
      <c r="Q132" s="88"/>
      <c r="R132" s="88"/>
      <c r="S132" s="88"/>
      <c r="T132" s="88"/>
      <c r="U132" s="88"/>
      <c r="V132" s="88"/>
      <c r="W132" s="88"/>
      <c r="X132" s="88"/>
      <c r="Y132" s="88"/>
    </row>
    <row r="133" spans="1:25" s="87" customFormat="1" ht="15.75" customHeight="1" thickBot="1">
      <c r="A133" s="88"/>
      <c r="C133" s="949"/>
      <c r="E133" s="328" t="s">
        <v>459</v>
      </c>
      <c r="F133" s="332" t="s">
        <v>120</v>
      </c>
      <c r="G133" s="123">
        <v>0</v>
      </c>
      <c r="H133" s="508" t="s">
        <v>701</v>
      </c>
      <c r="I133" s="509"/>
      <c r="J133" s="316"/>
      <c r="K133" s="316"/>
      <c r="L133" s="316"/>
      <c r="M133" s="316"/>
      <c r="N133" s="101"/>
      <c r="O133" s="89"/>
      <c r="P133" s="198"/>
      <c r="Q133" s="88"/>
      <c r="R133" s="88"/>
      <c r="S133" s="88"/>
      <c r="T133" s="88"/>
      <c r="U133" s="88"/>
      <c r="V133" s="88"/>
      <c r="W133" s="88"/>
      <c r="X133" s="88"/>
      <c r="Y133" s="88"/>
    </row>
    <row r="134" spans="1:25" s="87" customFormat="1" ht="15" customHeight="1" thickBot="1">
      <c r="A134" s="88"/>
      <c r="C134" s="949"/>
      <c r="E134" s="329" t="s">
        <v>113</v>
      </c>
      <c r="F134" s="199"/>
      <c r="G134" s="335" t="s">
        <v>343</v>
      </c>
      <c r="H134" s="510"/>
      <c r="I134" s="510"/>
      <c r="J134" s="510"/>
      <c r="K134" s="510"/>
      <c r="L134" s="316"/>
      <c r="M134" s="316"/>
      <c r="N134" s="101"/>
      <c r="O134" s="89"/>
      <c r="P134" s="198"/>
      <c r="Q134" s="88"/>
      <c r="R134" s="88"/>
      <c r="S134" s="88"/>
      <c r="T134" s="88"/>
      <c r="U134" s="88"/>
      <c r="V134" s="88"/>
      <c r="W134" s="88"/>
      <c r="X134" s="88"/>
      <c r="Y134" s="88"/>
    </row>
    <row r="135" spans="1:25" s="87" customFormat="1" ht="16.5">
      <c r="A135" s="97"/>
      <c r="B135" s="97"/>
      <c r="C135" s="949"/>
      <c r="D135" s="98"/>
      <c r="E135" s="450">
        <f>'3. Transportation &amp; Processing'!C17</f>
        <v>0</v>
      </c>
      <c r="F135" s="511" t="s">
        <v>4</v>
      </c>
      <c r="G135" s="510"/>
      <c r="H135" s="510"/>
      <c r="I135" s="510"/>
      <c r="J135" s="510"/>
      <c r="K135" s="510"/>
      <c r="L135" s="297"/>
      <c r="M135" s="297"/>
      <c r="N135" s="297"/>
      <c r="O135" s="483"/>
      <c r="P135" s="484"/>
      <c r="Q135" s="88"/>
      <c r="R135" s="88"/>
      <c r="S135" s="88"/>
      <c r="T135" s="88"/>
      <c r="U135" s="88"/>
      <c r="V135" s="88"/>
      <c r="W135" s="88"/>
      <c r="X135" s="88"/>
      <c r="Y135" s="88"/>
    </row>
    <row r="136" spans="1:26" s="96" customFormat="1" ht="6" customHeight="1">
      <c r="A136" s="88"/>
      <c r="B136" s="94"/>
      <c r="C136" s="949"/>
      <c r="D136" s="94"/>
      <c r="E136" s="94"/>
      <c r="F136" s="94"/>
      <c r="G136" s="94"/>
      <c r="H136" s="94"/>
      <c r="I136" s="94"/>
      <c r="J136" s="94"/>
      <c r="K136" s="94"/>
      <c r="L136" s="94"/>
      <c r="M136" s="94"/>
      <c r="N136" s="94"/>
      <c r="O136" s="94"/>
      <c r="P136" s="94"/>
      <c r="Q136" s="95"/>
      <c r="R136" s="94"/>
      <c r="S136" s="94"/>
      <c r="T136" s="94"/>
      <c r="U136" s="94"/>
      <c r="V136" s="94"/>
      <c r="W136" s="94"/>
      <c r="X136" s="94"/>
      <c r="Y136" s="94"/>
      <c r="Z136" s="94"/>
    </row>
    <row r="137" spans="1:25" s="87" customFormat="1" ht="17.25" customHeight="1">
      <c r="A137" s="88"/>
      <c r="C137" s="949"/>
      <c r="E137" s="503" t="s">
        <v>703</v>
      </c>
      <c r="F137" s="500"/>
      <c r="G137" s="500"/>
      <c r="H137" s="500"/>
      <c r="I137" s="500"/>
      <c r="J137" s="500"/>
      <c r="K137" s="500"/>
      <c r="L137" s="500"/>
      <c r="M137" s="500"/>
      <c r="N137" s="196"/>
      <c r="O137" s="299"/>
      <c r="P137" s="197"/>
      <c r="Q137" s="88"/>
      <c r="R137" s="88"/>
      <c r="S137" s="88"/>
      <c r="T137" s="88"/>
      <c r="U137" s="88"/>
      <c r="V137" s="88"/>
      <c r="W137" s="88"/>
      <c r="X137" s="88"/>
      <c r="Y137" s="88"/>
    </row>
    <row r="138" spans="1:25" s="87" customFormat="1" ht="17.25" customHeight="1" thickBot="1">
      <c r="A138" s="88"/>
      <c r="C138" s="949"/>
      <c r="E138" s="504" t="s">
        <v>621</v>
      </c>
      <c r="F138" s="316"/>
      <c r="G138" s="316"/>
      <c r="H138" s="316"/>
      <c r="I138" s="316"/>
      <c r="J138" s="316"/>
      <c r="K138" s="316"/>
      <c r="L138" s="316"/>
      <c r="M138" s="316"/>
      <c r="N138" s="101"/>
      <c r="O138" s="89"/>
      <c r="P138" s="198"/>
      <c r="Q138" s="88"/>
      <c r="R138" s="88"/>
      <c r="S138" s="88"/>
      <c r="T138" s="88"/>
      <c r="U138" s="88"/>
      <c r="V138" s="88"/>
      <c r="W138" s="88"/>
      <c r="X138" s="88"/>
      <c r="Y138" s="88"/>
    </row>
    <row r="139" spans="1:25" s="87" customFormat="1" ht="15.75" customHeight="1" thickBot="1">
      <c r="A139" s="88"/>
      <c r="C139" s="949"/>
      <c r="E139" s="328" t="s">
        <v>459</v>
      </c>
      <c r="F139" s="332" t="s">
        <v>120</v>
      </c>
      <c r="G139" s="123">
        <v>0</v>
      </c>
      <c r="H139" s="508" t="s">
        <v>702</v>
      </c>
      <c r="I139" s="509"/>
      <c r="J139" s="316"/>
      <c r="K139" s="316"/>
      <c r="L139" s="316"/>
      <c r="M139" s="316"/>
      <c r="N139" s="101"/>
      <c r="O139" s="89"/>
      <c r="P139" s="198"/>
      <c r="Q139" s="88"/>
      <c r="R139" s="88"/>
      <c r="S139" s="88"/>
      <c r="T139" s="88"/>
      <c r="U139" s="88"/>
      <c r="V139" s="88"/>
      <c r="W139" s="88"/>
      <c r="X139" s="88"/>
      <c r="Y139" s="88"/>
    </row>
    <row r="140" spans="1:25" s="87" customFormat="1" ht="15" customHeight="1">
      <c r="A140" s="88"/>
      <c r="C140" s="949"/>
      <c r="E140" s="329" t="s">
        <v>113</v>
      </c>
      <c r="F140" s="199"/>
      <c r="G140" s="335" t="s">
        <v>343</v>
      </c>
      <c r="H140" s="199"/>
      <c r="I140" s="199"/>
      <c r="J140" s="199"/>
      <c r="K140" s="199"/>
      <c r="L140" s="199"/>
      <c r="M140" s="199"/>
      <c r="N140" s="199"/>
      <c r="O140" s="295"/>
      <c r="P140" s="200"/>
      <c r="Q140" s="88"/>
      <c r="R140" s="88"/>
      <c r="S140" s="88"/>
      <c r="T140" s="88"/>
      <c r="U140" s="88"/>
      <c r="V140" s="88"/>
      <c r="W140" s="88"/>
      <c r="X140" s="88"/>
      <c r="Y140" s="88"/>
    </row>
    <row r="141" spans="1:25" s="87" customFormat="1" ht="16.5">
      <c r="A141" s="97"/>
      <c r="B141" s="97"/>
      <c r="C141" s="949"/>
      <c r="D141" s="98"/>
      <c r="E141" s="485">
        <f>'3. Transportation &amp; Processing'!C19</f>
        <v>0</v>
      </c>
      <c r="F141" s="512" t="s">
        <v>5</v>
      </c>
      <c r="G141" s="513"/>
      <c r="H141" s="513"/>
      <c r="I141" s="513"/>
      <c r="J141" s="513"/>
      <c r="K141" s="513"/>
      <c r="L141" s="513"/>
      <c r="M141" s="297"/>
      <c r="N141" s="297"/>
      <c r="O141" s="483"/>
      <c r="P141" s="484"/>
      <c r="Q141" s="88"/>
      <c r="R141" s="88"/>
      <c r="S141" s="88"/>
      <c r="T141" s="88"/>
      <c r="U141" s="88"/>
      <c r="V141" s="88"/>
      <c r="W141" s="88"/>
      <c r="X141" s="88"/>
      <c r="Y141" s="88"/>
    </row>
    <row r="142" spans="1:25" s="87" customFormat="1" ht="16.5">
      <c r="A142" s="97"/>
      <c r="B142" s="97"/>
      <c r="C142" s="949"/>
      <c r="D142" s="98"/>
      <c r="E142" s="712" t="s">
        <v>623</v>
      </c>
      <c r="F142" s="711"/>
      <c r="G142" s="316"/>
      <c r="H142" s="316"/>
      <c r="I142" s="316"/>
      <c r="J142" s="316"/>
      <c r="K142" s="316"/>
      <c r="L142" s="316"/>
      <c r="M142" s="101"/>
      <c r="N142" s="101"/>
      <c r="O142" s="89"/>
      <c r="P142" s="89"/>
      <c r="Q142" s="88"/>
      <c r="R142" s="88"/>
      <c r="S142" s="88"/>
      <c r="T142" s="88"/>
      <c r="U142" s="88"/>
      <c r="V142" s="88"/>
      <c r="W142" s="88"/>
      <c r="X142" s="88"/>
      <c r="Y142" s="88"/>
    </row>
    <row r="143" spans="1:26" s="96" customFormat="1" ht="6" customHeight="1">
      <c r="A143" s="88"/>
      <c r="B143" s="94"/>
      <c r="C143" s="949"/>
      <c r="D143" s="94"/>
      <c r="E143" s="94"/>
      <c r="F143" s="94"/>
      <c r="G143" s="94"/>
      <c r="H143" s="94"/>
      <c r="I143" s="94"/>
      <c r="J143" s="94"/>
      <c r="K143" s="94"/>
      <c r="L143" s="94"/>
      <c r="M143" s="94"/>
      <c r="N143" s="94"/>
      <c r="O143" s="94"/>
      <c r="P143" s="94"/>
      <c r="Q143" s="95"/>
      <c r="R143" s="94"/>
      <c r="S143" s="94"/>
      <c r="T143" s="94"/>
      <c r="U143" s="94"/>
      <c r="V143" s="94"/>
      <c r="W143" s="94"/>
      <c r="X143" s="94"/>
      <c r="Y143" s="94"/>
      <c r="Z143" s="94"/>
    </row>
    <row r="144" spans="1:26" s="96" customFormat="1" ht="6" customHeight="1">
      <c r="A144" s="88"/>
      <c r="B144" s="94"/>
      <c r="C144" s="949"/>
      <c r="D144" s="94"/>
      <c r="E144" s="94"/>
      <c r="F144" s="94"/>
      <c r="G144" s="94"/>
      <c r="H144" s="94"/>
      <c r="I144" s="94"/>
      <c r="J144" s="94"/>
      <c r="K144" s="94"/>
      <c r="L144" s="94"/>
      <c r="M144" s="94"/>
      <c r="N144" s="94"/>
      <c r="O144" s="94"/>
      <c r="P144" s="94"/>
      <c r="Q144" s="95"/>
      <c r="R144" s="94"/>
      <c r="S144" s="94"/>
      <c r="T144" s="94"/>
      <c r="U144" s="94"/>
      <c r="V144" s="94"/>
      <c r="W144" s="94"/>
      <c r="X144" s="94"/>
      <c r="Y144" s="94"/>
      <c r="Z144" s="94"/>
    </row>
    <row r="145" spans="1:26" s="96" customFormat="1" ht="15.75" customHeight="1" thickBot="1">
      <c r="A145" s="88"/>
      <c r="B145" s="94"/>
      <c r="C145" s="949"/>
      <c r="D145" s="94"/>
      <c r="E145" s="429" t="s">
        <v>32</v>
      </c>
      <c r="F145" s="344"/>
      <c r="G145" s="344"/>
      <c r="H145" s="344"/>
      <c r="I145" s="344"/>
      <c r="J145" s="344"/>
      <c r="K145" s="344"/>
      <c r="L145" s="344"/>
      <c r="M145" s="344"/>
      <c r="N145" s="344"/>
      <c r="O145" s="344"/>
      <c r="P145" s="430"/>
      <c r="Q145" s="95"/>
      <c r="R145" s="94"/>
      <c r="S145" s="94"/>
      <c r="T145" s="94"/>
      <c r="U145" s="94"/>
      <c r="V145" s="94"/>
      <c r="W145" s="94"/>
      <c r="X145" s="94"/>
      <c r="Y145" s="94"/>
      <c r="Z145" s="94"/>
    </row>
    <row r="146" spans="1:26" s="96" customFormat="1" ht="15" customHeight="1">
      <c r="A146" s="88"/>
      <c r="B146" s="94"/>
      <c r="C146" s="949"/>
      <c r="D146" s="94"/>
      <c r="E146" s="458">
        <v>0</v>
      </c>
      <c r="F146" s="514" t="s">
        <v>704</v>
      </c>
      <c r="G146" s="515"/>
      <c r="H146" s="515"/>
      <c r="I146" s="515"/>
      <c r="J146" s="515"/>
      <c r="K146" s="326"/>
      <c r="L146" s="326"/>
      <c r="M146" s="326"/>
      <c r="N146" s="326"/>
      <c r="O146" s="326"/>
      <c r="P146" s="363"/>
      <c r="Q146" s="95"/>
      <c r="R146" s="94"/>
      <c r="S146" s="94"/>
      <c r="T146" s="94"/>
      <c r="U146" s="94"/>
      <c r="V146" s="94"/>
      <c r="W146" s="94"/>
      <c r="X146" s="94"/>
      <c r="Y146" s="94"/>
      <c r="Z146" s="94"/>
    </row>
    <row r="147" spans="1:26" s="96" customFormat="1" ht="6" customHeight="1">
      <c r="A147" s="88"/>
      <c r="B147" s="94"/>
      <c r="C147" s="949"/>
      <c r="D147" s="94"/>
      <c r="E147" s="94"/>
      <c r="F147" s="94"/>
      <c r="G147" s="94"/>
      <c r="H147" s="94"/>
      <c r="I147" s="94"/>
      <c r="J147" s="94"/>
      <c r="K147" s="94"/>
      <c r="L147" s="94"/>
      <c r="M147" s="94"/>
      <c r="N147" s="94"/>
      <c r="O147" s="94"/>
      <c r="P147" s="94"/>
      <c r="Q147" s="95"/>
      <c r="R147" s="94"/>
      <c r="S147" s="94"/>
      <c r="T147" s="94"/>
      <c r="U147" s="94"/>
      <c r="V147" s="94"/>
      <c r="W147" s="94"/>
      <c r="X147" s="94"/>
      <c r="Y147" s="94"/>
      <c r="Z147" s="94"/>
    </row>
    <row r="148" spans="1:25" s="87" customFormat="1" ht="17.25" customHeight="1">
      <c r="A148" s="925" t="s">
        <v>117</v>
      </c>
      <c r="B148" s="97"/>
      <c r="C148" s="949"/>
      <c r="D148" s="97"/>
      <c r="E148" s="202" t="s">
        <v>579</v>
      </c>
      <c r="F148" s="299"/>
      <c r="G148" s="299"/>
      <c r="H148" s="299"/>
      <c r="I148" s="299"/>
      <c r="J148" s="299"/>
      <c r="K148" s="196"/>
      <c r="L148" s="196"/>
      <c r="M148" s="196"/>
      <c r="N148" s="196"/>
      <c r="O148" s="299"/>
      <c r="P148" s="197"/>
      <c r="Q148" s="89"/>
      <c r="R148" s="88"/>
      <c r="S148" s="88"/>
      <c r="T148" s="88"/>
      <c r="U148" s="88"/>
      <c r="V148" s="88"/>
      <c r="W148" s="88"/>
      <c r="X148" s="88"/>
      <c r="Y148" s="88"/>
    </row>
    <row r="149" spans="1:25" s="87" customFormat="1" ht="15.75" customHeight="1" thickBot="1">
      <c r="A149" s="925"/>
      <c r="B149" s="97"/>
      <c r="C149" s="949"/>
      <c r="D149" s="98"/>
      <c r="E149" s="342" t="s">
        <v>588</v>
      </c>
      <c r="F149" s="370"/>
      <c r="G149" s="370"/>
      <c r="H149" s="370"/>
      <c r="I149" s="370"/>
      <c r="J149" s="370"/>
      <c r="K149" s="101"/>
      <c r="L149" s="101"/>
      <c r="M149" s="101"/>
      <c r="N149" s="101"/>
      <c r="O149" s="89"/>
      <c r="P149" s="198"/>
      <c r="Q149" s="89"/>
      <c r="R149" s="88"/>
      <c r="S149" s="88"/>
      <c r="T149" s="88"/>
      <c r="U149" s="88"/>
      <c r="V149" s="88"/>
      <c r="W149" s="88"/>
      <c r="X149" s="88"/>
      <c r="Y149" s="88"/>
    </row>
    <row r="150" spans="1:25" s="87" customFormat="1" ht="15.75" customHeight="1" thickBot="1">
      <c r="A150" s="925"/>
      <c r="B150" s="97"/>
      <c r="C150" s="949"/>
      <c r="D150" s="98"/>
      <c r="E150" s="782">
        <v>0</v>
      </c>
      <c r="F150" s="376"/>
      <c r="G150" s="783"/>
      <c r="H150" s="376"/>
      <c r="I150" s="376"/>
      <c r="K150" s="101"/>
      <c r="L150" s="101"/>
      <c r="M150" s="101"/>
      <c r="N150" s="101"/>
      <c r="O150" s="89"/>
      <c r="P150" s="198"/>
      <c r="Q150" s="89"/>
      <c r="R150" s="88"/>
      <c r="S150" s="88"/>
      <c r="T150" s="88"/>
      <c r="U150" s="88"/>
      <c r="V150" s="88"/>
      <c r="W150" s="88"/>
      <c r="X150" s="88"/>
      <c r="Y150" s="88"/>
    </row>
    <row r="151" spans="1:26" s="96" customFormat="1" ht="6" customHeight="1">
      <c r="A151" s="925"/>
      <c r="B151" s="94"/>
      <c r="C151" s="949"/>
      <c r="D151" s="94"/>
      <c r="E151" s="339"/>
      <c r="F151" s="95"/>
      <c r="G151" s="95"/>
      <c r="H151" s="95"/>
      <c r="I151" s="95"/>
      <c r="J151" s="95"/>
      <c r="K151" s="95"/>
      <c r="L151" s="95"/>
      <c r="M151" s="95"/>
      <c r="N151" s="95"/>
      <c r="O151" s="95"/>
      <c r="P151" s="340"/>
      <c r="Q151" s="95"/>
      <c r="R151" s="94"/>
      <c r="S151" s="94"/>
      <c r="T151" s="94"/>
      <c r="U151" s="94"/>
      <c r="V151" s="94"/>
      <c r="W151" s="94"/>
      <c r="X151" s="94"/>
      <c r="Y151" s="94"/>
      <c r="Z151" s="94"/>
    </row>
    <row r="152" spans="1:26" s="96" customFormat="1" ht="6" customHeight="1">
      <c r="A152" s="925"/>
      <c r="B152" s="94"/>
      <c r="C152" s="949"/>
      <c r="D152" s="94"/>
      <c r="E152" s="339"/>
      <c r="F152" s="95"/>
      <c r="G152" s="95"/>
      <c r="H152" s="95"/>
      <c r="I152" s="95"/>
      <c r="J152" s="95"/>
      <c r="K152" s="95"/>
      <c r="L152" s="95"/>
      <c r="M152" s="95"/>
      <c r="N152" s="95"/>
      <c r="O152" s="95"/>
      <c r="P152" s="340"/>
      <c r="Q152" s="95"/>
      <c r="R152" s="94"/>
      <c r="S152" s="94"/>
      <c r="T152" s="94"/>
      <c r="U152" s="94"/>
      <c r="V152" s="94"/>
      <c r="W152" s="94"/>
      <c r="X152" s="94"/>
      <c r="Y152" s="94"/>
      <c r="Z152" s="94"/>
    </row>
    <row r="153" spans="1:26" s="96" customFormat="1" ht="15.75" customHeight="1" thickBot="1">
      <c r="A153" s="925"/>
      <c r="B153" s="94"/>
      <c r="C153" s="949"/>
      <c r="D153" s="94"/>
      <c r="E153" s="330" t="s">
        <v>223</v>
      </c>
      <c r="F153" s="95"/>
      <c r="G153" s="95"/>
      <c r="H153" s="95"/>
      <c r="I153" s="95"/>
      <c r="J153" s="95"/>
      <c r="K153" s="95"/>
      <c r="L153" s="95"/>
      <c r="M153" s="95"/>
      <c r="N153" s="95"/>
      <c r="O153" s="95"/>
      <c r="P153" s="340"/>
      <c r="Q153" s="95"/>
      <c r="R153" s="94"/>
      <c r="S153" s="94"/>
      <c r="T153" s="94"/>
      <c r="U153" s="94"/>
      <c r="V153" s="94"/>
      <c r="W153" s="94"/>
      <c r="X153" s="94"/>
      <c r="Y153" s="94"/>
      <c r="Z153" s="94"/>
    </row>
    <row r="154" spans="1:26" s="96" customFormat="1" ht="15" customHeight="1" thickBot="1">
      <c r="A154" s="925"/>
      <c r="B154" s="94"/>
      <c r="C154" s="949"/>
      <c r="D154" s="94"/>
      <c r="E154" s="377">
        <v>0</v>
      </c>
      <c r="F154" s="378" t="s">
        <v>589</v>
      </c>
      <c r="G154" s="95"/>
      <c r="H154" s="95"/>
      <c r="I154" s="95"/>
      <c r="J154" s="95"/>
      <c r="K154" s="95"/>
      <c r="L154" s="95"/>
      <c r="M154" s="95"/>
      <c r="N154" s="95"/>
      <c r="O154" s="95"/>
      <c r="P154" s="340"/>
      <c r="Q154" s="95"/>
      <c r="R154" s="94"/>
      <c r="S154" s="94"/>
      <c r="T154" s="94"/>
      <c r="U154" s="94"/>
      <c r="V154" s="94"/>
      <c r="W154" s="94"/>
      <c r="X154" s="94"/>
      <c r="Y154" s="94"/>
      <c r="Z154" s="94"/>
    </row>
    <row r="155" spans="1:26" s="96" customFormat="1" ht="6" customHeight="1">
      <c r="A155" s="925"/>
      <c r="B155" s="94"/>
      <c r="C155" s="949"/>
      <c r="D155" s="94"/>
      <c r="E155" s="339"/>
      <c r="F155" s="95"/>
      <c r="G155" s="95"/>
      <c r="H155" s="95"/>
      <c r="I155" s="95"/>
      <c r="J155" s="95"/>
      <c r="K155" s="95"/>
      <c r="L155" s="95"/>
      <c r="M155" s="95"/>
      <c r="N155" s="95"/>
      <c r="O155" s="95"/>
      <c r="P155" s="340"/>
      <c r="Q155" s="95"/>
      <c r="R155" s="94"/>
      <c r="S155" s="94"/>
      <c r="T155" s="94"/>
      <c r="U155" s="94"/>
      <c r="V155" s="94"/>
      <c r="W155" s="94"/>
      <c r="X155" s="94"/>
      <c r="Y155" s="94"/>
      <c r="Z155" s="94"/>
    </row>
    <row r="156" spans="1:26" s="96" customFormat="1" ht="15.75" customHeight="1" thickBot="1">
      <c r="A156" s="925"/>
      <c r="B156" s="94"/>
      <c r="C156" s="949"/>
      <c r="D156" s="94"/>
      <c r="E156" s="365" t="s">
        <v>48</v>
      </c>
      <c r="F156" s="95"/>
      <c r="G156" s="95"/>
      <c r="H156" s="95"/>
      <c r="I156" s="95"/>
      <c r="J156" s="95"/>
      <c r="K156" s="95"/>
      <c r="L156" s="95"/>
      <c r="M156" s="95"/>
      <c r="N156" s="95"/>
      <c r="O156" s="95"/>
      <c r="P156" s="340"/>
      <c r="Q156" s="95"/>
      <c r="R156" s="94"/>
      <c r="S156" s="94"/>
      <c r="T156" s="94"/>
      <c r="U156" s="94"/>
      <c r="V156" s="94"/>
      <c r="W156" s="94"/>
      <c r="X156" s="94"/>
      <c r="Y156" s="94"/>
      <c r="Z156" s="94"/>
    </row>
    <row r="157" spans="1:26" s="96" customFormat="1" ht="15" customHeight="1" thickBot="1">
      <c r="A157" s="925"/>
      <c r="B157" s="94"/>
      <c r="C157" s="949"/>
      <c r="D157" s="94"/>
      <c r="E157" s="377">
        <v>0</v>
      </c>
      <c r="F157" s="378" t="s">
        <v>589</v>
      </c>
      <c r="G157" s="95"/>
      <c r="H157" s="95"/>
      <c r="I157" s="95"/>
      <c r="J157" s="95"/>
      <c r="K157" s="95"/>
      <c r="L157" s="95"/>
      <c r="M157" s="95"/>
      <c r="N157" s="95"/>
      <c r="O157" s="95"/>
      <c r="P157" s="340"/>
      <c r="Q157" s="95"/>
      <c r="R157" s="94"/>
      <c r="S157" s="94"/>
      <c r="T157" s="94"/>
      <c r="U157" s="94"/>
      <c r="V157" s="94"/>
      <c r="W157" s="94"/>
      <c r="X157" s="94"/>
      <c r="Y157" s="94"/>
      <c r="Z157" s="94"/>
    </row>
    <row r="158" spans="1:26" s="96" customFormat="1" ht="6" customHeight="1">
      <c r="A158" s="925"/>
      <c r="B158" s="94"/>
      <c r="C158" s="949"/>
      <c r="D158" s="94"/>
      <c r="E158" s="339"/>
      <c r="F158" s="95"/>
      <c r="G158" s="95"/>
      <c r="H158" s="95"/>
      <c r="I158" s="95"/>
      <c r="J158" s="95"/>
      <c r="K158" s="95"/>
      <c r="L158" s="95"/>
      <c r="M158" s="95"/>
      <c r="N158" s="95"/>
      <c r="O158" s="95"/>
      <c r="P158" s="340"/>
      <c r="Q158" s="95"/>
      <c r="R158" s="94"/>
      <c r="S158" s="94"/>
      <c r="T158" s="94"/>
      <c r="U158" s="94"/>
      <c r="V158" s="94"/>
      <c r="W158" s="94"/>
      <c r="X158" s="94"/>
      <c r="Y158" s="94"/>
      <c r="Z158" s="94"/>
    </row>
    <row r="159" spans="1:26" s="96" customFormat="1" ht="15.75" customHeight="1" thickBot="1">
      <c r="A159" s="925"/>
      <c r="B159" s="94"/>
      <c r="C159" s="949"/>
      <c r="D159" s="94"/>
      <c r="E159" s="330" t="s">
        <v>6</v>
      </c>
      <c r="F159" s="95"/>
      <c r="G159" s="95"/>
      <c r="H159" s="95"/>
      <c r="I159" s="95"/>
      <c r="J159" s="95"/>
      <c r="K159" s="95"/>
      <c r="L159" s="95"/>
      <c r="M159" s="95"/>
      <c r="N159" s="95"/>
      <c r="O159" s="95"/>
      <c r="P159" s="340"/>
      <c r="Q159" s="95"/>
      <c r="R159" s="94"/>
      <c r="S159" s="94"/>
      <c r="T159" s="94"/>
      <c r="U159" s="94"/>
      <c r="V159" s="94"/>
      <c r="W159" s="94"/>
      <c r="X159" s="94"/>
      <c r="Y159" s="94"/>
      <c r="Z159" s="94"/>
    </row>
    <row r="160" spans="1:26" s="96" customFormat="1" ht="15" customHeight="1" thickBot="1">
      <c r="A160" s="925"/>
      <c r="B160" s="94"/>
      <c r="C160" s="949"/>
      <c r="D160" s="94"/>
      <c r="E160" s="364">
        <v>0</v>
      </c>
      <c r="F160" s="104" t="s">
        <v>156</v>
      </c>
      <c r="G160" s="95"/>
      <c r="H160" s="95"/>
      <c r="I160" s="95"/>
      <c r="J160" s="95"/>
      <c r="K160" s="95"/>
      <c r="L160" s="95"/>
      <c r="M160" s="95"/>
      <c r="N160" s="95"/>
      <c r="O160" s="95"/>
      <c r="P160" s="340"/>
      <c r="Q160" s="95"/>
      <c r="R160" s="94"/>
      <c r="S160" s="94"/>
      <c r="T160" s="94"/>
      <c r="U160" s="94"/>
      <c r="V160" s="94"/>
      <c r="W160" s="94"/>
      <c r="X160" s="94"/>
      <c r="Y160" s="94"/>
      <c r="Z160" s="94"/>
    </row>
    <row r="161" spans="1:26" s="96" customFormat="1" ht="6" customHeight="1">
      <c r="A161" s="925"/>
      <c r="B161" s="94"/>
      <c r="C161" s="949"/>
      <c r="D161" s="94"/>
      <c r="E161" s="339"/>
      <c r="F161" s="95"/>
      <c r="G161" s="95"/>
      <c r="H161" s="95"/>
      <c r="I161" s="95"/>
      <c r="J161" s="95"/>
      <c r="K161" s="95"/>
      <c r="L161" s="95"/>
      <c r="M161" s="95"/>
      <c r="N161" s="95"/>
      <c r="O161" s="95"/>
      <c r="P161" s="340"/>
      <c r="Q161" s="95"/>
      <c r="R161" s="94"/>
      <c r="S161" s="94"/>
      <c r="T161" s="94"/>
      <c r="U161" s="94"/>
      <c r="V161" s="94"/>
      <c r="W161" s="94"/>
      <c r="X161" s="94"/>
      <c r="Y161" s="94"/>
      <c r="Z161" s="94"/>
    </row>
    <row r="162" spans="1:26" s="96" customFormat="1" ht="15.75" customHeight="1" thickBot="1">
      <c r="A162" s="925"/>
      <c r="B162" s="94"/>
      <c r="C162" s="949"/>
      <c r="D162" s="94"/>
      <c r="E162" s="516" t="s">
        <v>25</v>
      </c>
      <c r="F162" s="506"/>
      <c r="G162" s="506"/>
      <c r="H162" s="506"/>
      <c r="I162" s="506"/>
      <c r="J162" s="506"/>
      <c r="K162" s="506"/>
      <c r="L162" s="506"/>
      <c r="M162" s="506"/>
      <c r="N162" s="95"/>
      <c r="O162" s="95"/>
      <c r="P162" s="340"/>
      <c r="Q162" s="95"/>
      <c r="R162" s="94"/>
      <c r="S162" s="94"/>
      <c r="T162" s="94"/>
      <c r="U162" s="94"/>
      <c r="V162" s="94"/>
      <c r="W162" s="94"/>
      <c r="X162" s="94"/>
      <c r="Y162" s="94"/>
      <c r="Z162" s="94"/>
    </row>
    <row r="163" spans="1:26" s="96" customFormat="1" ht="15" customHeight="1" thickBot="1">
      <c r="A163" s="925"/>
      <c r="B163" s="94"/>
      <c r="C163" s="949"/>
      <c r="D163" s="94"/>
      <c r="E163" s="364">
        <v>0</v>
      </c>
      <c r="F163" s="104" t="s">
        <v>156</v>
      </c>
      <c r="G163" s="95"/>
      <c r="H163" s="95"/>
      <c r="I163" s="95"/>
      <c r="J163" s="95"/>
      <c r="K163" s="95"/>
      <c r="L163" s="95"/>
      <c r="M163" s="95"/>
      <c r="N163" s="95"/>
      <c r="O163" s="95"/>
      <c r="P163" s="340"/>
      <c r="Q163" s="95"/>
      <c r="R163" s="94"/>
      <c r="S163" s="94"/>
      <c r="T163" s="94"/>
      <c r="U163" s="94"/>
      <c r="V163" s="94"/>
      <c r="W163" s="94"/>
      <c r="X163" s="94"/>
      <c r="Y163" s="94"/>
      <c r="Z163" s="94"/>
    </row>
    <row r="164" spans="1:26" s="96" customFormat="1" ht="6" customHeight="1">
      <c r="A164" s="925"/>
      <c r="B164" s="94"/>
      <c r="C164" s="949"/>
      <c r="D164" s="94"/>
      <c r="E164" s="339"/>
      <c r="F164" s="95"/>
      <c r="G164" s="95"/>
      <c r="H164" s="95"/>
      <c r="I164" s="95"/>
      <c r="J164" s="95"/>
      <c r="K164" s="95"/>
      <c r="L164" s="95"/>
      <c r="M164" s="95"/>
      <c r="N164" s="95"/>
      <c r="O164" s="95"/>
      <c r="P164" s="340"/>
      <c r="Q164" s="95"/>
      <c r="R164" s="94"/>
      <c r="S164" s="94"/>
      <c r="T164" s="94"/>
      <c r="U164" s="94"/>
      <c r="V164" s="94"/>
      <c r="W164" s="94"/>
      <c r="X164" s="94"/>
      <c r="Y164" s="94"/>
      <c r="Z164" s="94"/>
    </row>
    <row r="165" spans="1:26" s="96" customFormat="1" ht="15.75" customHeight="1" thickBot="1">
      <c r="A165" s="925"/>
      <c r="B165" s="94"/>
      <c r="C165" s="949"/>
      <c r="D165" s="94"/>
      <c r="E165" s="330" t="s">
        <v>333</v>
      </c>
      <c r="F165" s="95"/>
      <c r="G165" s="95"/>
      <c r="H165" s="95"/>
      <c r="I165" s="95"/>
      <c r="J165" s="95"/>
      <c r="K165" s="95"/>
      <c r="L165" s="95"/>
      <c r="M165" s="95"/>
      <c r="N165" s="95"/>
      <c r="O165" s="95"/>
      <c r="P165" s="340"/>
      <c r="Q165" s="95"/>
      <c r="R165" s="94"/>
      <c r="S165" s="94"/>
      <c r="T165" s="94"/>
      <c r="U165" s="94"/>
      <c r="V165" s="94"/>
      <c r="W165" s="94"/>
      <c r="X165" s="94"/>
      <c r="Y165" s="94"/>
      <c r="Z165" s="94"/>
    </row>
    <row r="166" spans="1:26" s="96" customFormat="1" ht="15" customHeight="1" thickBot="1">
      <c r="A166" s="925"/>
      <c r="B166" s="94"/>
      <c r="C166" s="949"/>
      <c r="D166" s="94"/>
      <c r="E166" s="328" t="s">
        <v>459</v>
      </c>
      <c r="F166" s="95"/>
      <c r="G166" s="95"/>
      <c r="H166" s="95"/>
      <c r="I166" s="95"/>
      <c r="J166" s="95"/>
      <c r="K166" s="95"/>
      <c r="L166" s="95"/>
      <c r="M166" s="95"/>
      <c r="N166" s="95"/>
      <c r="O166" s="95"/>
      <c r="P166" s="340"/>
      <c r="Q166" s="95"/>
      <c r="R166" s="94"/>
      <c r="S166" s="94"/>
      <c r="T166" s="94"/>
      <c r="U166" s="94"/>
      <c r="V166" s="94"/>
      <c r="W166" s="94"/>
      <c r="X166" s="94"/>
      <c r="Y166" s="94"/>
      <c r="Z166" s="94"/>
    </row>
    <row r="167" spans="1:26" s="96" customFormat="1" ht="15" customHeight="1">
      <c r="A167" s="925"/>
      <c r="B167" s="94"/>
      <c r="C167" s="949"/>
      <c r="D167" s="94"/>
      <c r="E167" s="325" t="s">
        <v>113</v>
      </c>
      <c r="F167" s="95"/>
      <c r="G167" s="95"/>
      <c r="H167" s="95"/>
      <c r="I167" s="95"/>
      <c r="J167" s="95"/>
      <c r="K167" s="95"/>
      <c r="L167" s="95"/>
      <c r="M167" s="95"/>
      <c r="N167" s="95"/>
      <c r="O167" s="95"/>
      <c r="P167" s="340"/>
      <c r="Q167" s="95"/>
      <c r="R167" s="94"/>
      <c r="S167" s="94"/>
      <c r="T167" s="94"/>
      <c r="U167" s="94"/>
      <c r="V167" s="94"/>
      <c r="W167" s="94"/>
      <c r="X167" s="94"/>
      <c r="Y167" s="94"/>
      <c r="Z167" s="94"/>
    </row>
    <row r="168" spans="1:26" s="96" customFormat="1" ht="6" customHeight="1">
      <c r="A168" s="925"/>
      <c r="B168" s="94"/>
      <c r="C168" s="949"/>
      <c r="D168" s="94"/>
      <c r="E168" s="339"/>
      <c r="F168" s="95"/>
      <c r="G168" s="95"/>
      <c r="H168" s="95"/>
      <c r="I168" s="95"/>
      <c r="J168" s="95"/>
      <c r="K168" s="95"/>
      <c r="L168" s="95"/>
      <c r="M168" s="95"/>
      <c r="N168" s="95"/>
      <c r="O168" s="95"/>
      <c r="P168" s="340"/>
      <c r="Q168" s="95"/>
      <c r="R168" s="94"/>
      <c r="S168" s="94"/>
      <c r="T168" s="94"/>
      <c r="U168" s="94"/>
      <c r="V168" s="94"/>
      <c r="W168" s="94"/>
      <c r="X168" s="94"/>
      <c r="Y168" s="94"/>
      <c r="Z168" s="94"/>
    </row>
    <row r="169" spans="1:26" s="96" customFormat="1" ht="15.75" customHeight="1" thickBot="1">
      <c r="A169" s="925"/>
      <c r="B169" s="94"/>
      <c r="C169" s="949"/>
      <c r="D169" s="94"/>
      <c r="E169" s="330" t="s">
        <v>414</v>
      </c>
      <c r="F169" s="95"/>
      <c r="G169" s="95"/>
      <c r="H169" s="95"/>
      <c r="I169" s="95"/>
      <c r="J169" s="95"/>
      <c r="K169" s="95"/>
      <c r="L169" s="95"/>
      <c r="M169" s="95"/>
      <c r="N169" s="95"/>
      <c r="O169" s="95"/>
      <c r="P169" s="340"/>
      <c r="Q169" s="95"/>
      <c r="R169" s="94"/>
      <c r="S169" s="94"/>
      <c r="T169" s="94"/>
      <c r="U169" s="94"/>
      <c r="V169" s="94"/>
      <c r="W169" s="94"/>
      <c r="X169" s="94"/>
      <c r="Y169" s="94"/>
      <c r="Z169" s="94"/>
    </row>
    <row r="170" spans="1:26" s="96" customFormat="1" ht="15" customHeight="1" thickBot="1">
      <c r="A170" s="925"/>
      <c r="B170" s="94"/>
      <c r="C170" s="949"/>
      <c r="D170" s="94"/>
      <c r="E170" s="328" t="s">
        <v>459</v>
      </c>
      <c r="F170" s="95"/>
      <c r="G170" s="95"/>
      <c r="H170" s="95"/>
      <c r="I170" s="95"/>
      <c r="J170" s="95"/>
      <c r="K170" s="95"/>
      <c r="L170" s="95"/>
      <c r="M170" s="95"/>
      <c r="N170" s="95"/>
      <c r="O170" s="95"/>
      <c r="P170" s="340"/>
      <c r="Q170" s="95"/>
      <c r="R170" s="94"/>
      <c r="S170" s="94"/>
      <c r="T170" s="94"/>
      <c r="U170" s="94"/>
      <c r="V170" s="94"/>
      <c r="W170" s="94"/>
      <c r="X170" s="94"/>
      <c r="Y170" s="94"/>
      <c r="Z170" s="94"/>
    </row>
    <row r="171" spans="1:26" s="96" customFormat="1" ht="6" customHeight="1">
      <c r="A171" s="925"/>
      <c r="B171" s="94"/>
      <c r="C171" s="949"/>
      <c r="D171" s="94"/>
      <c r="E171" s="325"/>
      <c r="F171" s="95"/>
      <c r="G171" s="95"/>
      <c r="H171" s="95"/>
      <c r="I171" s="95"/>
      <c r="J171" s="95"/>
      <c r="K171" s="95"/>
      <c r="L171" s="95"/>
      <c r="M171" s="95"/>
      <c r="N171" s="95"/>
      <c r="O171" s="95"/>
      <c r="P171" s="340"/>
      <c r="Q171" s="95"/>
      <c r="R171" s="94"/>
      <c r="S171" s="94"/>
      <c r="T171" s="94"/>
      <c r="U171" s="94"/>
      <c r="V171" s="94"/>
      <c r="W171" s="94"/>
      <c r="X171" s="94"/>
      <c r="Y171" s="94"/>
      <c r="Z171" s="94"/>
    </row>
    <row r="172" spans="1:26" s="96" customFormat="1" ht="15.75" customHeight="1" thickBot="1">
      <c r="A172" s="925"/>
      <c r="B172" s="94"/>
      <c r="C172" s="949"/>
      <c r="D172" s="94"/>
      <c r="E172" s="330" t="s">
        <v>50</v>
      </c>
      <c r="F172" s="95"/>
      <c r="G172" s="95"/>
      <c r="H172" s="95"/>
      <c r="I172" s="95"/>
      <c r="J172" s="95"/>
      <c r="K172" s="95"/>
      <c r="L172" s="95"/>
      <c r="M172" s="95"/>
      <c r="N172" s="95"/>
      <c r="O172" s="95"/>
      <c r="P172" s="340"/>
      <c r="Q172" s="95"/>
      <c r="R172" s="94"/>
      <c r="S172" s="94"/>
      <c r="T172" s="94"/>
      <c r="U172" s="94"/>
      <c r="V172" s="94"/>
      <c r="W172" s="94"/>
      <c r="X172" s="94"/>
      <c r="Y172" s="94"/>
      <c r="Z172" s="94"/>
    </row>
    <row r="173" spans="1:26" s="96" customFormat="1" ht="15" customHeight="1" thickBot="1">
      <c r="A173" s="925"/>
      <c r="B173" s="94"/>
      <c r="C173" s="949"/>
      <c r="D173" s="94"/>
      <c r="E173" s="377">
        <v>0</v>
      </c>
      <c r="F173" s="378" t="s">
        <v>589</v>
      </c>
      <c r="G173" s="95"/>
      <c r="H173" s="95"/>
      <c r="I173" s="95"/>
      <c r="J173" s="95"/>
      <c r="K173" s="95"/>
      <c r="L173" s="95"/>
      <c r="M173" s="95"/>
      <c r="N173" s="95"/>
      <c r="O173" s="95"/>
      <c r="P173" s="340"/>
      <c r="Q173" s="95"/>
      <c r="R173" s="94"/>
      <c r="S173" s="94"/>
      <c r="T173" s="94"/>
      <c r="U173" s="94"/>
      <c r="V173" s="94"/>
      <c r="W173" s="94"/>
      <c r="X173" s="94"/>
      <c r="Y173" s="94"/>
      <c r="Z173" s="94"/>
    </row>
    <row r="174" spans="1:26" s="96" customFormat="1" ht="6" customHeight="1">
      <c r="A174" s="925"/>
      <c r="B174" s="94"/>
      <c r="C174" s="949"/>
      <c r="D174" s="94"/>
      <c r="E174" s="325"/>
      <c r="F174" s="95"/>
      <c r="G174" s="95"/>
      <c r="H174" s="95"/>
      <c r="I174" s="95"/>
      <c r="J174" s="95"/>
      <c r="K174" s="95"/>
      <c r="L174" s="95"/>
      <c r="M174" s="95"/>
      <c r="N174" s="95"/>
      <c r="O174" s="95"/>
      <c r="P174" s="340"/>
      <c r="Q174" s="95"/>
      <c r="R174" s="94"/>
      <c r="S174" s="94"/>
      <c r="T174" s="94"/>
      <c r="U174" s="94"/>
      <c r="V174" s="94"/>
      <c r="W174" s="94"/>
      <c r="X174" s="94"/>
      <c r="Y174" s="94"/>
      <c r="Z174" s="94"/>
    </row>
    <row r="175" spans="1:26" s="96" customFormat="1" ht="15.75" customHeight="1" thickBot="1">
      <c r="A175" s="925"/>
      <c r="B175" s="94"/>
      <c r="C175" s="949"/>
      <c r="D175" s="94"/>
      <c r="E175" s="516" t="s">
        <v>19</v>
      </c>
      <c r="F175" s="506"/>
      <c r="G175" s="506"/>
      <c r="H175" s="506"/>
      <c r="I175" s="95"/>
      <c r="J175" s="95"/>
      <c r="K175" s="95"/>
      <c r="L175" s="95"/>
      <c r="M175" s="95"/>
      <c r="N175" s="95"/>
      <c r="O175" s="95"/>
      <c r="P175" s="340"/>
      <c r="Q175" s="95"/>
      <c r="R175" s="94"/>
      <c r="S175" s="94"/>
      <c r="T175" s="94"/>
      <c r="U175" s="94"/>
      <c r="V175" s="94"/>
      <c r="W175" s="94"/>
      <c r="X175" s="94"/>
      <c r="Y175" s="94"/>
      <c r="Z175" s="94"/>
    </row>
    <row r="176" spans="1:26" s="96" customFormat="1" ht="15" customHeight="1" thickBot="1">
      <c r="A176" s="925"/>
      <c r="B176" s="94"/>
      <c r="C176" s="949"/>
      <c r="D176" s="94"/>
      <c r="E176" s="377">
        <v>0</v>
      </c>
      <c r="F176" s="378" t="s">
        <v>705</v>
      </c>
      <c r="G176" s="95"/>
      <c r="H176" s="95"/>
      <c r="I176" s="95"/>
      <c r="J176" s="95"/>
      <c r="K176" s="95"/>
      <c r="L176" s="95"/>
      <c r="M176" s="95"/>
      <c r="N176" s="95"/>
      <c r="O176" s="95"/>
      <c r="P176" s="340"/>
      <c r="Q176" s="95"/>
      <c r="R176" s="94"/>
      <c r="S176" s="94"/>
      <c r="T176" s="94"/>
      <c r="U176" s="94"/>
      <c r="V176" s="94"/>
      <c r="W176" s="94"/>
      <c r="X176" s="94"/>
      <c r="Y176" s="94"/>
      <c r="Z176" s="94"/>
    </row>
    <row r="177" spans="1:26" s="96" customFormat="1" ht="6" customHeight="1">
      <c r="A177" s="925"/>
      <c r="B177" s="94"/>
      <c r="C177" s="949"/>
      <c r="D177" s="94"/>
      <c r="E177" s="325"/>
      <c r="F177" s="95"/>
      <c r="G177" s="95"/>
      <c r="H177" s="95"/>
      <c r="I177" s="95"/>
      <c r="J177" s="95"/>
      <c r="K177" s="95"/>
      <c r="L177" s="95"/>
      <c r="M177" s="95"/>
      <c r="N177" s="95"/>
      <c r="O177" s="95"/>
      <c r="P177" s="340"/>
      <c r="Q177" s="95"/>
      <c r="R177" s="94"/>
      <c r="S177" s="94"/>
      <c r="T177" s="94"/>
      <c r="U177" s="94"/>
      <c r="V177" s="94"/>
      <c r="W177" s="94"/>
      <c r="X177" s="94"/>
      <c r="Y177" s="94"/>
      <c r="Z177" s="94"/>
    </row>
    <row r="178" spans="1:26" s="96" customFormat="1" ht="31.5" customHeight="1" thickBot="1">
      <c r="A178" s="925"/>
      <c r="B178" s="94"/>
      <c r="C178" s="949"/>
      <c r="D178" s="94"/>
      <c r="E178" s="888" t="s">
        <v>23</v>
      </c>
      <c r="F178" s="889"/>
      <c r="G178" s="889"/>
      <c r="H178" s="889"/>
      <c r="I178" s="889"/>
      <c r="J178" s="889"/>
      <c r="K178" s="889"/>
      <c r="L178" s="889"/>
      <c r="M178" s="889"/>
      <c r="N178" s="889"/>
      <c r="O178" s="889"/>
      <c r="P178" s="890"/>
      <c r="Q178" s="95"/>
      <c r="R178" s="94"/>
      <c r="S178" s="94"/>
      <c r="T178" s="94"/>
      <c r="U178" s="94"/>
      <c r="V178" s="94"/>
      <c r="W178" s="94"/>
      <c r="X178" s="94"/>
      <c r="Y178" s="94"/>
      <c r="Z178" s="94"/>
    </row>
    <row r="179" spans="1:26" s="96" customFormat="1" ht="15.75" customHeight="1">
      <c r="A179" s="925"/>
      <c r="B179" s="94"/>
      <c r="C179" s="949"/>
      <c r="D179" s="94"/>
      <c r="E179" s="450">
        <f>'3. Transportation &amp; Processing'!C60</f>
        <v>0</v>
      </c>
      <c r="F179" s="380" t="s">
        <v>706</v>
      </c>
      <c r="G179" s="486"/>
      <c r="H179" s="486"/>
      <c r="I179" s="486"/>
      <c r="J179" s="486"/>
      <c r="K179" s="486"/>
      <c r="L179" s="486"/>
      <c r="M179" s="486"/>
      <c r="N179" s="326"/>
      <c r="O179" s="326"/>
      <c r="P179" s="363"/>
      <c r="Q179" s="95"/>
      <c r="R179" s="94"/>
      <c r="S179" s="94"/>
      <c r="T179" s="94"/>
      <c r="U179" s="94"/>
      <c r="V179" s="94"/>
      <c r="W179" s="94"/>
      <c r="X179" s="94"/>
      <c r="Y179" s="94"/>
      <c r="Z179" s="94"/>
    </row>
    <row r="180" spans="1:26" s="96" customFormat="1" ht="1.5" customHeight="1">
      <c r="A180" s="925"/>
      <c r="B180" s="94"/>
      <c r="C180" s="949"/>
      <c r="D180" s="94"/>
      <c r="E180" s="330"/>
      <c r="F180" s="95"/>
      <c r="G180" s="95"/>
      <c r="H180" s="95"/>
      <c r="I180" s="95"/>
      <c r="J180" s="95"/>
      <c r="K180" s="95"/>
      <c r="L180" s="95"/>
      <c r="M180" s="95"/>
      <c r="N180" s="95"/>
      <c r="O180" s="95"/>
      <c r="P180" s="95"/>
      <c r="Q180" s="95"/>
      <c r="R180" s="94"/>
      <c r="S180" s="94"/>
      <c r="T180" s="94"/>
      <c r="U180" s="94"/>
      <c r="V180" s="94"/>
      <c r="W180" s="94"/>
      <c r="X180" s="94"/>
      <c r="Y180" s="94"/>
      <c r="Z180" s="94"/>
    </row>
    <row r="181" spans="1:26" s="96" customFormat="1" ht="6" customHeight="1">
      <c r="A181" s="925"/>
      <c r="B181" s="94"/>
      <c r="C181" s="949"/>
      <c r="D181" s="94"/>
      <c r="E181" s="325"/>
      <c r="F181" s="95"/>
      <c r="G181" s="95"/>
      <c r="H181" s="95"/>
      <c r="I181" s="95"/>
      <c r="J181" s="95"/>
      <c r="K181" s="95"/>
      <c r="L181" s="95"/>
      <c r="M181" s="95"/>
      <c r="N181" s="95"/>
      <c r="O181" s="95"/>
      <c r="P181" s="95"/>
      <c r="Q181" s="95"/>
      <c r="R181" s="94"/>
      <c r="S181" s="94"/>
      <c r="T181" s="94"/>
      <c r="U181" s="94"/>
      <c r="V181" s="94"/>
      <c r="W181" s="94"/>
      <c r="X181" s="94"/>
      <c r="Y181" s="94"/>
      <c r="Z181" s="94"/>
    </row>
    <row r="182" spans="1:26" s="96" customFormat="1" ht="6" customHeight="1">
      <c r="A182" s="925"/>
      <c r="B182" s="94"/>
      <c r="C182" s="949"/>
      <c r="D182" s="94"/>
      <c r="E182" s="95"/>
      <c r="F182" s="95"/>
      <c r="G182" s="95"/>
      <c r="H182" s="95"/>
      <c r="I182" s="95"/>
      <c r="J182" s="95"/>
      <c r="K182" s="95"/>
      <c r="L182" s="95"/>
      <c r="M182" s="95"/>
      <c r="N182" s="95"/>
      <c r="O182" s="95"/>
      <c r="P182" s="95"/>
      <c r="Q182" s="95"/>
      <c r="R182" s="94"/>
      <c r="S182" s="94"/>
      <c r="T182" s="94"/>
      <c r="U182" s="94"/>
      <c r="V182" s="94"/>
      <c r="W182" s="94"/>
      <c r="X182" s="94"/>
      <c r="Y182" s="94"/>
      <c r="Z182" s="94"/>
    </row>
    <row r="183" spans="1:26" s="96" customFormat="1" ht="15.75" customHeight="1" thickBot="1">
      <c r="A183" s="925"/>
      <c r="B183" s="94"/>
      <c r="C183" s="949"/>
      <c r="D183" s="94"/>
      <c r="E183" s="429" t="s">
        <v>649</v>
      </c>
      <c r="F183" s="344"/>
      <c r="G183" s="344"/>
      <c r="H183" s="344"/>
      <c r="I183" s="344"/>
      <c r="J183" s="344"/>
      <c r="K183" s="344"/>
      <c r="L183" s="344"/>
      <c r="M183" s="344"/>
      <c r="N183" s="344"/>
      <c r="O183" s="344"/>
      <c r="P183" s="430"/>
      <c r="Q183" s="95"/>
      <c r="R183" s="94"/>
      <c r="S183" s="94"/>
      <c r="T183" s="94"/>
      <c r="U183" s="94"/>
      <c r="V183" s="94"/>
      <c r="W183" s="94"/>
      <c r="X183" s="94"/>
      <c r="Y183" s="94"/>
      <c r="Z183" s="94"/>
    </row>
    <row r="184" spans="1:26" s="96" customFormat="1" ht="15" customHeight="1" thickBot="1">
      <c r="A184" s="925"/>
      <c r="B184" s="94"/>
      <c r="C184" s="949"/>
      <c r="D184" s="94"/>
      <c r="E184" s="377">
        <v>0</v>
      </c>
      <c r="F184" s="378" t="s">
        <v>707</v>
      </c>
      <c r="G184" s="95"/>
      <c r="H184" s="95"/>
      <c r="I184" s="95"/>
      <c r="J184" s="95"/>
      <c r="K184" s="95"/>
      <c r="L184" s="95"/>
      <c r="M184" s="95"/>
      <c r="N184" s="95"/>
      <c r="O184" s="95"/>
      <c r="P184" s="340"/>
      <c r="Q184" s="95"/>
      <c r="R184" s="94"/>
      <c r="S184" s="94"/>
      <c r="T184" s="94"/>
      <c r="U184" s="94"/>
      <c r="V184" s="94"/>
      <c r="W184" s="94"/>
      <c r="X184" s="94"/>
      <c r="Y184" s="94"/>
      <c r="Z184" s="94"/>
    </row>
    <row r="185" spans="1:26" s="96" customFormat="1" ht="6" customHeight="1">
      <c r="A185" s="925"/>
      <c r="B185" s="94"/>
      <c r="C185" s="949"/>
      <c r="D185" s="94"/>
      <c r="E185" s="325"/>
      <c r="F185" s="95"/>
      <c r="G185" s="95"/>
      <c r="H185" s="95"/>
      <c r="I185" s="95"/>
      <c r="J185" s="95"/>
      <c r="K185" s="95"/>
      <c r="L185" s="95"/>
      <c r="M185" s="95"/>
      <c r="N185" s="95"/>
      <c r="O185" s="95"/>
      <c r="P185" s="340"/>
      <c r="Q185" s="95"/>
      <c r="R185" s="94"/>
      <c r="S185" s="94"/>
      <c r="T185" s="94"/>
      <c r="U185" s="94"/>
      <c r="V185" s="94"/>
      <c r="W185" s="94"/>
      <c r="X185" s="94"/>
      <c r="Y185" s="94"/>
      <c r="Z185" s="94"/>
    </row>
    <row r="186" spans="1:26" s="96" customFormat="1" ht="15.75" customHeight="1" thickBot="1">
      <c r="A186" s="925"/>
      <c r="B186" s="94"/>
      <c r="C186" s="949"/>
      <c r="D186" s="94"/>
      <c r="E186" s="330" t="s">
        <v>417</v>
      </c>
      <c r="F186" s="95"/>
      <c r="G186" s="95"/>
      <c r="H186" s="95"/>
      <c r="I186" s="95"/>
      <c r="J186" s="95"/>
      <c r="K186" s="95"/>
      <c r="L186" s="95"/>
      <c r="M186" s="95"/>
      <c r="N186" s="95"/>
      <c r="O186" s="95"/>
      <c r="P186" s="340"/>
      <c r="Q186" s="95"/>
      <c r="R186" s="94"/>
      <c r="S186" s="94"/>
      <c r="T186" s="94"/>
      <c r="U186" s="94"/>
      <c r="V186" s="94"/>
      <c r="W186" s="94"/>
      <c r="X186" s="94"/>
      <c r="Y186" s="94"/>
      <c r="Z186" s="94"/>
    </row>
    <row r="187" spans="1:26" s="96" customFormat="1" ht="15" customHeight="1" thickBot="1">
      <c r="A187" s="925"/>
      <c r="B187" s="94"/>
      <c r="C187" s="949"/>
      <c r="D187" s="94"/>
      <c r="E187" s="457">
        <v>0</v>
      </c>
      <c r="F187" s="378"/>
      <c r="G187" s="95"/>
      <c r="H187" s="95"/>
      <c r="I187" s="95"/>
      <c r="J187" s="95"/>
      <c r="K187" s="95"/>
      <c r="L187" s="95"/>
      <c r="M187" s="95"/>
      <c r="N187" s="95"/>
      <c r="O187" s="95"/>
      <c r="P187" s="340"/>
      <c r="Q187" s="95"/>
      <c r="R187" s="94"/>
      <c r="S187" s="94"/>
      <c r="T187" s="94"/>
      <c r="U187" s="94"/>
      <c r="V187" s="94"/>
      <c r="W187" s="94"/>
      <c r="X187" s="94"/>
      <c r="Y187" s="94"/>
      <c r="Z187" s="94"/>
    </row>
    <row r="188" spans="1:26" s="96" customFormat="1" ht="6" customHeight="1">
      <c r="A188" s="925"/>
      <c r="B188" s="94"/>
      <c r="C188" s="949"/>
      <c r="D188" s="94"/>
      <c r="E188" s="325"/>
      <c r="F188" s="95"/>
      <c r="G188" s="95"/>
      <c r="H188" s="95"/>
      <c r="I188" s="95"/>
      <c r="J188" s="95"/>
      <c r="K188" s="95"/>
      <c r="L188" s="95"/>
      <c r="M188" s="95"/>
      <c r="N188" s="95"/>
      <c r="O188" s="95"/>
      <c r="P188" s="340"/>
      <c r="Q188" s="95"/>
      <c r="R188" s="94"/>
      <c r="S188" s="94"/>
      <c r="T188" s="94"/>
      <c r="U188" s="94"/>
      <c r="V188" s="94"/>
      <c r="W188" s="94"/>
      <c r="X188" s="94"/>
      <c r="Y188" s="94"/>
      <c r="Z188" s="94"/>
    </row>
    <row r="189" spans="1:26" s="96" customFormat="1" ht="15.75" customHeight="1" thickBot="1">
      <c r="A189" s="925"/>
      <c r="B189" s="94"/>
      <c r="C189" s="949"/>
      <c r="D189" s="94"/>
      <c r="E189" s="330" t="s">
        <v>328</v>
      </c>
      <c r="F189" s="95"/>
      <c r="G189" s="95"/>
      <c r="H189" s="95"/>
      <c r="I189" s="95"/>
      <c r="J189" s="95"/>
      <c r="K189" s="95"/>
      <c r="L189" s="95"/>
      <c r="M189" s="95"/>
      <c r="N189" s="95"/>
      <c r="O189" s="95"/>
      <c r="P189" s="340"/>
      <c r="Q189" s="95"/>
      <c r="R189" s="94"/>
      <c r="S189" s="94"/>
      <c r="T189" s="94"/>
      <c r="U189" s="94"/>
      <c r="V189" s="94"/>
      <c r="W189" s="94"/>
      <c r="X189" s="94"/>
      <c r="Y189" s="94"/>
      <c r="Z189" s="94"/>
    </row>
    <row r="190" spans="1:26" s="96" customFormat="1" ht="15" customHeight="1">
      <c r="A190" s="925"/>
      <c r="B190" s="94"/>
      <c r="C190" s="949"/>
      <c r="D190" s="94"/>
      <c r="E190" s="379">
        <v>0</v>
      </c>
      <c r="F190" s="380" t="s">
        <v>330</v>
      </c>
      <c r="G190" s="326"/>
      <c r="H190" s="326"/>
      <c r="I190" s="326"/>
      <c r="J190" s="326"/>
      <c r="K190" s="326"/>
      <c r="L190" s="326"/>
      <c r="M190" s="326"/>
      <c r="N190" s="326"/>
      <c r="O190" s="326"/>
      <c r="P190" s="363"/>
      <c r="Q190" s="95"/>
      <c r="R190" s="94"/>
      <c r="S190" s="94"/>
      <c r="T190" s="94"/>
      <c r="U190" s="94"/>
      <c r="V190" s="94"/>
      <c r="W190" s="94"/>
      <c r="X190" s="94"/>
      <c r="Y190" s="94"/>
      <c r="Z190" s="94"/>
    </row>
    <row r="191" spans="1:26" s="96" customFormat="1" ht="6" customHeight="1">
      <c r="A191" s="94"/>
      <c r="B191" s="94"/>
      <c r="C191" s="94"/>
      <c r="D191" s="94"/>
      <c r="E191" s="94"/>
      <c r="F191" s="94"/>
      <c r="G191" s="94"/>
      <c r="H191" s="94"/>
      <c r="I191" s="94"/>
      <c r="J191" s="94"/>
      <c r="K191" s="94"/>
      <c r="L191" s="94"/>
      <c r="M191" s="94"/>
      <c r="N191" s="94"/>
      <c r="O191" s="94"/>
      <c r="P191" s="317"/>
      <c r="Q191" s="95"/>
      <c r="R191" s="94"/>
      <c r="S191" s="94"/>
      <c r="T191" s="94"/>
      <c r="U191" s="94"/>
      <c r="V191" s="94"/>
      <c r="W191" s="94"/>
      <c r="X191" s="94"/>
      <c r="Y191" s="94"/>
      <c r="Z191" s="94"/>
    </row>
    <row r="192" spans="1:26" s="96" customFormat="1" ht="6" customHeight="1">
      <c r="A192" s="88"/>
      <c r="B192" s="88"/>
      <c r="C192" s="88"/>
      <c r="D192" s="88"/>
      <c r="E192" s="88"/>
      <c r="F192" s="88"/>
      <c r="G192" s="88"/>
      <c r="H192" s="88"/>
      <c r="I192" s="88"/>
      <c r="J192" s="88"/>
      <c r="K192" s="88"/>
      <c r="L192" s="88"/>
      <c r="M192" s="88"/>
      <c r="N192" s="88"/>
      <c r="O192" s="94"/>
      <c r="P192" s="94"/>
      <c r="Q192" s="95"/>
      <c r="R192" s="94"/>
      <c r="S192" s="94"/>
      <c r="T192" s="94"/>
      <c r="U192" s="94"/>
      <c r="V192" s="94"/>
      <c r="W192" s="94"/>
      <c r="X192" s="94"/>
      <c r="Y192" s="94"/>
      <c r="Z192" s="94"/>
    </row>
    <row r="193" spans="1:26" s="96" customFormat="1" ht="6" customHeight="1">
      <c r="A193" s="94"/>
      <c r="B193" s="94"/>
      <c r="C193" s="94"/>
      <c r="D193" s="94"/>
      <c r="E193" s="94"/>
      <c r="F193" s="94"/>
      <c r="G193" s="94"/>
      <c r="H193" s="94"/>
      <c r="I193" s="94"/>
      <c r="J193" s="94"/>
      <c r="K193" s="94"/>
      <c r="L193" s="94"/>
      <c r="M193" s="94"/>
      <c r="N193" s="94"/>
      <c r="O193" s="94"/>
      <c r="P193" s="94"/>
      <c r="Q193" s="95"/>
      <c r="R193" s="94"/>
      <c r="S193" s="94"/>
      <c r="T193" s="94"/>
      <c r="U193" s="94"/>
      <c r="V193" s="94"/>
      <c r="W193" s="94"/>
      <c r="X193" s="94"/>
      <c r="Y193" s="94"/>
      <c r="Z193" s="94"/>
    </row>
    <row r="194" spans="1:25" s="87" customFormat="1" ht="16.5" customHeight="1">
      <c r="A194" s="925" t="s">
        <v>117</v>
      </c>
      <c r="B194" s="97"/>
      <c r="C194" s="973" t="s">
        <v>128</v>
      </c>
      <c r="E194" s="517" t="s">
        <v>7</v>
      </c>
      <c r="F194" s="518"/>
      <c r="G194" s="518"/>
      <c r="H194" s="518"/>
      <c r="I194" s="518"/>
      <c r="J194" s="518"/>
      <c r="K194" s="518"/>
      <c r="L194" s="518"/>
      <c r="M194" s="518"/>
      <c r="N194" s="513"/>
      <c r="O194" s="483"/>
      <c r="P194" s="483"/>
      <c r="Q194" s="487"/>
      <c r="R194" s="88"/>
      <c r="S194" s="88"/>
      <c r="T194" s="88"/>
      <c r="U194" s="88"/>
      <c r="V194" s="88"/>
      <c r="W194" s="88"/>
      <c r="X194" s="88"/>
      <c r="Y194" s="88"/>
    </row>
    <row r="195" spans="1:26" s="96" customFormat="1" ht="15.75" customHeight="1" thickBot="1">
      <c r="A195" s="925"/>
      <c r="B195" s="94"/>
      <c r="C195" s="973"/>
      <c r="D195" s="94"/>
      <c r="E195" s="429" t="s">
        <v>709</v>
      </c>
      <c r="F195" s="344"/>
      <c r="G195" s="344"/>
      <c r="H195" s="344"/>
      <c r="I195" s="519"/>
      <c r="J195" s="519"/>
      <c r="K195" s="519"/>
      <c r="L195" s="519"/>
      <c r="M195" s="519"/>
      <c r="N195" s="519"/>
      <c r="O195" s="519"/>
      <c r="P195" s="519"/>
      <c r="Q195" s="339"/>
      <c r="R195" s="94"/>
      <c r="S195" s="94"/>
      <c r="T195" s="94"/>
      <c r="U195" s="94"/>
      <c r="V195" s="94"/>
      <c r="W195" s="94"/>
      <c r="X195" s="94"/>
      <c r="Y195" s="94"/>
      <c r="Z195" s="94"/>
    </row>
    <row r="196" spans="1:26" s="96" customFormat="1" ht="15" customHeight="1" thickBot="1">
      <c r="A196" s="925"/>
      <c r="B196" s="94"/>
      <c r="C196" s="973"/>
      <c r="D196" s="94"/>
      <c r="E196" s="724">
        <v>0</v>
      </c>
      <c r="F196" s="378" t="s">
        <v>708</v>
      </c>
      <c r="G196" s="95"/>
      <c r="H196" s="95"/>
      <c r="I196" s="95"/>
      <c r="J196" s="95"/>
      <c r="K196" s="95"/>
      <c r="L196" s="95"/>
      <c r="M196" s="95"/>
      <c r="N196" s="95"/>
      <c r="O196" s="95"/>
      <c r="P196" s="95"/>
      <c r="Q196" s="339"/>
      <c r="R196" s="94"/>
      <c r="S196" s="94"/>
      <c r="T196" s="94"/>
      <c r="U196" s="94"/>
      <c r="V196" s="94"/>
      <c r="W196" s="94"/>
      <c r="X196" s="94"/>
      <c r="Y196" s="94"/>
      <c r="Z196" s="94"/>
    </row>
    <row r="197" spans="1:26" s="96" customFormat="1" ht="6" customHeight="1">
      <c r="A197" s="925"/>
      <c r="B197" s="94"/>
      <c r="C197" s="973"/>
      <c r="D197" s="94"/>
      <c r="E197" s="520"/>
      <c r="F197" s="515"/>
      <c r="G197" s="515"/>
      <c r="H197" s="515"/>
      <c r="I197" s="515"/>
      <c r="J197" s="515"/>
      <c r="K197" s="515"/>
      <c r="L197" s="515"/>
      <c r="M197" s="326"/>
      <c r="N197" s="326"/>
      <c r="O197" s="326"/>
      <c r="P197" s="326"/>
      <c r="Q197" s="339"/>
      <c r="R197" s="94"/>
      <c r="S197" s="94"/>
      <c r="T197" s="94"/>
      <c r="U197" s="94"/>
      <c r="V197" s="94"/>
      <c r="W197" s="94"/>
      <c r="X197" s="94"/>
      <c r="Y197" s="94"/>
      <c r="Z197" s="94"/>
    </row>
    <row r="198" spans="1:25" s="87" customFormat="1" ht="16.5" customHeight="1">
      <c r="A198" s="925"/>
      <c r="B198" s="97"/>
      <c r="C198" s="973"/>
      <c r="E198" s="504" t="s">
        <v>643</v>
      </c>
      <c r="F198" s="316"/>
      <c r="G198" s="316"/>
      <c r="H198" s="316"/>
      <c r="I198" s="316"/>
      <c r="J198" s="316"/>
      <c r="K198" s="316"/>
      <c r="L198" s="316"/>
      <c r="M198" s="101"/>
      <c r="N198" s="101"/>
      <c r="O198" s="89"/>
      <c r="P198" s="89"/>
      <c r="Q198" s="487"/>
      <c r="R198" s="89"/>
      <c r="S198" s="88"/>
      <c r="T198" s="88"/>
      <c r="U198" s="88"/>
      <c r="V198" s="88"/>
      <c r="W198" s="88"/>
      <c r="X198" s="88"/>
      <c r="Y198" s="88"/>
    </row>
    <row r="199" spans="1:25" s="87" customFormat="1" ht="16.5" customHeight="1">
      <c r="A199" s="925"/>
      <c r="B199" s="97"/>
      <c r="C199" s="973"/>
      <c r="E199" s="504" t="s">
        <v>611</v>
      </c>
      <c r="F199" s="316"/>
      <c r="G199" s="316"/>
      <c r="H199" s="316"/>
      <c r="I199" s="316"/>
      <c r="J199" s="316"/>
      <c r="K199" s="316"/>
      <c r="L199" s="316"/>
      <c r="M199" s="101"/>
      <c r="N199" s="101"/>
      <c r="O199" s="89"/>
      <c r="P199" s="89"/>
      <c r="Q199" s="487"/>
      <c r="R199" s="89"/>
      <c r="S199" s="88"/>
      <c r="T199" s="88"/>
      <c r="U199" s="88"/>
      <c r="V199" s="88"/>
      <c r="W199" s="88"/>
      <c r="X199" s="88"/>
      <c r="Y199" s="88"/>
    </row>
    <row r="200" spans="1:25" s="87" customFormat="1" ht="16.5" customHeight="1">
      <c r="A200" s="925"/>
      <c r="B200" s="97"/>
      <c r="C200" s="973"/>
      <c r="E200" s="847" t="s">
        <v>610</v>
      </c>
      <c r="F200" s="316"/>
      <c r="G200" s="316"/>
      <c r="H200" s="316"/>
      <c r="I200" s="316"/>
      <c r="J200" s="316"/>
      <c r="K200" s="316"/>
      <c r="L200" s="316"/>
      <c r="M200" s="101"/>
      <c r="N200" s="101"/>
      <c r="O200" s="89"/>
      <c r="P200" s="89"/>
      <c r="Q200" s="487"/>
      <c r="R200" s="89"/>
      <c r="S200" s="88"/>
      <c r="T200" s="88"/>
      <c r="U200" s="88"/>
      <c r="V200" s="88"/>
      <c r="W200" s="88"/>
      <c r="X200" s="88"/>
      <c r="Y200" s="88"/>
    </row>
    <row r="201" spans="1:25" s="87" customFormat="1" ht="16.5" customHeight="1">
      <c r="A201" s="925"/>
      <c r="B201" s="97"/>
      <c r="C201" s="973"/>
      <c r="E201" s="521" t="s">
        <v>122</v>
      </c>
      <c r="F201" s="318" t="s">
        <v>577</v>
      </c>
      <c r="G201" s="316"/>
      <c r="H201" s="316"/>
      <c r="I201" s="316"/>
      <c r="J201" s="316"/>
      <c r="K201" s="316"/>
      <c r="L201" s="316"/>
      <c r="M201" s="101"/>
      <c r="N201" s="101"/>
      <c r="O201" s="89"/>
      <c r="P201" s="89"/>
      <c r="Q201" s="487"/>
      <c r="R201" s="89"/>
      <c r="S201" s="88"/>
      <c r="T201" s="88"/>
      <c r="U201" s="88"/>
      <c r="V201" s="88"/>
      <c r="W201" s="88"/>
      <c r="X201" s="88"/>
      <c r="Y201" s="88"/>
    </row>
    <row r="202" spans="1:25" s="87" customFormat="1" ht="16.5" customHeight="1">
      <c r="A202" s="925"/>
      <c r="B202" s="97"/>
      <c r="C202" s="973"/>
      <c r="E202" s="204"/>
      <c r="F202" s="318" t="s">
        <v>41</v>
      </c>
      <c r="G202" s="316"/>
      <c r="H202" s="316"/>
      <c r="I202" s="316"/>
      <c r="J202" s="316"/>
      <c r="K202" s="316"/>
      <c r="L202" s="101"/>
      <c r="M202" s="101"/>
      <c r="N202" s="101"/>
      <c r="O202" s="89"/>
      <c r="P202" s="89"/>
      <c r="Q202" s="487"/>
      <c r="R202" s="89"/>
      <c r="S202" s="88"/>
      <c r="T202" s="88"/>
      <c r="U202" s="88"/>
      <c r="V202" s="88"/>
      <c r="W202" s="88"/>
      <c r="X202" s="88"/>
      <c r="Y202" s="88"/>
    </row>
    <row r="203" spans="1:26" s="96" customFormat="1" ht="6" customHeight="1">
      <c r="A203" s="925"/>
      <c r="B203" s="94"/>
      <c r="C203" s="973"/>
      <c r="D203" s="94"/>
      <c r="E203" s="339"/>
      <c r="F203" s="354"/>
      <c r="G203" s="355"/>
      <c r="H203" s="355"/>
      <c r="I203" s="355"/>
      <c r="J203" s="355"/>
      <c r="K203" s="356"/>
      <c r="L203" s="357"/>
      <c r="M203" s="95"/>
      <c r="N203" s="95"/>
      <c r="O203" s="95"/>
      <c r="P203" s="95"/>
      <c r="Q203" s="339"/>
      <c r="R203" s="95"/>
      <c r="S203" s="94"/>
      <c r="T203" s="94"/>
      <c r="U203" s="94"/>
      <c r="V203" s="94"/>
      <c r="W203" s="94"/>
      <c r="X203" s="94"/>
      <c r="Y203" s="94"/>
      <c r="Z203" s="94"/>
    </row>
    <row r="204" spans="1:25" s="87" customFormat="1" ht="16.5" customHeight="1">
      <c r="A204" s="925"/>
      <c r="B204" s="97"/>
      <c r="C204" s="973"/>
      <c r="E204" s="204"/>
      <c r="F204" s="296" t="s">
        <v>609</v>
      </c>
      <c r="G204" s="89"/>
      <c r="H204" s="89"/>
      <c r="I204" s="89"/>
      <c r="J204" s="89"/>
      <c r="K204" s="89"/>
      <c r="L204" s="89"/>
      <c r="M204" s="101"/>
      <c r="N204" s="101"/>
      <c r="O204" s="89"/>
      <c r="P204" s="89"/>
      <c r="Q204" s="487"/>
      <c r="R204" s="89"/>
      <c r="S204" s="88"/>
      <c r="T204" s="88"/>
      <c r="U204" s="88"/>
      <c r="V204" s="88"/>
      <c r="W204" s="88"/>
      <c r="X204" s="88"/>
      <c r="Y204" s="88"/>
    </row>
    <row r="205" spans="1:25" s="87" customFormat="1" ht="16.5" customHeight="1">
      <c r="A205" s="925"/>
      <c r="B205" s="97"/>
      <c r="C205" s="973"/>
      <c r="E205" s="204"/>
      <c r="F205" s="318" t="s">
        <v>44</v>
      </c>
      <c r="G205" s="316"/>
      <c r="H205" s="316"/>
      <c r="I205" s="316"/>
      <c r="J205" s="316"/>
      <c r="K205" s="316"/>
      <c r="L205" s="101"/>
      <c r="M205" s="101"/>
      <c r="N205" s="101"/>
      <c r="O205" s="89"/>
      <c r="P205" s="89"/>
      <c r="Q205" s="487"/>
      <c r="R205" s="89"/>
      <c r="S205" s="88"/>
      <c r="T205" s="88"/>
      <c r="U205" s="88"/>
      <c r="V205" s="88"/>
      <c r="W205" s="88"/>
      <c r="X205" s="88"/>
      <c r="Y205" s="88"/>
    </row>
    <row r="206" spans="1:26" s="96" customFormat="1" ht="6" customHeight="1">
      <c r="A206" s="925"/>
      <c r="B206" s="94"/>
      <c r="C206" s="973"/>
      <c r="D206" s="94"/>
      <c r="E206" s="339"/>
      <c r="F206" s="354"/>
      <c r="G206" s="355"/>
      <c r="H206" s="355"/>
      <c r="I206" s="355"/>
      <c r="J206" s="355"/>
      <c r="K206" s="356"/>
      <c r="L206" s="357"/>
      <c r="M206" s="95"/>
      <c r="N206" s="95"/>
      <c r="O206" s="95"/>
      <c r="P206" s="95"/>
      <c r="Q206" s="339"/>
      <c r="R206" s="95"/>
      <c r="S206" s="94"/>
      <c r="T206" s="94"/>
      <c r="U206" s="94"/>
      <c r="V206" s="94"/>
      <c r="W206" s="94"/>
      <c r="X206" s="94"/>
      <c r="Y206" s="94"/>
      <c r="Z206" s="94"/>
    </row>
    <row r="207" spans="1:25" s="87" customFormat="1" ht="16.5" customHeight="1">
      <c r="A207" s="925"/>
      <c r="B207" s="97"/>
      <c r="C207" s="973"/>
      <c r="E207" s="204"/>
      <c r="F207" s="318" t="s">
        <v>43</v>
      </c>
      <c r="G207" s="316"/>
      <c r="H207" s="316"/>
      <c r="I207" s="316"/>
      <c r="J207" s="316"/>
      <c r="K207" s="316"/>
      <c r="L207" s="101"/>
      <c r="M207" s="101"/>
      <c r="N207" s="101"/>
      <c r="O207" s="89"/>
      <c r="P207" s="89"/>
      <c r="Q207" s="487"/>
      <c r="R207" s="89"/>
      <c r="S207" s="88"/>
      <c r="T207" s="88"/>
      <c r="U207" s="88"/>
      <c r="V207" s="88"/>
      <c r="W207" s="88"/>
      <c r="X207" s="88"/>
      <c r="Y207" s="88"/>
    </row>
    <row r="208" spans="1:25" s="87" customFormat="1" ht="16.5" customHeight="1">
      <c r="A208" s="925"/>
      <c r="B208" s="97"/>
      <c r="C208" s="973"/>
      <c r="E208" s="204"/>
      <c r="F208" s="318" t="s">
        <v>45</v>
      </c>
      <c r="G208" s="316"/>
      <c r="H208" s="316"/>
      <c r="I208" s="316"/>
      <c r="J208" s="316"/>
      <c r="K208" s="316"/>
      <c r="L208" s="101"/>
      <c r="M208" s="101"/>
      <c r="N208" s="101"/>
      <c r="O208" s="89"/>
      <c r="P208" s="89"/>
      <c r="Q208" s="487"/>
      <c r="R208" s="89"/>
      <c r="S208" s="88"/>
      <c r="T208" s="88"/>
      <c r="U208" s="88"/>
      <c r="V208" s="88"/>
      <c r="W208" s="88"/>
      <c r="X208" s="88"/>
      <c r="Y208" s="88"/>
    </row>
    <row r="209" spans="1:26" s="96" customFormat="1" ht="6" customHeight="1">
      <c r="A209" s="925"/>
      <c r="B209" s="94"/>
      <c r="C209" s="973"/>
      <c r="D209" s="94"/>
      <c r="E209" s="339"/>
      <c r="F209" s="354"/>
      <c r="G209" s="355"/>
      <c r="H209" s="355"/>
      <c r="I209" s="355"/>
      <c r="J209" s="355"/>
      <c r="K209" s="356"/>
      <c r="L209" s="357"/>
      <c r="M209" s="95"/>
      <c r="N209" s="95"/>
      <c r="O209" s="95"/>
      <c r="P209" s="95"/>
      <c r="Q209" s="339"/>
      <c r="R209" s="95"/>
      <c r="S209" s="94"/>
      <c r="T209" s="94"/>
      <c r="U209" s="94"/>
      <c r="V209" s="94"/>
      <c r="W209" s="94"/>
      <c r="X209" s="94"/>
      <c r="Y209" s="94"/>
      <c r="Z209" s="94"/>
    </row>
    <row r="210" spans="1:25" s="87" customFormat="1" ht="16.5" customHeight="1">
      <c r="A210" s="925"/>
      <c r="B210" s="97"/>
      <c r="C210" s="973"/>
      <c r="E210" s="522"/>
      <c r="F210" s="318" t="s">
        <v>42</v>
      </c>
      <c r="G210" s="316"/>
      <c r="H210" s="316"/>
      <c r="I210" s="316"/>
      <c r="J210" s="316"/>
      <c r="K210" s="316"/>
      <c r="L210" s="316"/>
      <c r="M210" s="316"/>
      <c r="N210" s="316"/>
      <c r="O210" s="316"/>
      <c r="P210" s="316"/>
      <c r="Q210" s="487"/>
      <c r="R210" s="89"/>
      <c r="S210" s="88"/>
      <c r="T210" s="88"/>
      <c r="U210" s="88"/>
      <c r="V210" s="88"/>
      <c r="W210" s="88"/>
      <c r="X210" s="88"/>
      <c r="Y210" s="88"/>
    </row>
    <row r="211" spans="1:25" s="87" customFormat="1" ht="16.5" customHeight="1">
      <c r="A211" s="925"/>
      <c r="B211" s="97"/>
      <c r="C211" s="973"/>
      <c r="E211" s="522"/>
      <c r="F211" s="318"/>
      <c r="G211" s="316"/>
      <c r="H211" s="316"/>
      <c r="I211" s="316"/>
      <c r="J211" s="316"/>
      <c r="K211" s="316"/>
      <c r="L211" s="316"/>
      <c r="M211" s="316"/>
      <c r="N211" s="316"/>
      <c r="O211" s="316"/>
      <c r="P211" s="316"/>
      <c r="Q211" s="487"/>
      <c r="R211" s="89"/>
      <c r="S211" s="88"/>
      <c r="T211" s="88"/>
      <c r="U211" s="88"/>
      <c r="V211" s="88"/>
      <c r="W211" s="88"/>
      <c r="X211" s="88"/>
      <c r="Y211" s="88"/>
    </row>
    <row r="212" spans="1:25" s="87" customFormat="1" ht="16.5" customHeight="1">
      <c r="A212" s="925"/>
      <c r="B212" s="97"/>
      <c r="C212" s="973"/>
      <c r="E212" s="521" t="s">
        <v>123</v>
      </c>
      <c r="F212" s="318" t="s">
        <v>226</v>
      </c>
      <c r="G212" s="316"/>
      <c r="H212" s="316"/>
      <c r="I212" s="316"/>
      <c r="J212" s="316"/>
      <c r="K212" s="316"/>
      <c r="L212" s="316"/>
      <c r="M212" s="316"/>
      <c r="N212" s="316"/>
      <c r="O212" s="316"/>
      <c r="P212" s="316"/>
      <c r="Q212" s="487"/>
      <c r="R212" s="89"/>
      <c r="S212" s="88"/>
      <c r="T212" s="88"/>
      <c r="U212" s="88"/>
      <c r="V212" s="88"/>
      <c r="W212" s="88"/>
      <c r="X212" s="88"/>
      <c r="Y212" s="88"/>
    </row>
    <row r="213" spans="1:25" s="87" customFormat="1" ht="16.5" customHeight="1">
      <c r="A213" s="925"/>
      <c r="B213" s="97"/>
      <c r="C213" s="973"/>
      <c r="E213" s="523" t="s">
        <v>201</v>
      </c>
      <c r="F213" s="316"/>
      <c r="G213" s="316"/>
      <c r="H213" s="316"/>
      <c r="I213" s="316"/>
      <c r="J213" s="316"/>
      <c r="K213" s="316"/>
      <c r="L213" s="316"/>
      <c r="M213" s="316"/>
      <c r="N213" s="316"/>
      <c r="O213" s="316"/>
      <c r="P213" s="316"/>
      <c r="Q213" s="487"/>
      <c r="R213" s="88"/>
      <c r="S213" s="88"/>
      <c r="T213" s="88"/>
      <c r="U213" s="88"/>
      <c r="V213" s="88"/>
      <c r="W213" s="88"/>
      <c r="X213" s="88"/>
      <c r="Y213" s="88"/>
    </row>
    <row r="214" spans="1:25" s="87" customFormat="1" ht="16.5" customHeight="1">
      <c r="A214" s="925"/>
      <c r="B214" s="97"/>
      <c r="C214" s="973"/>
      <c r="E214" s="524" t="s">
        <v>650</v>
      </c>
      <c r="F214" s="510"/>
      <c r="G214" s="510"/>
      <c r="H214" s="510"/>
      <c r="I214" s="510"/>
      <c r="J214" s="510"/>
      <c r="K214" s="510"/>
      <c r="L214" s="510"/>
      <c r="M214" s="510"/>
      <c r="N214" s="510"/>
      <c r="O214" s="510"/>
      <c r="P214" s="510"/>
      <c r="Q214" s="487"/>
      <c r="R214" s="88"/>
      <c r="S214" s="88"/>
      <c r="T214" s="88"/>
      <c r="U214" s="88"/>
      <c r="V214" s="88"/>
      <c r="W214" s="88"/>
      <c r="X214" s="88"/>
      <c r="Y214" s="88"/>
    </row>
    <row r="215" spans="1:26" s="231" customFormat="1" ht="6" customHeight="1">
      <c r="A215" s="925"/>
      <c r="B215" s="95"/>
      <c r="C215" s="382"/>
      <c r="D215" s="95"/>
      <c r="E215" s="344"/>
      <c r="F215" s="344"/>
      <c r="G215" s="344"/>
      <c r="H215" s="344"/>
      <c r="I215" s="344"/>
      <c r="J215" s="344"/>
      <c r="K215" s="846"/>
      <c r="L215" s="344"/>
      <c r="M215" s="344"/>
      <c r="N215" s="344"/>
      <c r="O215" s="344"/>
      <c r="P215" s="344"/>
      <c r="Q215" s="95"/>
      <c r="R215" s="95"/>
      <c r="S215" s="95"/>
      <c r="T215" s="95"/>
      <c r="U215" s="95"/>
      <c r="V215" s="95"/>
      <c r="W215" s="95"/>
      <c r="X215" s="95"/>
      <c r="Y215" s="95"/>
      <c r="Z215" s="95"/>
    </row>
    <row r="216" spans="1:26" s="96" customFormat="1" ht="6" customHeight="1">
      <c r="A216" s="925"/>
      <c r="B216" s="94"/>
      <c r="C216" s="105"/>
      <c r="D216" s="94"/>
      <c r="E216" s="94"/>
      <c r="F216" s="94"/>
      <c r="G216" s="94"/>
      <c r="H216" s="94"/>
      <c r="I216" s="94"/>
      <c r="J216" s="94"/>
      <c r="K216" s="94"/>
      <c r="L216" s="94"/>
      <c r="M216" s="94"/>
      <c r="N216" s="94"/>
      <c r="O216" s="94"/>
      <c r="P216" s="94"/>
      <c r="Q216" s="95"/>
      <c r="R216" s="94"/>
      <c r="S216" s="94"/>
      <c r="T216" s="94"/>
      <c r="U216" s="94"/>
      <c r="V216" s="94"/>
      <c r="W216" s="94"/>
      <c r="X216" s="94"/>
      <c r="Y216" s="94"/>
      <c r="Z216" s="94"/>
    </row>
    <row r="217" spans="1:25" s="87" customFormat="1" ht="15.75" customHeight="1">
      <c r="A217" s="925"/>
      <c r="B217" s="97"/>
      <c r="C217" s="105"/>
      <c r="D217" s="98"/>
      <c r="E217" s="907" t="s">
        <v>622</v>
      </c>
      <c r="F217" s="908"/>
      <c r="G217" s="908"/>
      <c r="H217" s="908"/>
      <c r="I217" s="908"/>
      <c r="J217" s="908"/>
      <c r="K217" s="908"/>
      <c r="L217" s="908"/>
      <c r="M217" s="908"/>
      <c r="N217" s="908"/>
      <c r="O217" s="908"/>
      <c r="P217" s="908"/>
      <c r="Q217" s="908"/>
      <c r="R217" s="908"/>
      <c r="S217" s="88"/>
      <c r="T217" s="88"/>
      <c r="U217" s="88"/>
      <c r="V217" s="88"/>
      <c r="W217" s="88"/>
      <c r="X217" s="88"/>
      <c r="Y217" s="88"/>
    </row>
    <row r="218" spans="1:26" s="96" customFormat="1" ht="3.75" customHeight="1">
      <c r="A218" s="925"/>
      <c r="B218" s="94"/>
      <c r="C218" s="105"/>
      <c r="D218" s="94"/>
      <c r="E218" s="94"/>
      <c r="F218" s="94"/>
      <c r="G218" s="94"/>
      <c r="H218" s="94"/>
      <c r="I218" s="94"/>
      <c r="J218" s="94"/>
      <c r="K218" s="94"/>
      <c r="L218" s="94"/>
      <c r="M218" s="94"/>
      <c r="N218" s="94"/>
      <c r="O218" s="94"/>
      <c r="P218" s="94"/>
      <c r="Q218" s="95"/>
      <c r="R218" s="94"/>
      <c r="S218" s="94"/>
      <c r="T218" s="94"/>
      <c r="U218" s="94"/>
      <c r="V218" s="94"/>
      <c r="W218" s="94"/>
      <c r="X218" s="94"/>
      <c r="Y218" s="94"/>
      <c r="Z218" s="94"/>
    </row>
    <row r="219" spans="1:26" s="96" customFormat="1" ht="3" customHeight="1">
      <c r="A219" s="106"/>
      <c r="B219" s="94"/>
      <c r="C219" s="105"/>
      <c r="D219" s="94"/>
      <c r="E219" s="94"/>
      <c r="F219" s="94"/>
      <c r="G219" s="94"/>
      <c r="H219" s="94"/>
      <c r="I219" s="94"/>
      <c r="J219" s="94"/>
      <c r="K219" s="94"/>
      <c r="L219" s="94"/>
      <c r="M219" s="94"/>
      <c r="N219" s="94"/>
      <c r="O219" s="94"/>
      <c r="P219" s="94"/>
      <c r="Q219" s="95"/>
      <c r="R219" s="94"/>
      <c r="S219" s="94"/>
      <c r="T219" s="94"/>
      <c r="U219" s="94"/>
      <c r="V219" s="94"/>
      <c r="W219" s="94"/>
      <c r="X219" s="94"/>
      <c r="Y219" s="94"/>
      <c r="Z219" s="94"/>
    </row>
    <row r="220" spans="1:25" s="87" customFormat="1" ht="17.25" customHeight="1">
      <c r="A220" s="937" t="s">
        <v>346</v>
      </c>
      <c r="C220" s="938"/>
      <c r="E220" s="195" t="s">
        <v>576</v>
      </c>
      <c r="F220" s="196"/>
      <c r="G220" s="196"/>
      <c r="H220" s="196"/>
      <c r="I220" s="196"/>
      <c r="J220" s="196"/>
      <c r="K220" s="196"/>
      <c r="L220" s="196"/>
      <c r="M220" s="196"/>
      <c r="N220" s="196"/>
      <c r="O220" s="299"/>
      <c r="P220" s="299"/>
      <c r="Q220" s="487"/>
      <c r="R220" s="88"/>
      <c r="S220" s="88"/>
      <c r="T220" s="88"/>
      <c r="U220" s="88"/>
      <c r="V220" s="88"/>
      <c r="W220" s="88"/>
      <c r="X220" s="88"/>
      <c r="Y220" s="88"/>
    </row>
    <row r="221" spans="1:25" s="87" customFormat="1" ht="17.25" customHeight="1">
      <c r="A221" s="937"/>
      <c r="C221" s="938"/>
      <c r="E221" s="327" t="s">
        <v>238</v>
      </c>
      <c r="F221" s="101"/>
      <c r="G221" s="101"/>
      <c r="H221" s="101"/>
      <c r="I221" s="101"/>
      <c r="J221" s="101"/>
      <c r="K221" s="101"/>
      <c r="L221" s="101"/>
      <c r="M221" s="101"/>
      <c r="N221" s="101"/>
      <c r="O221" s="89"/>
      <c r="P221" s="89"/>
      <c r="Q221" s="487"/>
      <c r="R221" s="88"/>
      <c r="S221" s="88"/>
      <c r="T221" s="88"/>
      <c r="U221" s="88"/>
      <c r="V221" s="88"/>
      <c r="W221" s="88"/>
      <c r="X221" s="88"/>
      <c r="Y221" s="88"/>
    </row>
    <row r="222" spans="1:25" s="87" customFormat="1" ht="17.25" customHeight="1">
      <c r="A222" s="937"/>
      <c r="C222" s="938"/>
      <c r="E222" s="327"/>
      <c r="F222" s="101"/>
      <c r="G222" s="101"/>
      <c r="H222" s="101"/>
      <c r="I222" s="101"/>
      <c r="J222" s="101"/>
      <c r="K222" s="101"/>
      <c r="L222" s="101"/>
      <c r="M222" s="101"/>
      <c r="N222" s="101"/>
      <c r="O222" s="89"/>
      <c r="P222" s="89"/>
      <c r="Q222" s="487"/>
      <c r="R222" s="88"/>
      <c r="S222" s="88"/>
      <c r="T222" s="88"/>
      <c r="U222" s="88"/>
      <c r="V222" s="88"/>
      <c r="W222" s="88"/>
      <c r="X222" s="88"/>
      <c r="Y222" s="88"/>
    </row>
    <row r="223" spans="1:25" s="87" customFormat="1" ht="17.25" customHeight="1">
      <c r="A223" s="937"/>
      <c r="C223" s="938"/>
      <c r="E223" s="525" t="s">
        <v>318</v>
      </c>
      <c r="F223" s="316"/>
      <c r="G223" s="316"/>
      <c r="H223" s="316"/>
      <c r="I223" s="316"/>
      <c r="J223" s="316"/>
      <c r="K223" s="316"/>
      <c r="L223" s="316"/>
      <c r="M223" s="316"/>
      <c r="N223" s="101"/>
      <c r="O223" s="89"/>
      <c r="P223" s="89"/>
      <c r="Q223" s="487"/>
      <c r="R223" s="88"/>
      <c r="S223" s="88"/>
      <c r="T223" s="88"/>
      <c r="U223" s="88"/>
      <c r="V223" s="88"/>
      <c r="W223" s="88"/>
      <c r="X223" s="88"/>
      <c r="Y223" s="88"/>
    </row>
    <row r="224" spans="1:25" s="87" customFormat="1" ht="33" customHeight="1" thickBot="1">
      <c r="A224" s="937"/>
      <c r="C224" s="938"/>
      <c r="E224" s="891" t="s">
        <v>436</v>
      </c>
      <c r="F224" s="892"/>
      <c r="G224" s="892"/>
      <c r="H224" s="892"/>
      <c r="I224" s="892"/>
      <c r="J224" s="892"/>
      <c r="K224" s="892"/>
      <c r="L224" s="892"/>
      <c r="M224" s="892"/>
      <c r="N224" s="892"/>
      <c r="O224" s="892"/>
      <c r="P224" s="893"/>
      <c r="Q224" s="488"/>
      <c r="R224" s="88"/>
      <c r="S224" s="88"/>
      <c r="T224" s="88"/>
      <c r="U224" s="88"/>
      <c r="V224" s="88"/>
      <c r="W224" s="88"/>
      <c r="X224" s="88"/>
      <c r="Y224" s="88"/>
    </row>
    <row r="225" spans="1:25" s="87" customFormat="1" ht="15.75" thickBot="1">
      <c r="A225" s="937"/>
      <c r="C225" s="938"/>
      <c r="E225" s="350" t="s">
        <v>459</v>
      </c>
      <c r="F225" s="971"/>
      <c r="G225" s="972"/>
      <c r="H225" s="972"/>
      <c r="I225" s="972"/>
      <c r="J225" s="972"/>
      <c r="K225" s="972"/>
      <c r="L225" s="101"/>
      <c r="M225" s="101"/>
      <c r="N225" s="101"/>
      <c r="O225" s="89"/>
      <c r="P225" s="89"/>
      <c r="Q225" s="487"/>
      <c r="R225" s="88"/>
      <c r="S225" s="88"/>
      <c r="T225" s="88"/>
      <c r="U225" s="88"/>
      <c r="V225" s="88"/>
      <c r="W225" s="88"/>
      <c r="X225" s="88"/>
      <c r="Y225" s="88"/>
    </row>
    <row r="226" spans="1:25" s="87" customFormat="1" ht="15">
      <c r="A226" s="937"/>
      <c r="C226" s="938"/>
      <c r="E226" s="325" t="s">
        <v>113</v>
      </c>
      <c r="F226" s="101"/>
      <c r="G226" s="101"/>
      <c r="H226" s="101"/>
      <c r="I226" s="101"/>
      <c r="J226" s="101"/>
      <c r="K226" s="101"/>
      <c r="L226" s="101"/>
      <c r="M226" s="101"/>
      <c r="N226" s="101"/>
      <c r="O226" s="89"/>
      <c r="P226" s="89"/>
      <c r="Q226" s="487"/>
      <c r="R226" s="88"/>
      <c r="S226" s="88"/>
      <c r="T226" s="88"/>
      <c r="U226" s="88"/>
      <c r="V226" s="88"/>
      <c r="W226" s="88"/>
      <c r="X226" s="88"/>
      <c r="Y226" s="88"/>
    </row>
    <row r="227" spans="1:25" s="87" customFormat="1" ht="16.5">
      <c r="A227" s="937"/>
      <c r="C227" s="938"/>
      <c r="E227" s="525"/>
      <c r="F227" s="316"/>
      <c r="G227" s="316"/>
      <c r="H227" s="316"/>
      <c r="I227" s="316"/>
      <c r="J227" s="316"/>
      <c r="K227" s="316"/>
      <c r="L227" s="316"/>
      <c r="M227" s="316"/>
      <c r="N227" s="316"/>
      <c r="O227" s="316"/>
      <c r="P227" s="89"/>
      <c r="Q227" s="487"/>
      <c r="R227" s="88"/>
      <c r="S227" s="88"/>
      <c r="T227" s="88"/>
      <c r="U227" s="88"/>
      <c r="V227" s="88"/>
      <c r="W227" s="88"/>
      <c r="X227" s="88"/>
      <c r="Y227" s="88"/>
    </row>
    <row r="228" spans="1:25" s="87" customFormat="1" ht="17.25" thickBot="1">
      <c r="A228" s="937"/>
      <c r="C228" s="938"/>
      <c r="E228" s="327" t="s">
        <v>46</v>
      </c>
      <c r="F228" s="101"/>
      <c r="G228" s="101"/>
      <c r="H228" s="101"/>
      <c r="I228" s="101"/>
      <c r="J228" s="101"/>
      <c r="K228" s="101"/>
      <c r="L228" s="101"/>
      <c r="M228" s="101"/>
      <c r="N228" s="101"/>
      <c r="O228" s="89"/>
      <c r="P228" s="89"/>
      <c r="Q228" s="487"/>
      <c r="R228" s="88"/>
      <c r="S228" s="88"/>
      <c r="T228" s="88"/>
      <c r="U228" s="88"/>
      <c r="V228" s="88"/>
      <c r="W228" s="88"/>
      <c r="X228" s="88"/>
      <c r="Y228" s="88"/>
    </row>
    <row r="229" spans="1:25" s="87" customFormat="1" ht="15.75" thickBot="1">
      <c r="A229" s="937"/>
      <c r="C229" s="938"/>
      <c r="E229" s="351">
        <v>0</v>
      </c>
      <c r="F229" s="331" t="s">
        <v>437</v>
      </c>
      <c r="G229" s="101"/>
      <c r="H229" s="101"/>
      <c r="I229" s="101"/>
      <c r="J229" s="101"/>
      <c r="K229" s="101"/>
      <c r="L229" s="101"/>
      <c r="M229" s="101"/>
      <c r="N229" s="101"/>
      <c r="O229" s="89"/>
      <c r="P229" s="89"/>
      <c r="Q229" s="487"/>
      <c r="R229" s="88"/>
      <c r="S229" s="88"/>
      <c r="T229" s="88"/>
      <c r="U229" s="88"/>
      <c r="V229" s="88"/>
      <c r="W229" s="88"/>
      <c r="X229" s="88"/>
      <c r="Y229" s="88"/>
    </row>
    <row r="230" spans="1:25" s="87" customFormat="1" ht="15">
      <c r="A230" s="937"/>
      <c r="C230" s="938"/>
      <c r="E230" s="329" t="s">
        <v>575</v>
      </c>
      <c r="F230" s="199"/>
      <c r="G230" s="199"/>
      <c r="H230" s="199"/>
      <c r="I230" s="199"/>
      <c r="J230" s="199"/>
      <c r="K230" s="199"/>
      <c r="L230" s="199"/>
      <c r="M230" s="199"/>
      <c r="N230" s="199"/>
      <c r="O230" s="295"/>
      <c r="P230" s="295"/>
      <c r="Q230" s="487"/>
      <c r="R230" s="88"/>
      <c r="S230" s="88"/>
      <c r="T230" s="88"/>
      <c r="U230" s="88"/>
      <c r="V230" s="88"/>
      <c r="W230" s="88"/>
      <c r="X230" s="88"/>
      <c r="Y230" s="88"/>
    </row>
    <row r="231" spans="1:25" s="87" customFormat="1" ht="16.5">
      <c r="A231" s="937"/>
      <c r="C231" s="938"/>
      <c r="E231" s="765" t="s">
        <v>710</v>
      </c>
      <c r="F231" s="101"/>
      <c r="G231" s="101"/>
      <c r="H231" s="101"/>
      <c r="I231" s="101"/>
      <c r="J231" s="101"/>
      <c r="K231" s="101"/>
      <c r="L231" s="101"/>
      <c r="M231" s="101"/>
      <c r="N231" s="101"/>
      <c r="O231" s="89"/>
      <c r="P231" s="89"/>
      <c r="Q231" s="487"/>
      <c r="R231" s="88"/>
      <c r="S231" s="88"/>
      <c r="T231" s="88"/>
      <c r="U231" s="88"/>
      <c r="V231" s="88"/>
      <c r="W231" s="88"/>
      <c r="X231" s="88"/>
      <c r="Y231" s="88"/>
    </row>
    <row r="232" spans="1:25" s="87" customFormat="1" ht="16.5">
      <c r="A232" s="937"/>
      <c r="C232" s="938"/>
      <c r="E232" s="765" t="s">
        <v>49</v>
      </c>
      <c r="F232" s="101"/>
      <c r="G232" s="101"/>
      <c r="H232" s="101"/>
      <c r="I232" s="101"/>
      <c r="J232" s="101"/>
      <c r="K232" s="101"/>
      <c r="L232" s="101"/>
      <c r="M232" s="101"/>
      <c r="N232" s="101"/>
      <c r="O232" s="89"/>
      <c r="P232" s="89"/>
      <c r="Q232" s="487"/>
      <c r="R232" s="88"/>
      <c r="S232" s="88"/>
      <c r="T232" s="88"/>
      <c r="U232" s="88"/>
      <c r="V232" s="88"/>
      <c r="W232" s="88"/>
      <c r="X232" s="88"/>
      <c r="Y232" s="88"/>
    </row>
    <row r="233" spans="1:25" s="87" customFormat="1" ht="17.25" thickBot="1">
      <c r="A233" s="937"/>
      <c r="C233" s="938"/>
      <c r="E233" s="765" t="s">
        <v>235</v>
      </c>
      <c r="F233" s="101"/>
      <c r="G233" s="101"/>
      <c r="H233" s="101"/>
      <c r="I233" s="101"/>
      <c r="J233" s="101"/>
      <c r="K233" s="101"/>
      <c r="L233" s="101"/>
      <c r="M233" s="101"/>
      <c r="N233" s="101"/>
      <c r="O233" s="89"/>
      <c r="P233" s="89"/>
      <c r="Q233" s="487"/>
      <c r="R233" s="88"/>
      <c r="S233" s="88"/>
      <c r="T233" s="88"/>
      <c r="U233" s="88"/>
      <c r="V233" s="88"/>
      <c r="W233" s="88"/>
      <c r="X233" s="88"/>
      <c r="Y233" s="88"/>
    </row>
    <row r="234" spans="1:25" s="87" customFormat="1" ht="15.75" thickBot="1">
      <c r="A234" s="937"/>
      <c r="C234" s="938"/>
      <c r="E234" s="358" t="s">
        <v>183</v>
      </c>
      <c r="F234" s="108"/>
      <c r="G234" s="108" t="s">
        <v>514</v>
      </c>
      <c r="H234" s="109" t="s">
        <v>121</v>
      </c>
      <c r="I234" s="110"/>
      <c r="J234" s="107" t="s">
        <v>183</v>
      </c>
      <c r="K234" s="108"/>
      <c r="L234" s="108" t="s">
        <v>514</v>
      </c>
      <c r="M234" s="109" t="s">
        <v>121</v>
      </c>
      <c r="N234" s="101"/>
      <c r="O234" s="89"/>
      <c r="P234" s="89"/>
      <c r="Q234" s="487"/>
      <c r="R234" s="88"/>
      <c r="S234" s="88"/>
      <c r="T234" s="88"/>
      <c r="U234" s="88"/>
      <c r="V234" s="88"/>
      <c r="W234" s="88"/>
      <c r="X234" s="88"/>
      <c r="Y234" s="88"/>
    </row>
    <row r="235" spans="1:25" s="87" customFormat="1" ht="30" customHeight="1" thickBot="1">
      <c r="A235" s="937"/>
      <c r="C235" s="938"/>
      <c r="E235" s="900" t="s">
        <v>651</v>
      </c>
      <c r="F235" s="903"/>
      <c r="G235" s="315">
        <v>0</v>
      </c>
      <c r="H235" s="117" t="s">
        <v>459</v>
      </c>
      <c r="I235" s="111"/>
      <c r="J235" s="911" t="s">
        <v>339</v>
      </c>
      <c r="K235" s="912"/>
      <c r="L235" s="321">
        <v>0</v>
      </c>
      <c r="M235" s="119" t="s">
        <v>459</v>
      </c>
      <c r="N235" s="101"/>
      <c r="O235" s="89"/>
      <c r="P235" s="89"/>
      <c r="Q235" s="487"/>
      <c r="R235" s="88"/>
      <c r="S235" s="88"/>
      <c r="T235" s="88"/>
      <c r="U235" s="88"/>
      <c r="V235" s="88"/>
      <c r="W235" s="88"/>
      <c r="X235" s="88"/>
      <c r="Y235" s="88"/>
    </row>
    <row r="236" spans="1:25" s="87" customFormat="1" ht="30" customHeight="1" thickBot="1">
      <c r="A236" s="937"/>
      <c r="C236" s="938"/>
      <c r="E236" s="900" t="s">
        <v>711</v>
      </c>
      <c r="F236" s="903"/>
      <c r="G236" s="315">
        <v>0</v>
      </c>
      <c r="H236" s="117" t="s">
        <v>459</v>
      </c>
      <c r="I236" s="112"/>
      <c r="J236" s="978" t="s">
        <v>26</v>
      </c>
      <c r="K236" s="979"/>
      <c r="L236" s="490">
        <f>'3. Transportation &amp; Processing'!C17</f>
        <v>0</v>
      </c>
      <c r="M236" s="119" t="s">
        <v>459</v>
      </c>
      <c r="N236" s="101"/>
      <c r="O236" s="89"/>
      <c r="P236" s="89"/>
      <c r="Q236" s="487"/>
      <c r="R236" s="88"/>
      <c r="S236" s="88"/>
      <c r="T236" s="88"/>
      <c r="U236" s="88"/>
      <c r="V236" s="88"/>
      <c r="W236" s="88"/>
      <c r="X236" s="88"/>
      <c r="Y236" s="88"/>
    </row>
    <row r="237" spans="1:25" s="87" customFormat="1" ht="30" customHeight="1" thickBot="1">
      <c r="A237" s="937"/>
      <c r="C237" s="938"/>
      <c r="E237" s="900" t="s">
        <v>337</v>
      </c>
      <c r="F237" s="901"/>
      <c r="G237" s="315">
        <v>0</v>
      </c>
      <c r="H237" s="117" t="s">
        <v>459</v>
      </c>
      <c r="I237" s="112"/>
      <c r="J237" s="976" t="s">
        <v>84</v>
      </c>
      <c r="K237" s="977"/>
      <c r="L237" s="321">
        <v>0</v>
      </c>
      <c r="M237" s="119" t="s">
        <v>459</v>
      </c>
      <c r="N237" s="101"/>
      <c r="O237" s="89"/>
      <c r="P237" s="89"/>
      <c r="Q237" s="487"/>
      <c r="R237" s="88"/>
      <c r="S237" s="88"/>
      <c r="T237" s="88"/>
      <c r="U237" s="88"/>
      <c r="V237" s="88"/>
      <c r="W237" s="88"/>
      <c r="X237" s="88"/>
      <c r="Y237" s="88"/>
    </row>
    <row r="238" spans="1:25" s="87" customFormat="1" ht="30" customHeight="1" thickBot="1">
      <c r="A238" s="937"/>
      <c r="C238" s="938"/>
      <c r="E238" s="900" t="s">
        <v>338</v>
      </c>
      <c r="F238" s="903"/>
      <c r="G238" s="315">
        <v>0</v>
      </c>
      <c r="H238" s="117" t="s">
        <v>459</v>
      </c>
      <c r="I238" s="112"/>
      <c r="J238" s="974" t="s">
        <v>85</v>
      </c>
      <c r="K238" s="975"/>
      <c r="L238" s="490">
        <f>'3. Transportation &amp; Processing'!C19</f>
        <v>0</v>
      </c>
      <c r="M238" s="119" t="s">
        <v>459</v>
      </c>
      <c r="N238" s="101"/>
      <c r="O238" s="89"/>
      <c r="P238" s="89"/>
      <c r="Q238" s="487"/>
      <c r="R238" s="88"/>
      <c r="S238" s="88"/>
      <c r="T238" s="88"/>
      <c r="U238" s="88"/>
      <c r="V238" s="88"/>
      <c r="W238" s="88"/>
      <c r="X238" s="88"/>
      <c r="Y238" s="88"/>
    </row>
    <row r="239" spans="1:25" s="87" customFormat="1" ht="30" customHeight="1" thickBot="1">
      <c r="A239" s="937"/>
      <c r="C239" s="938"/>
      <c r="E239" s="900" t="s">
        <v>336</v>
      </c>
      <c r="F239" s="903"/>
      <c r="G239" s="315">
        <v>0</v>
      </c>
      <c r="H239" s="117" t="s">
        <v>459</v>
      </c>
      <c r="I239" s="112"/>
      <c r="J239" s="911" t="s">
        <v>559</v>
      </c>
      <c r="K239" s="912"/>
      <c r="L239" s="321">
        <v>0</v>
      </c>
      <c r="M239" s="119" t="s">
        <v>459</v>
      </c>
      <c r="N239" s="101"/>
      <c r="O239" s="89"/>
      <c r="P239" s="89"/>
      <c r="Q239" s="487"/>
      <c r="R239" s="88"/>
      <c r="S239" s="88"/>
      <c r="T239" s="88"/>
      <c r="U239" s="88"/>
      <c r="V239" s="88"/>
      <c r="W239" s="88"/>
      <c r="X239" s="88"/>
      <c r="Y239" s="88"/>
    </row>
    <row r="240" spans="1:25" s="87" customFormat="1" ht="30" customHeight="1" thickBot="1">
      <c r="A240" s="937"/>
      <c r="C240" s="938"/>
      <c r="E240" s="359" t="s">
        <v>185</v>
      </c>
      <c r="F240" s="122"/>
      <c r="G240" s="319">
        <v>0</v>
      </c>
      <c r="H240" s="119" t="s">
        <v>459</v>
      </c>
      <c r="I240" s="112"/>
      <c r="J240" s="902" t="s">
        <v>560</v>
      </c>
      <c r="K240" s="903"/>
      <c r="L240" s="322">
        <v>0</v>
      </c>
      <c r="M240" s="117" t="s">
        <v>459</v>
      </c>
      <c r="N240" s="101"/>
      <c r="O240" s="89"/>
      <c r="P240" s="89"/>
      <c r="Q240" s="487"/>
      <c r="R240" s="88"/>
      <c r="S240" s="88"/>
      <c r="T240" s="88"/>
      <c r="U240" s="88"/>
      <c r="V240" s="88"/>
      <c r="W240" s="88"/>
      <c r="X240" s="88"/>
      <c r="Y240" s="88"/>
    </row>
    <row r="241" spans="1:25" s="87" customFormat="1" ht="30" customHeight="1" thickBot="1">
      <c r="A241" s="937"/>
      <c r="C241" s="938"/>
      <c r="E241" s="353" t="s">
        <v>652</v>
      </c>
      <c r="F241" s="181"/>
      <c r="G241" s="315">
        <v>0</v>
      </c>
      <c r="H241" s="117" t="s">
        <v>459</v>
      </c>
      <c r="I241" s="112"/>
      <c r="J241" s="902" t="s">
        <v>51</v>
      </c>
      <c r="K241" s="903"/>
      <c r="L241" s="322">
        <v>0</v>
      </c>
      <c r="M241" s="117" t="s">
        <v>459</v>
      </c>
      <c r="N241" s="101"/>
      <c r="O241" s="89"/>
      <c r="P241" s="89"/>
      <c r="Q241" s="487"/>
      <c r="R241" s="88"/>
      <c r="S241" s="88"/>
      <c r="T241" s="88"/>
      <c r="U241" s="88"/>
      <c r="V241" s="88"/>
      <c r="W241" s="88"/>
      <c r="X241" s="88"/>
      <c r="Y241" s="88"/>
    </row>
    <row r="242" spans="1:25" s="87" customFormat="1" ht="30" customHeight="1" thickBot="1">
      <c r="A242" s="937"/>
      <c r="C242" s="938"/>
      <c r="E242" s="353" t="s">
        <v>653</v>
      </c>
      <c r="F242" s="181"/>
      <c r="G242" s="315">
        <v>0</v>
      </c>
      <c r="H242" s="117" t="s">
        <v>459</v>
      </c>
      <c r="I242" s="112"/>
      <c r="J242" s="902" t="s">
        <v>561</v>
      </c>
      <c r="K242" s="903"/>
      <c r="L242" s="322">
        <v>0</v>
      </c>
      <c r="M242" s="117" t="s">
        <v>459</v>
      </c>
      <c r="N242" s="101"/>
      <c r="O242" s="89"/>
      <c r="P242" s="89"/>
      <c r="Q242" s="487"/>
      <c r="R242" s="88"/>
      <c r="S242" s="88"/>
      <c r="T242" s="88"/>
      <c r="U242" s="88"/>
      <c r="V242" s="88"/>
      <c r="W242" s="88"/>
      <c r="X242" s="88"/>
      <c r="Y242" s="88"/>
    </row>
    <row r="243" spans="1:25" s="87" customFormat="1" ht="30" customHeight="1" thickBot="1">
      <c r="A243" s="937"/>
      <c r="C243" s="938"/>
      <c r="E243" s="353" t="s">
        <v>538</v>
      </c>
      <c r="F243" s="181"/>
      <c r="G243" s="315">
        <v>0</v>
      </c>
      <c r="H243" s="117" t="s">
        <v>459</v>
      </c>
      <c r="I243" s="112"/>
      <c r="J243" s="902" t="s">
        <v>713</v>
      </c>
      <c r="K243" s="903"/>
      <c r="L243" s="322">
        <v>0</v>
      </c>
      <c r="M243" s="117" t="s">
        <v>459</v>
      </c>
      <c r="N243" s="101"/>
      <c r="O243" s="89"/>
      <c r="P243" s="89"/>
      <c r="Q243" s="487"/>
      <c r="R243" s="88"/>
      <c r="S243" s="88"/>
      <c r="T243" s="88"/>
      <c r="U243" s="88"/>
      <c r="V243" s="88"/>
      <c r="W243" s="88"/>
      <c r="X243" s="88"/>
      <c r="Y243" s="88"/>
    </row>
    <row r="244" spans="1:25" s="87" customFormat="1" ht="30" customHeight="1" thickBot="1">
      <c r="A244" s="937"/>
      <c r="C244" s="938"/>
      <c r="E244" s="900" t="s">
        <v>654</v>
      </c>
      <c r="F244" s="903"/>
      <c r="G244" s="315">
        <v>0</v>
      </c>
      <c r="H244" s="117" t="s">
        <v>459</v>
      </c>
      <c r="I244" s="112"/>
      <c r="J244" s="902" t="s">
        <v>712</v>
      </c>
      <c r="K244" s="903"/>
      <c r="L244" s="322">
        <v>0</v>
      </c>
      <c r="M244" s="117" t="s">
        <v>459</v>
      </c>
      <c r="N244" s="101"/>
      <c r="O244" s="89"/>
      <c r="P244" s="89"/>
      <c r="Q244" s="487"/>
      <c r="R244" s="88"/>
      <c r="S244" s="88"/>
      <c r="T244" s="88"/>
      <c r="U244" s="88"/>
      <c r="V244" s="88"/>
      <c r="W244" s="88"/>
      <c r="X244" s="88"/>
      <c r="Y244" s="88"/>
    </row>
    <row r="245" spans="1:25" s="87" customFormat="1" ht="30" customHeight="1" thickBot="1">
      <c r="A245" s="937"/>
      <c r="C245" s="938"/>
      <c r="E245" s="900" t="s">
        <v>541</v>
      </c>
      <c r="F245" s="903"/>
      <c r="G245" s="315">
        <v>0</v>
      </c>
      <c r="H245" s="117" t="s">
        <v>459</v>
      </c>
      <c r="I245" s="112"/>
      <c r="J245" s="902" t="s">
        <v>563</v>
      </c>
      <c r="K245" s="903"/>
      <c r="L245" s="322">
        <v>0</v>
      </c>
      <c r="M245" s="117" t="s">
        <v>459</v>
      </c>
      <c r="N245" s="101"/>
      <c r="O245" s="89"/>
      <c r="P245" s="89"/>
      <c r="Q245" s="487"/>
      <c r="R245" s="88"/>
      <c r="S245" s="88"/>
      <c r="T245" s="88"/>
      <c r="U245" s="88"/>
      <c r="V245" s="88"/>
      <c r="W245" s="88"/>
      <c r="X245" s="88"/>
      <c r="Y245" s="88"/>
    </row>
    <row r="246" spans="1:25" s="87" customFormat="1" ht="30" customHeight="1" thickBot="1">
      <c r="A246" s="937"/>
      <c r="C246" s="938"/>
      <c r="E246" s="900" t="s">
        <v>655</v>
      </c>
      <c r="F246" s="903"/>
      <c r="G246" s="315">
        <v>0</v>
      </c>
      <c r="H246" s="117" t="s">
        <v>459</v>
      </c>
      <c r="I246" s="112"/>
      <c r="J246" s="236" t="s">
        <v>186</v>
      </c>
      <c r="K246" s="122"/>
      <c r="L246" s="322">
        <v>0</v>
      </c>
      <c r="M246" s="117" t="s">
        <v>459</v>
      </c>
      <c r="N246" s="101"/>
      <c r="O246" s="89"/>
      <c r="P246" s="89"/>
      <c r="Q246" s="487"/>
      <c r="R246" s="88"/>
      <c r="S246" s="88"/>
      <c r="T246" s="88"/>
      <c r="U246" s="88"/>
      <c r="V246" s="88"/>
      <c r="W246" s="88"/>
      <c r="X246" s="88"/>
      <c r="Y246" s="88"/>
    </row>
    <row r="247" spans="1:25" s="87" customFormat="1" ht="30" customHeight="1" thickBot="1">
      <c r="A247" s="937"/>
      <c r="C247" s="938"/>
      <c r="E247" s="900" t="s">
        <v>656</v>
      </c>
      <c r="F247" s="903"/>
      <c r="G247" s="315">
        <v>0</v>
      </c>
      <c r="H247" s="117" t="s">
        <v>459</v>
      </c>
      <c r="I247" s="112"/>
      <c r="J247" s="236" t="s">
        <v>187</v>
      </c>
      <c r="K247" s="235"/>
      <c r="L247" s="322">
        <v>0</v>
      </c>
      <c r="M247" s="117" t="s">
        <v>459</v>
      </c>
      <c r="N247" s="101"/>
      <c r="O247" s="89"/>
      <c r="P247" s="89"/>
      <c r="Q247" s="487"/>
      <c r="R247" s="88"/>
      <c r="S247" s="88"/>
      <c r="T247" s="88"/>
      <c r="U247" s="88"/>
      <c r="V247" s="88"/>
      <c r="W247" s="88"/>
      <c r="X247" s="88"/>
      <c r="Y247" s="88"/>
    </row>
    <row r="248" spans="1:25" s="87" customFormat="1" ht="30" customHeight="1" thickBot="1">
      <c r="A248" s="937"/>
      <c r="C248" s="938"/>
      <c r="E248" s="968" t="s">
        <v>614</v>
      </c>
      <c r="F248" s="969"/>
      <c r="G248" s="315">
        <v>0</v>
      </c>
      <c r="H248" s="117" t="s">
        <v>459</v>
      </c>
      <c r="I248" s="112"/>
      <c r="J248" s="909" t="s">
        <v>659</v>
      </c>
      <c r="K248" s="910"/>
      <c r="L248" s="322">
        <v>0</v>
      </c>
      <c r="M248" s="117" t="s">
        <v>459</v>
      </c>
      <c r="N248" s="101"/>
      <c r="O248" s="89"/>
      <c r="P248" s="89"/>
      <c r="Q248" s="487"/>
      <c r="R248" s="88"/>
      <c r="S248" s="88"/>
      <c r="T248" s="88"/>
      <c r="U248" s="88"/>
      <c r="V248" s="88"/>
      <c r="W248" s="88"/>
      <c r="X248" s="88"/>
      <c r="Y248" s="88"/>
    </row>
    <row r="249" spans="1:25" s="87" customFormat="1" ht="30" customHeight="1" thickBot="1">
      <c r="A249" s="937"/>
      <c r="C249" s="938"/>
      <c r="E249" s="360" t="s">
        <v>657</v>
      </c>
      <c r="F249" s="237"/>
      <c r="G249" s="315">
        <v>0</v>
      </c>
      <c r="H249" s="117" t="s">
        <v>459</v>
      </c>
      <c r="I249" s="112"/>
      <c r="J249" s="902" t="s">
        <v>567</v>
      </c>
      <c r="K249" s="903"/>
      <c r="L249" s="322">
        <v>0</v>
      </c>
      <c r="M249" s="117" t="s">
        <v>459</v>
      </c>
      <c r="N249" s="101"/>
      <c r="O249" s="89"/>
      <c r="P249" s="89"/>
      <c r="Q249" s="487"/>
      <c r="R249" s="88"/>
      <c r="S249" s="88"/>
      <c r="T249" s="88"/>
      <c r="U249" s="88"/>
      <c r="V249" s="88"/>
      <c r="W249" s="88"/>
      <c r="X249" s="88"/>
      <c r="Y249" s="88"/>
    </row>
    <row r="250" spans="1:25" s="87" customFormat="1" ht="30" customHeight="1" thickBot="1">
      <c r="A250" s="937"/>
      <c r="C250" s="938"/>
      <c r="E250" s="900" t="s">
        <v>658</v>
      </c>
      <c r="F250" s="966"/>
      <c r="G250" s="320">
        <v>0</v>
      </c>
      <c r="H250" s="120" t="s">
        <v>459</v>
      </c>
      <c r="I250" s="112"/>
      <c r="J250" s="902" t="s">
        <v>568</v>
      </c>
      <c r="K250" s="967"/>
      <c r="L250" s="323">
        <v>0</v>
      </c>
      <c r="M250" s="117" t="s">
        <v>459</v>
      </c>
      <c r="N250" s="101"/>
      <c r="O250" s="89"/>
      <c r="P250" s="89"/>
      <c r="Q250" s="487"/>
      <c r="R250" s="88"/>
      <c r="S250" s="88"/>
      <c r="T250" s="88"/>
      <c r="U250" s="88"/>
      <c r="V250" s="88"/>
      <c r="W250" s="88"/>
      <c r="X250" s="88"/>
      <c r="Y250" s="88"/>
    </row>
    <row r="251" spans="1:25" s="87" customFormat="1" ht="30" customHeight="1" thickBot="1">
      <c r="A251" s="937"/>
      <c r="C251" s="938"/>
      <c r="E251" s="361" t="s">
        <v>344</v>
      </c>
      <c r="F251" s="121"/>
      <c r="G251" s="121"/>
      <c r="H251" s="117" t="s">
        <v>459</v>
      </c>
      <c r="I251" s="112"/>
      <c r="J251" s="113" t="s">
        <v>344</v>
      </c>
      <c r="K251" s="122"/>
      <c r="L251" s="121"/>
      <c r="M251" s="117" t="s">
        <v>459</v>
      </c>
      <c r="N251" s="101"/>
      <c r="O251" s="89"/>
      <c r="P251" s="89"/>
      <c r="Q251" s="487"/>
      <c r="R251" s="88"/>
      <c r="S251" s="88"/>
      <c r="T251" s="88"/>
      <c r="U251" s="88"/>
      <c r="V251" s="88"/>
      <c r="W251" s="88"/>
      <c r="X251" s="88"/>
      <c r="Y251" s="88"/>
    </row>
    <row r="252" spans="1:25" s="87" customFormat="1" ht="15" customHeight="1" thickBot="1">
      <c r="A252" s="937"/>
      <c r="C252" s="938"/>
      <c r="E252" s="962" t="s">
        <v>184</v>
      </c>
      <c r="F252" s="963"/>
      <c r="G252" s="963"/>
      <c r="H252" s="963"/>
      <c r="I252" s="103"/>
      <c r="J252" s="964">
        <f>SUMIF(H235:H251,"Yes",G235:G251)+SUMIF(M235:M251,"Yes",L235:L251)</f>
        <v>0</v>
      </c>
      <c r="K252" s="965"/>
      <c r="L252" s="99"/>
      <c r="M252" s="100"/>
      <c r="N252" s="101"/>
      <c r="O252" s="89"/>
      <c r="P252" s="89"/>
      <c r="Q252" s="487"/>
      <c r="R252" s="88"/>
      <c r="S252" s="88"/>
      <c r="T252" s="88"/>
      <c r="U252" s="88"/>
      <c r="V252" s="88"/>
      <c r="W252" s="88"/>
      <c r="X252" s="88"/>
      <c r="Y252" s="88"/>
    </row>
    <row r="253" spans="1:26" s="96" customFormat="1" ht="6" customHeight="1">
      <c r="A253" s="106"/>
      <c r="B253" s="94"/>
      <c r="C253" s="105"/>
      <c r="D253" s="94"/>
      <c r="E253" s="362"/>
      <c r="F253" s="326"/>
      <c r="G253" s="326"/>
      <c r="H253" s="326"/>
      <c r="I253" s="326"/>
      <c r="J253" s="326"/>
      <c r="K253" s="326"/>
      <c r="L253" s="326"/>
      <c r="M253" s="326"/>
      <c r="N253" s="326"/>
      <c r="O253" s="326"/>
      <c r="P253" s="326"/>
      <c r="Q253" s="339"/>
      <c r="R253" s="94"/>
      <c r="S253" s="94"/>
      <c r="T253" s="94"/>
      <c r="U253" s="94"/>
      <c r="V253" s="94"/>
      <c r="W253" s="94"/>
      <c r="X253" s="94"/>
      <c r="Y253" s="94"/>
      <c r="Z253" s="94"/>
    </row>
    <row r="254" spans="1:26" s="96" customFormat="1" ht="15.75" customHeight="1">
      <c r="A254" s="106"/>
      <c r="B254" s="94"/>
      <c r="C254" s="105"/>
      <c r="D254" s="94"/>
      <c r="E254" s="387" t="s">
        <v>131</v>
      </c>
      <c r="F254" s="95"/>
      <c r="G254" s="95"/>
      <c r="H254" s="95"/>
      <c r="I254" s="95"/>
      <c r="J254" s="95"/>
      <c r="K254" s="95"/>
      <c r="L254" s="95"/>
      <c r="M254" s="95"/>
      <c r="N254" s="95"/>
      <c r="O254" s="95"/>
      <c r="P254" s="95"/>
      <c r="Q254" s="339"/>
      <c r="R254" s="94"/>
      <c r="S254" s="94"/>
      <c r="T254" s="94"/>
      <c r="U254" s="94"/>
      <c r="V254" s="94"/>
      <c r="W254" s="94"/>
      <c r="X254" s="94"/>
      <c r="Y254" s="94"/>
      <c r="Z254" s="94"/>
    </row>
    <row r="255" spans="1:26" s="96" customFormat="1" ht="1.5" customHeight="1">
      <c r="A255" s="106"/>
      <c r="B255" s="94"/>
      <c r="C255" s="105"/>
      <c r="D255" s="94"/>
      <c r="E255" s="339"/>
      <c r="F255" s="95"/>
      <c r="G255" s="95"/>
      <c r="H255" s="95"/>
      <c r="I255" s="95"/>
      <c r="J255" s="95"/>
      <c r="K255" s="95"/>
      <c r="L255" s="95"/>
      <c r="M255" s="95"/>
      <c r="N255" s="95"/>
      <c r="O255" s="95"/>
      <c r="P255" s="95"/>
      <c r="Q255" s="339"/>
      <c r="R255" s="94"/>
      <c r="S255" s="94"/>
      <c r="T255" s="94"/>
      <c r="U255" s="94"/>
      <c r="V255" s="94"/>
      <c r="W255" s="94"/>
      <c r="X255" s="94"/>
      <c r="Y255" s="94"/>
      <c r="Z255" s="94"/>
    </row>
    <row r="256" spans="3:19" s="87" customFormat="1" ht="17.25" customHeight="1" thickBot="1">
      <c r="C256" s="938" t="s">
        <v>345</v>
      </c>
      <c r="E256" s="503" t="s">
        <v>8</v>
      </c>
      <c r="F256" s="500"/>
      <c r="G256" s="500"/>
      <c r="H256" s="196"/>
      <c r="I256" s="196"/>
      <c r="J256" s="196"/>
      <c r="K256" s="196"/>
      <c r="L256" s="196"/>
      <c r="M256" s="196"/>
      <c r="N256" s="196"/>
      <c r="O256" s="299"/>
      <c r="P256" s="197"/>
      <c r="Q256" s="487"/>
      <c r="R256" s="88"/>
      <c r="S256" s="88"/>
    </row>
    <row r="257" spans="3:25" s="87" customFormat="1" ht="15.75" thickBot="1">
      <c r="C257" s="938"/>
      <c r="E257" s="328" t="s">
        <v>459</v>
      </c>
      <c r="F257" s="332" t="s">
        <v>120</v>
      </c>
      <c r="G257" s="123">
        <v>0</v>
      </c>
      <c r="H257" s="331" t="s">
        <v>221</v>
      </c>
      <c r="I257" s="333"/>
      <c r="J257" s="101"/>
      <c r="K257" s="101"/>
      <c r="L257" s="101"/>
      <c r="M257" s="101"/>
      <c r="N257" s="101"/>
      <c r="O257" s="89"/>
      <c r="P257" s="198"/>
      <c r="Q257" s="487"/>
      <c r="R257" s="88"/>
      <c r="S257" s="88"/>
      <c r="T257" s="88"/>
      <c r="U257" s="88"/>
      <c r="V257" s="88"/>
      <c r="W257" s="88"/>
      <c r="X257" s="88"/>
      <c r="Y257" s="88"/>
    </row>
    <row r="258" spans="3:25" s="87" customFormat="1" ht="15">
      <c r="C258" s="938"/>
      <c r="E258" s="329" t="s">
        <v>113</v>
      </c>
      <c r="F258" s="199"/>
      <c r="G258" s="335" t="s">
        <v>343</v>
      </c>
      <c r="H258" s="199"/>
      <c r="I258" s="199"/>
      <c r="J258" s="199"/>
      <c r="K258" s="199"/>
      <c r="L258" s="199"/>
      <c r="M258" s="199"/>
      <c r="N258" s="199"/>
      <c r="O258" s="295"/>
      <c r="P258" s="200"/>
      <c r="Q258" s="487"/>
      <c r="R258" s="88"/>
      <c r="S258" s="821"/>
      <c r="T258" s="88"/>
      <c r="U258" s="88"/>
      <c r="V258" s="88"/>
      <c r="W258" s="88"/>
      <c r="X258" s="88"/>
      <c r="Y258" s="88"/>
    </row>
    <row r="259" spans="3:25" s="87" customFormat="1" ht="15" customHeight="1" hidden="1">
      <c r="C259" s="938"/>
      <c r="E259" s="339"/>
      <c r="F259" s="101"/>
      <c r="G259" s="101"/>
      <c r="H259" s="101"/>
      <c r="I259" s="101"/>
      <c r="J259" s="101"/>
      <c r="K259" s="101"/>
      <c r="L259" s="101"/>
      <c r="M259" s="101"/>
      <c r="N259" s="101"/>
      <c r="O259" s="89"/>
      <c r="P259" s="89"/>
      <c r="Q259" s="198"/>
      <c r="R259" s="88"/>
      <c r="S259" s="88"/>
      <c r="T259" s="88"/>
      <c r="U259" s="88"/>
      <c r="V259" s="88"/>
      <c r="W259" s="88"/>
      <c r="X259" s="88"/>
      <c r="Y259" s="88"/>
    </row>
    <row r="260" spans="1:26" s="96" customFormat="1" ht="6" customHeight="1">
      <c r="A260" s="87"/>
      <c r="B260" s="94"/>
      <c r="C260" s="781"/>
      <c r="D260" s="94"/>
      <c r="E260" s="697"/>
      <c r="F260" s="519"/>
      <c r="G260" s="519"/>
      <c r="H260" s="519"/>
      <c r="I260" s="519"/>
      <c r="J260" s="519"/>
      <c r="K260" s="698"/>
      <c r="L260" s="519"/>
      <c r="M260" s="519"/>
      <c r="N260" s="519"/>
      <c r="O260" s="519"/>
      <c r="P260" s="699"/>
      <c r="Q260" s="95"/>
      <c r="R260" s="94"/>
      <c r="S260" s="94"/>
      <c r="T260" s="94"/>
      <c r="U260" s="94"/>
      <c r="V260" s="94"/>
      <c r="W260" s="94"/>
      <c r="X260" s="94"/>
      <c r="Y260" s="94"/>
      <c r="Z260" s="94"/>
    </row>
    <row r="261" spans="1:26" s="96" customFormat="1" ht="6" customHeight="1" thickBot="1">
      <c r="A261" s="87"/>
      <c r="B261" s="94"/>
      <c r="C261" s="495"/>
      <c r="D261" s="94"/>
      <c r="E261" s="779"/>
      <c r="F261" s="506"/>
      <c r="G261" s="506"/>
      <c r="H261" s="506"/>
      <c r="I261" s="506"/>
      <c r="J261" s="506"/>
      <c r="K261" s="507"/>
      <c r="L261" s="506"/>
      <c r="M261" s="506"/>
      <c r="N261" s="506"/>
      <c r="O261" s="506"/>
      <c r="P261" s="780"/>
      <c r="Q261" s="95"/>
      <c r="R261" s="94"/>
      <c r="S261" s="94"/>
      <c r="T261" s="94"/>
      <c r="U261" s="94"/>
      <c r="V261" s="94"/>
      <c r="W261" s="94"/>
      <c r="X261" s="94"/>
      <c r="Y261" s="94"/>
      <c r="Z261" s="94"/>
    </row>
    <row r="262" spans="1:26" s="96" customFormat="1" ht="17.25" customHeight="1" thickBot="1">
      <c r="A262" s="87"/>
      <c r="B262" s="94"/>
      <c r="C262" s="938" t="s">
        <v>325</v>
      </c>
      <c r="D262" s="94"/>
      <c r="E262" s="939" t="s">
        <v>434</v>
      </c>
      <c r="F262" s="940"/>
      <c r="G262" s="940"/>
      <c r="H262" s="940"/>
      <c r="I262" s="940"/>
      <c r="J262" s="941"/>
      <c r="K262" s="102">
        <f>'5. Digester Sizing'!C53</f>
        <v>0</v>
      </c>
      <c r="L262" s="436" t="s">
        <v>70</v>
      </c>
      <c r="M262" s="506"/>
      <c r="N262" s="506"/>
      <c r="O262" s="506"/>
      <c r="P262" s="780"/>
      <c r="Q262" s="95"/>
      <c r="R262" s="94"/>
      <c r="S262" s="94"/>
      <c r="T262" s="94"/>
      <c r="U262" s="94"/>
      <c r="V262" s="94"/>
      <c r="W262" s="94"/>
      <c r="X262" s="94"/>
      <c r="Y262" s="94"/>
      <c r="Z262" s="94"/>
    </row>
    <row r="263" spans="1:26" s="96" customFormat="1" ht="6" customHeight="1" thickBot="1">
      <c r="A263" s="87"/>
      <c r="B263" s="94"/>
      <c r="C263" s="949"/>
      <c r="D263" s="94"/>
      <c r="E263" s="339"/>
      <c r="F263" s="95"/>
      <c r="G263" s="95"/>
      <c r="H263" s="95"/>
      <c r="I263" s="95"/>
      <c r="J263" s="95"/>
      <c r="K263" s="370"/>
      <c r="L263" s="436"/>
      <c r="M263" s="506"/>
      <c r="N263" s="506"/>
      <c r="O263" s="506"/>
      <c r="P263" s="780"/>
      <c r="Q263" s="95"/>
      <c r="R263" s="94"/>
      <c r="S263" s="94"/>
      <c r="T263" s="94"/>
      <c r="U263" s="94"/>
      <c r="V263" s="94"/>
      <c r="W263" s="94"/>
      <c r="X263" s="94"/>
      <c r="Y263" s="94"/>
      <c r="Z263" s="94"/>
    </row>
    <row r="264" spans="1:26" s="96" customFormat="1" ht="17.25" customHeight="1" thickBot="1">
      <c r="A264" s="87"/>
      <c r="B264" s="94"/>
      <c r="C264" s="949"/>
      <c r="D264" s="94"/>
      <c r="E264" s="939" t="s">
        <v>433</v>
      </c>
      <c r="F264" s="940"/>
      <c r="G264" s="940"/>
      <c r="H264" s="940"/>
      <c r="I264" s="940"/>
      <c r="J264" s="941"/>
      <c r="K264" s="102">
        <f>'5. Digester Sizing'!E47</f>
        <v>0</v>
      </c>
      <c r="L264" s="436" t="s">
        <v>70</v>
      </c>
      <c r="M264" s="506"/>
      <c r="N264" s="506"/>
      <c r="O264" s="506"/>
      <c r="P264" s="780"/>
      <c r="Q264" s="95"/>
      <c r="R264" s="94"/>
      <c r="S264" s="94"/>
      <c r="T264" s="94"/>
      <c r="U264" s="94"/>
      <c r="V264" s="94"/>
      <c r="W264" s="94"/>
      <c r="X264" s="94"/>
      <c r="Y264" s="94"/>
      <c r="Z264" s="94"/>
    </row>
    <row r="265" spans="1:26" s="96" customFormat="1" ht="6" customHeight="1" thickBot="1">
      <c r="A265" s="87"/>
      <c r="B265" s="94"/>
      <c r="C265" s="949"/>
      <c r="D265" s="94"/>
      <c r="E265" s="339"/>
      <c r="F265" s="95"/>
      <c r="G265" s="95"/>
      <c r="H265" s="95"/>
      <c r="I265" s="95"/>
      <c r="J265" s="95"/>
      <c r="K265" s="370"/>
      <c r="L265" s="436"/>
      <c r="M265" s="506"/>
      <c r="N265" s="506"/>
      <c r="O265" s="506"/>
      <c r="P265" s="780"/>
      <c r="Q265" s="95"/>
      <c r="R265" s="94"/>
      <c r="S265" s="94"/>
      <c r="T265" s="94"/>
      <c r="U265" s="94"/>
      <c r="V265" s="94"/>
      <c r="W265" s="94"/>
      <c r="X265" s="94"/>
      <c r="Y265" s="94"/>
      <c r="Z265" s="94"/>
    </row>
    <row r="266" spans="1:26" s="96" customFormat="1" ht="17.25" customHeight="1" thickBot="1">
      <c r="A266" s="87"/>
      <c r="B266" s="94"/>
      <c r="C266" s="949"/>
      <c r="D266" s="94"/>
      <c r="E266" s="939" t="s">
        <v>714</v>
      </c>
      <c r="F266" s="940"/>
      <c r="G266" s="940"/>
      <c r="H266" s="940"/>
      <c r="I266" s="940"/>
      <c r="J266" s="941"/>
      <c r="K266" s="102">
        <f>'5. Digester Sizing'!C47</f>
        <v>0</v>
      </c>
      <c r="L266" s="436" t="s">
        <v>70</v>
      </c>
      <c r="M266" s="506"/>
      <c r="N266" s="506"/>
      <c r="O266" s="506"/>
      <c r="P266" s="780"/>
      <c r="Q266" s="95"/>
      <c r="R266" s="506"/>
      <c r="S266" s="94"/>
      <c r="T266" s="94"/>
      <c r="U266" s="94"/>
      <c r="V266" s="94"/>
      <c r="W266" s="94"/>
      <c r="X266" s="94"/>
      <c r="Y266" s="94"/>
      <c r="Z266" s="94"/>
    </row>
    <row r="267" spans="1:26" s="96" customFormat="1" ht="6" customHeight="1" thickBot="1">
      <c r="A267" s="87"/>
      <c r="B267" s="94"/>
      <c r="C267" s="949"/>
      <c r="D267" s="94"/>
      <c r="E267" s="339"/>
      <c r="F267" s="95"/>
      <c r="G267" s="95"/>
      <c r="H267" s="95"/>
      <c r="I267" s="95"/>
      <c r="J267" s="95"/>
      <c r="K267" s="820"/>
      <c r="L267" s="436"/>
      <c r="M267" s="506"/>
      <c r="N267" s="506"/>
      <c r="O267" s="506"/>
      <c r="P267" s="780"/>
      <c r="Q267" s="95"/>
      <c r="R267" s="506">
        <f>IF((K265+K267)&lt;K263,K263-K265,0)</f>
        <v>0</v>
      </c>
      <c r="S267" s="94"/>
      <c r="T267" s="94"/>
      <c r="U267" s="94"/>
      <c r="V267" s="94"/>
      <c r="W267" s="94"/>
      <c r="X267" s="94"/>
      <c r="Y267" s="94"/>
      <c r="Z267" s="94"/>
    </row>
    <row r="268" spans="1:26" s="96" customFormat="1" ht="17.25" customHeight="1" thickBot="1">
      <c r="A268" s="87"/>
      <c r="B268" s="94"/>
      <c r="C268" s="949"/>
      <c r="D268" s="94"/>
      <c r="E268" s="939" t="s">
        <v>715</v>
      </c>
      <c r="F268" s="940"/>
      <c r="G268" s="940"/>
      <c r="H268" s="940"/>
      <c r="I268" s="940"/>
      <c r="J268" s="941"/>
      <c r="K268" s="824">
        <f>IF(K264&lt;K262,K262-K264,0)</f>
        <v>0</v>
      </c>
      <c r="L268" s="436" t="s">
        <v>70</v>
      </c>
      <c r="M268" s="506"/>
      <c r="N268" s="506"/>
      <c r="O268" s="506"/>
      <c r="P268" s="780"/>
      <c r="Q268" s="95"/>
      <c r="R268" s="94"/>
      <c r="S268" s="94"/>
      <c r="T268" s="94"/>
      <c r="U268" s="94"/>
      <c r="V268" s="94"/>
      <c r="W268" s="94"/>
      <c r="X268" s="94"/>
      <c r="Y268" s="94"/>
      <c r="Z268" s="94"/>
    </row>
    <row r="269" spans="1:26" s="96" customFormat="1" ht="6" customHeight="1" thickBot="1">
      <c r="A269" s="87"/>
      <c r="B269" s="94"/>
      <c r="C269" s="949"/>
      <c r="D269" s="94"/>
      <c r="E269" s="339"/>
      <c r="F269" s="95"/>
      <c r="G269" s="95"/>
      <c r="H269" s="95"/>
      <c r="I269" s="95"/>
      <c r="J269" s="95"/>
      <c r="K269" s="507"/>
      <c r="L269" s="95"/>
      <c r="M269" s="506"/>
      <c r="N269" s="506"/>
      <c r="O269" s="506"/>
      <c r="P269" s="780"/>
      <c r="Q269" s="95"/>
      <c r="R269" s="94"/>
      <c r="S269" s="94"/>
      <c r="T269" s="94"/>
      <c r="U269" s="95"/>
      <c r="V269" s="94"/>
      <c r="W269" s="94"/>
      <c r="X269" s="94"/>
      <c r="Y269" s="94"/>
      <c r="Z269" s="94"/>
    </row>
    <row r="270" spans="1:26" s="96" customFormat="1" ht="17.25" customHeight="1" thickBot="1">
      <c r="A270" s="87"/>
      <c r="B270" s="94"/>
      <c r="C270" s="949"/>
      <c r="D270" s="94"/>
      <c r="E270" s="939" t="s">
        <v>716</v>
      </c>
      <c r="F270" s="940"/>
      <c r="G270" s="940"/>
      <c r="H270" s="940"/>
      <c r="I270" s="940"/>
      <c r="J270" s="941"/>
      <c r="K270" s="824">
        <f>IF(K268&lt;K266,ABS(K266-K268),0)</f>
        <v>0</v>
      </c>
      <c r="L270" s="436" t="s">
        <v>70</v>
      </c>
      <c r="M270" s="506"/>
      <c r="N270" s="506"/>
      <c r="O270" s="506"/>
      <c r="P270" s="780"/>
      <c r="Q270" s="95"/>
      <c r="R270" s="94"/>
      <c r="S270" s="94"/>
      <c r="T270" s="94"/>
      <c r="U270" s="94"/>
      <c r="V270" s="94"/>
      <c r="W270" s="94"/>
      <c r="X270" s="94"/>
      <c r="Y270" s="94"/>
      <c r="Z270" s="94"/>
    </row>
    <row r="271" spans="1:26" s="96" customFormat="1" ht="6" customHeight="1" thickBot="1">
      <c r="A271" s="87"/>
      <c r="B271" s="94"/>
      <c r="C271" s="949"/>
      <c r="D271" s="94"/>
      <c r="E271" s="339"/>
      <c r="F271" s="95"/>
      <c r="G271" s="95"/>
      <c r="H271" s="95"/>
      <c r="I271" s="95"/>
      <c r="J271" s="95"/>
      <c r="K271" s="820"/>
      <c r="L271" s="95"/>
      <c r="M271" s="506"/>
      <c r="N271" s="506"/>
      <c r="O271" s="506"/>
      <c r="P271" s="780"/>
      <c r="Q271" s="95"/>
      <c r="R271" s="94"/>
      <c r="S271" s="94"/>
      <c r="T271" s="94"/>
      <c r="U271" s="94"/>
      <c r="V271" s="94"/>
      <c r="W271" s="94"/>
      <c r="X271" s="94"/>
      <c r="Y271" s="94"/>
      <c r="Z271" s="94"/>
    </row>
    <row r="272" spans="1:26" s="96" customFormat="1" ht="17.25" customHeight="1" thickBot="1">
      <c r="A272" s="87"/>
      <c r="B272" s="94"/>
      <c r="C272" s="949"/>
      <c r="D272" s="94"/>
      <c r="E272" s="939" t="s">
        <v>28</v>
      </c>
      <c r="F272" s="940"/>
      <c r="G272" s="940"/>
      <c r="H272" s="940"/>
      <c r="I272" s="940"/>
      <c r="J272" s="941"/>
      <c r="K272" s="827">
        <f>IF('5. Digester Sizing'!C67&gt;0,'5. Digester Sizing'!C67,0)</f>
        <v>0</v>
      </c>
      <c r="L272" s="95"/>
      <c r="M272" s="506"/>
      <c r="N272" s="506"/>
      <c r="O272" s="506"/>
      <c r="P272" s="780"/>
      <c r="Q272" s="95"/>
      <c r="R272" s="94"/>
      <c r="S272" s="94"/>
      <c r="T272" s="94"/>
      <c r="U272" s="94"/>
      <c r="V272" s="94"/>
      <c r="W272" s="94"/>
      <c r="X272" s="94"/>
      <c r="Y272" s="94"/>
      <c r="Z272" s="94"/>
    </row>
    <row r="273" spans="1:26" s="96" customFormat="1" ht="6" customHeight="1" thickBot="1">
      <c r="A273" s="87"/>
      <c r="B273" s="94"/>
      <c r="C273" s="949"/>
      <c r="D273" s="94"/>
      <c r="E273" s="481"/>
      <c r="F273" s="95"/>
      <c r="G273" s="95"/>
      <c r="H273" s="95"/>
      <c r="I273" s="95"/>
      <c r="J273" s="95"/>
      <c r="K273" s="370"/>
      <c r="L273" s="95"/>
      <c r="M273" s="506"/>
      <c r="N273" s="506"/>
      <c r="O273" s="506"/>
      <c r="P273" s="780"/>
      <c r="Q273" s="95"/>
      <c r="R273" s="94"/>
      <c r="S273" s="94"/>
      <c r="T273" s="94"/>
      <c r="U273" s="94"/>
      <c r="V273" s="94"/>
      <c r="W273" s="94"/>
      <c r="X273" s="94"/>
      <c r="Y273" s="94"/>
      <c r="Z273" s="94"/>
    </row>
    <row r="274" spans="2:25" s="87" customFormat="1" ht="17.25" customHeight="1">
      <c r="B274" s="97"/>
      <c r="C274" s="949"/>
      <c r="D274" s="97"/>
      <c r="E274" s="1002" t="s">
        <v>234</v>
      </c>
      <c r="F274" s="1003"/>
      <c r="G274" s="1003"/>
      <c r="H274" s="1003"/>
      <c r="I274" s="1003"/>
      <c r="J274" s="1004"/>
      <c r="K274" s="482">
        <f>IF(E225="Yes",((((PI()*G107*((E107/2)^2))*7.4805194805*E229)*K272)+J252),IF(E225="No",(K268*7.4805194805*E229*K272)+J252,G257*K272))</f>
        <v>0</v>
      </c>
      <c r="L274" s="700" t="s">
        <v>590</v>
      </c>
      <c r="M274" s="510"/>
      <c r="N274" s="510"/>
      <c r="O274" s="510"/>
      <c r="P274" s="819"/>
      <c r="Q274" s="89"/>
      <c r="R274" s="88"/>
      <c r="S274" s="88"/>
      <c r="T274" s="88"/>
      <c r="U274" s="88"/>
      <c r="V274" s="88"/>
      <c r="W274" s="88"/>
      <c r="X274" s="88"/>
      <c r="Y274" s="88"/>
    </row>
    <row r="275" spans="1:26" s="96" customFormat="1" ht="6" customHeight="1">
      <c r="A275" s="87"/>
      <c r="B275" s="94"/>
      <c r="C275" s="105"/>
      <c r="D275" s="94"/>
      <c r="E275" s="94"/>
      <c r="F275" s="94"/>
      <c r="G275" s="94"/>
      <c r="H275" s="94"/>
      <c r="I275" s="94"/>
      <c r="J275" s="94"/>
      <c r="K275" s="94"/>
      <c r="L275" s="94"/>
      <c r="M275" s="94"/>
      <c r="N275" s="94"/>
      <c r="O275" s="94"/>
      <c r="P275" s="94"/>
      <c r="Q275" s="95"/>
      <c r="R275" s="94"/>
      <c r="S275" s="94"/>
      <c r="T275" s="94"/>
      <c r="U275" s="94"/>
      <c r="V275" s="94"/>
      <c r="W275" s="94"/>
      <c r="X275" s="94"/>
      <c r="Y275" s="94"/>
      <c r="Z275" s="94"/>
    </row>
    <row r="276" spans="1:25" s="87" customFormat="1" ht="15">
      <c r="A276" s="106"/>
      <c r="O276" s="88"/>
      <c r="P276" s="88"/>
      <c r="Q276" s="88"/>
      <c r="R276" s="88"/>
      <c r="S276" s="88"/>
      <c r="T276" s="88"/>
      <c r="U276" s="88"/>
      <c r="V276" s="88"/>
      <c r="W276" s="88"/>
      <c r="X276" s="88"/>
      <c r="Y276" s="88"/>
    </row>
    <row r="277" spans="1:26" s="96" customFormat="1" ht="42.75" customHeight="1">
      <c r="A277" s="925" t="s">
        <v>265</v>
      </c>
      <c r="B277" s="94"/>
      <c r="C277" s="881" t="s">
        <v>261</v>
      </c>
      <c r="D277" s="881"/>
      <c r="E277" s="881"/>
      <c r="F277" s="881"/>
      <c r="G277" s="881"/>
      <c r="H277" s="881"/>
      <c r="I277" s="881"/>
      <c r="J277" s="881"/>
      <c r="K277" s="881"/>
      <c r="L277" s="881"/>
      <c r="M277" s="881"/>
      <c r="N277" s="881"/>
      <c r="O277" s="881"/>
      <c r="P277" s="881"/>
      <c r="Q277" s="489"/>
      <c r="R277" s="94"/>
      <c r="S277" s="94"/>
      <c r="T277" s="94"/>
      <c r="U277" s="94"/>
      <c r="V277" s="94"/>
      <c r="W277" s="94"/>
      <c r="X277" s="94"/>
      <c r="Y277" s="94"/>
      <c r="Z277" s="94"/>
    </row>
    <row r="278" spans="1:26" s="96" customFormat="1" ht="6" customHeight="1">
      <c r="A278" s="925"/>
      <c r="B278" s="94"/>
      <c r="C278" s="94"/>
      <c r="D278" s="94"/>
      <c r="E278" s="94"/>
      <c r="F278" s="94"/>
      <c r="G278" s="94"/>
      <c r="H278" s="94"/>
      <c r="I278" s="94"/>
      <c r="J278" s="94"/>
      <c r="K278" s="94"/>
      <c r="L278" s="94"/>
      <c r="M278" s="94"/>
      <c r="N278" s="94"/>
      <c r="O278" s="94"/>
      <c r="P278" s="94"/>
      <c r="Q278" s="95"/>
      <c r="R278" s="94"/>
      <c r="S278" s="94"/>
      <c r="T278" s="94"/>
      <c r="U278" s="94"/>
      <c r="V278" s="94"/>
      <c r="W278" s="94"/>
      <c r="X278" s="94"/>
      <c r="Y278" s="94"/>
      <c r="Z278" s="94"/>
    </row>
    <row r="279" spans="1:29" s="87" customFormat="1" ht="17.25" customHeight="1" thickBot="1">
      <c r="A279" s="925"/>
      <c r="B279" s="97"/>
      <c r="C279" s="906" t="s">
        <v>264</v>
      </c>
      <c r="D279" s="98"/>
      <c r="E279" s="202" t="s">
        <v>262</v>
      </c>
      <c r="F279" s="299"/>
      <c r="G279" s="299"/>
      <c r="H279" s="299"/>
      <c r="I279" s="299"/>
      <c r="J279" s="299"/>
      <c r="K279" s="299"/>
      <c r="L279" s="299"/>
      <c r="M279" s="299"/>
      <c r="N279" s="299"/>
      <c r="O279" s="299"/>
      <c r="P279" s="299"/>
      <c r="Q279" s="487"/>
      <c r="R279" s="101"/>
      <c r="S279" s="89"/>
      <c r="T279" s="89"/>
      <c r="U279" s="88"/>
      <c r="V279" s="88"/>
      <c r="W279" s="88"/>
      <c r="X279" s="88"/>
      <c r="Y279" s="88"/>
      <c r="Z279" s="88"/>
      <c r="AA279" s="88"/>
      <c r="AB279" s="88"/>
      <c r="AC279" s="88"/>
    </row>
    <row r="280" spans="1:29" s="87" customFormat="1" ht="15.75" thickBot="1">
      <c r="A280" s="925"/>
      <c r="B280" s="97"/>
      <c r="C280" s="906"/>
      <c r="D280" s="98"/>
      <c r="E280" s="392">
        <v>0</v>
      </c>
      <c r="F280" s="331" t="s">
        <v>263</v>
      </c>
      <c r="G280" s="101"/>
      <c r="H280" s="101"/>
      <c r="I280" s="101"/>
      <c r="J280" s="101"/>
      <c r="K280" s="101"/>
      <c r="L280" s="101"/>
      <c r="M280" s="101"/>
      <c r="N280" s="101"/>
      <c r="O280" s="101"/>
      <c r="P280" s="101"/>
      <c r="Q280" s="367"/>
      <c r="R280" s="101"/>
      <c r="S280" s="89"/>
      <c r="T280" s="89"/>
      <c r="U280" s="88"/>
      <c r="V280" s="88"/>
      <c r="W280" s="88"/>
      <c r="X280" s="88"/>
      <c r="Y280" s="88"/>
      <c r="Z280" s="88"/>
      <c r="AA280" s="88"/>
      <c r="AB280" s="88"/>
      <c r="AC280" s="88"/>
    </row>
    <row r="281" spans="1:29" s="87" customFormat="1" ht="15">
      <c r="A281" s="925"/>
      <c r="B281" s="97"/>
      <c r="C281" s="906"/>
      <c r="D281" s="98"/>
      <c r="E281" s="394">
        <v>0</v>
      </c>
      <c r="F281" s="468" t="s">
        <v>280</v>
      </c>
      <c r="G281" s="199"/>
      <c r="H281" s="199"/>
      <c r="I281" s="199"/>
      <c r="J281" s="199"/>
      <c r="K281" s="199"/>
      <c r="L281" s="199"/>
      <c r="M281" s="199"/>
      <c r="N281" s="199"/>
      <c r="O281" s="199"/>
      <c r="P281" s="199"/>
      <c r="Q281" s="367"/>
      <c r="R281" s="101"/>
      <c r="S281" s="89"/>
      <c r="T281" s="89"/>
      <c r="U281" s="88"/>
      <c r="V281" s="88"/>
      <c r="W281" s="88"/>
      <c r="X281" s="88"/>
      <c r="Y281" s="88"/>
      <c r="Z281" s="88"/>
      <c r="AA281" s="88"/>
      <c r="AB281" s="88"/>
      <c r="AC281" s="88"/>
    </row>
    <row r="282" spans="1:29" s="87" customFormat="1" ht="15">
      <c r="A282" s="106"/>
      <c r="C282" s="395"/>
      <c r="F282" s="393"/>
      <c r="S282" s="88"/>
      <c r="T282" s="88"/>
      <c r="U282" s="88"/>
      <c r="V282" s="88"/>
      <c r="W282" s="88"/>
      <c r="X282" s="88"/>
      <c r="Y282" s="88"/>
      <c r="Z282" s="88"/>
      <c r="AA282" s="88"/>
      <c r="AB282" s="88"/>
      <c r="AC282" s="88"/>
    </row>
    <row r="283" spans="1:17" s="88" customFormat="1" ht="17.25" thickBot="1">
      <c r="A283" s="446"/>
      <c r="C283" s="904" t="s">
        <v>266</v>
      </c>
      <c r="D283" s="447"/>
      <c r="E283" s="202" t="s">
        <v>645</v>
      </c>
      <c r="F283" s="299"/>
      <c r="G283" s="299"/>
      <c r="H283" s="299"/>
      <c r="I283" s="299"/>
      <c r="J283" s="471" t="s">
        <v>555</v>
      </c>
      <c r="K283" s="299"/>
      <c r="L283" s="299"/>
      <c r="M283" s="299"/>
      <c r="N283" s="299"/>
      <c r="O283" s="299"/>
      <c r="P283" s="299"/>
      <c r="Q283" s="487"/>
    </row>
    <row r="284" spans="1:17" s="88" customFormat="1" ht="15.75" thickBot="1">
      <c r="A284" s="446"/>
      <c r="C284" s="904"/>
      <c r="D284" s="447"/>
      <c r="E284" s="449">
        <v>0</v>
      </c>
      <c r="F284" s="448" t="s">
        <v>109</v>
      </c>
      <c r="H284" s="89"/>
      <c r="I284" s="89"/>
      <c r="J284" s="769" t="s">
        <v>556</v>
      </c>
      <c r="K284" s="89"/>
      <c r="L284" s="89"/>
      <c r="M284" s="89"/>
      <c r="N284" s="89"/>
      <c r="O284" s="89"/>
      <c r="P284" s="89"/>
      <c r="Q284" s="487"/>
    </row>
    <row r="285" spans="1:17" s="88" customFormat="1" ht="15">
      <c r="A285" s="446"/>
      <c r="C285" s="904"/>
      <c r="D285" s="447"/>
      <c r="E285" s="469">
        <v>0</v>
      </c>
      <c r="F285" s="470" t="s">
        <v>406</v>
      </c>
      <c r="G285" s="346"/>
      <c r="H285" s="295"/>
      <c r="I285" s="295"/>
      <c r="J285" s="295"/>
      <c r="K285" s="295"/>
      <c r="L285" s="295"/>
      <c r="M285" s="295"/>
      <c r="N285" s="295"/>
      <c r="O285" s="295"/>
      <c r="P285" s="295"/>
      <c r="Q285" s="487"/>
    </row>
    <row r="286" spans="1:30" s="96" customFormat="1" ht="6" customHeight="1">
      <c r="A286" s="106"/>
      <c r="B286" s="94"/>
      <c r="C286" s="905"/>
      <c r="D286" s="94"/>
      <c r="E286" s="94"/>
      <c r="F286" s="94"/>
      <c r="G286" s="94"/>
      <c r="H286" s="94"/>
      <c r="I286" s="94"/>
      <c r="J286" s="94"/>
      <c r="K286" s="94"/>
      <c r="L286" s="94"/>
      <c r="M286" s="94"/>
      <c r="N286" s="94"/>
      <c r="O286" s="94"/>
      <c r="P286" s="94"/>
      <c r="Q286" s="94"/>
      <c r="R286" s="94"/>
      <c r="S286" s="94"/>
      <c r="T286" s="94"/>
      <c r="U286" s="95"/>
      <c r="V286" s="94"/>
      <c r="W286" s="94"/>
      <c r="X286" s="94"/>
      <c r="Y286" s="94"/>
      <c r="Z286" s="94"/>
      <c r="AA286" s="94"/>
      <c r="AB286" s="94"/>
      <c r="AC286" s="94"/>
      <c r="AD286" s="94"/>
    </row>
    <row r="287" spans="1:29" s="87" customFormat="1" ht="17.25" thickBot="1">
      <c r="A287" s="106"/>
      <c r="C287" s="905"/>
      <c r="D287" s="98"/>
      <c r="E287" s="202" t="s">
        <v>646</v>
      </c>
      <c r="F287" s="299"/>
      <c r="G287" s="299"/>
      <c r="H287" s="299"/>
      <c r="I287" s="299"/>
      <c r="J287" s="471" t="s">
        <v>555</v>
      </c>
      <c r="K287" s="196"/>
      <c r="L287" s="299"/>
      <c r="M287" s="299"/>
      <c r="N287" s="299"/>
      <c r="O287" s="299"/>
      <c r="P287" s="299"/>
      <c r="Q287" s="487"/>
      <c r="S287" s="88"/>
      <c r="T287" s="88"/>
      <c r="U287" s="88"/>
      <c r="V287" s="88"/>
      <c r="W287" s="88"/>
      <c r="X287" s="88"/>
      <c r="Y287" s="88"/>
      <c r="Z287" s="88"/>
      <c r="AA287" s="88"/>
      <c r="AB287" s="88"/>
      <c r="AC287" s="88"/>
    </row>
    <row r="288" spans="1:29" s="87" customFormat="1" ht="15.75" thickBot="1">
      <c r="A288" s="106"/>
      <c r="C288" s="905"/>
      <c r="D288" s="98"/>
      <c r="E288" s="455">
        <v>0</v>
      </c>
      <c r="F288" s="331" t="s">
        <v>37</v>
      </c>
      <c r="H288" s="101"/>
      <c r="I288" s="101"/>
      <c r="J288" s="770" t="s">
        <v>398</v>
      </c>
      <c r="K288" s="101"/>
      <c r="L288" s="101"/>
      <c r="M288" s="101"/>
      <c r="N288" s="101"/>
      <c r="O288" s="101"/>
      <c r="P288" s="101"/>
      <c r="Q288" s="367"/>
      <c r="S288" s="88"/>
      <c r="T288" s="88"/>
      <c r="U288" s="88"/>
      <c r="V288" s="88"/>
      <c r="W288" s="88"/>
      <c r="X288" s="88"/>
      <c r="Y288" s="88"/>
      <c r="Z288" s="88"/>
      <c r="AA288" s="88"/>
      <c r="AB288" s="88"/>
      <c r="AC288" s="88"/>
    </row>
    <row r="289" spans="1:17" s="88" customFormat="1" ht="15">
      <c r="A289" s="446"/>
      <c r="C289" s="905"/>
      <c r="D289" s="447"/>
      <c r="E289" s="469">
        <v>0</v>
      </c>
      <c r="F289" s="470" t="s">
        <v>406</v>
      </c>
      <c r="G289" s="346"/>
      <c r="H289" s="295"/>
      <c r="I289" s="295"/>
      <c r="J289" s="451" t="s">
        <v>397</v>
      </c>
      <c r="K289" s="295"/>
      <c r="L289" s="295"/>
      <c r="M289" s="295"/>
      <c r="N289" s="295"/>
      <c r="O289" s="295"/>
      <c r="P289" s="295"/>
      <c r="Q289" s="487"/>
    </row>
    <row r="290" spans="15:25" s="87" customFormat="1" ht="15">
      <c r="O290" s="88"/>
      <c r="P290" s="88"/>
      <c r="Q290" s="88"/>
      <c r="R290" s="88"/>
      <c r="S290" s="88"/>
      <c r="T290" s="88"/>
      <c r="U290" s="88"/>
      <c r="V290" s="88"/>
      <c r="W290" s="88"/>
      <c r="X290" s="88"/>
      <c r="Y290" s="88"/>
    </row>
    <row r="291" spans="6:25" s="87" customFormat="1" ht="15">
      <c r="F291" s="331"/>
      <c r="O291" s="88"/>
      <c r="P291" s="88"/>
      <c r="Q291" s="88"/>
      <c r="R291" s="88"/>
      <c r="S291" s="88"/>
      <c r="T291" s="88"/>
      <c r="U291" s="88"/>
      <c r="V291" s="88"/>
      <c r="W291" s="88"/>
      <c r="X291" s="88"/>
      <c r="Y291" s="88"/>
    </row>
    <row r="292" spans="15:25" s="87" customFormat="1" ht="15">
      <c r="O292" s="88"/>
      <c r="P292" s="88"/>
      <c r="Q292" s="88"/>
      <c r="R292" s="88"/>
      <c r="S292" s="88"/>
      <c r="T292" s="88"/>
      <c r="U292" s="88"/>
      <c r="V292" s="88"/>
      <c r="W292" s="88"/>
      <c r="X292" s="88"/>
      <c r="Y292" s="88"/>
    </row>
    <row r="293" spans="15:25" s="87" customFormat="1" ht="15">
      <c r="O293" s="88"/>
      <c r="P293" s="88"/>
      <c r="Q293" s="88"/>
      <c r="R293" s="88"/>
      <c r="S293" s="88"/>
      <c r="T293" s="88"/>
      <c r="U293" s="88"/>
      <c r="V293" s="88"/>
      <c r="W293" s="88"/>
      <c r="X293" s="88"/>
      <c r="Y293" s="88"/>
    </row>
    <row r="294" spans="15:25" s="87" customFormat="1" ht="15">
      <c r="O294" s="88"/>
      <c r="P294" s="88"/>
      <c r="Q294" s="88"/>
      <c r="R294" s="88"/>
      <c r="S294" s="88"/>
      <c r="T294" s="88"/>
      <c r="U294" s="88"/>
      <c r="V294" s="88"/>
      <c r="W294" s="88"/>
      <c r="X294" s="88"/>
      <c r="Y294" s="88"/>
    </row>
    <row r="295" spans="15:25" s="87" customFormat="1" ht="15">
      <c r="O295" s="88"/>
      <c r="P295" s="88"/>
      <c r="Q295" s="88"/>
      <c r="R295" s="88"/>
      <c r="S295" s="88"/>
      <c r="T295" s="88"/>
      <c r="U295" s="88"/>
      <c r="V295" s="88"/>
      <c r="W295" s="88"/>
      <c r="X295" s="88"/>
      <c r="Y295" s="88"/>
    </row>
    <row r="296" spans="15:25" s="87" customFormat="1" ht="15">
      <c r="O296" s="88"/>
      <c r="P296" s="88"/>
      <c r="Q296" s="88"/>
      <c r="R296" s="88"/>
      <c r="S296" s="88"/>
      <c r="T296" s="88"/>
      <c r="U296" s="88"/>
      <c r="V296" s="88"/>
      <c r="W296" s="88"/>
      <c r="X296" s="88"/>
      <c r="Y296" s="88"/>
    </row>
    <row r="297" spans="15:25" s="87" customFormat="1" ht="15">
      <c r="O297" s="88"/>
      <c r="P297" s="88"/>
      <c r="Q297" s="88"/>
      <c r="R297" s="88"/>
      <c r="S297" s="88"/>
      <c r="T297" s="88"/>
      <c r="U297" s="88"/>
      <c r="V297" s="88"/>
      <c r="W297" s="88"/>
      <c r="X297" s="88"/>
      <c r="Y297" s="88"/>
    </row>
    <row r="298" spans="15:25" s="87" customFormat="1" ht="15">
      <c r="O298" s="88"/>
      <c r="P298" s="88"/>
      <c r="Q298" s="88"/>
      <c r="R298" s="88"/>
      <c r="S298" s="88"/>
      <c r="T298" s="88"/>
      <c r="U298" s="88"/>
      <c r="V298" s="88"/>
      <c r="W298" s="88"/>
      <c r="X298" s="88"/>
      <c r="Y298" s="88"/>
    </row>
    <row r="299" spans="15:25" s="87" customFormat="1" ht="15">
      <c r="O299" s="88"/>
      <c r="P299" s="88"/>
      <c r="Q299" s="88"/>
      <c r="R299" s="88"/>
      <c r="S299" s="88"/>
      <c r="T299" s="88"/>
      <c r="U299" s="88"/>
      <c r="V299" s="88"/>
      <c r="W299" s="88"/>
      <c r="X299" s="88"/>
      <c r="Y299" s="88"/>
    </row>
    <row r="300" spans="15:25" s="87" customFormat="1" ht="15">
      <c r="O300" s="88"/>
      <c r="P300" s="88"/>
      <c r="Q300" s="88"/>
      <c r="R300" s="88"/>
      <c r="S300" s="88"/>
      <c r="T300" s="88"/>
      <c r="U300" s="88"/>
      <c r="V300" s="88"/>
      <c r="W300" s="88"/>
      <c r="X300" s="88"/>
      <c r="Y300" s="88"/>
    </row>
    <row r="301" spans="15:25" s="87" customFormat="1" ht="15">
      <c r="O301" s="88"/>
      <c r="P301" s="88"/>
      <c r="Q301" s="88"/>
      <c r="R301" s="88"/>
      <c r="S301" s="88"/>
      <c r="T301" s="88"/>
      <c r="U301" s="88"/>
      <c r="V301" s="88"/>
      <c r="W301" s="88"/>
      <c r="X301" s="88"/>
      <c r="Y301" s="88"/>
    </row>
    <row r="302" spans="15:25" s="87" customFormat="1" ht="15">
      <c r="O302" s="88"/>
      <c r="P302" s="88"/>
      <c r="Q302" s="88"/>
      <c r="R302" s="88"/>
      <c r="S302" s="88"/>
      <c r="T302" s="88"/>
      <c r="U302" s="88"/>
      <c r="V302" s="88"/>
      <c r="W302" s="88"/>
      <c r="X302" s="88"/>
      <c r="Y302" s="88"/>
    </row>
    <row r="303" spans="15:25" s="87" customFormat="1" ht="15">
      <c r="O303" s="88"/>
      <c r="P303" s="88"/>
      <c r="Q303" s="88"/>
      <c r="R303" s="88"/>
      <c r="S303" s="88"/>
      <c r="T303" s="88"/>
      <c r="U303" s="88"/>
      <c r="V303" s="88"/>
      <c r="W303" s="88"/>
      <c r="X303" s="88"/>
      <c r="Y303" s="88"/>
    </row>
    <row r="304" spans="15:25" s="87" customFormat="1" ht="15">
      <c r="O304" s="88"/>
      <c r="P304" s="88"/>
      <c r="Q304" s="88"/>
      <c r="R304" s="88"/>
      <c r="S304" s="88"/>
      <c r="T304" s="88"/>
      <c r="U304" s="88"/>
      <c r="V304" s="88"/>
      <c r="W304" s="88"/>
      <c r="X304" s="88"/>
      <c r="Y304" s="88"/>
    </row>
    <row r="305" spans="15:25" s="87" customFormat="1" ht="15">
      <c r="O305" s="88"/>
      <c r="P305" s="88"/>
      <c r="Q305" s="88"/>
      <c r="R305" s="88"/>
      <c r="S305" s="88"/>
      <c r="T305" s="88"/>
      <c r="U305" s="88"/>
      <c r="V305" s="88"/>
      <c r="W305" s="88"/>
      <c r="X305" s="88"/>
      <c r="Y305" s="88"/>
    </row>
    <row r="306" spans="15:25" s="87" customFormat="1" ht="15">
      <c r="O306" s="88"/>
      <c r="P306" s="88"/>
      <c r="Q306" s="88"/>
      <c r="R306" s="88"/>
      <c r="S306" s="88"/>
      <c r="T306" s="88"/>
      <c r="U306" s="88"/>
      <c r="V306" s="88"/>
      <c r="W306" s="88"/>
      <c r="X306" s="88"/>
      <c r="Y306" s="88"/>
    </row>
    <row r="307" spans="15:25" s="87" customFormat="1" ht="15">
      <c r="O307" s="88"/>
      <c r="P307" s="88"/>
      <c r="Q307" s="88"/>
      <c r="R307" s="88"/>
      <c r="S307" s="88"/>
      <c r="T307" s="88"/>
      <c r="U307" s="88"/>
      <c r="V307" s="88"/>
      <c r="W307" s="88"/>
      <c r="X307" s="88"/>
      <c r="Y307" s="88"/>
    </row>
    <row r="308" spans="15:25" s="87" customFormat="1" ht="15">
      <c r="O308" s="88"/>
      <c r="P308" s="88"/>
      <c r="Q308" s="88"/>
      <c r="R308" s="88"/>
      <c r="S308" s="88"/>
      <c r="T308" s="88"/>
      <c r="U308" s="88"/>
      <c r="V308" s="88"/>
      <c r="W308" s="88"/>
      <c r="X308" s="88"/>
      <c r="Y308" s="88"/>
    </row>
    <row r="309" spans="15:25" s="87" customFormat="1" ht="15">
      <c r="O309" s="88"/>
      <c r="P309" s="88"/>
      <c r="Q309" s="88"/>
      <c r="R309" s="88"/>
      <c r="S309" s="88"/>
      <c r="T309" s="88"/>
      <c r="U309" s="88"/>
      <c r="V309" s="88"/>
      <c r="W309" s="88"/>
      <c r="X309" s="88"/>
      <c r="Y309" s="88"/>
    </row>
    <row r="310" spans="15:25" s="87" customFormat="1" ht="15">
      <c r="O310" s="88"/>
      <c r="P310" s="88"/>
      <c r="Q310" s="88"/>
      <c r="R310" s="88"/>
      <c r="S310" s="88"/>
      <c r="T310" s="88"/>
      <c r="U310" s="88"/>
      <c r="V310" s="88"/>
      <c r="W310" s="88"/>
      <c r="X310" s="88"/>
      <c r="Y310" s="88"/>
    </row>
    <row r="311" spans="15:25" s="87" customFormat="1" ht="15">
      <c r="O311" s="88"/>
      <c r="P311" s="88"/>
      <c r="Q311" s="88"/>
      <c r="R311" s="88"/>
      <c r="S311" s="88"/>
      <c r="T311" s="88"/>
      <c r="U311" s="88"/>
      <c r="V311" s="88"/>
      <c r="W311" s="88"/>
      <c r="X311" s="88"/>
      <c r="Y311" s="88"/>
    </row>
    <row r="312" spans="15:25" s="87" customFormat="1" ht="15">
      <c r="O312" s="88"/>
      <c r="P312" s="88"/>
      <c r="Q312" s="88"/>
      <c r="R312" s="88"/>
      <c r="S312" s="88"/>
      <c r="T312" s="88"/>
      <c r="U312" s="88"/>
      <c r="V312" s="88"/>
      <c r="W312" s="88"/>
      <c r="X312" s="88"/>
      <c r="Y312" s="88"/>
    </row>
    <row r="313" spans="15:25" s="87" customFormat="1" ht="15">
      <c r="O313" s="88"/>
      <c r="P313" s="88"/>
      <c r="Q313" s="88"/>
      <c r="R313" s="88"/>
      <c r="S313" s="88"/>
      <c r="T313" s="88"/>
      <c r="U313" s="88"/>
      <c r="V313" s="88"/>
      <c r="W313" s="88"/>
      <c r="X313" s="88"/>
      <c r="Y313" s="88"/>
    </row>
    <row r="314" spans="15:25" s="87" customFormat="1" ht="15">
      <c r="O314" s="88"/>
      <c r="P314" s="88"/>
      <c r="Q314" s="88"/>
      <c r="R314" s="88"/>
      <c r="S314" s="88"/>
      <c r="T314" s="88"/>
      <c r="U314" s="88"/>
      <c r="V314" s="88"/>
      <c r="W314" s="88"/>
      <c r="X314" s="88"/>
      <c r="Y314" s="88"/>
    </row>
    <row r="315" spans="15:25" s="87" customFormat="1" ht="15">
      <c r="O315" s="88"/>
      <c r="P315" s="88"/>
      <c r="Q315" s="88"/>
      <c r="R315" s="88"/>
      <c r="S315" s="88"/>
      <c r="T315" s="88"/>
      <c r="U315" s="88"/>
      <c r="V315" s="88"/>
      <c r="W315" s="88"/>
      <c r="X315" s="88"/>
      <c r="Y315" s="88"/>
    </row>
    <row r="316" spans="15:25" s="87" customFormat="1" ht="15">
      <c r="O316" s="88"/>
      <c r="P316" s="88"/>
      <c r="Q316" s="88"/>
      <c r="R316" s="88"/>
      <c r="S316" s="88"/>
      <c r="T316" s="88"/>
      <c r="U316" s="88"/>
      <c r="V316" s="88"/>
      <c r="W316" s="88"/>
      <c r="X316" s="88"/>
      <c r="Y316" s="88"/>
    </row>
    <row r="317" spans="15:25" s="87" customFormat="1" ht="15">
      <c r="O317" s="88"/>
      <c r="P317" s="88"/>
      <c r="Q317" s="88"/>
      <c r="R317" s="88"/>
      <c r="S317" s="88"/>
      <c r="T317" s="88"/>
      <c r="U317" s="88"/>
      <c r="V317" s="88"/>
      <c r="W317" s="88"/>
      <c r="X317" s="88"/>
      <c r="Y317" s="88"/>
    </row>
    <row r="318" spans="15:25" s="87" customFormat="1" ht="15">
      <c r="O318" s="88"/>
      <c r="P318" s="88"/>
      <c r="Q318" s="88"/>
      <c r="R318" s="88"/>
      <c r="S318" s="88"/>
      <c r="T318" s="88"/>
      <c r="U318" s="88"/>
      <c r="V318" s="88"/>
      <c r="W318" s="88"/>
      <c r="X318" s="88"/>
      <c r="Y318" s="88"/>
    </row>
    <row r="319" spans="15:25" s="87" customFormat="1" ht="15">
      <c r="O319" s="88"/>
      <c r="P319" s="88"/>
      <c r="Q319" s="88"/>
      <c r="R319" s="88"/>
      <c r="S319" s="88"/>
      <c r="T319" s="88"/>
      <c r="U319" s="88"/>
      <c r="V319" s="88"/>
      <c r="W319" s="88"/>
      <c r="X319" s="88"/>
      <c r="Y319" s="88"/>
    </row>
    <row r="320" spans="15:25" s="87" customFormat="1" ht="15">
      <c r="O320" s="88"/>
      <c r="P320" s="88"/>
      <c r="Q320" s="88"/>
      <c r="R320" s="88"/>
      <c r="S320" s="88"/>
      <c r="T320" s="88"/>
      <c r="U320" s="88"/>
      <c r="V320" s="88"/>
      <c r="W320" s="88"/>
      <c r="X320" s="88"/>
      <c r="Y320" s="88"/>
    </row>
    <row r="321" spans="15:25" s="87" customFormat="1" ht="15">
      <c r="O321" s="88"/>
      <c r="P321" s="88"/>
      <c r="Q321" s="88"/>
      <c r="R321" s="88"/>
      <c r="S321" s="88"/>
      <c r="T321" s="88"/>
      <c r="U321" s="88"/>
      <c r="V321" s="88"/>
      <c r="W321" s="88"/>
      <c r="X321" s="88"/>
      <c r="Y321" s="88"/>
    </row>
    <row r="322" spans="15:25" s="87" customFormat="1" ht="15">
      <c r="O322" s="88"/>
      <c r="P322" s="88"/>
      <c r="Q322" s="88"/>
      <c r="R322" s="88"/>
      <c r="S322" s="88"/>
      <c r="T322" s="88"/>
      <c r="U322" s="88"/>
      <c r="V322" s="88"/>
      <c r="W322" s="88"/>
      <c r="X322" s="88"/>
      <c r="Y322" s="88"/>
    </row>
    <row r="323" spans="15:25" s="87" customFormat="1" ht="15">
      <c r="O323" s="88"/>
      <c r="P323" s="88"/>
      <c r="Q323" s="88"/>
      <c r="R323" s="88"/>
      <c r="S323" s="88"/>
      <c r="T323" s="88"/>
      <c r="U323" s="88"/>
      <c r="V323" s="88"/>
      <c r="W323" s="88"/>
      <c r="X323" s="88"/>
      <c r="Y323" s="88"/>
    </row>
    <row r="324" spans="15:25" s="87" customFormat="1" ht="15">
      <c r="O324" s="88"/>
      <c r="P324" s="88"/>
      <c r="Q324" s="88"/>
      <c r="R324" s="88"/>
      <c r="S324" s="88"/>
      <c r="T324" s="88"/>
      <c r="U324" s="88"/>
      <c r="V324" s="88"/>
      <c r="W324" s="88"/>
      <c r="X324" s="88"/>
      <c r="Y324" s="88"/>
    </row>
    <row r="325" spans="15:25" s="87" customFormat="1" ht="15">
      <c r="O325" s="88"/>
      <c r="P325" s="88"/>
      <c r="Q325" s="88"/>
      <c r="R325" s="88"/>
      <c r="S325" s="88"/>
      <c r="T325" s="88"/>
      <c r="U325" s="88"/>
      <c r="V325" s="88"/>
      <c r="W325" s="88"/>
      <c r="X325" s="88"/>
      <c r="Y325" s="88"/>
    </row>
    <row r="326" spans="15:25" s="87" customFormat="1" ht="15">
      <c r="O326" s="88"/>
      <c r="P326" s="88"/>
      <c r="Q326" s="88"/>
      <c r="R326" s="88"/>
      <c r="S326" s="88"/>
      <c r="T326" s="88"/>
      <c r="U326" s="88"/>
      <c r="V326" s="88"/>
      <c r="W326" s="88"/>
      <c r="X326" s="88"/>
      <c r="Y326" s="88"/>
    </row>
    <row r="327" spans="15:25" s="87" customFormat="1" ht="15">
      <c r="O327" s="88"/>
      <c r="P327" s="88"/>
      <c r="Q327" s="88"/>
      <c r="R327" s="88"/>
      <c r="S327" s="88"/>
      <c r="T327" s="88"/>
      <c r="U327" s="88"/>
      <c r="V327" s="88"/>
      <c r="W327" s="88"/>
      <c r="X327" s="88"/>
      <c r="Y327" s="88"/>
    </row>
    <row r="328" spans="15:25" s="87" customFormat="1" ht="15">
      <c r="O328" s="88"/>
      <c r="P328" s="88"/>
      <c r="Q328" s="88"/>
      <c r="R328" s="88"/>
      <c r="S328" s="88"/>
      <c r="T328" s="88"/>
      <c r="U328" s="88"/>
      <c r="V328" s="88"/>
      <c r="W328" s="88"/>
      <c r="X328" s="88"/>
      <c r="Y328" s="88"/>
    </row>
    <row r="329" spans="15:25" s="87" customFormat="1" ht="15">
      <c r="O329" s="88"/>
      <c r="P329" s="88"/>
      <c r="Q329" s="88"/>
      <c r="R329" s="88"/>
      <c r="S329" s="88"/>
      <c r="T329" s="88"/>
      <c r="U329" s="88"/>
      <c r="V329" s="88"/>
      <c r="W329" s="88"/>
      <c r="X329" s="88"/>
      <c r="Y329" s="88"/>
    </row>
    <row r="330" spans="15:25" s="87" customFormat="1" ht="15">
      <c r="O330" s="88"/>
      <c r="P330" s="88"/>
      <c r="Q330" s="88"/>
      <c r="R330" s="88"/>
      <c r="S330" s="88"/>
      <c r="T330" s="88"/>
      <c r="U330" s="88"/>
      <c r="V330" s="88"/>
      <c r="W330" s="88"/>
      <c r="X330" s="88"/>
      <c r="Y330" s="88"/>
    </row>
    <row r="331" spans="15:25" s="87" customFormat="1" ht="15">
      <c r="O331" s="88"/>
      <c r="P331" s="88"/>
      <c r="Q331" s="88"/>
      <c r="R331" s="88"/>
      <c r="S331" s="88"/>
      <c r="T331" s="88"/>
      <c r="U331" s="88"/>
      <c r="V331" s="88"/>
      <c r="W331" s="88"/>
      <c r="X331" s="88"/>
      <c r="Y331" s="88"/>
    </row>
    <row r="332" spans="15:25" s="87" customFormat="1" ht="15">
      <c r="O332" s="88"/>
      <c r="P332" s="88"/>
      <c r="Q332" s="88"/>
      <c r="R332" s="88"/>
      <c r="S332" s="88"/>
      <c r="T332" s="88"/>
      <c r="U332" s="88"/>
      <c r="V332" s="88"/>
      <c r="W332" s="88"/>
      <c r="X332" s="88"/>
      <c r="Y332" s="88"/>
    </row>
    <row r="333" spans="15:25" s="87" customFormat="1" ht="15">
      <c r="O333" s="88"/>
      <c r="P333" s="88"/>
      <c r="Q333" s="88"/>
      <c r="R333" s="88"/>
      <c r="S333" s="88"/>
      <c r="T333" s="88"/>
      <c r="U333" s="88"/>
      <c r="V333" s="88"/>
      <c r="W333" s="88"/>
      <c r="X333" s="88"/>
      <c r="Y333" s="88"/>
    </row>
    <row r="334" spans="15:25" s="87" customFormat="1" ht="15">
      <c r="O334" s="88"/>
      <c r="P334" s="88"/>
      <c r="Q334" s="88"/>
      <c r="R334" s="88"/>
      <c r="S334" s="88"/>
      <c r="T334" s="88"/>
      <c r="U334" s="88"/>
      <c r="V334" s="88"/>
      <c r="W334" s="88"/>
      <c r="X334" s="88"/>
      <c r="Y334" s="88"/>
    </row>
    <row r="335" spans="15:25" s="87" customFormat="1" ht="15">
      <c r="O335" s="88"/>
      <c r="P335" s="88"/>
      <c r="Q335" s="88"/>
      <c r="R335" s="88"/>
      <c r="S335" s="88"/>
      <c r="T335" s="88"/>
      <c r="U335" s="88"/>
      <c r="V335" s="88"/>
      <c r="W335" s="88"/>
      <c r="X335" s="88"/>
      <c r="Y335" s="88"/>
    </row>
    <row r="336" spans="15:25" s="87" customFormat="1" ht="15">
      <c r="O336" s="88"/>
      <c r="P336" s="88"/>
      <c r="Q336" s="88"/>
      <c r="R336" s="88"/>
      <c r="S336" s="88"/>
      <c r="T336" s="88"/>
      <c r="U336" s="88"/>
      <c r="V336" s="88"/>
      <c r="W336" s="88"/>
      <c r="X336" s="88"/>
      <c r="Y336" s="88"/>
    </row>
    <row r="337" spans="15:25" s="87" customFormat="1" ht="15">
      <c r="O337" s="88"/>
      <c r="P337" s="88"/>
      <c r="Q337" s="88"/>
      <c r="R337" s="88"/>
      <c r="S337" s="88"/>
      <c r="T337" s="88"/>
      <c r="U337" s="88"/>
      <c r="V337" s="88"/>
      <c r="W337" s="88"/>
      <c r="X337" s="88"/>
      <c r="Y337" s="88"/>
    </row>
    <row r="338" spans="15:25" s="87" customFormat="1" ht="15">
      <c r="O338" s="88"/>
      <c r="P338" s="88"/>
      <c r="Q338" s="88"/>
      <c r="R338" s="88"/>
      <c r="S338" s="88"/>
      <c r="T338" s="88"/>
      <c r="U338" s="88"/>
      <c r="V338" s="88"/>
      <c r="W338" s="88"/>
      <c r="X338" s="88"/>
      <c r="Y338" s="88"/>
    </row>
    <row r="339" spans="15:25" s="87" customFormat="1" ht="15">
      <c r="O339" s="88"/>
      <c r="P339" s="88"/>
      <c r="Q339" s="88"/>
      <c r="R339" s="88"/>
      <c r="S339" s="88"/>
      <c r="T339" s="88"/>
      <c r="U339" s="88"/>
      <c r="V339" s="88"/>
      <c r="W339" s="88"/>
      <c r="X339" s="88"/>
      <c r="Y339" s="88"/>
    </row>
    <row r="340" spans="15:25" s="87" customFormat="1" ht="15">
      <c r="O340" s="88"/>
      <c r="P340" s="88"/>
      <c r="Q340" s="88"/>
      <c r="R340" s="88"/>
      <c r="S340" s="88"/>
      <c r="T340" s="88"/>
      <c r="U340" s="88"/>
      <c r="V340" s="88"/>
      <c r="W340" s="88"/>
      <c r="X340" s="88"/>
      <c r="Y340" s="88"/>
    </row>
    <row r="341" spans="15:25" s="87" customFormat="1" ht="15">
      <c r="O341" s="88"/>
      <c r="P341" s="88"/>
      <c r="Q341" s="88"/>
      <c r="R341" s="88"/>
      <c r="S341" s="88"/>
      <c r="T341" s="88"/>
      <c r="U341" s="88"/>
      <c r="V341" s="88"/>
      <c r="W341" s="88"/>
      <c r="X341" s="88"/>
      <c r="Y341" s="88"/>
    </row>
    <row r="342" spans="15:25" s="87" customFormat="1" ht="15">
      <c r="O342" s="88"/>
      <c r="P342" s="88"/>
      <c r="Q342" s="88"/>
      <c r="R342" s="88"/>
      <c r="S342" s="88"/>
      <c r="T342" s="88"/>
      <c r="U342" s="88"/>
      <c r="V342" s="88"/>
      <c r="W342" s="88"/>
      <c r="X342" s="88"/>
      <c r="Y342" s="88"/>
    </row>
    <row r="343" spans="15:25" s="87" customFormat="1" ht="15">
      <c r="O343" s="88"/>
      <c r="P343" s="88"/>
      <c r="Q343" s="88"/>
      <c r="R343" s="88"/>
      <c r="S343" s="88"/>
      <c r="T343" s="88"/>
      <c r="U343" s="88"/>
      <c r="V343" s="88"/>
      <c r="W343" s="88"/>
      <c r="X343" s="88"/>
      <c r="Y343" s="88"/>
    </row>
    <row r="344" spans="15:25" s="87" customFormat="1" ht="15">
      <c r="O344" s="88"/>
      <c r="P344" s="88"/>
      <c r="Q344" s="88"/>
      <c r="R344" s="88"/>
      <c r="S344" s="88"/>
      <c r="T344" s="88"/>
      <c r="U344" s="88"/>
      <c r="V344" s="88"/>
      <c r="W344" s="88"/>
      <c r="X344" s="88"/>
      <c r="Y344" s="88"/>
    </row>
    <row r="345" spans="15:25" s="87" customFormat="1" ht="15">
      <c r="O345" s="88"/>
      <c r="P345" s="88"/>
      <c r="Q345" s="88"/>
      <c r="R345" s="88"/>
      <c r="S345" s="88"/>
      <c r="T345" s="88"/>
      <c r="U345" s="88"/>
      <c r="V345" s="88"/>
      <c r="W345" s="88"/>
      <c r="X345" s="88"/>
      <c r="Y345" s="88"/>
    </row>
    <row r="346" spans="15:25" s="87" customFormat="1" ht="15">
      <c r="O346" s="88"/>
      <c r="P346" s="88"/>
      <c r="Q346" s="88"/>
      <c r="R346" s="88"/>
      <c r="S346" s="88"/>
      <c r="T346" s="88"/>
      <c r="U346" s="88"/>
      <c r="V346" s="88"/>
      <c r="W346" s="88"/>
      <c r="X346" s="88"/>
      <c r="Y346" s="88"/>
    </row>
    <row r="347" spans="15:25" s="87" customFormat="1" ht="15">
      <c r="O347" s="88"/>
      <c r="P347" s="88"/>
      <c r="Q347" s="88"/>
      <c r="R347" s="88"/>
      <c r="S347" s="88"/>
      <c r="T347" s="88"/>
      <c r="U347" s="88"/>
      <c r="V347" s="88"/>
      <c r="W347" s="88"/>
      <c r="X347" s="88"/>
      <c r="Y347" s="88"/>
    </row>
    <row r="348" spans="15:25" s="87" customFormat="1" ht="15">
      <c r="O348" s="88"/>
      <c r="P348" s="88"/>
      <c r="Q348" s="88"/>
      <c r="R348" s="88"/>
      <c r="S348" s="88"/>
      <c r="T348" s="88"/>
      <c r="U348" s="88"/>
      <c r="V348" s="88"/>
      <c r="W348" s="88"/>
      <c r="X348" s="88"/>
      <c r="Y348" s="88"/>
    </row>
    <row r="349" spans="15:25" s="87" customFormat="1" ht="15">
      <c r="O349" s="88"/>
      <c r="P349" s="88"/>
      <c r="Q349" s="88"/>
      <c r="R349" s="88"/>
      <c r="S349" s="88"/>
      <c r="T349" s="88"/>
      <c r="U349" s="88"/>
      <c r="V349" s="88"/>
      <c r="W349" s="88"/>
      <c r="X349" s="88"/>
      <c r="Y349" s="88"/>
    </row>
    <row r="350" spans="15:25" s="87" customFormat="1" ht="15">
      <c r="O350" s="88"/>
      <c r="P350" s="88"/>
      <c r="Q350" s="88"/>
      <c r="R350" s="88"/>
      <c r="S350" s="88"/>
      <c r="T350" s="88"/>
      <c r="U350" s="88"/>
      <c r="V350" s="88"/>
      <c r="W350" s="88"/>
      <c r="X350" s="88"/>
      <c r="Y350" s="88"/>
    </row>
    <row r="351" spans="15:25" s="87" customFormat="1" ht="15">
      <c r="O351" s="88"/>
      <c r="P351" s="88"/>
      <c r="Q351" s="88"/>
      <c r="R351" s="88"/>
      <c r="S351" s="88"/>
      <c r="T351" s="88"/>
      <c r="U351" s="88"/>
      <c r="V351" s="88"/>
      <c r="W351" s="88"/>
      <c r="X351" s="88"/>
      <c r="Y351" s="88"/>
    </row>
    <row r="352" spans="15:25" s="87" customFormat="1" ht="15">
      <c r="O352" s="88"/>
      <c r="P352" s="88"/>
      <c r="Q352" s="88"/>
      <c r="R352" s="88"/>
      <c r="S352" s="88"/>
      <c r="T352" s="88"/>
      <c r="U352" s="88"/>
      <c r="V352" s="88"/>
      <c r="W352" s="88"/>
      <c r="X352" s="88"/>
      <c r="Y352" s="88"/>
    </row>
    <row r="353" spans="15:25" s="87" customFormat="1" ht="15">
      <c r="O353" s="88"/>
      <c r="P353" s="88"/>
      <c r="Q353" s="88"/>
      <c r="R353" s="88"/>
      <c r="S353" s="88"/>
      <c r="T353" s="88"/>
      <c r="U353" s="88"/>
      <c r="V353" s="88"/>
      <c r="W353" s="88"/>
      <c r="X353" s="88"/>
      <c r="Y353" s="88"/>
    </row>
    <row r="354" spans="15:25" s="87" customFormat="1" ht="15">
      <c r="O354" s="88"/>
      <c r="P354" s="88"/>
      <c r="Q354" s="88"/>
      <c r="R354" s="88"/>
      <c r="S354" s="88"/>
      <c r="T354" s="88"/>
      <c r="U354" s="88"/>
      <c r="V354" s="88"/>
      <c r="W354" s="88"/>
      <c r="X354" s="88"/>
      <c r="Y354" s="88"/>
    </row>
    <row r="355" spans="15:25" s="87" customFormat="1" ht="15">
      <c r="O355" s="88"/>
      <c r="P355" s="88"/>
      <c r="Q355" s="88"/>
      <c r="R355" s="88"/>
      <c r="S355" s="88"/>
      <c r="T355" s="88"/>
      <c r="U355" s="88"/>
      <c r="V355" s="88"/>
      <c r="W355" s="88"/>
      <c r="X355" s="88"/>
      <c r="Y355" s="88"/>
    </row>
    <row r="356" spans="15:25" s="87" customFormat="1" ht="15">
      <c r="O356" s="88"/>
      <c r="P356" s="88"/>
      <c r="Q356" s="88"/>
      <c r="R356" s="88"/>
      <c r="S356" s="88"/>
      <c r="T356" s="88"/>
      <c r="U356" s="88"/>
      <c r="V356" s="88"/>
      <c r="W356" s="88"/>
      <c r="X356" s="88"/>
      <c r="Y356" s="88"/>
    </row>
    <row r="357" spans="15:25" s="87" customFormat="1" ht="15">
      <c r="O357" s="88"/>
      <c r="P357" s="88"/>
      <c r="Q357" s="88"/>
      <c r="R357" s="88"/>
      <c r="S357" s="88"/>
      <c r="T357" s="88"/>
      <c r="U357" s="88"/>
      <c r="V357" s="88"/>
      <c r="W357" s="88"/>
      <c r="X357" s="88"/>
      <c r="Y357" s="88"/>
    </row>
    <row r="358" spans="15:25" s="87" customFormat="1" ht="15">
      <c r="O358" s="88"/>
      <c r="P358" s="88"/>
      <c r="Q358" s="88"/>
      <c r="R358" s="88"/>
      <c r="S358" s="88"/>
      <c r="T358" s="88"/>
      <c r="U358" s="88"/>
      <c r="V358" s="88"/>
      <c r="W358" s="88"/>
      <c r="X358" s="88"/>
      <c r="Y358" s="88"/>
    </row>
    <row r="359" spans="15:25" s="87" customFormat="1" ht="15">
      <c r="O359" s="88"/>
      <c r="P359" s="88"/>
      <c r="Q359" s="88"/>
      <c r="R359" s="88"/>
      <c r="S359" s="88"/>
      <c r="T359" s="88"/>
      <c r="U359" s="88"/>
      <c r="V359" s="88"/>
      <c r="W359" s="88"/>
      <c r="X359" s="88"/>
      <c r="Y359" s="88"/>
    </row>
    <row r="360" spans="15:25" s="87" customFormat="1" ht="15">
      <c r="O360" s="88"/>
      <c r="P360" s="88"/>
      <c r="Q360" s="88"/>
      <c r="R360" s="88"/>
      <c r="S360" s="88"/>
      <c r="T360" s="88"/>
      <c r="U360" s="88"/>
      <c r="V360" s="88"/>
      <c r="W360" s="88"/>
      <c r="X360" s="88"/>
      <c r="Y360" s="88"/>
    </row>
    <row r="361" spans="15:25" s="87" customFormat="1" ht="15">
      <c r="O361" s="88"/>
      <c r="P361" s="88"/>
      <c r="Q361" s="88"/>
      <c r="R361" s="88"/>
      <c r="S361" s="88"/>
      <c r="T361" s="88"/>
      <c r="U361" s="88"/>
      <c r="V361" s="88"/>
      <c r="W361" s="88"/>
      <c r="X361" s="88"/>
      <c r="Y361" s="88"/>
    </row>
    <row r="362" spans="15:25" s="87" customFormat="1" ht="15">
      <c r="O362" s="88"/>
      <c r="P362" s="88"/>
      <c r="Q362" s="88"/>
      <c r="R362" s="88"/>
      <c r="S362" s="88"/>
      <c r="T362" s="88"/>
      <c r="U362" s="88"/>
      <c r="V362" s="88"/>
      <c r="W362" s="88"/>
      <c r="X362" s="88"/>
      <c r="Y362" s="88"/>
    </row>
    <row r="363" spans="15:25" s="87" customFormat="1" ht="15">
      <c r="O363" s="88"/>
      <c r="P363" s="88"/>
      <c r="Q363" s="88"/>
      <c r="R363" s="88"/>
      <c r="S363" s="88"/>
      <c r="T363" s="88"/>
      <c r="U363" s="88"/>
      <c r="V363" s="88"/>
      <c r="W363" s="88"/>
      <c r="X363" s="88"/>
      <c r="Y363" s="88"/>
    </row>
    <row r="364" spans="15:25" s="87" customFormat="1" ht="15">
      <c r="O364" s="88"/>
      <c r="P364" s="88"/>
      <c r="Q364" s="88"/>
      <c r="R364" s="88"/>
      <c r="S364" s="88"/>
      <c r="T364" s="88"/>
      <c r="U364" s="88"/>
      <c r="V364" s="88"/>
      <c r="W364" s="88"/>
      <c r="X364" s="88"/>
      <c r="Y364" s="88"/>
    </row>
    <row r="365" spans="15:25" s="87" customFormat="1" ht="15">
      <c r="O365" s="88"/>
      <c r="P365" s="88"/>
      <c r="Q365" s="88"/>
      <c r="R365" s="88"/>
      <c r="S365" s="88"/>
      <c r="T365" s="88"/>
      <c r="U365" s="88"/>
      <c r="V365" s="88"/>
      <c r="W365" s="88"/>
      <c r="X365" s="88"/>
      <c r="Y365" s="88"/>
    </row>
    <row r="366" spans="15:25" s="87" customFormat="1" ht="15">
      <c r="O366" s="88"/>
      <c r="P366" s="88"/>
      <c r="Q366" s="88"/>
      <c r="R366" s="88"/>
      <c r="S366" s="88"/>
      <c r="T366" s="88"/>
      <c r="U366" s="88"/>
      <c r="V366" s="88"/>
      <c r="W366" s="88"/>
      <c r="X366" s="88"/>
      <c r="Y366" s="88"/>
    </row>
    <row r="367" spans="15:25" s="87" customFormat="1" ht="15">
      <c r="O367" s="88"/>
      <c r="P367" s="88"/>
      <c r="Q367" s="88"/>
      <c r="R367" s="88"/>
      <c r="S367" s="88"/>
      <c r="T367" s="88"/>
      <c r="U367" s="88"/>
      <c r="V367" s="88"/>
      <c r="W367" s="88"/>
      <c r="X367" s="88"/>
      <c r="Y367" s="88"/>
    </row>
    <row r="368" spans="15:25" s="87" customFormat="1" ht="15">
      <c r="O368" s="88"/>
      <c r="P368" s="88"/>
      <c r="Q368" s="88"/>
      <c r="R368" s="88"/>
      <c r="S368" s="88"/>
      <c r="T368" s="88"/>
      <c r="U368" s="88"/>
      <c r="V368" s="88"/>
      <c r="W368" s="88"/>
      <c r="X368" s="88"/>
      <c r="Y368" s="88"/>
    </row>
    <row r="369" spans="15:25" s="87" customFormat="1" ht="15">
      <c r="O369" s="88"/>
      <c r="P369" s="88"/>
      <c r="Q369" s="88"/>
      <c r="R369" s="88"/>
      <c r="S369" s="88"/>
      <c r="T369" s="88"/>
      <c r="U369" s="88"/>
      <c r="V369" s="88"/>
      <c r="W369" s="88"/>
      <c r="X369" s="88"/>
      <c r="Y369" s="88"/>
    </row>
    <row r="370" spans="15:25" s="87" customFormat="1" ht="15">
      <c r="O370" s="88"/>
      <c r="P370" s="88"/>
      <c r="Q370" s="88"/>
      <c r="R370" s="88"/>
      <c r="S370" s="88"/>
      <c r="T370" s="88"/>
      <c r="U370" s="88"/>
      <c r="V370" s="88"/>
      <c r="W370" s="88"/>
      <c r="X370" s="88"/>
      <c r="Y370" s="88"/>
    </row>
    <row r="371" spans="15:25" s="87" customFormat="1" ht="15">
      <c r="O371" s="88"/>
      <c r="P371" s="88"/>
      <c r="Q371" s="88"/>
      <c r="R371" s="88"/>
      <c r="S371" s="88"/>
      <c r="T371" s="88"/>
      <c r="U371" s="88"/>
      <c r="V371" s="88"/>
      <c r="W371" s="88"/>
      <c r="X371" s="88"/>
      <c r="Y371" s="88"/>
    </row>
    <row r="372" spans="15:25" s="87" customFormat="1" ht="15">
      <c r="O372" s="88"/>
      <c r="P372" s="88"/>
      <c r="Q372" s="88"/>
      <c r="R372" s="88"/>
      <c r="S372" s="88"/>
      <c r="T372" s="88"/>
      <c r="U372" s="88"/>
      <c r="V372" s="88"/>
      <c r="W372" s="88"/>
      <c r="X372" s="88"/>
      <c r="Y372" s="88"/>
    </row>
    <row r="373" spans="15:25" s="87" customFormat="1" ht="15">
      <c r="O373" s="88"/>
      <c r="P373" s="88"/>
      <c r="Q373" s="88"/>
      <c r="R373" s="88"/>
      <c r="S373" s="88"/>
      <c r="T373" s="88"/>
      <c r="U373" s="88"/>
      <c r="V373" s="88"/>
      <c r="W373" s="88"/>
      <c r="X373" s="88"/>
      <c r="Y373" s="88"/>
    </row>
    <row r="374" spans="15:25" s="87" customFormat="1" ht="15">
      <c r="O374" s="88"/>
      <c r="P374" s="88"/>
      <c r="Q374" s="88"/>
      <c r="R374" s="88"/>
      <c r="S374" s="88"/>
      <c r="T374" s="88"/>
      <c r="U374" s="88"/>
      <c r="V374" s="88"/>
      <c r="W374" s="88"/>
      <c r="X374" s="88"/>
      <c r="Y374" s="88"/>
    </row>
    <row r="375" spans="15:25" s="87" customFormat="1" ht="15">
      <c r="O375" s="88"/>
      <c r="P375" s="88"/>
      <c r="Q375" s="88"/>
      <c r="R375" s="88"/>
      <c r="S375" s="88"/>
      <c r="T375" s="88"/>
      <c r="U375" s="88"/>
      <c r="V375" s="88"/>
      <c r="W375" s="88"/>
      <c r="X375" s="88"/>
      <c r="Y375" s="88"/>
    </row>
    <row r="376" spans="15:25" s="87" customFormat="1" ht="15">
      <c r="O376" s="88"/>
      <c r="P376" s="88"/>
      <c r="Q376" s="88"/>
      <c r="R376" s="88"/>
      <c r="S376" s="88"/>
      <c r="T376" s="88"/>
      <c r="U376" s="88"/>
      <c r="V376" s="88"/>
      <c r="W376" s="88"/>
      <c r="X376" s="88"/>
      <c r="Y376" s="88"/>
    </row>
    <row r="377" spans="15:25" s="87" customFormat="1" ht="15">
      <c r="O377" s="88"/>
      <c r="P377" s="88"/>
      <c r="Q377" s="88"/>
      <c r="R377" s="88"/>
      <c r="S377" s="88"/>
      <c r="T377" s="88"/>
      <c r="U377" s="88"/>
      <c r="V377" s="88"/>
      <c r="W377" s="88"/>
      <c r="X377" s="88"/>
      <c r="Y377" s="88"/>
    </row>
    <row r="378" spans="15:25" s="87" customFormat="1" ht="15">
      <c r="O378" s="88"/>
      <c r="P378" s="88"/>
      <c r="Q378" s="88"/>
      <c r="R378" s="88"/>
      <c r="S378" s="88"/>
      <c r="T378" s="88"/>
      <c r="U378" s="88"/>
      <c r="V378" s="88"/>
      <c r="W378" s="88"/>
      <c r="X378" s="88"/>
      <c r="Y378" s="88"/>
    </row>
    <row r="379" spans="15:25" s="87" customFormat="1" ht="15">
      <c r="O379" s="88"/>
      <c r="P379" s="88"/>
      <c r="Q379" s="88"/>
      <c r="R379" s="88"/>
      <c r="S379" s="88"/>
      <c r="T379" s="88"/>
      <c r="U379" s="88"/>
      <c r="V379" s="88"/>
      <c r="W379" s="88"/>
      <c r="X379" s="88"/>
      <c r="Y379" s="88"/>
    </row>
    <row r="380" spans="15:25" s="87" customFormat="1" ht="15">
      <c r="O380" s="88"/>
      <c r="P380" s="88"/>
      <c r="Q380" s="88"/>
      <c r="R380" s="88"/>
      <c r="S380" s="88"/>
      <c r="T380" s="88"/>
      <c r="U380" s="88"/>
      <c r="V380" s="88"/>
      <c r="W380" s="88"/>
      <c r="X380" s="88"/>
      <c r="Y380" s="88"/>
    </row>
    <row r="381" spans="15:25" s="87" customFormat="1" ht="15">
      <c r="O381" s="88"/>
      <c r="P381" s="88"/>
      <c r="Q381" s="88"/>
      <c r="R381" s="88"/>
      <c r="S381" s="88"/>
      <c r="T381" s="88"/>
      <c r="U381" s="88"/>
      <c r="V381" s="88"/>
      <c r="W381" s="88"/>
      <c r="X381" s="88"/>
      <c r="Y381" s="88"/>
    </row>
    <row r="382" spans="15:25" s="87" customFormat="1" ht="15">
      <c r="O382" s="88"/>
      <c r="P382" s="88"/>
      <c r="Q382" s="88"/>
      <c r="R382" s="88"/>
      <c r="S382" s="88"/>
      <c r="T382" s="88"/>
      <c r="U382" s="88"/>
      <c r="V382" s="88"/>
      <c r="W382" s="88"/>
      <c r="X382" s="88"/>
      <c r="Y382" s="88"/>
    </row>
    <row r="383" spans="15:25" s="87" customFormat="1" ht="15">
      <c r="O383" s="88"/>
      <c r="P383" s="88"/>
      <c r="Q383" s="88"/>
      <c r="R383" s="88"/>
      <c r="S383" s="88"/>
      <c r="T383" s="88"/>
      <c r="U383" s="88"/>
      <c r="V383" s="88"/>
      <c r="W383" s="88"/>
      <c r="X383" s="88"/>
      <c r="Y383" s="88"/>
    </row>
    <row r="384" spans="15:25" s="87" customFormat="1" ht="15">
      <c r="O384" s="88"/>
      <c r="P384" s="88"/>
      <c r="Q384" s="88"/>
      <c r="R384" s="88"/>
      <c r="S384" s="88"/>
      <c r="T384" s="88"/>
      <c r="U384" s="88"/>
      <c r="V384" s="88"/>
      <c r="W384" s="88"/>
      <c r="X384" s="88"/>
      <c r="Y384" s="88"/>
    </row>
    <row r="385" spans="15:25" s="87" customFormat="1" ht="15">
      <c r="O385" s="88"/>
      <c r="P385" s="88"/>
      <c r="Q385" s="88"/>
      <c r="R385" s="88"/>
      <c r="S385" s="88"/>
      <c r="T385" s="88"/>
      <c r="U385" s="88"/>
      <c r="V385" s="88"/>
      <c r="W385" s="88"/>
      <c r="X385" s="88"/>
      <c r="Y385" s="88"/>
    </row>
    <row r="386" spans="15:25" s="87" customFormat="1" ht="15">
      <c r="O386" s="88"/>
      <c r="P386" s="88"/>
      <c r="Q386" s="88"/>
      <c r="R386" s="88"/>
      <c r="S386" s="88"/>
      <c r="T386" s="88"/>
      <c r="U386" s="88"/>
      <c r="V386" s="88"/>
      <c r="W386" s="88"/>
      <c r="X386" s="88"/>
      <c r="Y386" s="88"/>
    </row>
    <row r="387" spans="15:25" s="87" customFormat="1" ht="15">
      <c r="O387" s="88"/>
      <c r="P387" s="88"/>
      <c r="Q387" s="88"/>
      <c r="R387" s="88"/>
      <c r="S387" s="88"/>
      <c r="T387" s="88"/>
      <c r="U387" s="88"/>
      <c r="V387" s="88"/>
      <c r="W387" s="88"/>
      <c r="X387" s="88"/>
      <c r="Y387" s="88"/>
    </row>
    <row r="388" spans="15:25" s="87" customFormat="1" ht="15">
      <c r="O388" s="88"/>
      <c r="P388" s="88"/>
      <c r="Q388" s="88"/>
      <c r="R388" s="88"/>
      <c r="S388" s="88"/>
      <c r="T388" s="88"/>
      <c r="U388" s="88"/>
      <c r="V388" s="88"/>
      <c r="W388" s="88"/>
      <c r="X388" s="88"/>
      <c r="Y388" s="88"/>
    </row>
    <row r="389" spans="15:25" s="87" customFormat="1" ht="15">
      <c r="O389" s="88"/>
      <c r="P389" s="88"/>
      <c r="Q389" s="88"/>
      <c r="R389" s="88"/>
      <c r="S389" s="88"/>
      <c r="T389" s="88"/>
      <c r="U389" s="88"/>
      <c r="V389" s="88"/>
      <c r="W389" s="88"/>
      <c r="X389" s="88"/>
      <c r="Y389" s="88"/>
    </row>
    <row r="390" spans="15:25" s="87" customFormat="1" ht="15">
      <c r="O390" s="88"/>
      <c r="P390" s="88"/>
      <c r="Q390" s="88"/>
      <c r="R390" s="88"/>
      <c r="S390" s="88"/>
      <c r="T390" s="88"/>
      <c r="U390" s="88"/>
      <c r="V390" s="88"/>
      <c r="W390" s="88"/>
      <c r="X390" s="88"/>
      <c r="Y390" s="88"/>
    </row>
    <row r="391" spans="15:25" s="87" customFormat="1" ht="15">
      <c r="O391" s="88"/>
      <c r="P391" s="88"/>
      <c r="Q391" s="88"/>
      <c r="R391" s="88"/>
      <c r="S391" s="88"/>
      <c r="T391" s="88"/>
      <c r="U391" s="88"/>
      <c r="V391" s="88"/>
      <c r="W391" s="88"/>
      <c r="X391" s="88"/>
      <c r="Y391" s="88"/>
    </row>
    <row r="392" spans="15:25" s="87" customFormat="1" ht="15">
      <c r="O392" s="88"/>
      <c r="P392" s="88"/>
      <c r="Q392" s="88"/>
      <c r="R392" s="88"/>
      <c r="S392" s="88"/>
      <c r="T392" s="88"/>
      <c r="U392" s="88"/>
      <c r="V392" s="88"/>
      <c r="W392" s="88"/>
      <c r="X392" s="88"/>
      <c r="Y392" s="88"/>
    </row>
    <row r="393" spans="15:25" s="87" customFormat="1" ht="15">
      <c r="O393" s="88"/>
      <c r="P393" s="88"/>
      <c r="Q393" s="88"/>
      <c r="R393" s="88"/>
      <c r="S393" s="88"/>
      <c r="T393" s="88"/>
      <c r="U393" s="88"/>
      <c r="V393" s="88"/>
      <c r="W393" s="88"/>
      <c r="X393" s="88"/>
      <c r="Y393" s="88"/>
    </row>
    <row r="394" spans="15:25" s="87" customFormat="1" ht="15">
      <c r="O394" s="88"/>
      <c r="P394" s="88"/>
      <c r="Q394" s="88"/>
      <c r="R394" s="88"/>
      <c r="S394" s="88"/>
      <c r="T394" s="88"/>
      <c r="U394" s="88"/>
      <c r="V394" s="88"/>
      <c r="W394" s="88"/>
      <c r="X394" s="88"/>
      <c r="Y394" s="88"/>
    </row>
    <row r="395" spans="15:25" s="87" customFormat="1" ht="15">
      <c r="O395" s="88"/>
      <c r="P395" s="88"/>
      <c r="Q395" s="88"/>
      <c r="R395" s="88"/>
      <c r="S395" s="88"/>
      <c r="T395" s="88"/>
      <c r="U395" s="88"/>
      <c r="V395" s="88"/>
      <c r="W395" s="88"/>
      <c r="X395" s="88"/>
      <c r="Y395" s="88"/>
    </row>
    <row r="396" spans="15:25" s="87" customFormat="1" ht="15">
      <c r="O396" s="88"/>
      <c r="P396" s="88"/>
      <c r="Q396" s="88"/>
      <c r="R396" s="88"/>
      <c r="S396" s="88"/>
      <c r="T396" s="88"/>
      <c r="U396" s="88"/>
      <c r="V396" s="88"/>
      <c r="W396" s="88"/>
      <c r="X396" s="88"/>
      <c r="Y396" s="88"/>
    </row>
    <row r="397" spans="15:25" s="87" customFormat="1" ht="15">
      <c r="O397" s="88"/>
      <c r="P397" s="88"/>
      <c r="Q397" s="88"/>
      <c r="R397" s="88"/>
      <c r="S397" s="88"/>
      <c r="T397" s="88"/>
      <c r="U397" s="88"/>
      <c r="V397" s="88"/>
      <c r="W397" s="88"/>
      <c r="X397" s="88"/>
      <c r="Y397" s="88"/>
    </row>
    <row r="398" spans="15:25" s="87" customFormat="1" ht="15">
      <c r="O398" s="88"/>
      <c r="P398" s="88"/>
      <c r="Q398" s="88"/>
      <c r="R398" s="88"/>
      <c r="S398" s="88"/>
      <c r="T398" s="88"/>
      <c r="U398" s="88"/>
      <c r="V398" s="88"/>
      <c r="W398" s="88"/>
      <c r="X398" s="88"/>
      <c r="Y398" s="88"/>
    </row>
    <row r="399" spans="15:25" s="87" customFormat="1" ht="15">
      <c r="O399" s="88"/>
      <c r="P399" s="88"/>
      <c r="Q399" s="88"/>
      <c r="R399" s="88"/>
      <c r="S399" s="88"/>
      <c r="T399" s="88"/>
      <c r="U399" s="88"/>
      <c r="V399" s="88"/>
      <c r="W399" s="88"/>
      <c r="X399" s="88"/>
      <c r="Y399" s="88"/>
    </row>
    <row r="400" spans="15:25" s="87" customFormat="1" ht="15">
      <c r="O400" s="88"/>
      <c r="P400" s="88"/>
      <c r="Q400" s="88"/>
      <c r="R400" s="88"/>
      <c r="S400" s="88"/>
      <c r="T400" s="88"/>
      <c r="U400" s="88"/>
      <c r="V400" s="88"/>
      <c r="W400" s="88"/>
      <c r="X400" s="88"/>
      <c r="Y400" s="88"/>
    </row>
    <row r="401" spans="15:25" s="87" customFormat="1" ht="15">
      <c r="O401" s="88"/>
      <c r="P401" s="88"/>
      <c r="Q401" s="88"/>
      <c r="R401" s="88"/>
      <c r="S401" s="88"/>
      <c r="T401" s="88"/>
      <c r="U401" s="88"/>
      <c r="V401" s="88"/>
      <c r="W401" s="88"/>
      <c r="X401" s="88"/>
      <c r="Y401" s="88"/>
    </row>
    <row r="402" spans="15:25" s="87" customFormat="1" ht="15">
      <c r="O402" s="88"/>
      <c r="P402" s="88"/>
      <c r="Q402" s="88"/>
      <c r="R402" s="88"/>
      <c r="S402" s="88"/>
      <c r="T402" s="88"/>
      <c r="U402" s="88"/>
      <c r="V402" s="88"/>
      <c r="W402" s="88"/>
      <c r="X402" s="88"/>
      <c r="Y402" s="88"/>
    </row>
    <row r="403" spans="15:25" s="87" customFormat="1" ht="15">
      <c r="O403" s="88"/>
      <c r="P403" s="88"/>
      <c r="Q403" s="88"/>
      <c r="R403" s="88"/>
      <c r="S403" s="88"/>
      <c r="T403" s="88"/>
      <c r="U403" s="88"/>
      <c r="V403" s="88"/>
      <c r="W403" s="88"/>
      <c r="X403" s="88"/>
      <c r="Y403" s="88"/>
    </row>
    <row r="404" spans="15:25" s="87" customFormat="1" ht="15">
      <c r="O404" s="88"/>
      <c r="P404" s="88"/>
      <c r="Q404" s="88"/>
      <c r="R404" s="88"/>
      <c r="S404" s="88"/>
      <c r="T404" s="88"/>
      <c r="U404" s="88"/>
      <c r="V404" s="88"/>
      <c r="W404" s="88"/>
      <c r="X404" s="88"/>
      <c r="Y404" s="88"/>
    </row>
    <row r="405" spans="15:25" s="87" customFormat="1" ht="15">
      <c r="O405" s="88"/>
      <c r="P405" s="88"/>
      <c r="Q405" s="88"/>
      <c r="R405" s="88"/>
      <c r="S405" s="88"/>
      <c r="T405" s="88"/>
      <c r="U405" s="88"/>
      <c r="V405" s="88"/>
      <c r="W405" s="88"/>
      <c r="X405" s="88"/>
      <c r="Y405" s="88"/>
    </row>
    <row r="406" spans="1:25" s="87" customFormat="1" ht="15">
      <c r="A406" s="101"/>
      <c r="B406" s="101"/>
      <c r="C406" s="101"/>
      <c r="D406" s="101"/>
      <c r="E406" s="101"/>
      <c r="F406" s="101"/>
      <c r="O406" s="88"/>
      <c r="P406" s="88"/>
      <c r="Q406" s="88"/>
      <c r="R406" s="88"/>
      <c r="S406" s="88"/>
      <c r="T406" s="88"/>
      <c r="U406" s="88"/>
      <c r="V406" s="88"/>
      <c r="W406" s="88"/>
      <c r="X406" s="88"/>
      <c r="Y406" s="88"/>
    </row>
    <row r="407" spans="15:25" s="87" customFormat="1" ht="15">
      <c r="O407" s="88"/>
      <c r="P407" s="88"/>
      <c r="Q407" s="88"/>
      <c r="R407" s="88"/>
      <c r="S407" s="88"/>
      <c r="T407" s="88"/>
      <c r="U407" s="88"/>
      <c r="V407" s="88"/>
      <c r="W407" s="88"/>
      <c r="X407" s="88"/>
      <c r="Y407" s="88"/>
    </row>
    <row r="408" spans="15:25" s="87" customFormat="1" ht="15">
      <c r="O408" s="88"/>
      <c r="P408" s="88"/>
      <c r="Q408" s="88"/>
      <c r="R408" s="88"/>
      <c r="S408" s="88"/>
      <c r="T408" s="88"/>
      <c r="U408" s="88"/>
      <c r="V408" s="88"/>
      <c r="W408" s="88"/>
      <c r="X408" s="88"/>
      <c r="Y408" s="88"/>
    </row>
    <row r="409" spans="15:25" s="87" customFormat="1" ht="15">
      <c r="O409" s="88"/>
      <c r="P409" s="88"/>
      <c r="Q409" s="88"/>
      <c r="R409" s="88"/>
      <c r="S409" s="88"/>
      <c r="T409" s="88"/>
      <c r="U409" s="88"/>
      <c r="V409" s="88"/>
      <c r="W409" s="88"/>
      <c r="X409" s="88"/>
      <c r="Y409" s="88"/>
    </row>
    <row r="410" spans="15:25" s="87" customFormat="1" ht="15">
      <c r="O410" s="88"/>
      <c r="P410" s="88"/>
      <c r="Q410" s="88"/>
      <c r="R410" s="88"/>
      <c r="S410" s="88"/>
      <c r="T410" s="88"/>
      <c r="U410" s="88"/>
      <c r="V410" s="88"/>
      <c r="W410" s="88"/>
      <c r="X410" s="88"/>
      <c r="Y410" s="88"/>
    </row>
    <row r="411" spans="15:25" s="87" customFormat="1" ht="15">
      <c r="O411" s="88"/>
      <c r="P411" s="88"/>
      <c r="Q411" s="88"/>
      <c r="R411" s="88"/>
      <c r="S411" s="88"/>
      <c r="T411" s="88"/>
      <c r="U411" s="88"/>
      <c r="V411" s="88"/>
      <c r="W411" s="88"/>
      <c r="X411" s="88"/>
      <c r="Y411" s="88"/>
    </row>
    <row r="412" spans="15:25" s="87" customFormat="1" ht="15">
      <c r="O412" s="88"/>
      <c r="P412" s="88"/>
      <c r="Q412" s="88"/>
      <c r="R412" s="88"/>
      <c r="S412" s="88"/>
      <c r="T412" s="88"/>
      <c r="U412" s="88"/>
      <c r="V412" s="88"/>
      <c r="W412" s="88"/>
      <c r="X412" s="88"/>
      <c r="Y412" s="88"/>
    </row>
    <row r="413" spans="15:25" s="87" customFormat="1" ht="15">
      <c r="O413" s="88"/>
      <c r="P413" s="88"/>
      <c r="Q413" s="88"/>
      <c r="R413" s="88"/>
      <c r="S413" s="88"/>
      <c r="T413" s="88"/>
      <c r="U413" s="88"/>
      <c r="V413" s="88"/>
      <c r="W413" s="88"/>
      <c r="X413" s="88"/>
      <c r="Y413" s="88"/>
    </row>
    <row r="414" spans="15:25" s="87" customFormat="1" ht="15">
      <c r="O414" s="88"/>
      <c r="P414" s="88"/>
      <c r="Q414" s="88"/>
      <c r="R414" s="88"/>
      <c r="S414" s="88"/>
      <c r="T414" s="88"/>
      <c r="U414" s="88"/>
      <c r="V414" s="88"/>
      <c r="W414" s="88"/>
      <c r="X414" s="88"/>
      <c r="Y414" s="88"/>
    </row>
    <row r="415" spans="15:25" s="87" customFormat="1" ht="15">
      <c r="O415" s="88"/>
      <c r="P415" s="88"/>
      <c r="Q415" s="88"/>
      <c r="R415" s="88"/>
      <c r="S415" s="88"/>
      <c r="T415" s="88"/>
      <c r="U415" s="88"/>
      <c r="V415" s="88"/>
      <c r="W415" s="88"/>
      <c r="X415" s="88"/>
      <c r="Y415" s="88"/>
    </row>
    <row r="416" spans="15:25" s="87" customFormat="1" ht="15">
      <c r="O416" s="88"/>
      <c r="P416" s="88"/>
      <c r="Q416" s="88"/>
      <c r="R416" s="88"/>
      <c r="S416" s="88"/>
      <c r="T416" s="88"/>
      <c r="U416" s="88"/>
      <c r="V416" s="88"/>
      <c r="W416" s="88"/>
      <c r="X416" s="88"/>
      <c r="Y416" s="88"/>
    </row>
    <row r="417" spans="15:25" s="87" customFormat="1" ht="15">
      <c r="O417" s="88"/>
      <c r="P417" s="88"/>
      <c r="Q417" s="88"/>
      <c r="R417" s="88"/>
      <c r="S417" s="88"/>
      <c r="T417" s="88"/>
      <c r="U417" s="88"/>
      <c r="V417" s="88"/>
      <c r="W417" s="88"/>
      <c r="X417" s="88"/>
      <c r="Y417" s="88"/>
    </row>
    <row r="418" spans="15:25" s="87" customFormat="1" ht="15">
      <c r="O418" s="88"/>
      <c r="P418" s="88"/>
      <c r="Q418" s="88"/>
      <c r="R418" s="88"/>
      <c r="S418" s="88"/>
      <c r="T418" s="88"/>
      <c r="U418" s="88"/>
      <c r="V418" s="88"/>
      <c r="W418" s="88"/>
      <c r="X418" s="88"/>
      <c r="Y418" s="88"/>
    </row>
    <row r="419" spans="15:25" s="87" customFormat="1" ht="15">
      <c r="O419" s="88"/>
      <c r="P419" s="88"/>
      <c r="Q419" s="88"/>
      <c r="R419" s="88"/>
      <c r="S419" s="88"/>
      <c r="T419" s="88"/>
      <c r="U419" s="88"/>
      <c r="V419" s="88"/>
      <c r="W419" s="88"/>
      <c r="X419" s="88"/>
      <c r="Y419" s="88"/>
    </row>
    <row r="420" spans="15:25" s="87" customFormat="1" ht="15">
      <c r="O420" s="88"/>
      <c r="P420" s="88"/>
      <c r="Q420" s="88"/>
      <c r="R420" s="88"/>
      <c r="S420" s="88"/>
      <c r="T420" s="88"/>
      <c r="U420" s="88"/>
      <c r="V420" s="88"/>
      <c r="W420" s="88"/>
      <c r="X420" s="88"/>
      <c r="Y420" s="88"/>
    </row>
    <row r="421" spans="15:25" s="87" customFormat="1" ht="15">
      <c r="O421" s="88"/>
      <c r="P421" s="88"/>
      <c r="Q421" s="88"/>
      <c r="R421" s="88"/>
      <c r="S421" s="88"/>
      <c r="T421" s="88"/>
      <c r="U421" s="88"/>
      <c r="V421" s="88"/>
      <c r="W421" s="88"/>
      <c r="X421" s="88"/>
      <c r="Y421" s="88"/>
    </row>
    <row r="422" spans="15:25" s="87" customFormat="1" ht="15">
      <c r="O422" s="88"/>
      <c r="P422" s="88"/>
      <c r="Q422" s="88"/>
      <c r="R422" s="88"/>
      <c r="S422" s="88"/>
      <c r="T422" s="88"/>
      <c r="U422" s="88"/>
      <c r="V422" s="88"/>
      <c r="W422" s="88"/>
      <c r="X422" s="88"/>
      <c r="Y422" s="88"/>
    </row>
    <row r="423" spans="15:25" s="87" customFormat="1" ht="15">
      <c r="O423" s="88"/>
      <c r="P423" s="88"/>
      <c r="Q423" s="88"/>
      <c r="R423" s="88"/>
      <c r="S423" s="88"/>
      <c r="T423" s="88"/>
      <c r="U423" s="88"/>
      <c r="V423" s="88"/>
      <c r="W423" s="88"/>
      <c r="X423" s="88"/>
      <c r="Y423" s="88"/>
    </row>
    <row r="424" spans="15:25" s="87" customFormat="1" ht="15">
      <c r="O424" s="88"/>
      <c r="P424" s="88"/>
      <c r="Q424" s="88"/>
      <c r="R424" s="88"/>
      <c r="S424" s="88"/>
      <c r="T424" s="88"/>
      <c r="U424" s="88"/>
      <c r="V424" s="88"/>
      <c r="W424" s="88"/>
      <c r="X424" s="88"/>
      <c r="Y424" s="88"/>
    </row>
    <row r="425" spans="15:25" s="87" customFormat="1" ht="15">
      <c r="O425" s="88"/>
      <c r="P425" s="88"/>
      <c r="Q425" s="88"/>
      <c r="R425" s="88"/>
      <c r="S425" s="88"/>
      <c r="T425" s="88"/>
      <c r="U425" s="88"/>
      <c r="V425" s="88"/>
      <c r="W425" s="88"/>
      <c r="X425" s="88"/>
      <c r="Y425" s="88"/>
    </row>
    <row r="426" spans="15:25" s="87" customFormat="1" ht="15">
      <c r="O426" s="88"/>
      <c r="P426" s="88"/>
      <c r="Q426" s="88"/>
      <c r="R426" s="88"/>
      <c r="S426" s="88"/>
      <c r="T426" s="88"/>
      <c r="U426" s="88"/>
      <c r="V426" s="88"/>
      <c r="W426" s="88"/>
      <c r="X426" s="88"/>
      <c r="Y426" s="88"/>
    </row>
    <row r="427" spans="15:25" s="87" customFormat="1" ht="15">
      <c r="O427" s="88"/>
      <c r="P427" s="88"/>
      <c r="Q427" s="88"/>
      <c r="R427" s="88"/>
      <c r="S427" s="88"/>
      <c r="T427" s="88"/>
      <c r="U427" s="88"/>
      <c r="V427" s="88"/>
      <c r="W427" s="88"/>
      <c r="X427" s="88"/>
      <c r="Y427" s="88"/>
    </row>
    <row r="428" spans="15:25" s="87" customFormat="1" ht="15">
      <c r="O428" s="88"/>
      <c r="P428" s="88"/>
      <c r="Q428" s="88"/>
      <c r="R428" s="88"/>
      <c r="S428" s="88"/>
      <c r="T428" s="88"/>
      <c r="U428" s="88"/>
      <c r="V428" s="88"/>
      <c r="W428" s="88"/>
      <c r="X428" s="88"/>
      <c r="Y428" s="88"/>
    </row>
    <row r="429" spans="15:25" s="87" customFormat="1" ht="15">
      <c r="O429" s="88"/>
      <c r="P429" s="88"/>
      <c r="Q429" s="88"/>
      <c r="R429" s="88"/>
      <c r="S429" s="88"/>
      <c r="T429" s="88"/>
      <c r="U429" s="88"/>
      <c r="V429" s="88"/>
      <c r="W429" s="88"/>
      <c r="X429" s="88"/>
      <c r="Y429" s="88"/>
    </row>
    <row r="430" spans="15:25" s="87" customFormat="1" ht="15">
      <c r="O430" s="88"/>
      <c r="P430" s="88"/>
      <c r="Q430" s="88"/>
      <c r="R430" s="88"/>
      <c r="S430" s="88"/>
      <c r="T430" s="88"/>
      <c r="U430" s="88"/>
      <c r="V430" s="88"/>
      <c r="W430" s="88"/>
      <c r="X430" s="88"/>
      <c r="Y430" s="88"/>
    </row>
    <row r="431" spans="15:25" s="87" customFormat="1" ht="15">
      <c r="O431" s="88"/>
      <c r="P431" s="88"/>
      <c r="Q431" s="88"/>
      <c r="R431" s="88"/>
      <c r="S431" s="88"/>
      <c r="T431" s="88"/>
      <c r="U431" s="88"/>
      <c r="V431" s="88"/>
      <c r="W431" s="88"/>
      <c r="X431" s="88"/>
      <c r="Y431" s="88"/>
    </row>
    <row r="432" spans="15:25" s="87" customFormat="1" ht="15">
      <c r="O432" s="88"/>
      <c r="P432" s="88"/>
      <c r="Q432" s="88"/>
      <c r="R432" s="88"/>
      <c r="S432" s="88"/>
      <c r="T432" s="88"/>
      <c r="U432" s="88"/>
      <c r="V432" s="88"/>
      <c r="W432" s="88"/>
      <c r="X432" s="88"/>
      <c r="Y432" s="88"/>
    </row>
    <row r="433" spans="15:25" s="87" customFormat="1" ht="15">
      <c r="O433" s="88"/>
      <c r="P433" s="88"/>
      <c r="Q433" s="88"/>
      <c r="R433" s="88"/>
      <c r="S433" s="88"/>
      <c r="T433" s="88"/>
      <c r="U433" s="88"/>
      <c r="V433" s="88"/>
      <c r="W433" s="88"/>
      <c r="X433" s="88"/>
      <c r="Y433" s="88"/>
    </row>
    <row r="434" spans="15:25" s="87" customFormat="1" ht="15">
      <c r="O434" s="88"/>
      <c r="P434" s="88"/>
      <c r="Q434" s="88"/>
      <c r="R434" s="88"/>
      <c r="S434" s="88"/>
      <c r="T434" s="88"/>
      <c r="U434" s="88"/>
      <c r="V434" s="88"/>
      <c r="W434" s="88"/>
      <c r="X434" s="88"/>
      <c r="Y434" s="88"/>
    </row>
    <row r="435" spans="15:25" s="87" customFormat="1" ht="15">
      <c r="O435" s="88"/>
      <c r="P435" s="88"/>
      <c r="Q435" s="88"/>
      <c r="R435" s="88"/>
      <c r="S435" s="88"/>
      <c r="T435" s="88"/>
      <c r="U435" s="88"/>
      <c r="V435" s="88"/>
      <c r="W435" s="88"/>
      <c r="X435" s="88"/>
      <c r="Y435" s="88"/>
    </row>
    <row r="436" spans="15:25" s="87" customFormat="1" ht="15">
      <c r="O436" s="88"/>
      <c r="P436" s="88"/>
      <c r="Q436" s="88"/>
      <c r="R436" s="88"/>
      <c r="S436" s="88"/>
      <c r="T436" s="88"/>
      <c r="U436" s="88"/>
      <c r="V436" s="88"/>
      <c r="W436" s="88"/>
      <c r="X436" s="88"/>
      <c r="Y436" s="88"/>
    </row>
    <row r="437" spans="15:25" s="87" customFormat="1" ht="15">
      <c r="O437" s="88"/>
      <c r="P437" s="88"/>
      <c r="Q437" s="88"/>
      <c r="R437" s="88"/>
      <c r="S437" s="88"/>
      <c r="T437" s="88"/>
      <c r="U437" s="88"/>
      <c r="V437" s="88"/>
      <c r="W437" s="88"/>
      <c r="X437" s="88"/>
      <c r="Y437" s="88"/>
    </row>
    <row r="438" spans="15:25" s="87" customFormat="1" ht="15">
      <c r="O438" s="88"/>
      <c r="P438" s="88"/>
      <c r="Q438" s="88"/>
      <c r="R438" s="88"/>
      <c r="S438" s="88"/>
      <c r="T438" s="88"/>
      <c r="U438" s="88"/>
      <c r="V438" s="88"/>
      <c r="W438" s="88"/>
      <c r="X438" s="88"/>
      <c r="Y438" s="88"/>
    </row>
    <row r="439" spans="15:25" s="87" customFormat="1" ht="15">
      <c r="O439" s="88"/>
      <c r="P439" s="88"/>
      <c r="Q439" s="88"/>
      <c r="R439" s="88"/>
      <c r="S439" s="88"/>
      <c r="T439" s="88"/>
      <c r="U439" s="88"/>
      <c r="V439" s="88"/>
      <c r="W439" s="88"/>
      <c r="X439" s="88"/>
      <c r="Y439" s="88"/>
    </row>
    <row r="440" spans="15:25" s="87" customFormat="1" ht="15">
      <c r="O440" s="88"/>
      <c r="P440" s="88"/>
      <c r="Q440" s="88"/>
      <c r="R440" s="88"/>
      <c r="S440" s="88"/>
      <c r="T440" s="88"/>
      <c r="U440" s="88"/>
      <c r="V440" s="88"/>
      <c r="W440" s="88"/>
      <c r="X440" s="88"/>
      <c r="Y440" s="88"/>
    </row>
    <row r="441" spans="15:25" s="87" customFormat="1" ht="15">
      <c r="O441" s="88"/>
      <c r="P441" s="88"/>
      <c r="Q441" s="88"/>
      <c r="R441" s="88"/>
      <c r="S441" s="88"/>
      <c r="T441" s="88"/>
      <c r="U441" s="88"/>
      <c r="V441" s="88"/>
      <c r="W441" s="88"/>
      <c r="X441" s="88"/>
      <c r="Y441" s="88"/>
    </row>
    <row r="442" spans="15:25" s="87" customFormat="1" ht="15">
      <c r="O442" s="88"/>
      <c r="P442" s="88"/>
      <c r="Q442" s="88"/>
      <c r="R442" s="88"/>
      <c r="S442" s="88"/>
      <c r="T442" s="88"/>
      <c r="U442" s="88"/>
      <c r="V442" s="88"/>
      <c r="W442" s="88"/>
      <c r="X442" s="88"/>
      <c r="Y442" s="88"/>
    </row>
    <row r="443" spans="15:25" s="87" customFormat="1" ht="15">
      <c r="O443" s="88"/>
      <c r="P443" s="88"/>
      <c r="Q443" s="88"/>
      <c r="R443" s="88"/>
      <c r="S443" s="88"/>
      <c r="T443" s="88"/>
      <c r="U443" s="88"/>
      <c r="V443" s="88"/>
      <c r="W443" s="88"/>
      <c r="X443" s="88"/>
      <c r="Y443" s="88"/>
    </row>
    <row r="444" spans="15:25" s="87" customFormat="1" ht="15">
      <c r="O444" s="88"/>
      <c r="P444" s="88"/>
      <c r="Q444" s="88"/>
      <c r="R444" s="88"/>
      <c r="S444" s="88"/>
      <c r="T444" s="88"/>
      <c r="U444" s="88"/>
      <c r="V444" s="88"/>
      <c r="W444" s="88"/>
      <c r="X444" s="88"/>
      <c r="Y444" s="88"/>
    </row>
    <row r="445" spans="15:25" s="87" customFormat="1" ht="15">
      <c r="O445" s="88"/>
      <c r="P445" s="88"/>
      <c r="Q445" s="88"/>
      <c r="R445" s="88"/>
      <c r="S445" s="88"/>
      <c r="T445" s="88"/>
      <c r="U445" s="88"/>
      <c r="V445" s="88"/>
      <c r="W445" s="88"/>
      <c r="X445" s="88"/>
      <c r="Y445" s="88"/>
    </row>
    <row r="446" spans="15:25" s="87" customFormat="1" ht="15">
      <c r="O446" s="88"/>
      <c r="P446" s="88"/>
      <c r="Q446" s="88"/>
      <c r="R446" s="88"/>
      <c r="S446" s="88"/>
      <c r="T446" s="88"/>
      <c r="U446" s="88"/>
      <c r="V446" s="88"/>
      <c r="W446" s="88"/>
      <c r="X446" s="88"/>
      <c r="Y446" s="88"/>
    </row>
    <row r="447" spans="15:25" s="87" customFormat="1" ht="15">
      <c r="O447" s="88"/>
      <c r="P447" s="88"/>
      <c r="Q447" s="88"/>
      <c r="R447" s="88"/>
      <c r="S447" s="88"/>
      <c r="T447" s="88"/>
      <c r="U447" s="88"/>
      <c r="V447" s="88"/>
      <c r="W447" s="88"/>
      <c r="X447" s="88"/>
      <c r="Y447" s="88"/>
    </row>
    <row r="448" spans="15:25" s="87" customFormat="1" ht="15">
      <c r="O448" s="88"/>
      <c r="P448" s="88"/>
      <c r="Q448" s="88"/>
      <c r="R448" s="88"/>
      <c r="S448" s="88"/>
      <c r="T448" s="88"/>
      <c r="U448" s="88"/>
      <c r="V448" s="88"/>
      <c r="W448" s="88"/>
      <c r="X448" s="88"/>
      <c r="Y448" s="88"/>
    </row>
    <row r="449" spans="15:25" s="87" customFormat="1" ht="15">
      <c r="O449" s="88"/>
      <c r="P449" s="88"/>
      <c r="Q449" s="88"/>
      <c r="R449" s="88"/>
      <c r="S449" s="88"/>
      <c r="T449" s="88"/>
      <c r="U449" s="88"/>
      <c r="V449" s="88"/>
      <c r="W449" s="88"/>
      <c r="X449" s="88"/>
      <c r="Y449" s="88"/>
    </row>
    <row r="450" spans="15:25" s="87" customFormat="1" ht="15">
      <c r="O450" s="88"/>
      <c r="P450" s="88"/>
      <c r="Q450" s="88"/>
      <c r="R450" s="88"/>
      <c r="S450" s="88"/>
      <c r="T450" s="88"/>
      <c r="U450" s="88"/>
      <c r="V450" s="88"/>
      <c r="W450" s="88"/>
      <c r="X450" s="88"/>
      <c r="Y450" s="88"/>
    </row>
    <row r="451" spans="15:25" s="87" customFormat="1" ht="15">
      <c r="O451" s="88"/>
      <c r="P451" s="88"/>
      <c r="Q451" s="88"/>
      <c r="R451" s="88"/>
      <c r="S451" s="88"/>
      <c r="T451" s="88"/>
      <c r="U451" s="88"/>
      <c r="V451" s="88"/>
      <c r="W451" s="88"/>
      <c r="X451" s="88"/>
      <c r="Y451" s="88"/>
    </row>
    <row r="452" spans="15:25" s="87" customFormat="1" ht="15">
      <c r="O452" s="88"/>
      <c r="P452" s="88"/>
      <c r="Q452" s="88"/>
      <c r="R452" s="88"/>
      <c r="S452" s="88"/>
      <c r="T452" s="88"/>
      <c r="U452" s="88"/>
      <c r="V452" s="88"/>
      <c r="W452" s="88"/>
      <c r="X452" s="88"/>
      <c r="Y452" s="88"/>
    </row>
    <row r="453" spans="15:25" s="87" customFormat="1" ht="15">
      <c r="O453" s="88"/>
      <c r="P453" s="88"/>
      <c r="Q453" s="88"/>
      <c r="R453" s="88"/>
      <c r="S453" s="88"/>
      <c r="T453" s="88"/>
      <c r="U453" s="88"/>
      <c r="V453" s="88"/>
      <c r="W453" s="88"/>
      <c r="X453" s="88"/>
      <c r="Y453" s="88"/>
    </row>
    <row r="454" spans="15:25" s="87" customFormat="1" ht="15">
      <c r="O454" s="88"/>
      <c r="P454" s="88"/>
      <c r="Q454" s="88"/>
      <c r="R454" s="88"/>
      <c r="S454" s="88"/>
      <c r="T454" s="88"/>
      <c r="U454" s="88"/>
      <c r="V454" s="88"/>
      <c r="W454" s="88"/>
      <c r="X454" s="88"/>
      <c r="Y454" s="88"/>
    </row>
    <row r="455" spans="15:25" s="87" customFormat="1" ht="15">
      <c r="O455" s="88"/>
      <c r="P455" s="88"/>
      <c r="Q455" s="88"/>
      <c r="R455" s="88"/>
      <c r="S455" s="88"/>
      <c r="T455" s="88"/>
      <c r="U455" s="88"/>
      <c r="V455" s="88"/>
      <c r="W455" s="88"/>
      <c r="X455" s="88"/>
      <c r="Y455" s="88"/>
    </row>
    <row r="456" spans="15:25" s="87" customFormat="1" ht="15">
      <c r="O456" s="88"/>
      <c r="P456" s="88"/>
      <c r="Q456" s="88"/>
      <c r="R456" s="88"/>
      <c r="S456" s="88"/>
      <c r="T456" s="88"/>
      <c r="U456" s="88"/>
      <c r="V456" s="88"/>
      <c r="W456" s="88"/>
      <c r="X456" s="88"/>
      <c r="Y456" s="88"/>
    </row>
    <row r="457" spans="15:25" s="87" customFormat="1" ht="15">
      <c r="O457" s="88"/>
      <c r="P457" s="88"/>
      <c r="Q457" s="88"/>
      <c r="R457" s="88"/>
      <c r="S457" s="88"/>
      <c r="T457" s="88"/>
      <c r="U457" s="88"/>
      <c r="V457" s="88"/>
      <c r="W457" s="88"/>
      <c r="X457" s="88"/>
      <c r="Y457" s="88"/>
    </row>
    <row r="458" spans="15:25" s="87" customFormat="1" ht="15">
      <c r="O458" s="88"/>
      <c r="P458" s="88"/>
      <c r="Q458" s="88"/>
      <c r="R458" s="88"/>
      <c r="S458" s="88"/>
      <c r="T458" s="88"/>
      <c r="U458" s="88"/>
      <c r="V458" s="88"/>
      <c r="W458" s="88"/>
      <c r="X458" s="88"/>
      <c r="Y458" s="88"/>
    </row>
    <row r="459" spans="15:25" s="87" customFormat="1" ht="15">
      <c r="O459" s="88"/>
      <c r="P459" s="88"/>
      <c r="Q459" s="88"/>
      <c r="R459" s="88"/>
      <c r="S459" s="88"/>
      <c r="T459" s="88"/>
      <c r="U459" s="88"/>
      <c r="V459" s="88"/>
      <c r="W459" s="88"/>
      <c r="X459" s="88"/>
      <c r="Y459" s="88"/>
    </row>
    <row r="460" spans="15:25" s="87" customFormat="1" ht="15">
      <c r="O460" s="88"/>
      <c r="P460" s="88"/>
      <c r="Q460" s="88"/>
      <c r="R460" s="88"/>
      <c r="S460" s="88"/>
      <c r="T460" s="88"/>
      <c r="U460" s="88"/>
      <c r="V460" s="88"/>
      <c r="W460" s="88"/>
      <c r="X460" s="88"/>
      <c r="Y460" s="88"/>
    </row>
    <row r="461" spans="15:25" s="87" customFormat="1" ht="15">
      <c r="O461" s="88"/>
      <c r="P461" s="88"/>
      <c r="Q461" s="88"/>
      <c r="R461" s="88"/>
      <c r="S461" s="88"/>
      <c r="T461" s="88"/>
      <c r="U461" s="88"/>
      <c r="V461" s="88"/>
      <c r="W461" s="88"/>
      <c r="X461" s="88"/>
      <c r="Y461" s="88"/>
    </row>
    <row r="462" spans="15:25" s="87" customFormat="1" ht="15">
      <c r="O462" s="88"/>
      <c r="P462" s="88"/>
      <c r="Q462" s="88"/>
      <c r="R462" s="88"/>
      <c r="S462" s="88"/>
      <c r="T462" s="88"/>
      <c r="U462" s="88"/>
      <c r="V462" s="88"/>
      <c r="W462" s="88"/>
      <c r="X462" s="88"/>
      <c r="Y462" s="88"/>
    </row>
    <row r="463" spans="15:25" s="87" customFormat="1" ht="15">
      <c r="O463" s="88"/>
      <c r="P463" s="88"/>
      <c r="Q463" s="88"/>
      <c r="R463" s="88"/>
      <c r="S463" s="88"/>
      <c r="T463" s="88"/>
      <c r="U463" s="88"/>
      <c r="V463" s="88"/>
      <c r="W463" s="88"/>
      <c r="X463" s="88"/>
      <c r="Y463" s="88"/>
    </row>
    <row r="464" spans="15:25" s="87" customFormat="1" ht="15">
      <c r="O464" s="88"/>
      <c r="P464" s="88"/>
      <c r="Q464" s="88"/>
      <c r="R464" s="88"/>
      <c r="S464" s="88"/>
      <c r="T464" s="88"/>
      <c r="U464" s="88"/>
      <c r="V464" s="88"/>
      <c r="W464" s="88"/>
      <c r="X464" s="88"/>
      <c r="Y464" s="88"/>
    </row>
    <row r="465" spans="15:25" s="87" customFormat="1" ht="15">
      <c r="O465" s="88"/>
      <c r="P465" s="88"/>
      <c r="Q465" s="88"/>
      <c r="R465" s="88"/>
      <c r="S465" s="88"/>
      <c r="T465" s="88"/>
      <c r="U465" s="88"/>
      <c r="V465" s="88"/>
      <c r="W465" s="88"/>
      <c r="X465" s="88"/>
      <c r="Y465" s="88"/>
    </row>
    <row r="466" spans="15:25" s="87" customFormat="1" ht="15">
      <c r="O466" s="88"/>
      <c r="P466" s="88"/>
      <c r="Q466" s="88"/>
      <c r="R466" s="88"/>
      <c r="S466" s="88"/>
      <c r="T466" s="88"/>
      <c r="U466" s="88"/>
      <c r="V466" s="88"/>
      <c r="W466" s="88"/>
      <c r="X466" s="88"/>
      <c r="Y466" s="88"/>
    </row>
    <row r="467" spans="15:25" s="87" customFormat="1" ht="15">
      <c r="O467" s="88"/>
      <c r="P467" s="88"/>
      <c r="Q467" s="88"/>
      <c r="R467" s="88"/>
      <c r="S467" s="88"/>
      <c r="T467" s="88"/>
      <c r="U467" s="88"/>
      <c r="V467" s="88"/>
      <c r="W467" s="88"/>
      <c r="X467" s="88"/>
      <c r="Y467" s="88"/>
    </row>
    <row r="468" spans="15:25" s="87" customFormat="1" ht="15">
      <c r="O468" s="88"/>
      <c r="P468" s="88"/>
      <c r="Q468" s="88"/>
      <c r="R468" s="88"/>
      <c r="S468" s="88"/>
      <c r="T468" s="88"/>
      <c r="U468" s="88"/>
      <c r="V468" s="88"/>
      <c r="W468" s="88"/>
      <c r="X468" s="88"/>
      <c r="Y468" s="88"/>
    </row>
    <row r="469" spans="15:25" s="87" customFormat="1" ht="15">
      <c r="O469" s="88"/>
      <c r="P469" s="88"/>
      <c r="Q469" s="88"/>
      <c r="R469" s="88"/>
      <c r="S469" s="88"/>
      <c r="T469" s="88"/>
      <c r="U469" s="88"/>
      <c r="V469" s="88"/>
      <c r="W469" s="88"/>
      <c r="X469" s="88"/>
      <c r="Y469" s="88"/>
    </row>
    <row r="470" spans="1:25" s="87" customFormat="1" ht="15">
      <c r="A470" s="101"/>
      <c r="B470" s="101"/>
      <c r="C470" s="101"/>
      <c r="D470" s="101"/>
      <c r="E470" s="764"/>
      <c r="F470" s="764"/>
      <c r="G470" s="764"/>
      <c r="H470" s="114"/>
      <c r="I470" s="114"/>
      <c r="J470" s="114"/>
      <c r="K470" s="114"/>
      <c r="L470" s="114"/>
      <c r="M470" s="114"/>
      <c r="O470" s="88"/>
      <c r="P470" s="88"/>
      <c r="Q470" s="88"/>
      <c r="R470" s="88"/>
      <c r="S470" s="88"/>
      <c r="T470" s="88"/>
      <c r="U470" s="88"/>
      <c r="V470" s="88"/>
      <c r="W470" s="88"/>
      <c r="X470" s="88"/>
      <c r="Y470" s="88"/>
    </row>
    <row r="474" spans="1:6" ht="15">
      <c r="A474" s="762" t="s">
        <v>634</v>
      </c>
      <c r="B474" s="297"/>
      <c r="C474" s="297"/>
      <c r="D474" s="297"/>
      <c r="E474" s="763"/>
      <c r="F474" s="87"/>
    </row>
  </sheetData>
  <sheetProtection/>
  <mergeCells count="102">
    <mergeCell ref="C262:C274"/>
    <mergeCell ref="E264:J264"/>
    <mergeCell ref="E268:J268"/>
    <mergeCell ref="E274:J274"/>
    <mergeCell ref="E272:J272"/>
    <mergeCell ref="E266:J266"/>
    <mergeCell ref="E262:J262"/>
    <mergeCell ref="C12:P12"/>
    <mergeCell ref="E22:P23"/>
    <mergeCell ref="C8:N8"/>
    <mergeCell ref="C9:N9"/>
    <mergeCell ref="C10:N10"/>
    <mergeCell ref="C11:P11"/>
    <mergeCell ref="C17:P17"/>
    <mergeCell ref="C19:C54"/>
    <mergeCell ref="E26:P26"/>
    <mergeCell ref="E20:P20"/>
    <mergeCell ref="A112:A121"/>
    <mergeCell ref="C112:C121"/>
    <mergeCell ref="F225:K225"/>
    <mergeCell ref="C194:C214"/>
    <mergeCell ref="E238:F238"/>
    <mergeCell ref="J238:K238"/>
    <mergeCell ref="J237:K237"/>
    <mergeCell ref="J235:K235"/>
    <mergeCell ref="J236:K236"/>
    <mergeCell ref="E252:H252"/>
    <mergeCell ref="J252:K252"/>
    <mergeCell ref="E250:F250"/>
    <mergeCell ref="J240:K240"/>
    <mergeCell ref="J241:K241"/>
    <mergeCell ref="J249:K249"/>
    <mergeCell ref="J250:K250"/>
    <mergeCell ref="E248:F248"/>
    <mergeCell ref="E244:F244"/>
    <mergeCell ref="E245:F245"/>
    <mergeCell ref="E85:P85"/>
    <mergeCell ref="E86:P86"/>
    <mergeCell ref="C132:C190"/>
    <mergeCell ref="J72:K72"/>
    <mergeCell ref="F122:P122"/>
    <mergeCell ref="F129:P129"/>
    <mergeCell ref="E109:P109"/>
    <mergeCell ref="C58:C77"/>
    <mergeCell ref="C79:C83"/>
    <mergeCell ref="E83:P83"/>
    <mergeCell ref="A277:A281"/>
    <mergeCell ref="E246:F246"/>
    <mergeCell ref="A148:A190"/>
    <mergeCell ref="A220:A252"/>
    <mergeCell ref="C256:C259"/>
    <mergeCell ref="A194:A218"/>
    <mergeCell ref="E236:F236"/>
    <mergeCell ref="E235:F235"/>
    <mergeCell ref="C220:C252"/>
    <mergeCell ref="E270:J270"/>
    <mergeCell ref="A19:A56"/>
    <mergeCell ref="A58:A75"/>
    <mergeCell ref="C100:C110"/>
    <mergeCell ref="A100:A110"/>
    <mergeCell ref="C98:P98"/>
    <mergeCell ref="J73:K73"/>
    <mergeCell ref="E75:H75"/>
    <mergeCell ref="J75:K75"/>
    <mergeCell ref="E24:P25"/>
    <mergeCell ref="E19:P19"/>
    <mergeCell ref="K2:P2"/>
    <mergeCell ref="K3:P3"/>
    <mergeCell ref="E59:K59"/>
    <mergeCell ref="E61:K61"/>
    <mergeCell ref="J68:K68"/>
    <mergeCell ref="J77:K77"/>
    <mergeCell ref="J64:K64"/>
    <mergeCell ref="J65:K65"/>
    <mergeCell ref="J69:K69"/>
    <mergeCell ref="J62:K62"/>
    <mergeCell ref="J66:K66"/>
    <mergeCell ref="J67:K67"/>
    <mergeCell ref="J70:K70"/>
    <mergeCell ref="E76:P76"/>
    <mergeCell ref="J74:K74"/>
    <mergeCell ref="J71:K71"/>
    <mergeCell ref="C283:C289"/>
    <mergeCell ref="C279:C281"/>
    <mergeCell ref="E217:R217"/>
    <mergeCell ref="J248:K248"/>
    <mergeCell ref="J244:K244"/>
    <mergeCell ref="J245:K245"/>
    <mergeCell ref="J243:K243"/>
    <mergeCell ref="E247:F247"/>
    <mergeCell ref="J239:K239"/>
    <mergeCell ref="E239:F239"/>
    <mergeCell ref="C277:P277"/>
    <mergeCell ref="E28:P29"/>
    <mergeCell ref="E178:P178"/>
    <mergeCell ref="E124:P125"/>
    <mergeCell ref="F102:P102"/>
    <mergeCell ref="E54:P54"/>
    <mergeCell ref="E224:P224"/>
    <mergeCell ref="E237:F237"/>
    <mergeCell ref="J242:K242"/>
    <mergeCell ref="J63:K63"/>
  </mergeCells>
  <dataValidations count="1">
    <dataValidation type="list" showInputMessage="1" showErrorMessage="1" sqref="E257 E225 M235:M251 H235:I251 E43 E46 E49 E52 E40 E81 L127 J127 G127 E127 E102 L120 J120 G120 E120 E114 E133 E139 E166 E170">
      <formula1>YesNo</formula1>
    </dataValidation>
  </dataValidations>
  <hyperlinks>
    <hyperlink ref="J289" r:id="rId1" display="http://tonto.eia.doe.gov/dnav/ng/ng_pri_sum_a_EPG0_PCS_DMcf_a.htm"/>
    <hyperlink ref="J284" r:id="rId2" display="http://www.eia.doe.gov/cneaf/electricity/epm/table5_3.html"/>
    <hyperlink ref="J288" r:id="rId3" display="http://www.eia.doe.gov/neic/experts/heatcalc.xls"/>
  </hyperlinks>
  <printOptions/>
  <pageMargins left="0.25" right="0.25" top="0.36" bottom="0.28" header="0.24" footer="0.2"/>
  <pageSetup fitToHeight="10" fitToWidth="1" horizontalDpi="300" verticalDpi="300" orientation="portrait" scale="53" r:id="rId7"/>
  <drawing r:id="rId6"/>
  <legacyDrawing r:id="rId5"/>
</worksheet>
</file>

<file path=xl/worksheets/sheet4.xml><?xml version="1.0" encoding="utf-8"?>
<worksheet xmlns="http://schemas.openxmlformats.org/spreadsheetml/2006/main" xmlns:r="http://schemas.openxmlformats.org/officeDocument/2006/relationships">
  <sheetPr>
    <tabColor indexed="52"/>
    <pageSetUpPr fitToPage="1"/>
  </sheetPr>
  <dimension ref="A1:Z63"/>
  <sheetViews>
    <sheetView zoomScale="85" zoomScaleNormal="85" zoomScalePageLayoutView="0" workbookViewId="0" topLeftCell="E4">
      <selection activeCell="D51" sqref="D51"/>
    </sheetView>
  </sheetViews>
  <sheetFormatPr defaultColWidth="9.140625" defaultRowHeight="12.75"/>
  <cols>
    <col min="1" max="1" width="13.140625" style="1" customWidth="1"/>
    <col min="2" max="2" width="38.421875" style="1" customWidth="1"/>
    <col min="3" max="4" width="20.8515625" style="1" customWidth="1"/>
    <col min="5" max="7" width="21.8515625" style="1" customWidth="1"/>
    <col min="8" max="8" width="15.7109375" style="1" customWidth="1"/>
    <col min="9" max="9" width="10.00390625" style="1" customWidth="1"/>
    <col min="10" max="16384" width="9.140625" style="1" customWidth="1"/>
  </cols>
  <sheetData>
    <row r="1" ht="11.25" customHeight="1">
      <c r="L1" s="2"/>
    </row>
    <row r="2" spans="2:12" ht="18.75">
      <c r="B2" s="848" t="s">
        <v>14</v>
      </c>
      <c r="C2" s="316"/>
      <c r="D2" s="316"/>
      <c r="E2" s="316"/>
      <c r="F2" s="316"/>
      <c r="G2" s="526"/>
      <c r="L2" s="2"/>
    </row>
    <row r="3" spans="2:12" ht="16.5" customHeight="1">
      <c r="B3" s="496" t="s">
        <v>13</v>
      </c>
      <c r="C3" s="547"/>
      <c r="D3" s="547"/>
      <c r="E3" s="547"/>
      <c r="F3" s="547"/>
      <c r="G3" s="526"/>
      <c r="L3" s="2"/>
    </row>
    <row r="4" spans="2:21" ht="9.75" customHeight="1">
      <c r="B4" s="849"/>
      <c r="C4" s="2"/>
      <c r="D4" s="2"/>
      <c r="E4" s="2"/>
      <c r="F4" s="2"/>
      <c r="L4" s="2"/>
      <c r="U4" s="15"/>
    </row>
    <row r="5" spans="2:21" ht="19.5" customHeight="1">
      <c r="B5" s="11" t="s">
        <v>52</v>
      </c>
      <c r="L5" s="2"/>
      <c r="U5" s="15"/>
    </row>
    <row r="6" spans="1:20" s="15" customFormat="1" ht="9.75" customHeight="1">
      <c r="A6" s="12"/>
      <c r="B6" s="12"/>
      <c r="C6" s="12"/>
      <c r="D6" s="12"/>
      <c r="E6" s="12"/>
      <c r="F6" s="12"/>
      <c r="G6" s="12"/>
      <c r="H6" s="12"/>
      <c r="I6" s="12"/>
      <c r="J6" s="12"/>
      <c r="K6" s="12"/>
      <c r="L6" s="13"/>
      <c r="M6" s="12"/>
      <c r="N6" s="12"/>
      <c r="O6" s="12"/>
      <c r="P6" s="12"/>
      <c r="Q6" s="12"/>
      <c r="R6" s="12"/>
      <c r="S6" s="12"/>
      <c r="T6" s="12"/>
    </row>
    <row r="7" spans="1:21" s="14" customFormat="1" ht="6" customHeight="1">
      <c r="A7" s="18"/>
      <c r="B7" s="18"/>
      <c r="C7" s="18"/>
      <c r="D7" s="18"/>
      <c r="E7" s="18"/>
      <c r="F7" s="18"/>
      <c r="G7" s="18"/>
      <c r="H7" s="18"/>
      <c r="I7" s="18"/>
      <c r="J7" s="18"/>
      <c r="K7" s="18"/>
      <c r="L7" s="19"/>
      <c r="M7" s="18"/>
      <c r="N7" s="18"/>
      <c r="O7" s="18"/>
      <c r="P7" s="18"/>
      <c r="Q7" s="18"/>
      <c r="R7" s="18"/>
      <c r="S7" s="18"/>
      <c r="T7" s="18"/>
      <c r="U7" s="16"/>
    </row>
    <row r="8" spans="2:25" s="220" customFormat="1" ht="21.75" customHeight="1">
      <c r="B8" s="1006" t="s">
        <v>615</v>
      </c>
      <c r="C8" s="1006"/>
      <c r="D8" s="1006"/>
      <c r="E8" s="1006"/>
      <c r="F8" s="1006"/>
      <c r="G8" s="1006"/>
      <c r="H8" s="1006"/>
      <c r="I8" s="1006"/>
      <c r="J8" s="1006"/>
      <c r="K8" s="1006"/>
      <c r="L8" s="1006"/>
      <c r="M8" s="1006"/>
      <c r="N8" s="1006"/>
      <c r="O8" s="222"/>
      <c r="P8" s="222"/>
      <c r="Q8" s="222"/>
      <c r="R8" s="222"/>
      <c r="S8" s="222"/>
      <c r="T8" s="222"/>
      <c r="U8" s="222"/>
      <c r="V8" s="222"/>
      <c r="W8" s="222"/>
      <c r="X8" s="222"/>
      <c r="Y8" s="222"/>
    </row>
    <row r="9" spans="2:25" s="220" customFormat="1" ht="19.5" customHeight="1">
      <c r="B9" s="221"/>
      <c r="C9" s="221"/>
      <c r="O9" s="222"/>
      <c r="P9" s="222"/>
      <c r="Q9" s="222"/>
      <c r="R9" s="222"/>
      <c r="S9" s="222"/>
      <c r="T9" s="222"/>
      <c r="U9" s="222"/>
      <c r="V9" s="222"/>
      <c r="W9" s="222"/>
      <c r="X9" s="222"/>
      <c r="Y9" s="222"/>
    </row>
    <row r="10" spans="2:25" s="220" customFormat="1" ht="19.5" customHeight="1">
      <c r="B10" s="234" t="s">
        <v>251</v>
      </c>
      <c r="C10" s="234"/>
      <c r="D10" s="238"/>
      <c r="E10" s="238"/>
      <c r="F10" s="238"/>
      <c r="G10" s="238"/>
      <c r="H10" s="238"/>
      <c r="I10" s="238"/>
      <c r="J10" s="238"/>
      <c r="K10" s="238"/>
      <c r="L10" s="238"/>
      <c r="M10" s="238"/>
      <c r="N10" s="238"/>
      <c r="O10" s="222"/>
      <c r="P10" s="222"/>
      <c r="Q10" s="222"/>
      <c r="R10" s="222"/>
      <c r="S10" s="222"/>
      <c r="T10" s="222"/>
      <c r="U10" s="222"/>
      <c r="V10" s="222"/>
      <c r="W10" s="222"/>
      <c r="X10" s="222"/>
      <c r="Y10" s="222"/>
    </row>
    <row r="11" spans="2:25" s="220" customFormat="1" ht="49.5" customHeight="1">
      <c r="B11" s="1005" t="s">
        <v>396</v>
      </c>
      <c r="C11" s="1005"/>
      <c r="D11" s="1005"/>
      <c r="E11" s="1005"/>
      <c r="F11" s="1005"/>
      <c r="G11" s="1005"/>
      <c r="H11" s="1005"/>
      <c r="I11" s="281"/>
      <c r="J11" s="281"/>
      <c r="K11" s="281"/>
      <c r="L11" s="281"/>
      <c r="M11" s="281"/>
      <c r="N11" s="281"/>
      <c r="O11" s="281"/>
      <c r="P11" s="281"/>
      <c r="Q11" s="222"/>
      <c r="R11" s="222"/>
      <c r="S11" s="222"/>
      <c r="T11" s="222"/>
      <c r="U11" s="222"/>
      <c r="V11" s="222"/>
      <c r="W11" s="222"/>
      <c r="X11" s="222"/>
      <c r="Y11" s="222"/>
    </row>
    <row r="12" spans="1:26" s="96" customFormat="1" ht="6" customHeight="1">
      <c r="A12" s="94"/>
      <c r="B12" s="94"/>
      <c r="C12" s="94"/>
      <c r="D12" s="94"/>
      <c r="E12" s="94"/>
      <c r="F12" s="94"/>
      <c r="G12" s="94"/>
      <c r="H12" s="94"/>
      <c r="I12" s="94"/>
      <c r="J12" s="94"/>
      <c r="K12" s="94"/>
      <c r="L12" s="94"/>
      <c r="M12" s="94"/>
      <c r="N12" s="94"/>
      <c r="O12" s="94"/>
      <c r="P12" s="94"/>
      <c r="Q12" s="95"/>
      <c r="R12" s="94"/>
      <c r="S12" s="94"/>
      <c r="T12" s="94"/>
      <c r="U12" s="94"/>
      <c r="V12" s="94"/>
      <c r="W12" s="94"/>
      <c r="X12" s="94"/>
      <c r="Y12" s="94"/>
      <c r="Z12" s="94"/>
    </row>
    <row r="13" spans="1:17" s="88" customFormat="1" ht="9.75" customHeight="1">
      <c r="A13" s="92"/>
      <c r="B13" s="92"/>
      <c r="C13" s="92"/>
      <c r="D13" s="92"/>
      <c r="E13" s="92"/>
      <c r="F13" s="92"/>
      <c r="G13" s="92"/>
      <c r="H13" s="92"/>
      <c r="I13" s="92"/>
      <c r="J13" s="92"/>
      <c r="K13" s="92"/>
      <c r="L13" s="92"/>
      <c r="M13" s="92"/>
      <c r="N13" s="92"/>
      <c r="O13" s="92"/>
      <c r="P13" s="92"/>
      <c r="Q13" s="89"/>
    </row>
    <row r="14" spans="1:26" s="96" customFormat="1" ht="6" customHeight="1">
      <c r="A14" s="93"/>
      <c r="B14" s="93"/>
      <c r="C14" s="93"/>
      <c r="D14" s="93"/>
      <c r="E14" s="93"/>
      <c r="F14" s="93"/>
      <c r="G14" s="93"/>
      <c r="H14" s="93"/>
      <c r="I14" s="93"/>
      <c r="J14" s="93"/>
      <c r="K14" s="93"/>
      <c r="L14" s="93"/>
      <c r="M14" s="93"/>
      <c r="N14" s="93"/>
      <c r="O14" s="93"/>
      <c r="P14" s="93"/>
      <c r="Q14" s="95"/>
      <c r="R14" s="94"/>
      <c r="S14" s="94"/>
      <c r="T14" s="94"/>
      <c r="U14" s="94"/>
      <c r="V14" s="94"/>
      <c r="W14" s="94"/>
      <c r="X14" s="94"/>
      <c r="Y14" s="94"/>
      <c r="Z14" s="94"/>
    </row>
    <row r="15" ht="8.25" customHeight="1">
      <c r="B15" s="32"/>
    </row>
    <row r="16" spans="1:7" ht="15">
      <c r="A16" s="33"/>
      <c r="B16" s="2"/>
      <c r="F16" s="21" t="s">
        <v>228</v>
      </c>
      <c r="G16" s="1" t="s">
        <v>230</v>
      </c>
    </row>
    <row r="17" spans="1:7" ht="15">
      <c r="A17" s="33"/>
      <c r="C17" s="739"/>
      <c r="D17" s="8"/>
      <c r="F17" s="21" t="s">
        <v>229</v>
      </c>
      <c r="G17" s="1" t="s">
        <v>231</v>
      </c>
    </row>
    <row r="18" spans="2:7" ht="15.75" thickBot="1">
      <c r="B18" s="31"/>
      <c r="C18" s="2"/>
      <c r="D18" s="2"/>
      <c r="F18" s="21" t="s">
        <v>447</v>
      </c>
      <c r="G18" s="1" t="s">
        <v>448</v>
      </c>
    </row>
    <row r="19" spans="2:7" ht="30.75" thickBot="1">
      <c r="B19" s="245" t="s">
        <v>468</v>
      </c>
      <c r="C19" s="246" t="s">
        <v>225</v>
      </c>
      <c r="D19" s="246" t="s">
        <v>593</v>
      </c>
      <c r="E19" s="245" t="s">
        <v>227</v>
      </c>
      <c r="F19" s="246" t="s">
        <v>594</v>
      </c>
      <c r="G19" s="246" t="s">
        <v>592</v>
      </c>
    </row>
    <row r="20" spans="2:13" ht="15">
      <c r="B20" s="34" t="s">
        <v>481</v>
      </c>
      <c r="C20" s="124">
        <f>'User Inputs'!E110</f>
        <v>0</v>
      </c>
      <c r="D20" s="35">
        <v>0.01</v>
      </c>
      <c r="E20" s="240">
        <v>0.7</v>
      </c>
      <c r="F20" s="36">
        <f>G20*E20</f>
        <v>0</v>
      </c>
      <c r="G20" s="37">
        <f>C20*I20</f>
        <v>0</v>
      </c>
      <c r="I20" s="701">
        <v>0.821</v>
      </c>
      <c r="J20" s="702" t="s">
        <v>630</v>
      </c>
      <c r="K20" s="702"/>
      <c r="L20" s="703"/>
      <c r="M20" s="704"/>
    </row>
    <row r="21" spans="2:9" ht="15" customHeight="1">
      <c r="B21" s="38"/>
      <c r="C21" s="39"/>
      <c r="D21" s="39"/>
      <c r="E21" s="40"/>
      <c r="F21" s="39"/>
      <c r="G21" s="39"/>
      <c r="I21" s="725"/>
    </row>
    <row r="22" ht="15.75" thickBot="1"/>
    <row r="23" spans="2:8" ht="45" customHeight="1" thickBot="1">
      <c r="B23" s="245" t="s">
        <v>467</v>
      </c>
      <c r="C23" s="246" t="s">
        <v>585</v>
      </c>
      <c r="D23" s="246" t="s">
        <v>232</v>
      </c>
      <c r="E23" s="246" t="s">
        <v>470</v>
      </c>
      <c r="F23" s="246" t="s">
        <v>591</v>
      </c>
      <c r="G23" s="246" t="s">
        <v>592</v>
      </c>
      <c r="H23" s="246" t="s">
        <v>495</v>
      </c>
    </row>
    <row r="24" spans="2:8" ht="18.75" customHeight="1" thickBot="1">
      <c r="B24" s="163" t="s">
        <v>132</v>
      </c>
      <c r="C24" s="164">
        <f>'2. Food Waste Feedstock Data'!H69/365</f>
        <v>0</v>
      </c>
      <c r="D24" s="165">
        <v>0.3</v>
      </c>
      <c r="E24" s="241">
        <v>0.895</v>
      </c>
      <c r="F24" s="166">
        <f>G24*E24</f>
        <v>0</v>
      </c>
      <c r="G24" s="208">
        <f aca="true" t="shared" si="0" ref="G24:G33">C24*D24</f>
        <v>0</v>
      </c>
      <c r="H24" s="212" t="s">
        <v>496</v>
      </c>
    </row>
    <row r="25" spans="2:8" ht="15" customHeight="1" thickBot="1">
      <c r="B25" s="8"/>
      <c r="C25" s="191"/>
      <c r="D25" s="192"/>
      <c r="E25" s="193"/>
      <c r="F25" s="194"/>
      <c r="G25" s="194"/>
      <c r="H25" s="212"/>
    </row>
    <row r="26" spans="2:8" ht="18.75" customHeight="1" thickBot="1">
      <c r="B26" s="163" t="s">
        <v>661</v>
      </c>
      <c r="C26" s="164">
        <f>'User Inputs'!G81</f>
        <v>0</v>
      </c>
      <c r="D26" s="165">
        <v>0.3</v>
      </c>
      <c r="E26" s="241">
        <v>0.895</v>
      </c>
      <c r="F26" s="166">
        <f>G26*E26</f>
        <v>0</v>
      </c>
      <c r="G26" s="208">
        <f t="shared" si="0"/>
        <v>0</v>
      </c>
      <c r="H26" s="212" t="s">
        <v>496</v>
      </c>
    </row>
    <row r="27" spans="2:8" ht="12.75" customHeight="1" thickBot="1">
      <c r="B27" s="167"/>
      <c r="C27" s="168"/>
      <c r="D27" s="169"/>
      <c r="E27" s="170"/>
      <c r="F27" s="142"/>
      <c r="G27" s="190"/>
      <c r="H27" s="212"/>
    </row>
    <row r="28" spans="2:8" s="15" customFormat="1" ht="15.75" thickBot="1">
      <c r="B28" s="133" t="s">
        <v>151</v>
      </c>
      <c r="C28" s="171">
        <f>('2. Food Waste Feedstock Data'!F19*0.0005)/365</f>
        <v>0</v>
      </c>
      <c r="D28" s="165">
        <v>0.3</v>
      </c>
      <c r="E28" s="242">
        <v>0.92</v>
      </c>
      <c r="F28" s="143">
        <f aca="true" t="shared" si="1" ref="F28:F39">G28*E28</f>
        <v>0</v>
      </c>
      <c r="G28" s="209">
        <f t="shared" si="0"/>
        <v>0</v>
      </c>
      <c r="H28" s="212" t="s">
        <v>496</v>
      </c>
    </row>
    <row r="29" spans="2:8" ht="15.75" thickBot="1">
      <c r="B29" s="76" t="s">
        <v>152</v>
      </c>
      <c r="C29" s="161">
        <f>('2. Food Waste Feedstock Data'!F20*0.0005)/365</f>
        <v>0</v>
      </c>
      <c r="D29" s="141">
        <v>0.29</v>
      </c>
      <c r="E29" s="243">
        <v>0.96</v>
      </c>
      <c r="F29" s="36">
        <f>G29*E29</f>
        <v>0</v>
      </c>
      <c r="G29" s="210">
        <f>C29*D29</f>
        <v>0</v>
      </c>
      <c r="H29" s="9"/>
    </row>
    <row r="30" spans="2:8" s="15" customFormat="1" ht="15.75" thickBot="1">
      <c r="B30" s="76" t="s">
        <v>159</v>
      </c>
      <c r="C30" s="161">
        <f>('2. Food Waste Feedstock Data'!F21*0.0005)/365</f>
        <v>0</v>
      </c>
      <c r="D30" s="165">
        <v>0.3</v>
      </c>
      <c r="E30" s="243">
        <v>0.88</v>
      </c>
      <c r="F30" s="36">
        <f t="shared" si="1"/>
        <v>0</v>
      </c>
      <c r="G30" s="210">
        <f t="shared" si="0"/>
        <v>0</v>
      </c>
      <c r="H30" s="212" t="s">
        <v>496</v>
      </c>
    </row>
    <row r="31" spans="2:8" ht="15.75" thickBot="1">
      <c r="B31" s="76" t="s">
        <v>163</v>
      </c>
      <c r="C31" s="161">
        <f>('2. Food Waste Feedstock Data'!F22*0.0005)/365</f>
        <v>0</v>
      </c>
      <c r="D31" s="165">
        <v>0.3</v>
      </c>
      <c r="E31" s="243">
        <v>0.92</v>
      </c>
      <c r="F31" s="36">
        <f t="shared" si="1"/>
        <v>0</v>
      </c>
      <c r="G31" s="210">
        <f t="shared" si="0"/>
        <v>0</v>
      </c>
      <c r="H31" s="212" t="s">
        <v>496</v>
      </c>
    </row>
    <row r="32" spans="2:8" ht="15.75" thickBot="1">
      <c r="B32" s="76" t="s">
        <v>167</v>
      </c>
      <c r="C32" s="162">
        <f>(('2. Food Waste Feedstock Data'!I44+'2. Food Waste Feedstock Data'!I46)*0.0005)/365</f>
        <v>0</v>
      </c>
      <c r="D32" s="165">
        <v>0.3</v>
      </c>
      <c r="E32" s="243">
        <v>0.88</v>
      </c>
      <c r="F32" s="36">
        <f t="shared" si="1"/>
        <v>0</v>
      </c>
      <c r="G32" s="210">
        <f t="shared" si="0"/>
        <v>0</v>
      </c>
      <c r="H32" s="212" t="s">
        <v>496</v>
      </c>
    </row>
    <row r="33" spans="2:8" ht="15.75" thickBot="1">
      <c r="B33" s="84" t="s">
        <v>166</v>
      </c>
      <c r="C33" s="172">
        <f>('2. Food Waste Feedstock Data'!I45*0.0005)/365</f>
        <v>0</v>
      </c>
      <c r="D33" s="165">
        <v>0.3</v>
      </c>
      <c r="E33" s="244">
        <v>0.92</v>
      </c>
      <c r="F33" s="145">
        <f t="shared" si="1"/>
        <v>0</v>
      </c>
      <c r="G33" s="211">
        <f t="shared" si="0"/>
        <v>0</v>
      </c>
      <c r="H33" s="212" t="s">
        <v>496</v>
      </c>
    </row>
    <row r="34" spans="2:8" ht="15.75" thickBot="1">
      <c r="B34" s="167"/>
      <c r="C34" s="146"/>
      <c r="D34" s="173"/>
      <c r="E34" s="170"/>
      <c r="F34" s="142"/>
      <c r="G34" s="190"/>
      <c r="H34" s="9"/>
    </row>
    <row r="35" spans="2:8" s="15" customFormat="1" ht="15.75" thickBot="1">
      <c r="B35" s="133" t="s">
        <v>483</v>
      </c>
      <c r="C35" s="171">
        <f>('2. Food Waste Feedstock Data'!F33*0.0005)/365</f>
        <v>0</v>
      </c>
      <c r="D35" s="165">
        <v>0.3</v>
      </c>
      <c r="E35" s="242">
        <v>0.88</v>
      </c>
      <c r="F35" s="143">
        <f t="shared" si="1"/>
        <v>0</v>
      </c>
      <c r="G35" s="209">
        <f>C35*D35</f>
        <v>0</v>
      </c>
      <c r="H35" s="212" t="s">
        <v>496</v>
      </c>
    </row>
    <row r="36" spans="2:8" s="15" customFormat="1" ht="15.75" thickBot="1">
      <c r="B36" s="76" t="s">
        <v>484</v>
      </c>
      <c r="C36" s="161">
        <f>('2. Food Waste Feedstock Data'!F34*0.0005)/365</f>
        <v>0</v>
      </c>
      <c r="D36" s="165">
        <v>0.3</v>
      </c>
      <c r="E36" s="243">
        <v>0.88</v>
      </c>
      <c r="F36" s="36">
        <f t="shared" si="1"/>
        <v>0</v>
      </c>
      <c r="G36" s="210">
        <f>C36*D36</f>
        <v>0</v>
      </c>
      <c r="H36" s="212" t="s">
        <v>496</v>
      </c>
    </row>
    <row r="37" spans="2:8" s="15" customFormat="1" ht="15.75" thickBot="1">
      <c r="B37" s="76" t="s">
        <v>164</v>
      </c>
      <c r="C37" s="161">
        <f>('2. Food Waste Feedstock Data'!F35*0.0005)/365</f>
        <v>0</v>
      </c>
      <c r="D37" s="165">
        <v>0.3</v>
      </c>
      <c r="E37" s="243">
        <v>0.92</v>
      </c>
      <c r="F37" s="36">
        <f t="shared" si="1"/>
        <v>0</v>
      </c>
      <c r="G37" s="210">
        <f>C37*D37</f>
        <v>0</v>
      </c>
      <c r="H37" s="212" t="s">
        <v>496</v>
      </c>
    </row>
    <row r="38" spans="2:8" s="15" customFormat="1" ht="15.75" thickBot="1">
      <c r="B38" s="76" t="s">
        <v>165</v>
      </c>
      <c r="C38" s="161">
        <f>('2. Food Waste Feedstock Data'!F36*0.0005)/365</f>
        <v>0</v>
      </c>
      <c r="D38" s="165">
        <v>0.3</v>
      </c>
      <c r="E38" s="243">
        <v>0.92</v>
      </c>
      <c r="F38" s="36">
        <f t="shared" si="1"/>
        <v>0</v>
      </c>
      <c r="G38" s="210">
        <f>C38*D38</f>
        <v>0</v>
      </c>
      <c r="H38" s="212" t="s">
        <v>496</v>
      </c>
    </row>
    <row r="39" spans="2:8" ht="15.75" thickBot="1">
      <c r="B39" s="84" t="s">
        <v>482</v>
      </c>
      <c r="C39" s="174">
        <f>'User Inputs'!E34</f>
        <v>0</v>
      </c>
      <c r="D39" s="144">
        <v>0.29</v>
      </c>
      <c r="E39" s="244">
        <v>0.96</v>
      </c>
      <c r="F39" s="145">
        <f t="shared" si="1"/>
        <v>0</v>
      </c>
      <c r="G39" s="211">
        <f>C39*D39</f>
        <v>0</v>
      </c>
      <c r="H39" s="9"/>
    </row>
    <row r="40" spans="2:6" ht="15.75" thickBot="1">
      <c r="B40" s="8"/>
      <c r="C40" s="3"/>
      <c r="D40" s="283"/>
      <c r="E40" s="284"/>
      <c r="F40" s="3"/>
    </row>
    <row r="41" spans="2:11" ht="15.75" thickBot="1">
      <c r="B41" s="8"/>
      <c r="C41" s="3"/>
      <c r="D41" s="388"/>
      <c r="E41" s="479"/>
      <c r="F41" s="531" t="s">
        <v>595</v>
      </c>
      <c r="G41" s="527">
        <f>SUM(G24:G39)</f>
        <v>0</v>
      </c>
      <c r="H41" s="528" t="s">
        <v>586</v>
      </c>
      <c r="I41" s="5">
        <f>G41*0.907</f>
        <v>0</v>
      </c>
      <c r="J41" s="696" t="s">
        <v>240</v>
      </c>
      <c r="K41" s="147"/>
    </row>
    <row r="42" spans="4:11" ht="15.75" thickBot="1">
      <c r="D42" s="55"/>
      <c r="E42" s="187"/>
      <c r="F42" s="532" t="s">
        <v>21</v>
      </c>
      <c r="G42" s="529">
        <f>(G41)*(1-'User Inputs'!E89)</f>
        <v>0</v>
      </c>
      <c r="H42" s="530" t="s">
        <v>586</v>
      </c>
      <c r="I42" s="5">
        <f>G42*0.907</f>
        <v>0</v>
      </c>
      <c r="J42" s="696" t="s">
        <v>240</v>
      </c>
      <c r="K42" s="6"/>
    </row>
    <row r="43" spans="4:11" ht="15.75" thickBot="1">
      <c r="D43" s="55"/>
      <c r="E43" s="187"/>
      <c r="F43" s="533" t="s">
        <v>596</v>
      </c>
      <c r="G43" s="352">
        <f>G20</f>
        <v>0</v>
      </c>
      <c r="H43" s="54" t="s">
        <v>586</v>
      </c>
      <c r="I43" s="5">
        <f>G43*0.907</f>
        <v>0</v>
      </c>
      <c r="J43" s="696" t="s">
        <v>240</v>
      </c>
      <c r="K43" s="58"/>
    </row>
    <row r="44" spans="4:8" ht="15">
      <c r="D44" s="55"/>
      <c r="E44" s="187"/>
      <c r="F44" s="533" t="s">
        <v>462</v>
      </c>
      <c r="G44" s="175" t="e">
        <f>SUM(G24:G39)/SUM(C24:C39)</f>
        <v>#DIV/0!</v>
      </c>
      <c r="H44" s="239" t="s">
        <v>233</v>
      </c>
    </row>
    <row r="45" spans="4:8" ht="15">
      <c r="D45" s="55"/>
      <c r="E45" s="187"/>
      <c r="F45" s="533" t="s">
        <v>463</v>
      </c>
      <c r="G45" s="175">
        <f>D20</f>
        <v>0.01</v>
      </c>
      <c r="H45" s="239" t="s">
        <v>233</v>
      </c>
    </row>
    <row r="46" spans="4:8" ht="15">
      <c r="D46" s="55"/>
      <c r="E46" s="2"/>
      <c r="F46" s="533" t="s">
        <v>53</v>
      </c>
      <c r="G46" s="175" t="e">
        <f>SUM(F24:F39)/SUM(G24:G39)</f>
        <v>#DIV/0!</v>
      </c>
      <c r="H46" s="30"/>
    </row>
    <row r="47" spans="4:8" ht="15">
      <c r="D47" s="55"/>
      <c r="E47" s="2"/>
      <c r="F47" s="533" t="s">
        <v>54</v>
      </c>
      <c r="G47" s="175">
        <f>E20</f>
        <v>0.7</v>
      </c>
      <c r="H47" s="54"/>
    </row>
    <row r="48" spans="4:8" ht="15.75" thickBot="1">
      <c r="D48" s="57"/>
      <c r="E48" s="20"/>
      <c r="F48" s="534" t="s">
        <v>55</v>
      </c>
      <c r="G48" s="176" t="e">
        <f>G42/SUM(G42:G43)</f>
        <v>#DIV/0!</v>
      </c>
      <c r="H48" s="58" t="s">
        <v>487</v>
      </c>
    </row>
    <row r="49" ht="15.75" thickBot="1"/>
    <row r="50" spans="1:13" ht="45">
      <c r="A50" s="82"/>
      <c r="C50" s="574"/>
      <c r="D50" s="568" t="s">
        <v>474</v>
      </c>
      <c r="E50" s="34" t="s">
        <v>472</v>
      </c>
      <c r="F50" s="34" t="s">
        <v>473</v>
      </c>
      <c r="G50" s="569" t="s">
        <v>281</v>
      </c>
      <c r="H50" s="1013" t="s">
        <v>202</v>
      </c>
      <c r="I50" s="1014"/>
      <c r="J50" s="1014"/>
      <c r="K50" s="1014"/>
      <c r="L50" s="1014"/>
      <c r="M50" s="1014"/>
    </row>
    <row r="51" spans="1:13" ht="45">
      <c r="A51" s="15"/>
      <c r="C51" s="575" t="s">
        <v>475</v>
      </c>
      <c r="D51" s="570">
        <v>0.71</v>
      </c>
      <c r="E51" s="560">
        <v>1.43</v>
      </c>
      <c r="F51" s="560">
        <v>0.33</v>
      </c>
      <c r="G51" s="571">
        <v>0.17</v>
      </c>
      <c r="H51" s="1015"/>
      <c r="I51" s="1014"/>
      <c r="J51" s="1014"/>
      <c r="K51" s="1014"/>
      <c r="L51" s="1014"/>
      <c r="M51" s="1014"/>
    </row>
    <row r="52" spans="1:9" ht="45" customHeight="1" thickBot="1">
      <c r="A52" s="15"/>
      <c r="C52" s="576" t="s">
        <v>239</v>
      </c>
      <c r="D52" s="572">
        <f>(D51*G42)</f>
        <v>0</v>
      </c>
      <c r="E52" s="573">
        <f>(E51*G42)</f>
        <v>0</v>
      </c>
      <c r="F52" s="573">
        <f>(F51*G42)</f>
        <v>0</v>
      </c>
      <c r="G52" s="577">
        <f>(G51*G42)</f>
        <v>0</v>
      </c>
      <c r="I52"/>
    </row>
    <row r="53" spans="1:9" ht="15.75" thickBot="1">
      <c r="A53" s="15"/>
      <c r="I53"/>
    </row>
    <row r="54" spans="1:9" ht="60">
      <c r="A54" s="15"/>
      <c r="C54" s="183" t="s">
        <v>480</v>
      </c>
      <c r="D54" s="305" t="s">
        <v>587</v>
      </c>
      <c r="E54" s="305"/>
      <c r="F54" s="306" t="s">
        <v>239</v>
      </c>
      <c r="H54" s="2"/>
      <c r="I54"/>
    </row>
    <row r="55" spans="1:13" ht="15">
      <c r="A55" s="15"/>
      <c r="B55" s="300"/>
      <c r="C55" s="302" t="s">
        <v>476</v>
      </c>
      <c r="D55" s="9">
        <v>0.308</v>
      </c>
      <c r="E55" s="9"/>
      <c r="F55" s="459">
        <f>D55*I42</f>
        <v>0</v>
      </c>
      <c r="G55" s="1010" t="s">
        <v>625</v>
      </c>
      <c r="H55" s="1011"/>
      <c r="I55" s="1011"/>
      <c r="J55" s="1011"/>
      <c r="K55" s="1011"/>
      <c r="L55" s="1011"/>
      <c r="M55" s="1011"/>
    </row>
    <row r="56" spans="1:13" ht="15">
      <c r="A56" s="15"/>
      <c r="B56" s="300"/>
      <c r="C56" s="302" t="s">
        <v>477</v>
      </c>
      <c r="D56" s="9">
        <v>0.692</v>
      </c>
      <c r="E56" s="9"/>
      <c r="F56" s="459">
        <f>D56*I42</f>
        <v>0</v>
      </c>
      <c r="G56" s="1012"/>
      <c r="H56" s="1011"/>
      <c r="I56" s="1011"/>
      <c r="J56" s="1011"/>
      <c r="K56" s="1011"/>
      <c r="L56" s="1011"/>
      <c r="M56" s="1011"/>
    </row>
    <row r="57" spans="1:9" ht="15">
      <c r="A57" s="15"/>
      <c r="B57" s="300"/>
      <c r="C57" s="302" t="s">
        <v>478</v>
      </c>
      <c r="D57" s="9">
        <v>0.407</v>
      </c>
      <c r="E57" s="9"/>
      <c r="F57" s="459">
        <f>D57*I42</f>
        <v>0</v>
      </c>
      <c r="H57" s="2"/>
      <c r="I57"/>
    </row>
    <row r="58" spans="1:9" ht="15.75" thickBot="1">
      <c r="A58" s="15"/>
      <c r="B58" s="300"/>
      <c r="C58" s="303" t="s">
        <v>479</v>
      </c>
      <c r="D58" s="304">
        <v>1.004</v>
      </c>
      <c r="E58" s="304"/>
      <c r="F58" s="460">
        <f>D58*I42</f>
        <v>0</v>
      </c>
      <c r="H58" s="2"/>
      <c r="I58"/>
    </row>
    <row r="59" spans="1:9" ht="15.75" thickBot="1">
      <c r="A59" s="15"/>
      <c r="I59"/>
    </row>
    <row r="60" spans="1:9" ht="15">
      <c r="A60" s="15"/>
      <c r="C60"/>
      <c r="D60"/>
      <c r="E60" s="179" t="s">
        <v>327</v>
      </c>
      <c r="F60" s="308"/>
      <c r="G60" s="179" t="s">
        <v>81</v>
      </c>
      <c r="H60" s="308"/>
      <c r="I60" s="307"/>
    </row>
    <row r="61" spans="5:10" ht="13.5" thickBot="1">
      <c r="E61" s="1008">
        <f>((SUM(F55:F58)/4)*(365*10))</f>
        <v>0</v>
      </c>
      <c r="F61" s="1009"/>
      <c r="G61" s="1008">
        <f>((E52*0.3)+(G52*0.7))*(365*10)</f>
        <v>0</v>
      </c>
      <c r="H61" s="1009"/>
      <c r="I61" s="309"/>
      <c r="J61" s="77"/>
    </row>
    <row r="62" spans="5:10" ht="12.75">
      <c r="E62" s="1007"/>
      <c r="F62" s="1007"/>
      <c r="G62" s="1007"/>
      <c r="H62" s="1007"/>
      <c r="I62" s="77"/>
      <c r="J62" s="77"/>
    </row>
    <row r="63" spans="5:9" ht="15">
      <c r="E63" s="2"/>
      <c r="F63" s="2"/>
      <c r="G63" s="2"/>
      <c r="H63" s="2"/>
      <c r="I63" s="2"/>
    </row>
  </sheetData>
  <sheetProtection/>
  <mergeCells count="8">
    <mergeCell ref="B11:H11"/>
    <mergeCell ref="B8:N8"/>
    <mergeCell ref="E62:F62"/>
    <mergeCell ref="G62:H62"/>
    <mergeCell ref="E61:F61"/>
    <mergeCell ref="G61:H61"/>
    <mergeCell ref="G55:M56"/>
    <mergeCell ref="H50:M51"/>
  </mergeCells>
  <printOptions/>
  <pageMargins left="0.75" right="0.75" top="0.29" bottom="0.31" header="0.25" footer="0.25"/>
  <pageSetup fitToHeight="3" fitToWidth="1" horizontalDpi="600" verticalDpi="600" orientation="landscape" scale="53" r:id="rId4"/>
  <drawing r:id="rId3"/>
  <legacyDrawing r:id="rId2"/>
</worksheet>
</file>

<file path=xl/worksheets/sheet5.xml><?xml version="1.0" encoding="utf-8"?>
<worksheet xmlns="http://schemas.openxmlformats.org/spreadsheetml/2006/main" xmlns:r="http://schemas.openxmlformats.org/officeDocument/2006/relationships">
  <sheetPr>
    <tabColor indexed="52"/>
    <pageSetUpPr fitToPage="1"/>
  </sheetPr>
  <dimension ref="A1:AB200"/>
  <sheetViews>
    <sheetView zoomScale="85" zoomScaleNormal="85" zoomScalePageLayoutView="0" workbookViewId="0" topLeftCell="B85">
      <selection activeCell="E125" sqref="E125:E126"/>
    </sheetView>
  </sheetViews>
  <sheetFormatPr defaultColWidth="9.140625" defaultRowHeight="12.75"/>
  <cols>
    <col min="1" max="1" width="15.7109375" style="0" customWidth="1"/>
    <col min="2" max="2" width="49.57421875" style="0" customWidth="1"/>
    <col min="3" max="3" width="18.140625" style="0" customWidth="1"/>
    <col min="4" max="4" width="18.421875" style="0" customWidth="1"/>
    <col min="5" max="5" width="24.57421875" style="0" customWidth="1"/>
    <col min="6" max="6" width="17.8515625" style="0" customWidth="1"/>
    <col min="7" max="7" width="14.7109375" style="0" customWidth="1"/>
    <col min="8" max="8" width="15.7109375" style="0" customWidth="1"/>
    <col min="9" max="9" width="18.57421875" style="0" customWidth="1"/>
    <col min="10" max="10" width="13.7109375" style="0" customWidth="1"/>
  </cols>
  <sheetData>
    <row r="1" s="1" customFormat="1" ht="11.25" customHeight="1">
      <c r="L1" s="2"/>
    </row>
    <row r="2" spans="2:12" s="1" customFormat="1" ht="18.75">
      <c r="B2" s="848" t="s">
        <v>14</v>
      </c>
      <c r="C2" s="316"/>
      <c r="D2" s="316"/>
      <c r="E2" s="316"/>
      <c r="F2" s="316"/>
      <c r="L2" s="2"/>
    </row>
    <row r="3" spans="2:12" s="1" customFormat="1" ht="16.5" customHeight="1">
      <c r="B3" s="496" t="s">
        <v>13</v>
      </c>
      <c r="C3" s="547"/>
      <c r="D3" s="547"/>
      <c r="E3" s="547"/>
      <c r="F3" s="547"/>
      <c r="L3" s="2"/>
    </row>
    <row r="4" spans="2:21" s="1" customFormat="1" ht="9.75" customHeight="1">
      <c r="B4" s="850"/>
      <c r="C4" s="547"/>
      <c r="D4" s="547"/>
      <c r="E4" s="547"/>
      <c r="F4" s="547"/>
      <c r="L4" s="2"/>
      <c r="U4" s="15"/>
    </row>
    <row r="5" spans="2:21" s="1" customFormat="1" ht="19.5" customHeight="1">
      <c r="B5" s="11" t="s">
        <v>249</v>
      </c>
      <c r="L5" s="2"/>
      <c r="U5" s="15"/>
    </row>
    <row r="6" spans="1:12" s="15" customFormat="1" ht="9.75" customHeight="1">
      <c r="A6" s="12"/>
      <c r="B6" s="12"/>
      <c r="C6" s="12"/>
      <c r="D6" s="12"/>
      <c r="E6" s="12"/>
      <c r="F6" s="12"/>
      <c r="G6" s="12"/>
      <c r="H6" s="12"/>
      <c r="I6" s="12"/>
      <c r="J6" s="12"/>
      <c r="K6" s="12"/>
      <c r="L6" s="8"/>
    </row>
    <row r="7" spans="1:21" s="14" customFormat="1" ht="6" customHeight="1">
      <c r="A7" s="18"/>
      <c r="B7" s="18"/>
      <c r="C7" s="18"/>
      <c r="D7" s="18"/>
      <c r="E7" s="18"/>
      <c r="F7" s="18"/>
      <c r="G7" s="18"/>
      <c r="H7" s="18"/>
      <c r="I7" s="18"/>
      <c r="J7" s="18"/>
      <c r="K7" s="18"/>
      <c r="L7" s="17"/>
      <c r="M7" s="16"/>
      <c r="N7" s="16"/>
      <c r="O7" s="16"/>
      <c r="P7" s="16"/>
      <c r="Q7" s="16"/>
      <c r="R7" s="16"/>
      <c r="S7" s="16"/>
      <c r="T7" s="16"/>
      <c r="U7" s="16"/>
    </row>
    <row r="8" spans="2:28" s="220" customFormat="1" ht="69" customHeight="1">
      <c r="B8" s="1025" t="s">
        <v>203</v>
      </c>
      <c r="C8" s="1025"/>
      <c r="D8" s="1025"/>
      <c r="E8" s="1025"/>
      <c r="F8" s="1025"/>
      <c r="G8" s="1025"/>
      <c r="H8" s="1025"/>
      <c r="I8" s="1025"/>
      <c r="J8" s="1025"/>
      <c r="K8" s="467"/>
      <c r="L8" s="851"/>
      <c r="M8" s="851"/>
      <c r="N8" s="851"/>
      <c r="O8" s="222"/>
      <c r="P8" s="222"/>
      <c r="Q8" s="222"/>
      <c r="R8" s="222"/>
      <c r="S8" s="222"/>
      <c r="T8" s="222"/>
      <c r="U8" s="222"/>
      <c r="V8" s="222"/>
      <c r="W8" s="222"/>
      <c r="X8" s="222"/>
      <c r="Y8" s="222"/>
      <c r="Z8" s="222"/>
      <c r="AA8" s="222"/>
      <c r="AB8" s="222"/>
    </row>
    <row r="9" spans="3:28" s="220" customFormat="1" ht="19.5" customHeight="1">
      <c r="C9" s="221"/>
      <c r="L9" s="222"/>
      <c r="M9" s="222"/>
      <c r="N9" s="222"/>
      <c r="O9" s="222"/>
      <c r="P9" s="222"/>
      <c r="Q9" s="222"/>
      <c r="R9" s="222"/>
      <c r="S9" s="222"/>
      <c r="T9" s="222"/>
      <c r="U9" s="222"/>
      <c r="V9" s="222"/>
      <c r="W9" s="222"/>
      <c r="X9" s="222"/>
      <c r="Y9" s="222"/>
      <c r="Z9" s="222"/>
      <c r="AA9" s="222"/>
      <c r="AB9" s="222"/>
    </row>
    <row r="10" spans="2:28" s="220" customFormat="1" ht="19.5" customHeight="1">
      <c r="B10" s="234" t="s">
        <v>250</v>
      </c>
      <c r="C10" s="234"/>
      <c r="D10" s="238"/>
      <c r="E10" s="238"/>
      <c r="F10" s="238"/>
      <c r="G10" s="238"/>
      <c r="H10" s="238"/>
      <c r="I10" s="238"/>
      <c r="J10" s="238"/>
      <c r="K10" s="238"/>
      <c r="L10" s="852"/>
      <c r="M10" s="852"/>
      <c r="N10" s="852"/>
      <c r="O10" s="222"/>
      <c r="P10" s="222"/>
      <c r="Q10" s="222"/>
      <c r="R10" s="222"/>
      <c r="S10" s="222"/>
      <c r="T10" s="222"/>
      <c r="U10" s="222"/>
      <c r="V10" s="222"/>
      <c r="W10" s="222"/>
      <c r="X10" s="222"/>
      <c r="Y10" s="222"/>
      <c r="Z10" s="222"/>
      <c r="AA10" s="222"/>
      <c r="AB10" s="222"/>
    </row>
    <row r="11" spans="2:28" s="220" customFormat="1" ht="51" customHeight="1">
      <c r="B11" s="1005" t="s">
        <v>396</v>
      </c>
      <c r="C11" s="1005"/>
      <c r="D11" s="1005"/>
      <c r="E11" s="1005"/>
      <c r="F11" s="1005"/>
      <c r="G11" s="1005"/>
      <c r="H11" s="1005"/>
      <c r="I11" s="281"/>
      <c r="J11" s="281"/>
      <c r="K11" s="281"/>
      <c r="L11" s="853"/>
      <c r="M11" s="853"/>
      <c r="N11" s="853"/>
      <c r="O11" s="853"/>
      <c r="P11" s="853"/>
      <c r="Q11" s="222"/>
      <c r="R11" s="222"/>
      <c r="S11" s="222"/>
      <c r="T11" s="222"/>
      <c r="U11" s="222"/>
      <c r="V11" s="222"/>
      <c r="W11" s="222"/>
      <c r="X11" s="222"/>
      <c r="Y11" s="222"/>
      <c r="Z11" s="222"/>
      <c r="AA11" s="222"/>
      <c r="AB11" s="222"/>
    </row>
    <row r="12" spans="1:26" s="96" customFormat="1" ht="6" customHeight="1">
      <c r="A12" s="94"/>
      <c r="B12" s="94"/>
      <c r="C12" s="94"/>
      <c r="D12" s="94"/>
      <c r="E12" s="94"/>
      <c r="F12" s="94"/>
      <c r="G12" s="94"/>
      <c r="H12" s="94"/>
      <c r="I12" s="94"/>
      <c r="J12" s="94"/>
      <c r="K12" s="94"/>
      <c r="L12" s="94"/>
      <c r="M12" s="94"/>
      <c r="N12" s="94"/>
      <c r="O12" s="94"/>
      <c r="P12" s="94"/>
      <c r="Q12" s="95"/>
      <c r="R12" s="94"/>
      <c r="S12" s="94"/>
      <c r="T12" s="94"/>
      <c r="U12" s="94"/>
      <c r="V12" s="94"/>
      <c r="W12" s="94"/>
      <c r="X12" s="94"/>
      <c r="Y12" s="94"/>
      <c r="Z12" s="94"/>
    </row>
    <row r="13" spans="1:17" s="88" customFormat="1" ht="9.75" customHeight="1">
      <c r="A13" s="92"/>
      <c r="B13" s="92"/>
      <c r="C13" s="92"/>
      <c r="D13" s="92"/>
      <c r="E13" s="92"/>
      <c r="F13" s="92"/>
      <c r="G13" s="92"/>
      <c r="H13" s="92"/>
      <c r="I13" s="92"/>
      <c r="J13" s="92"/>
      <c r="K13" s="92"/>
      <c r="Q13" s="89"/>
    </row>
    <row r="14" spans="1:26" s="96" customFormat="1" ht="6" customHeight="1">
      <c r="A14" s="93"/>
      <c r="B14" s="93"/>
      <c r="C14" s="93"/>
      <c r="D14" s="93"/>
      <c r="E14" s="93"/>
      <c r="F14" s="93"/>
      <c r="G14" s="93"/>
      <c r="H14" s="93"/>
      <c r="I14" s="93"/>
      <c r="J14" s="93"/>
      <c r="K14" s="93"/>
      <c r="L14" s="94"/>
      <c r="M14" s="94"/>
      <c r="N14" s="94"/>
      <c r="O14" s="94"/>
      <c r="P14" s="94"/>
      <c r="Q14" s="95"/>
      <c r="R14" s="94"/>
      <c r="S14" s="94"/>
      <c r="T14" s="94"/>
      <c r="U14" s="94"/>
      <c r="V14" s="94"/>
      <c r="W14" s="94"/>
      <c r="X14" s="94"/>
      <c r="Y14" s="94"/>
      <c r="Z14" s="94"/>
    </row>
    <row r="15" spans="2:28" ht="18">
      <c r="B15" s="139" t="s">
        <v>179</v>
      </c>
      <c r="L15" s="150"/>
      <c r="M15" s="150"/>
      <c r="N15" s="150"/>
      <c r="O15" s="150"/>
      <c r="P15" s="150"/>
      <c r="Q15" s="150"/>
      <c r="R15" s="150"/>
      <c r="S15" s="150"/>
      <c r="T15" s="150"/>
      <c r="U15" s="150"/>
      <c r="V15" s="150"/>
      <c r="W15" s="150"/>
      <c r="X15" s="150"/>
      <c r="Y15" s="150"/>
      <c r="Z15" s="150"/>
      <c r="AA15" s="150"/>
      <c r="AB15" s="150"/>
    </row>
    <row r="16" spans="2:28" ht="14.25">
      <c r="B16" s="709" t="s">
        <v>237</v>
      </c>
      <c r="L16" s="150"/>
      <c r="M16" s="150"/>
      <c r="N16" s="150"/>
      <c r="O16" s="150"/>
      <c r="P16" s="150"/>
      <c r="Q16" s="150"/>
      <c r="R16" s="150"/>
      <c r="S16" s="150"/>
      <c r="T16" s="150"/>
      <c r="U16" s="150"/>
      <c r="V16" s="150"/>
      <c r="W16" s="150"/>
      <c r="X16" s="150"/>
      <c r="Y16" s="150"/>
      <c r="Z16" s="150"/>
      <c r="AA16" s="150"/>
      <c r="AB16" s="150"/>
    </row>
    <row r="17" ht="13.5" thickBot="1"/>
    <row r="18" spans="2:7" ht="26.25" customHeight="1">
      <c r="B18" s="83" t="s">
        <v>679</v>
      </c>
      <c r="C18" s="178" t="s">
        <v>134</v>
      </c>
      <c r="E18" s="1021" t="s">
        <v>664</v>
      </c>
      <c r="F18" s="1022"/>
      <c r="G18" s="788" t="s">
        <v>677</v>
      </c>
    </row>
    <row r="19" spans="2:7" ht="15">
      <c r="B19" s="76" t="s">
        <v>136</v>
      </c>
      <c r="C19" s="129">
        <v>37.014267206702385</v>
      </c>
      <c r="E19" s="156" t="s">
        <v>173</v>
      </c>
      <c r="F19" s="784">
        <f>SUM(C19:C25)*'User Inputs'!$E$31</f>
        <v>0</v>
      </c>
      <c r="G19" s="789">
        <f>F19/2000</f>
        <v>0</v>
      </c>
    </row>
    <row r="20" spans="2:7" ht="15">
      <c r="B20" s="76" t="s">
        <v>137</v>
      </c>
      <c r="C20" s="129">
        <v>27.260581635854336</v>
      </c>
      <c r="E20" s="156" t="s">
        <v>160</v>
      </c>
      <c r="F20" s="784">
        <f>C26*'User Inputs'!$E$31</f>
        <v>0</v>
      </c>
      <c r="G20" s="789">
        <f>F20/2000</f>
        <v>0</v>
      </c>
    </row>
    <row r="21" spans="2:8" ht="15">
      <c r="B21" s="76" t="s">
        <v>138</v>
      </c>
      <c r="C21" s="129">
        <v>3.6206369341139784</v>
      </c>
      <c r="E21" s="156" t="s">
        <v>161</v>
      </c>
      <c r="F21" s="784">
        <f>SUM(C27:C29)*'User Inputs'!$E$31</f>
        <v>0</v>
      </c>
      <c r="G21" s="789">
        <f>F21/2000</f>
        <v>0</v>
      </c>
      <c r="H21" s="130"/>
    </row>
    <row r="22" spans="2:7" ht="15.75" thickBot="1">
      <c r="B22" s="76" t="s">
        <v>140</v>
      </c>
      <c r="C22" s="129">
        <v>4.018178977240911</v>
      </c>
      <c r="E22" s="157" t="s">
        <v>162</v>
      </c>
      <c r="F22" s="785">
        <f>C30*'User Inputs'!$E$31</f>
        <v>0</v>
      </c>
      <c r="G22" s="790">
        <f>F22/2000</f>
        <v>0</v>
      </c>
    </row>
    <row r="23" spans="2:3" ht="15">
      <c r="B23" s="76" t="s">
        <v>139</v>
      </c>
      <c r="C23" s="129">
        <v>0.30950836385924774</v>
      </c>
    </row>
    <row r="24" spans="2:6" ht="15">
      <c r="B24" s="76" t="s">
        <v>141</v>
      </c>
      <c r="C24" s="129">
        <v>3.4915354229717863</v>
      </c>
      <c r="E24" s="77"/>
      <c r="F24" s="180"/>
    </row>
    <row r="25" spans="2:3" ht="15">
      <c r="B25" s="76" t="s">
        <v>142</v>
      </c>
      <c r="C25" s="129">
        <v>44.28451708222735</v>
      </c>
    </row>
    <row r="26" spans="2:3" ht="15">
      <c r="B26" s="76" t="s">
        <v>143</v>
      </c>
      <c r="C26" s="129">
        <v>14.459322438483085</v>
      </c>
    </row>
    <row r="27" spans="2:3" ht="15">
      <c r="B27" s="76" t="s">
        <v>144</v>
      </c>
      <c r="C27" s="129">
        <v>60.85942039795617</v>
      </c>
    </row>
    <row r="28" spans="2:8" ht="15">
      <c r="B28" s="131" t="s">
        <v>145</v>
      </c>
      <c r="C28" s="132">
        <v>84.86849367214916</v>
      </c>
      <c r="H28" s="140"/>
    </row>
    <row r="29" spans="2:3" ht="15">
      <c r="B29" s="76" t="s">
        <v>146</v>
      </c>
      <c r="C29" s="134">
        <v>35.59910520023564</v>
      </c>
    </row>
    <row r="30" spans="2:3" ht="15.75" thickBot="1">
      <c r="B30" s="84" t="s">
        <v>147</v>
      </c>
      <c r="C30" s="135">
        <v>24.26016510641135</v>
      </c>
    </row>
    <row r="31" spans="2:3" ht="15.75" thickBot="1">
      <c r="B31" s="8"/>
      <c r="C31" s="158"/>
    </row>
    <row r="32" spans="2:7" ht="24.75" customHeight="1" thickBot="1">
      <c r="B32" s="83" t="s">
        <v>680</v>
      </c>
      <c r="C32" s="178" t="s">
        <v>134</v>
      </c>
      <c r="E32" s="1023" t="s">
        <v>665</v>
      </c>
      <c r="F32" s="1024"/>
      <c r="G32" s="791" t="s">
        <v>677</v>
      </c>
    </row>
    <row r="33" spans="2:7" ht="15.75" thickBot="1">
      <c r="B33" s="133" t="s">
        <v>483</v>
      </c>
      <c r="C33" s="149">
        <v>50.798754679038325</v>
      </c>
      <c r="D33" s="150"/>
      <c r="E33" s="133" t="s">
        <v>483</v>
      </c>
      <c r="F33" s="786">
        <f>IF('User Inputs'!E43="Yes",('User Inputs'!E31*'2. Food Waste Feedstock Data'!C33),IF('User Inputs'!E43="No",0))</f>
        <v>0</v>
      </c>
      <c r="G33" s="792">
        <f>F33/2000</f>
        <v>0</v>
      </c>
    </row>
    <row r="34" spans="2:7" ht="15.75" thickBot="1">
      <c r="B34" s="76" t="s">
        <v>484</v>
      </c>
      <c r="C34" s="129">
        <v>130.97416281664448</v>
      </c>
      <c r="D34" s="150"/>
      <c r="E34" s="76" t="s">
        <v>484</v>
      </c>
      <c r="F34" s="786">
        <f>IF('User Inputs'!E46="Yes",('User Inputs'!E31*'2. Food Waste Feedstock Data'!C34),IF('User Inputs'!E46="No",0))</f>
        <v>0</v>
      </c>
      <c r="G34" s="792">
        <f>F34/2000</f>
        <v>0</v>
      </c>
    </row>
    <row r="35" spans="2:7" ht="15.75" thickBot="1">
      <c r="B35" s="76" t="s">
        <v>133</v>
      </c>
      <c r="C35" s="129">
        <v>48.92180297453767</v>
      </c>
      <c r="D35" s="150"/>
      <c r="E35" s="76" t="s">
        <v>168</v>
      </c>
      <c r="F35" s="786">
        <f>IF('User Inputs'!E49="Yes",('User Inputs'!E31*'2. Food Waste Feedstock Data'!C35),IF('User Inputs'!E49="No",0))</f>
        <v>0</v>
      </c>
      <c r="G35" s="792">
        <f>F35/2000</f>
        <v>0</v>
      </c>
    </row>
    <row r="36" spans="2:7" ht="15.75" thickBot="1">
      <c r="B36" s="84" t="s">
        <v>135</v>
      </c>
      <c r="C36" s="152">
        <v>43.2475055752939</v>
      </c>
      <c r="D36" s="150"/>
      <c r="E36" s="84" t="s">
        <v>169</v>
      </c>
      <c r="F36" s="787">
        <f>IF('User Inputs'!E52="Yes",('User Inputs'!E31*'2. Food Waste Feedstock Data'!C36),IF('User Inputs'!E52="No",0))</f>
        <v>0</v>
      </c>
      <c r="G36" s="793">
        <f>F36/2000</f>
        <v>0</v>
      </c>
    </row>
    <row r="37" spans="2:6" ht="15">
      <c r="B37" s="8"/>
      <c r="C37" s="151"/>
      <c r="D37" s="77"/>
      <c r="E37" s="77"/>
      <c r="F37" s="77"/>
    </row>
    <row r="38" spans="2:5" ht="15">
      <c r="B38" s="8"/>
      <c r="C38" s="151"/>
      <c r="D38" s="77"/>
      <c r="E38" s="77"/>
    </row>
    <row r="39" spans="2:3" ht="15">
      <c r="B39" s="2"/>
      <c r="C39" s="77"/>
    </row>
    <row r="40" ht="30" customHeight="1">
      <c r="B40" s="136" t="s">
        <v>150</v>
      </c>
    </row>
    <row r="41" ht="14.25">
      <c r="B41" s="709" t="s">
        <v>618</v>
      </c>
    </row>
    <row r="42" ht="13.5" thickBot="1"/>
    <row r="43" spans="2:10" ht="45" customHeight="1" thickBot="1">
      <c r="B43" s="179" t="s">
        <v>681</v>
      </c>
      <c r="C43" s="137" t="s">
        <v>148</v>
      </c>
      <c r="D43" s="137" t="s">
        <v>149</v>
      </c>
      <c r="E43" s="794" t="s">
        <v>86</v>
      </c>
      <c r="H43" s="1019" t="s">
        <v>319</v>
      </c>
      <c r="I43" s="1020"/>
      <c r="J43" s="791" t="s">
        <v>678</v>
      </c>
    </row>
    <row r="44" spans="2:10" ht="15.75" thickBot="1">
      <c r="B44" s="138" t="s">
        <v>171</v>
      </c>
      <c r="C44" s="125">
        <v>180.3</v>
      </c>
      <c r="D44" s="125">
        <v>162.9</v>
      </c>
      <c r="E44" s="789">
        <f>C44-D44</f>
        <v>17.400000000000006</v>
      </c>
      <c r="H44" s="138" t="s">
        <v>171</v>
      </c>
      <c r="I44" s="786">
        <f>IF('User Inputs'!E40="Yes",('User Inputs'!E31*E44),IF('User Inputs'!E40="No",0))</f>
        <v>0</v>
      </c>
      <c r="J44" s="792">
        <f>I44/2000</f>
        <v>0</v>
      </c>
    </row>
    <row r="45" spans="2:10" ht="40.5" thickBot="1">
      <c r="B45" s="138" t="s">
        <v>170</v>
      </c>
      <c r="C45" s="125">
        <v>195.1</v>
      </c>
      <c r="D45" s="125">
        <v>186.3</v>
      </c>
      <c r="E45" s="789">
        <f>C45-D45</f>
        <v>8.799999999999983</v>
      </c>
      <c r="H45" s="138" t="s">
        <v>170</v>
      </c>
      <c r="I45" s="786">
        <f>IF('User Inputs'!E40="Yes",('User Inputs'!E31*'2. Food Waste Feedstock Data'!E45),IF('User Inputs'!E40="No",0))</f>
        <v>0</v>
      </c>
      <c r="J45" s="792">
        <f>I45/2000</f>
        <v>0</v>
      </c>
    </row>
    <row r="46" spans="2:10" ht="15.75" thickBot="1">
      <c r="B46" s="159" t="s">
        <v>172</v>
      </c>
      <c r="C46" s="160">
        <v>119.4</v>
      </c>
      <c r="D46" s="160">
        <v>105.8</v>
      </c>
      <c r="E46" s="790">
        <f>C46-D46</f>
        <v>13.600000000000009</v>
      </c>
      <c r="H46" s="159" t="s">
        <v>172</v>
      </c>
      <c r="I46" s="787">
        <f>IF('User Inputs'!E40="Yes",('User Inputs'!E31*'2. Food Waste Feedstock Data'!E46),IF('User Inputs'!E40="No",0))</f>
        <v>0</v>
      </c>
      <c r="J46" s="793">
        <f>I46/2000</f>
        <v>0</v>
      </c>
    </row>
    <row r="47" spans="1:7" ht="12.75">
      <c r="A47" s="77"/>
      <c r="B47" s="77"/>
      <c r="C47" s="77"/>
      <c r="D47" s="77"/>
      <c r="E47" s="77"/>
      <c r="F47" s="77"/>
      <c r="G47" s="77"/>
    </row>
    <row r="48" spans="2:3" ht="15">
      <c r="B48" s="2"/>
      <c r="C48" s="77"/>
    </row>
    <row r="49" spans="2:10" ht="12.75">
      <c r="B49" s="153"/>
      <c r="C49" s="154"/>
      <c r="D49" s="155"/>
      <c r="E49" s="155"/>
      <c r="F49" s="155"/>
      <c r="G49" s="155"/>
      <c r="H49" s="155"/>
      <c r="I49" s="155"/>
      <c r="J49" s="155"/>
    </row>
    <row r="50" spans="2:3" s="150" customFormat="1" ht="12.75">
      <c r="B50" s="78"/>
      <c r="C50" s="79"/>
    </row>
    <row r="51" spans="2:3" ht="30.75" customHeight="1">
      <c r="B51" s="795" t="s">
        <v>682</v>
      </c>
      <c r="C51" s="79"/>
    </row>
    <row r="52" spans="2:3" ht="14.25">
      <c r="B52" s="708" t="s">
        <v>617</v>
      </c>
      <c r="C52" s="79"/>
    </row>
    <row r="53" spans="2:3" ht="12.75">
      <c r="B53" s="201"/>
      <c r="C53" s="79"/>
    </row>
    <row r="54" spans="2:3" ht="12.75">
      <c r="B54" s="535" t="s">
        <v>644</v>
      </c>
      <c r="C54" s="536"/>
    </row>
    <row r="55" spans="2:3" s="1" customFormat="1" ht="15.75" thickBot="1">
      <c r="B55" s="526"/>
      <c r="C55" s="526"/>
    </row>
    <row r="56" spans="2:8" s="1" customFormat="1" ht="60.75" thickBot="1">
      <c r="B56" s="796" t="s">
        <v>683</v>
      </c>
      <c r="C56" s="250" t="s">
        <v>103</v>
      </c>
      <c r="D56" s="251" t="s">
        <v>584</v>
      </c>
      <c r="E56" s="537" t="s">
        <v>583</v>
      </c>
      <c r="F56" s="252" t="s">
        <v>62</v>
      </c>
      <c r="H56" s="578" t="s">
        <v>582</v>
      </c>
    </row>
    <row r="57" spans="2:8" s="1" customFormat="1" ht="18" customHeight="1" thickBot="1">
      <c r="B57" s="249" t="s">
        <v>63</v>
      </c>
      <c r="C57" s="250">
        <v>727</v>
      </c>
      <c r="D57" s="253">
        <v>493698</v>
      </c>
      <c r="E57" s="538">
        <f>D57/C57</f>
        <v>679.0894085281981</v>
      </c>
      <c r="F57" s="247">
        <f aca="true" t="shared" si="0" ref="F57:F68">(D57/$D$69)*100</f>
        <v>56.11690368017895</v>
      </c>
      <c r="H57" s="579">
        <f>'User Inputs'!J63*'2. Food Waste Feedstock Data'!E57</f>
        <v>0</v>
      </c>
    </row>
    <row r="58" spans="2:8" s="1" customFormat="1" ht="18" customHeight="1" thickBot="1">
      <c r="B58" s="249" t="s">
        <v>64</v>
      </c>
      <c r="C58" s="250">
        <v>304</v>
      </c>
      <c r="D58" s="253">
        <v>44688</v>
      </c>
      <c r="E58" s="538">
        <f>D58/C58</f>
        <v>147</v>
      </c>
      <c r="F58" s="247">
        <f t="shared" si="0"/>
        <v>5.07952673832958</v>
      </c>
      <c r="H58" s="579">
        <f>'User Inputs'!J64*'2. Food Waste Feedstock Data'!E58</f>
        <v>0</v>
      </c>
    </row>
    <row r="59" spans="2:8" s="1" customFormat="1" ht="18" customHeight="1" thickBot="1">
      <c r="B59" s="249" t="s">
        <v>65</v>
      </c>
      <c r="C59" s="250">
        <v>126</v>
      </c>
      <c r="D59" s="253">
        <v>14538</v>
      </c>
      <c r="E59" s="538">
        <f>D59/C59</f>
        <v>115.38095238095238</v>
      </c>
      <c r="F59" s="247">
        <f t="shared" si="0"/>
        <v>1.6524829869726871</v>
      </c>
      <c r="H59" s="579">
        <f>'User Inputs'!J65*'2. Food Waste Feedstock Data'!E59</f>
        <v>0</v>
      </c>
    </row>
    <row r="60" spans="2:8" s="1" customFormat="1" ht="18" customHeight="1" thickBot="1">
      <c r="B60" s="249" t="s">
        <v>66</v>
      </c>
      <c r="C60" s="250">
        <v>507</v>
      </c>
      <c r="D60" s="253">
        <v>27409</v>
      </c>
      <c r="E60" s="538">
        <f aca="true" t="shared" si="1" ref="E60:E68">D60/C60</f>
        <v>54.061143984220905</v>
      </c>
      <c r="F60" s="247">
        <f t="shared" si="0"/>
        <v>3.115483986100865</v>
      </c>
      <c r="H60" s="579">
        <f>'User Inputs'!J66*'2. Food Waste Feedstock Data'!E60</f>
        <v>0</v>
      </c>
    </row>
    <row r="61" spans="2:8" s="1" customFormat="1" ht="18" customHeight="1" thickBot="1">
      <c r="B61" s="249" t="s">
        <v>67</v>
      </c>
      <c r="C61" s="250">
        <v>101</v>
      </c>
      <c r="D61" s="253">
        <v>24458</v>
      </c>
      <c r="E61" s="538">
        <f t="shared" si="1"/>
        <v>242.15841584158414</v>
      </c>
      <c r="F61" s="247">
        <f t="shared" si="0"/>
        <v>2.780054264367725</v>
      </c>
      <c r="H61" s="579">
        <f>'User Inputs'!J67*'2. Food Waste Feedstock Data'!E61</f>
        <v>0</v>
      </c>
    </row>
    <row r="62" spans="2:8" s="1" customFormat="1" ht="18" customHeight="1" thickBot="1">
      <c r="B62" s="249" t="s">
        <v>68</v>
      </c>
      <c r="C62" s="250">
        <v>20</v>
      </c>
      <c r="D62" s="251">
        <v>955</v>
      </c>
      <c r="E62" s="538">
        <f t="shared" si="1"/>
        <v>47.75</v>
      </c>
      <c r="F62" s="247">
        <f t="shared" si="0"/>
        <v>0.10855146874115533</v>
      </c>
      <c r="H62" s="579">
        <f>'User Inputs'!J68*'2. Food Waste Feedstock Data'!E62</f>
        <v>0</v>
      </c>
    </row>
    <row r="63" spans="2:8" s="1" customFormat="1" ht="18" customHeight="1" thickBot="1">
      <c r="B63" s="249" t="s">
        <v>69</v>
      </c>
      <c r="C63" s="250">
        <v>17</v>
      </c>
      <c r="D63" s="253">
        <v>1762</v>
      </c>
      <c r="E63" s="538">
        <f t="shared" si="1"/>
        <v>103.6470588235294</v>
      </c>
      <c r="F63" s="247">
        <f t="shared" si="0"/>
        <v>0.20028030148891693</v>
      </c>
      <c r="H63" s="579">
        <f>'User Inputs'!J69*'2. Food Waste Feedstock Data'!E63</f>
        <v>0</v>
      </c>
    </row>
    <row r="64" spans="2:8" s="1" customFormat="1" ht="18" customHeight="1" thickBot="1">
      <c r="B64" s="254" t="s">
        <v>71</v>
      </c>
      <c r="C64" s="255">
        <v>105</v>
      </c>
      <c r="D64" s="256">
        <v>6442</v>
      </c>
      <c r="E64" s="538">
        <f t="shared" si="1"/>
        <v>61.352380952380955</v>
      </c>
      <c r="F64" s="247">
        <f t="shared" si="0"/>
        <v>0.7322393315502854</v>
      </c>
      <c r="H64" s="579">
        <f>'User Inputs'!J70*'2. Food Waste Feedstock Data'!E64</f>
        <v>0</v>
      </c>
    </row>
    <row r="65" spans="2:8" s="1" customFormat="1" ht="18" customHeight="1" thickBot="1">
      <c r="B65" s="257" t="s">
        <v>72</v>
      </c>
      <c r="C65" s="258"/>
      <c r="D65" s="259"/>
      <c r="E65" s="538"/>
      <c r="F65" s="247"/>
      <c r="H65" s="579">
        <f>'User Inputs'!J71*'2. Food Waste Feedstock Data'!E65</f>
        <v>0</v>
      </c>
    </row>
    <row r="66" spans="2:8" s="1" customFormat="1" ht="18" customHeight="1" thickBot="1">
      <c r="B66" s="260" t="s">
        <v>73</v>
      </c>
      <c r="C66" s="258">
        <v>408</v>
      </c>
      <c r="D66" s="261">
        <v>90604</v>
      </c>
      <c r="E66" s="538">
        <f t="shared" si="1"/>
        <v>222.0686274509804</v>
      </c>
      <c r="F66" s="247">
        <f t="shared" si="0"/>
        <v>10.298635888820563</v>
      </c>
      <c r="H66" s="579">
        <f>'User Inputs'!J72*'2. Food Waste Feedstock Data'!E66</f>
        <v>0</v>
      </c>
    </row>
    <row r="67" spans="2:8" s="1" customFormat="1" ht="18" customHeight="1" thickBot="1">
      <c r="B67" s="262" t="s">
        <v>74</v>
      </c>
      <c r="C67" s="263">
        <v>164</v>
      </c>
      <c r="D67" s="264">
        <v>7022</v>
      </c>
      <c r="E67" s="538">
        <f t="shared" si="1"/>
        <v>42.81707317073171</v>
      </c>
      <c r="F67" s="247">
        <f t="shared" si="0"/>
        <v>0.7981658780108823</v>
      </c>
      <c r="H67" s="579">
        <f>'User Inputs'!J73*'2. Food Waste Feedstock Data'!E67</f>
        <v>0</v>
      </c>
    </row>
    <row r="68" spans="2:8" s="1" customFormat="1" ht="18" customHeight="1" thickBot="1">
      <c r="B68" s="265" t="s">
        <v>75</v>
      </c>
      <c r="C68" s="266">
        <v>3320</v>
      </c>
      <c r="D68" s="264">
        <v>168191</v>
      </c>
      <c r="E68" s="538">
        <f t="shared" si="1"/>
        <v>50.65993975903614</v>
      </c>
      <c r="F68" s="247">
        <f t="shared" si="0"/>
        <v>19.117675475438382</v>
      </c>
      <c r="H68" s="579">
        <f>'User Inputs'!J74*'2. Food Waste Feedstock Data'!E68</f>
        <v>0</v>
      </c>
    </row>
    <row r="69" spans="2:8" s="1" customFormat="1" ht="18" customHeight="1" thickBot="1">
      <c r="B69" s="267" t="s">
        <v>533</v>
      </c>
      <c r="C69" s="268">
        <v>5799</v>
      </c>
      <c r="D69" s="269">
        <v>879767</v>
      </c>
      <c r="E69" s="539" t="s">
        <v>76</v>
      </c>
      <c r="H69" s="182">
        <f>SUM(H57:H68)</f>
        <v>0</v>
      </c>
    </row>
    <row r="70" spans="2:6" s="1" customFormat="1" ht="15">
      <c r="B70" s="270"/>
      <c r="C70" s="271"/>
      <c r="D70" s="271"/>
      <c r="F70" s="248"/>
    </row>
    <row r="71" spans="2:6" ht="22.5" customHeight="1">
      <c r="B71" s="177" t="s">
        <v>180</v>
      </c>
      <c r="C71" s="81"/>
      <c r="D71" s="81"/>
      <c r="F71" s="80"/>
    </row>
    <row r="72" spans="2:6" ht="14.25">
      <c r="B72" s="707" t="s">
        <v>616</v>
      </c>
      <c r="C72" s="81"/>
      <c r="D72" s="81"/>
      <c r="F72" s="80"/>
    </row>
    <row r="73" spans="2:6" s="1" customFormat="1" ht="15">
      <c r="B73" s="248"/>
      <c r="C73" s="271"/>
      <c r="D73" s="271"/>
      <c r="F73" s="248"/>
    </row>
    <row r="74" spans="2:6" s="1" customFormat="1" ht="15">
      <c r="B74" s="3" t="s">
        <v>245</v>
      </c>
      <c r="C74" s="271"/>
      <c r="D74" s="271"/>
      <c r="E74" s="272"/>
      <c r="F74" s="248"/>
    </row>
    <row r="75" spans="2:6" s="1" customFormat="1" ht="15">
      <c r="B75" s="3" t="s">
        <v>246</v>
      </c>
      <c r="C75" s="271"/>
      <c r="D75" s="271"/>
      <c r="E75" s="272"/>
      <c r="F75" s="248"/>
    </row>
    <row r="76" spans="2:6" s="1" customFormat="1" ht="15">
      <c r="B76" s="3" t="s">
        <v>247</v>
      </c>
      <c r="C76" s="271"/>
      <c r="D76" s="271"/>
      <c r="E76" s="272"/>
      <c r="F76" s="248"/>
    </row>
    <row r="77" s="1" customFormat="1" ht="15.75" thickBot="1"/>
    <row r="78" spans="2:4" s="1" customFormat="1" ht="17.25" customHeight="1">
      <c r="B78" s="1016" t="s">
        <v>77</v>
      </c>
      <c r="C78" s="1017"/>
      <c r="D78" s="1018"/>
    </row>
    <row r="79" spans="2:4" s="1" customFormat="1" ht="15">
      <c r="B79" s="540" t="s">
        <v>65</v>
      </c>
      <c r="C79" s="541"/>
      <c r="D79" s="542"/>
    </row>
    <row r="80" spans="2:4" s="1" customFormat="1" ht="17.25" customHeight="1">
      <c r="B80" s="543" t="s">
        <v>78</v>
      </c>
      <c r="C80" s="544"/>
      <c r="D80" s="545"/>
    </row>
    <row r="81" spans="2:5" s="1" customFormat="1" ht="15">
      <c r="B81" s="546" t="s">
        <v>79</v>
      </c>
      <c r="C81" s="547"/>
      <c r="D81" s="548"/>
      <c r="E81" s="2"/>
    </row>
    <row r="82" spans="2:4" s="1" customFormat="1" ht="15">
      <c r="B82" s="549" t="s">
        <v>94</v>
      </c>
      <c r="C82" s="547"/>
      <c r="D82" s="548"/>
    </row>
    <row r="83" spans="2:4" s="1" customFormat="1" ht="15">
      <c r="B83" s="550" t="s">
        <v>95</v>
      </c>
      <c r="C83" s="541"/>
      <c r="D83" s="542"/>
    </row>
    <row r="84" spans="2:4" s="1" customFormat="1" ht="15">
      <c r="B84" s="543" t="s">
        <v>96</v>
      </c>
      <c r="C84" s="544"/>
      <c r="D84" s="545"/>
    </row>
    <row r="85" spans="2:4" s="1" customFormat="1" ht="15">
      <c r="B85" s="551" t="s">
        <v>97</v>
      </c>
      <c r="C85" s="547"/>
      <c r="D85" s="548"/>
    </row>
    <row r="86" spans="2:4" s="1" customFormat="1" ht="15">
      <c r="B86" s="549" t="s">
        <v>98</v>
      </c>
      <c r="C86" s="547"/>
      <c r="D86" s="548"/>
    </row>
    <row r="87" spans="2:4" s="1" customFormat="1" ht="15">
      <c r="B87" s="550" t="s">
        <v>99</v>
      </c>
      <c r="C87" s="541"/>
      <c r="D87" s="542"/>
    </row>
    <row r="88" spans="2:4" s="1" customFormat="1" ht="15">
      <c r="B88" s="543" t="s">
        <v>100</v>
      </c>
      <c r="C88" s="544"/>
      <c r="D88" s="545"/>
    </row>
    <row r="89" spans="2:4" s="1" customFormat="1" ht="15">
      <c r="B89" s="546" t="s">
        <v>101</v>
      </c>
      <c r="C89" s="547"/>
      <c r="D89" s="548"/>
    </row>
    <row r="90" spans="2:4" s="1" customFormat="1" ht="17.25">
      <c r="B90" s="549" t="s">
        <v>248</v>
      </c>
      <c r="C90" s="547"/>
      <c r="D90" s="548"/>
    </row>
    <row r="91" spans="2:4" s="1" customFormat="1" ht="15">
      <c r="B91" s="550" t="s">
        <v>72</v>
      </c>
      <c r="C91" s="541"/>
      <c r="D91" s="542"/>
    </row>
    <row r="92" spans="2:4" s="1" customFormat="1" ht="15">
      <c r="B92" s="543" t="s">
        <v>102</v>
      </c>
      <c r="C92" s="544"/>
      <c r="D92" s="545"/>
    </row>
    <row r="93" spans="2:4" s="1" customFormat="1" ht="15">
      <c r="B93" s="546" t="s">
        <v>75</v>
      </c>
      <c r="C93" s="547"/>
      <c r="D93" s="548"/>
    </row>
    <row r="94" spans="2:4" s="1" customFormat="1" ht="15.75" thickBot="1">
      <c r="B94" s="552" t="s">
        <v>102</v>
      </c>
      <c r="C94" s="553"/>
      <c r="D94" s="530"/>
    </row>
    <row r="95" s="1" customFormat="1" ht="15"/>
    <row r="200" spans="1:2" ht="12.75">
      <c r="A200" s="771" t="s">
        <v>634</v>
      </c>
      <c r="B200" s="772"/>
    </row>
  </sheetData>
  <sheetProtection/>
  <mergeCells count="6">
    <mergeCell ref="B78:D78"/>
    <mergeCell ref="H43:I43"/>
    <mergeCell ref="B11:H11"/>
    <mergeCell ref="E18:F18"/>
    <mergeCell ref="E32:F32"/>
    <mergeCell ref="B8:J8"/>
  </mergeCells>
  <printOptions/>
  <pageMargins left="0.37" right="0.41" top="0.39" bottom="0.2" header="0.31" footer="0.27"/>
  <pageSetup fitToHeight="1" fitToWidth="1" horizontalDpi="600" verticalDpi="600" orientation="portrait" scale="46" r:id="rId2"/>
  <drawing r:id="rId1"/>
</worksheet>
</file>

<file path=xl/worksheets/sheet6.xml><?xml version="1.0" encoding="utf-8"?>
<worksheet xmlns="http://schemas.openxmlformats.org/spreadsheetml/2006/main" xmlns:r="http://schemas.openxmlformats.org/officeDocument/2006/relationships">
  <sheetPr>
    <tabColor indexed="52"/>
    <pageSetUpPr fitToPage="1"/>
  </sheetPr>
  <dimension ref="A1:Z76"/>
  <sheetViews>
    <sheetView zoomScale="85" zoomScaleNormal="85" zoomScalePageLayoutView="0" workbookViewId="0" topLeftCell="A37">
      <selection activeCell="B17" sqref="B17"/>
    </sheetView>
  </sheetViews>
  <sheetFormatPr defaultColWidth="9.140625" defaultRowHeight="12.75"/>
  <cols>
    <col min="1" max="1" width="14.140625" style="1" customWidth="1"/>
    <col min="2" max="2" width="44.8515625" style="1" bestFit="1" customWidth="1"/>
    <col min="3" max="3" width="18.140625" style="21" customWidth="1"/>
    <col min="4" max="16384" width="9.140625" style="1" customWidth="1"/>
  </cols>
  <sheetData>
    <row r="1" spans="13:22" ht="11.25" customHeight="1">
      <c r="M1" s="2"/>
      <c r="O1" s="15"/>
      <c r="P1" s="15"/>
      <c r="Q1" s="15"/>
      <c r="R1" s="15"/>
      <c r="S1" s="15"/>
      <c r="T1" s="15"/>
      <c r="U1" s="15"/>
      <c r="V1" s="15"/>
    </row>
    <row r="2" spans="2:22" ht="18.75">
      <c r="B2" s="848" t="s">
        <v>14</v>
      </c>
      <c r="C2" s="316"/>
      <c r="D2" s="316"/>
      <c r="E2" s="316"/>
      <c r="F2" s="316"/>
      <c r="G2" s="526"/>
      <c r="M2" s="2"/>
      <c r="O2" s="15"/>
      <c r="P2" s="15"/>
      <c r="Q2" s="15"/>
      <c r="R2" s="15"/>
      <c r="S2" s="15"/>
      <c r="T2" s="15"/>
      <c r="U2" s="15"/>
      <c r="V2" s="15"/>
    </row>
    <row r="3" spans="2:22" ht="16.5" customHeight="1">
      <c r="B3" s="496" t="s">
        <v>13</v>
      </c>
      <c r="C3" s="710"/>
      <c r="D3" s="558"/>
      <c r="E3" s="547"/>
      <c r="F3" s="547"/>
      <c r="G3" s="547"/>
      <c r="H3" s="8"/>
      <c r="I3" s="8"/>
      <c r="J3" s="8"/>
      <c r="M3" s="2"/>
      <c r="O3" s="15"/>
      <c r="P3" s="15"/>
      <c r="Q3" s="15"/>
      <c r="R3" s="15"/>
      <c r="S3" s="15"/>
      <c r="T3" s="15"/>
      <c r="U3" s="15"/>
      <c r="V3" s="15"/>
    </row>
    <row r="4" spans="2:22" ht="9.75" customHeight="1">
      <c r="B4" s="850"/>
      <c r="C4" s="710"/>
      <c r="D4" s="547"/>
      <c r="E4" s="547"/>
      <c r="F4" s="547"/>
      <c r="G4" s="526"/>
      <c r="M4" s="2"/>
      <c r="O4" s="15"/>
      <c r="P4" s="15"/>
      <c r="Q4" s="15"/>
      <c r="R4" s="15"/>
      <c r="S4" s="15"/>
      <c r="T4" s="15"/>
      <c r="U4" s="15"/>
      <c r="V4" s="15"/>
    </row>
    <row r="5" spans="2:22" ht="19.5" customHeight="1">
      <c r="B5" s="11" t="s">
        <v>60</v>
      </c>
      <c r="M5" s="2"/>
      <c r="O5" s="15"/>
      <c r="P5" s="15"/>
      <c r="Q5" s="15"/>
      <c r="R5" s="15"/>
      <c r="S5" s="15"/>
      <c r="T5" s="15"/>
      <c r="U5" s="15"/>
      <c r="V5" s="15"/>
    </row>
    <row r="6" spans="1:14" s="15" customFormat="1" ht="9.75" customHeight="1">
      <c r="A6" s="12"/>
      <c r="B6" s="12"/>
      <c r="C6" s="12"/>
      <c r="D6" s="12"/>
      <c r="E6" s="12"/>
      <c r="F6" s="12"/>
      <c r="G6" s="12"/>
      <c r="H6" s="12"/>
      <c r="I6" s="12"/>
      <c r="J6" s="12"/>
      <c r="K6" s="12"/>
      <c r="L6" s="13"/>
      <c r="M6" s="12"/>
      <c r="N6" s="12"/>
    </row>
    <row r="7" spans="1:21" s="14" customFormat="1" ht="6" customHeight="1">
      <c r="A7" s="18"/>
      <c r="B7" s="18"/>
      <c r="C7" s="18"/>
      <c r="D7" s="18"/>
      <c r="E7" s="18"/>
      <c r="F7" s="18"/>
      <c r="G7" s="18"/>
      <c r="H7" s="18"/>
      <c r="I7" s="18"/>
      <c r="J7" s="18"/>
      <c r="K7" s="18"/>
      <c r="L7" s="19"/>
      <c r="M7" s="18"/>
      <c r="N7" s="18"/>
      <c r="O7" s="16"/>
      <c r="P7" s="16"/>
      <c r="Q7" s="16"/>
      <c r="R7" s="16"/>
      <c r="S7" s="16"/>
      <c r="T7" s="16"/>
      <c r="U7" s="16"/>
    </row>
    <row r="8" spans="2:25" s="220" customFormat="1" ht="39" customHeight="1">
      <c r="B8" s="1028" t="s">
        <v>9</v>
      </c>
      <c r="C8" s="1028"/>
      <c r="D8" s="1028"/>
      <c r="E8" s="1028"/>
      <c r="F8" s="1028"/>
      <c r="G8" s="1028"/>
      <c r="H8" s="1028"/>
      <c r="I8" s="1028"/>
      <c r="J8" s="1028"/>
      <c r="K8" s="1028"/>
      <c r="L8" s="1028"/>
      <c r="M8" s="1028"/>
      <c r="N8" s="1028"/>
      <c r="O8" s="222"/>
      <c r="P8" s="222"/>
      <c r="Q8" s="222"/>
      <c r="R8" s="222"/>
      <c r="S8" s="222"/>
      <c r="T8" s="222"/>
      <c r="U8" s="222"/>
      <c r="V8" s="222"/>
      <c r="W8" s="222"/>
      <c r="X8" s="222"/>
      <c r="Y8" s="222"/>
    </row>
    <row r="9" spans="2:25" s="220" customFormat="1" ht="19.5" customHeight="1">
      <c r="B9" s="554"/>
      <c r="C9" s="555"/>
      <c r="D9" s="554"/>
      <c r="E9" s="554"/>
      <c r="F9" s="554"/>
      <c r="G9" s="554"/>
      <c r="H9" s="554"/>
      <c r="I9" s="554"/>
      <c r="J9" s="554"/>
      <c r="K9" s="554"/>
      <c r="L9" s="554"/>
      <c r="M9" s="554"/>
      <c r="N9" s="554"/>
      <c r="O9" s="222"/>
      <c r="P9" s="222"/>
      <c r="Q9" s="222"/>
      <c r="R9" s="222"/>
      <c r="S9" s="222"/>
      <c r="T9" s="222"/>
      <c r="U9" s="222"/>
      <c r="V9" s="222"/>
      <c r="W9" s="222"/>
      <c r="X9" s="222"/>
      <c r="Y9" s="222"/>
    </row>
    <row r="10" spans="2:25" s="220" customFormat="1" ht="19.5" customHeight="1">
      <c r="B10" s="234" t="s">
        <v>250</v>
      </c>
      <c r="C10" s="234"/>
      <c r="D10" s="238"/>
      <c r="E10" s="238"/>
      <c r="F10" s="238"/>
      <c r="G10" s="238"/>
      <c r="H10" s="238"/>
      <c r="I10" s="238"/>
      <c r="J10" s="238"/>
      <c r="K10" s="238"/>
      <c r="L10" s="238"/>
      <c r="M10" s="238"/>
      <c r="N10" s="238"/>
      <c r="O10" s="222"/>
      <c r="P10" s="222"/>
      <c r="Q10" s="222"/>
      <c r="R10" s="222"/>
      <c r="S10" s="222"/>
      <c r="T10" s="222"/>
      <c r="U10" s="222"/>
      <c r="V10" s="222"/>
      <c r="W10" s="222"/>
      <c r="X10" s="222"/>
      <c r="Y10" s="222"/>
    </row>
    <row r="11" spans="2:25" s="220" customFormat="1" ht="51" customHeight="1">
      <c r="B11" s="1005" t="s">
        <v>396</v>
      </c>
      <c r="C11" s="1005"/>
      <c r="D11" s="1005"/>
      <c r="E11" s="1005"/>
      <c r="F11" s="1005"/>
      <c r="G11" s="1005"/>
      <c r="H11" s="1005"/>
      <c r="I11" s="281"/>
      <c r="J11" s="281"/>
      <c r="K11" s="281"/>
      <c r="L11" s="281"/>
      <c r="M11" s="281"/>
      <c r="N11" s="281"/>
      <c r="O11" s="853"/>
      <c r="P11" s="853"/>
      <c r="Q11" s="222"/>
      <c r="R11" s="222"/>
      <c r="S11" s="222"/>
      <c r="T11" s="222"/>
      <c r="U11" s="222"/>
      <c r="V11" s="222"/>
      <c r="W11" s="222"/>
      <c r="X11" s="222"/>
      <c r="Y11" s="222"/>
    </row>
    <row r="12" spans="1:26" s="96" customFormat="1" ht="6" customHeight="1">
      <c r="A12" s="94"/>
      <c r="B12" s="94"/>
      <c r="C12" s="94"/>
      <c r="D12" s="94"/>
      <c r="E12" s="94"/>
      <c r="F12" s="94"/>
      <c r="G12" s="94"/>
      <c r="H12" s="94"/>
      <c r="I12" s="94"/>
      <c r="J12" s="94"/>
      <c r="K12" s="94"/>
      <c r="L12" s="94"/>
      <c r="M12" s="94"/>
      <c r="N12" s="94"/>
      <c r="O12" s="94"/>
      <c r="P12" s="94"/>
      <c r="Q12" s="95"/>
      <c r="R12" s="94"/>
      <c r="S12" s="94"/>
      <c r="T12" s="94"/>
      <c r="U12" s="94"/>
      <c r="V12" s="94"/>
      <c r="W12" s="94"/>
      <c r="X12" s="94"/>
      <c r="Y12" s="94"/>
      <c r="Z12" s="94"/>
    </row>
    <row r="13" spans="1:14" s="15" customFormat="1" ht="9.75" customHeight="1">
      <c r="A13" s="12"/>
      <c r="B13" s="12"/>
      <c r="C13" s="65"/>
      <c r="D13" s="12"/>
      <c r="E13" s="12"/>
      <c r="F13" s="12"/>
      <c r="G13" s="12"/>
      <c r="H13" s="12"/>
      <c r="I13" s="12"/>
      <c r="J13" s="12"/>
      <c r="K13" s="12"/>
      <c r="L13" s="12"/>
      <c r="M13" s="13"/>
      <c r="N13" s="12"/>
    </row>
    <row r="14" spans="1:22" s="14" customFormat="1" ht="6" customHeight="1">
      <c r="A14" s="18"/>
      <c r="B14" s="18"/>
      <c r="C14" s="66"/>
      <c r="D14" s="18"/>
      <c r="E14" s="18"/>
      <c r="F14" s="18"/>
      <c r="G14" s="18"/>
      <c r="H14" s="18"/>
      <c r="I14" s="18"/>
      <c r="J14" s="18"/>
      <c r="K14" s="18"/>
      <c r="L14" s="18"/>
      <c r="M14" s="19"/>
      <c r="N14" s="18"/>
      <c r="O14" s="16"/>
      <c r="P14" s="16"/>
      <c r="Q14" s="16"/>
      <c r="R14" s="16"/>
      <c r="S14" s="16"/>
      <c r="T14" s="16"/>
      <c r="U14" s="16"/>
      <c r="V14" s="16"/>
    </row>
    <row r="15" spans="2:22" ht="15.75" thickBot="1">
      <c r="B15" s="15"/>
      <c r="O15" s="15"/>
      <c r="P15" s="15"/>
      <c r="Q15" s="15"/>
      <c r="R15" s="15"/>
      <c r="S15" s="15"/>
      <c r="T15" s="15"/>
      <c r="U15" s="15"/>
      <c r="V15" s="15"/>
    </row>
    <row r="16" spans="2:22" ht="15.75" thickBot="1">
      <c r="B16" s="604" t="s">
        <v>61</v>
      </c>
      <c r="C16" s="605"/>
      <c r="D16" s="282"/>
      <c r="E16" s="282"/>
      <c r="F16" s="282"/>
      <c r="G16" s="282"/>
      <c r="H16" s="147"/>
      <c r="O16" s="15"/>
      <c r="P16" s="15"/>
      <c r="Q16" s="15"/>
      <c r="R16" s="15"/>
      <c r="S16" s="15"/>
      <c r="T16" s="15"/>
      <c r="U16" s="15"/>
      <c r="V16" s="15"/>
    </row>
    <row r="17" spans="2:13" ht="15.75" thickBot="1">
      <c r="B17" s="606" t="s">
        <v>717</v>
      </c>
      <c r="C17" s="580">
        <f>IF('User Inputs'!E133="Yes",('User Inputs'!G133*('User Inputs'!E31/4)),0)</f>
        <v>0</v>
      </c>
      <c r="D17" s="560" t="s">
        <v>667</v>
      </c>
      <c r="E17" s="560"/>
      <c r="F17" s="601"/>
      <c r="G17" s="9"/>
      <c r="H17" s="607"/>
      <c r="I17" s="1026" t="s">
        <v>342</v>
      </c>
      <c r="J17" s="1011"/>
      <c r="K17" s="1011"/>
      <c r="L17" s="1011"/>
      <c r="M17" s="1011"/>
    </row>
    <row r="18" spans="2:13" ht="15.75" thickBot="1">
      <c r="B18" s="608"/>
      <c r="C18" s="393"/>
      <c r="D18" s="547"/>
      <c r="E18" s="547"/>
      <c r="F18" s="602"/>
      <c r="G18" s="2"/>
      <c r="H18" s="54"/>
      <c r="I18" s="1012"/>
      <c r="J18" s="1011"/>
      <c r="K18" s="1011"/>
      <c r="L18" s="1011"/>
      <c r="M18" s="1011"/>
    </row>
    <row r="19" spans="2:8" ht="15.75" thickBot="1">
      <c r="B19" s="55" t="s">
        <v>87</v>
      </c>
      <c r="C19" s="580">
        <f>IF('User Inputs'!E139="Yes",('User Inputs'!G139*SUM('User Inputs'!J63:K74)),0)</f>
        <v>0</v>
      </c>
      <c r="D19" s="560" t="s">
        <v>613</v>
      </c>
      <c r="E19" s="560"/>
      <c r="F19" s="9"/>
      <c r="G19" s="9"/>
      <c r="H19" s="607"/>
    </row>
    <row r="20" spans="2:8" ht="15">
      <c r="B20" s="609"/>
      <c r="C20" s="581"/>
      <c r="D20" s="547"/>
      <c r="E20" s="547"/>
      <c r="F20" s="2"/>
      <c r="G20" s="2"/>
      <c r="H20" s="54"/>
    </row>
    <row r="21" spans="1:8" ht="15">
      <c r="A21" s="603"/>
      <c r="B21" s="610"/>
      <c r="C21" s="582"/>
      <c r="D21" s="547"/>
      <c r="E21" s="600"/>
      <c r="F21" s="2"/>
      <c r="G21" s="2"/>
      <c r="H21" s="54"/>
    </row>
    <row r="22" spans="1:8" ht="15.75" thickBot="1">
      <c r="A22" s="206"/>
      <c r="B22" s="611" t="s">
        <v>666</v>
      </c>
      <c r="C22" s="612">
        <f>'User Inputs'!E146</f>
        <v>0</v>
      </c>
      <c r="D22" s="613" t="s">
        <v>668</v>
      </c>
      <c r="E22" s="613"/>
      <c r="F22" s="614"/>
      <c r="G22" s="304"/>
      <c r="H22" s="615"/>
    </row>
    <row r="23" spans="1:8" ht="15.75" thickBot="1">
      <c r="A23" s="206"/>
      <c r="B23" s="431"/>
      <c r="C23" s="582"/>
      <c r="D23" s="547"/>
      <c r="E23" s="600"/>
      <c r="F23" s="2"/>
      <c r="G23" s="2"/>
      <c r="H23" s="2"/>
    </row>
    <row r="24" spans="1:6" ht="15">
      <c r="A24" s="206"/>
      <c r="B24" s="604" t="s">
        <v>391</v>
      </c>
      <c r="C24" s="616"/>
      <c r="D24" s="617"/>
      <c r="E24" s="618"/>
      <c r="F24" s="207"/>
    </row>
    <row r="25" spans="1:6" ht="15.75" thickBot="1">
      <c r="A25" s="206"/>
      <c r="B25" s="619" t="s">
        <v>669</v>
      </c>
      <c r="C25" s="583">
        <f>SUM('1. Feedstock Parameters'!C24:C39)</f>
        <v>0</v>
      </c>
      <c r="D25" s="560" t="s">
        <v>597</v>
      </c>
      <c r="E25" s="620"/>
      <c r="F25" s="207"/>
    </row>
    <row r="26" spans="1:6" ht="15.75" thickBot="1">
      <c r="A26" s="206"/>
      <c r="B26" s="55" t="s">
        <v>670</v>
      </c>
      <c r="C26" s="584">
        <f>'User Inputs'!E173</f>
        <v>0</v>
      </c>
      <c r="D26" s="560" t="s">
        <v>598</v>
      </c>
      <c r="E26" s="620"/>
      <c r="F26" s="207"/>
    </row>
    <row r="27" spans="1:6" ht="15.75" thickBot="1">
      <c r="A27" s="206"/>
      <c r="B27" s="621" t="s">
        <v>391</v>
      </c>
      <c r="C27" s="585">
        <f>C25*C26</f>
        <v>0</v>
      </c>
      <c r="D27" s="613" t="s">
        <v>490</v>
      </c>
      <c r="E27" s="622"/>
      <c r="F27" s="207"/>
    </row>
    <row r="28" spans="1:6" ht="15.75" thickBot="1">
      <c r="A28" s="62"/>
      <c r="B28" s="62"/>
      <c r="C28" s="586"/>
      <c r="D28" s="547"/>
      <c r="E28" s="547"/>
      <c r="F28" s="207"/>
    </row>
    <row r="29" spans="1:6" ht="15.75" thickBot="1">
      <c r="A29" s="213"/>
      <c r="B29" s="623" t="s">
        <v>492</v>
      </c>
      <c r="C29" s="616"/>
      <c r="D29" s="617"/>
      <c r="E29" s="624"/>
      <c r="F29" s="207"/>
    </row>
    <row r="30" spans="1:6" ht="15.75" thickBot="1">
      <c r="A30" s="213"/>
      <c r="B30" s="625" t="s">
        <v>47</v>
      </c>
      <c r="C30" s="587">
        <f>'User Inputs'!E150</f>
        <v>0</v>
      </c>
      <c r="D30" s="560" t="s">
        <v>599</v>
      </c>
      <c r="E30" s="571"/>
      <c r="F30" s="207"/>
    </row>
    <row r="31" spans="1:6" ht="15">
      <c r="A31" s="213"/>
      <c r="B31" s="619" t="s">
        <v>392</v>
      </c>
      <c r="C31" s="588">
        <f>SUM('1. Feedstock Parameters'!C24:C39)</f>
        <v>0</v>
      </c>
      <c r="D31" s="560" t="s">
        <v>597</v>
      </c>
      <c r="E31" s="571"/>
      <c r="F31" s="207"/>
    </row>
    <row r="32" spans="1:6" ht="15.75" thickBot="1">
      <c r="A32" s="206"/>
      <c r="B32" s="619" t="s">
        <v>399</v>
      </c>
      <c r="C32" s="589" t="e">
        <f>ROUNDUP(C31/C30,0)</f>
        <v>#DIV/0!</v>
      </c>
      <c r="D32" s="560" t="s">
        <v>619</v>
      </c>
      <c r="E32" s="571"/>
      <c r="F32" s="207"/>
    </row>
    <row r="33" spans="1:6" ht="15.75" thickBot="1">
      <c r="A33" s="206"/>
      <c r="B33" s="55" t="s">
        <v>393</v>
      </c>
      <c r="C33" s="590">
        <f>'User Inputs'!E160</f>
        <v>0</v>
      </c>
      <c r="D33" s="560" t="s">
        <v>671</v>
      </c>
      <c r="E33" s="571"/>
      <c r="F33" s="207"/>
    </row>
    <row r="34" spans="1:13" ht="15.75" thickBot="1">
      <c r="A34" s="206"/>
      <c r="B34" s="619" t="s">
        <v>394</v>
      </c>
      <c r="C34" s="591">
        <v>0.18</v>
      </c>
      <c r="D34" s="560" t="s">
        <v>600</v>
      </c>
      <c r="E34" s="571"/>
      <c r="F34" s="1029" t="s">
        <v>410</v>
      </c>
      <c r="G34" s="1011"/>
      <c r="H34" s="1011"/>
      <c r="I34" s="1011"/>
      <c r="J34" s="1011"/>
      <c r="K34" s="1011"/>
      <c r="L34" s="1011"/>
      <c r="M34" s="1011"/>
    </row>
    <row r="35" spans="1:13" ht="15.75" thickBot="1">
      <c r="A35" s="206"/>
      <c r="B35" s="621" t="s">
        <v>411</v>
      </c>
      <c r="C35" s="585">
        <f>ROUNDUP(C31*C33*C34,0)</f>
        <v>0</v>
      </c>
      <c r="D35" s="613" t="s">
        <v>490</v>
      </c>
      <c r="E35" s="626"/>
      <c r="F35" s="1011"/>
      <c r="G35" s="1011"/>
      <c r="H35" s="1011"/>
      <c r="I35" s="1011"/>
      <c r="J35" s="1011"/>
      <c r="K35" s="1011"/>
      <c r="L35" s="1011"/>
      <c r="M35" s="1011"/>
    </row>
    <row r="36" spans="1:13" ht="15.75" thickBot="1">
      <c r="A36" s="62"/>
      <c r="B36" s="63"/>
      <c r="C36" s="592"/>
      <c r="D36" s="547"/>
      <c r="E36" s="547"/>
      <c r="F36" s="1011"/>
      <c r="G36" s="1011"/>
      <c r="H36" s="1011"/>
      <c r="I36" s="1011"/>
      <c r="J36" s="1011"/>
      <c r="K36" s="1011"/>
      <c r="L36" s="1011"/>
      <c r="M36" s="1011"/>
    </row>
    <row r="37" spans="1:6" ht="15">
      <c r="A37" s="206"/>
      <c r="B37" s="623" t="s">
        <v>493</v>
      </c>
      <c r="C37" s="627"/>
      <c r="D37" s="628"/>
      <c r="E37" s="629"/>
      <c r="F37" s="207"/>
    </row>
    <row r="38" spans="1:6" ht="15.75" thickBot="1">
      <c r="A38" s="206"/>
      <c r="B38" s="619" t="s">
        <v>494</v>
      </c>
      <c r="C38" s="593">
        <f>SUM('1. Feedstock Parameters'!C24:C38)</f>
        <v>0</v>
      </c>
      <c r="D38" s="560" t="s">
        <v>597</v>
      </c>
      <c r="E38" s="571"/>
      <c r="F38" s="207"/>
    </row>
    <row r="39" spans="1:13" ht="15.75" thickBot="1">
      <c r="A39" s="206"/>
      <c r="B39" s="55" t="s">
        <v>601</v>
      </c>
      <c r="C39" s="594">
        <f>'User Inputs'!E176</f>
        <v>0</v>
      </c>
      <c r="D39" s="560" t="s">
        <v>498</v>
      </c>
      <c r="E39" s="571"/>
      <c r="F39" s="1026" t="s">
        <v>192</v>
      </c>
      <c r="G39" s="1011"/>
      <c r="H39" s="1011"/>
      <c r="I39" s="1011"/>
      <c r="J39" s="1011"/>
      <c r="K39" s="1011"/>
      <c r="L39" s="1011"/>
      <c r="M39" s="1011"/>
    </row>
    <row r="40" spans="1:13" ht="15.75" thickBot="1">
      <c r="A40" s="206"/>
      <c r="B40" s="621" t="s">
        <v>497</v>
      </c>
      <c r="C40" s="595">
        <f>C38*C39</f>
        <v>0</v>
      </c>
      <c r="D40" s="613" t="s">
        <v>490</v>
      </c>
      <c r="E40" s="626"/>
      <c r="F40" s="1012"/>
      <c r="G40" s="1011"/>
      <c r="H40" s="1011"/>
      <c r="I40" s="1011"/>
      <c r="J40" s="1011"/>
      <c r="K40" s="1011"/>
      <c r="L40" s="1011"/>
      <c r="M40" s="1011"/>
    </row>
    <row r="41" spans="1:6" ht="15.75" thickBot="1">
      <c r="A41" s="62"/>
      <c r="B41" s="62"/>
      <c r="C41" s="582"/>
      <c r="D41" s="556"/>
      <c r="E41" s="547"/>
      <c r="F41" s="207"/>
    </row>
    <row r="42" spans="1:6" ht="15">
      <c r="A42" s="206"/>
      <c r="B42" s="604" t="s">
        <v>412</v>
      </c>
      <c r="C42" s="630"/>
      <c r="D42" s="628"/>
      <c r="E42" s="629"/>
      <c r="F42" s="207"/>
    </row>
    <row r="43" spans="1:6" ht="15">
      <c r="A43" s="206"/>
      <c r="B43" s="619" t="s">
        <v>511</v>
      </c>
      <c r="C43" s="583">
        <f>C31+'1. Feedstock Parameters'!G43</f>
        <v>0</v>
      </c>
      <c r="D43" s="560" t="s">
        <v>597</v>
      </c>
      <c r="E43" s="571"/>
      <c r="F43" s="207"/>
    </row>
    <row r="44" spans="1:6" ht="15">
      <c r="A44" s="213"/>
      <c r="B44" s="619" t="s">
        <v>252</v>
      </c>
      <c r="C44" s="596">
        <v>0.86</v>
      </c>
      <c r="D44" s="560"/>
      <c r="E44" s="571"/>
      <c r="F44" s="207"/>
    </row>
    <row r="45" spans="1:6" ht="15">
      <c r="A45" s="206"/>
      <c r="B45" s="619" t="s">
        <v>253</v>
      </c>
      <c r="C45" s="588">
        <f>ROUNDUP(C43*(1-C44),0)</f>
        <v>0</v>
      </c>
      <c r="D45" s="560" t="s">
        <v>602</v>
      </c>
      <c r="E45" s="631"/>
      <c r="F45" s="207"/>
    </row>
    <row r="46" spans="1:13" ht="15.75" thickBot="1">
      <c r="A46" s="206"/>
      <c r="B46" s="619" t="s">
        <v>413</v>
      </c>
      <c r="C46" s="597">
        <f>C34</f>
        <v>0.18</v>
      </c>
      <c r="D46" s="560" t="s">
        <v>600</v>
      </c>
      <c r="E46" s="571"/>
      <c r="F46" s="1027" t="s">
        <v>410</v>
      </c>
      <c r="G46" s="1011"/>
      <c r="H46" s="1011"/>
      <c r="I46" s="1011"/>
      <c r="J46" s="1011"/>
      <c r="K46" s="1011"/>
      <c r="L46" s="1011"/>
      <c r="M46" s="1011"/>
    </row>
    <row r="47" spans="1:13" ht="15.75" thickBot="1">
      <c r="A47" s="206"/>
      <c r="B47" s="55" t="s">
        <v>422</v>
      </c>
      <c r="C47" s="590">
        <f>'User Inputs'!E163</f>
        <v>0</v>
      </c>
      <c r="D47" s="560" t="s">
        <v>671</v>
      </c>
      <c r="E47" s="571"/>
      <c r="F47" s="1011"/>
      <c r="G47" s="1011"/>
      <c r="H47" s="1011"/>
      <c r="I47" s="1011"/>
      <c r="J47" s="1011"/>
      <c r="K47" s="1011"/>
      <c r="L47" s="1011"/>
      <c r="M47" s="1011"/>
    </row>
    <row r="48" spans="1:13" ht="15.75" thickBot="1">
      <c r="A48" s="206"/>
      <c r="B48" s="621" t="s">
        <v>512</v>
      </c>
      <c r="C48" s="585">
        <f>IF('User Inputs'!E166="Yes",(C45*C46*C47),IF('User Inputs'!E170="Yes",(C45*C46*C47),0))</f>
        <v>0</v>
      </c>
      <c r="D48" s="613" t="s">
        <v>490</v>
      </c>
      <c r="E48" s="626"/>
      <c r="F48" s="1011"/>
      <c r="G48" s="1011"/>
      <c r="H48" s="1011"/>
      <c r="I48" s="1011"/>
      <c r="J48" s="1011"/>
      <c r="K48" s="1011"/>
      <c r="L48" s="1011"/>
      <c r="M48" s="1011"/>
    </row>
    <row r="49" spans="1:13" ht="15.75" thickBot="1">
      <c r="A49" s="206"/>
      <c r="B49" s="61"/>
      <c r="C49" s="214"/>
      <c r="D49" s="556"/>
      <c r="E49" s="547"/>
      <c r="F49" s="1011"/>
      <c r="G49" s="1011"/>
      <c r="H49" s="1011"/>
      <c r="I49" s="1011"/>
      <c r="J49" s="1011"/>
      <c r="K49" s="1011"/>
      <c r="L49" s="1011"/>
      <c r="M49" s="1011"/>
    </row>
    <row r="50" spans="1:6" ht="15.75" thickBot="1">
      <c r="A50" s="206"/>
      <c r="B50" s="604" t="s">
        <v>412</v>
      </c>
      <c r="C50" s="632"/>
      <c r="D50" s="633"/>
      <c r="E50" s="629"/>
      <c r="F50" s="207"/>
    </row>
    <row r="51" spans="1:6" ht="15.75" thickBot="1">
      <c r="A51" s="206"/>
      <c r="B51" s="625" t="s">
        <v>332</v>
      </c>
      <c r="C51" s="598">
        <f>'User Inputs'!E154</f>
        <v>0</v>
      </c>
      <c r="D51" s="560" t="s">
        <v>598</v>
      </c>
      <c r="E51" s="571"/>
      <c r="F51" s="207"/>
    </row>
    <row r="52" spans="1:6" ht="15.75" thickBot="1">
      <c r="A52" s="206"/>
      <c r="B52" s="621" t="s">
        <v>334</v>
      </c>
      <c r="C52" s="585">
        <f>IF('User Inputs'!E166="Yes",C51*C45,0)</f>
        <v>0</v>
      </c>
      <c r="D52" s="613" t="s">
        <v>490</v>
      </c>
      <c r="E52" s="626"/>
      <c r="F52" s="207"/>
    </row>
    <row r="53" spans="1:6" ht="15.75" thickBot="1">
      <c r="A53" s="206"/>
      <c r="B53" s="60"/>
      <c r="C53" s="310"/>
      <c r="D53" s="547"/>
      <c r="E53" s="547"/>
      <c r="F53" s="207"/>
    </row>
    <row r="54" spans="1:6" ht="15.75" thickBot="1">
      <c r="A54" s="206"/>
      <c r="B54" s="604" t="s">
        <v>415</v>
      </c>
      <c r="C54" s="634"/>
      <c r="D54" s="628"/>
      <c r="E54" s="629"/>
      <c r="F54" s="207"/>
    </row>
    <row r="55" spans="1:6" ht="15.75" thickBot="1">
      <c r="A55" s="206"/>
      <c r="B55" s="625" t="s">
        <v>331</v>
      </c>
      <c r="C55" s="598">
        <f>'User Inputs'!E157</f>
        <v>0</v>
      </c>
      <c r="D55" s="560" t="s">
        <v>598</v>
      </c>
      <c r="E55" s="571"/>
      <c r="F55" s="207"/>
    </row>
    <row r="56" spans="1:6" ht="15.75" thickBot="1">
      <c r="A56" s="206"/>
      <c r="B56" s="621" t="s">
        <v>335</v>
      </c>
      <c r="C56" s="585">
        <f>'User Inputs'!E157*'3. Transportation &amp; Processing'!C38</f>
        <v>0</v>
      </c>
      <c r="D56" s="613" t="s">
        <v>490</v>
      </c>
      <c r="E56" s="626"/>
      <c r="F56" s="207"/>
    </row>
    <row r="57" spans="1:6" ht="15.75" thickBot="1">
      <c r="A57" s="62"/>
      <c r="B57" s="64"/>
      <c r="C57" s="599"/>
      <c r="D57" s="547"/>
      <c r="E57" s="547"/>
      <c r="F57" s="207"/>
    </row>
    <row r="58" spans="1:6" ht="15">
      <c r="A58" s="206"/>
      <c r="B58" s="635" t="s">
        <v>191</v>
      </c>
      <c r="C58" s="636">
        <f>C51*(SUM('1. Feedstock Parameters'!C24:C39))</f>
        <v>0</v>
      </c>
      <c r="D58" s="628" t="s">
        <v>490</v>
      </c>
      <c r="E58" s="629"/>
      <c r="F58" s="207"/>
    </row>
    <row r="59" spans="1:6" ht="15.75" thickBot="1">
      <c r="A59" s="206"/>
      <c r="B59" s="637"/>
      <c r="C59" s="383"/>
      <c r="D59" s="560"/>
      <c r="E59" s="571"/>
      <c r="F59" s="207"/>
    </row>
    <row r="60" spans="1:6" ht="15.75" thickBot="1">
      <c r="A60" s="311"/>
      <c r="B60" s="313" t="s">
        <v>421</v>
      </c>
      <c r="C60" s="314">
        <f>-(C27+C35+C40+C48+C52-(C56+C58))</f>
        <v>0</v>
      </c>
      <c r="D60" s="613" t="s">
        <v>490</v>
      </c>
      <c r="E60" s="626"/>
      <c r="F60" s="312"/>
    </row>
    <row r="61" spans="3:5" ht="15">
      <c r="C61" s="67"/>
      <c r="D61" s="526"/>
      <c r="E61" s="526"/>
    </row>
    <row r="62" spans="2:5" ht="15">
      <c r="B62" s="29"/>
      <c r="C62" s="8"/>
      <c r="D62" s="547"/>
      <c r="E62" s="547"/>
    </row>
    <row r="63" spans="2:5" ht="15">
      <c r="B63" s="8"/>
      <c r="C63" s="493"/>
      <c r="D63" s="547"/>
      <c r="E63" s="547"/>
    </row>
    <row r="64" spans="2:5" ht="15">
      <c r="B64" s="8"/>
      <c r="C64" s="494"/>
      <c r="D64" s="557"/>
      <c r="E64" s="547"/>
    </row>
    <row r="65" spans="2:5" ht="15">
      <c r="B65" s="8"/>
      <c r="C65" s="8"/>
      <c r="D65" s="8"/>
      <c r="E65" s="8"/>
    </row>
    <row r="66" spans="2:5" ht="15">
      <c r="B66" s="8"/>
      <c r="C66" s="491"/>
      <c r="D66" s="8"/>
      <c r="E66" s="8"/>
    </row>
    <row r="67" spans="2:5" ht="15">
      <c r="B67" s="8"/>
      <c r="C67" s="8"/>
      <c r="D67" s="8"/>
      <c r="E67" s="8"/>
    </row>
    <row r="68" spans="2:5" ht="15">
      <c r="B68" s="15"/>
      <c r="C68" s="491"/>
      <c r="D68" s="15"/>
      <c r="E68" s="15"/>
    </row>
    <row r="69" spans="2:5" ht="15">
      <c r="B69" s="15"/>
      <c r="C69" s="491"/>
      <c r="D69" s="15"/>
      <c r="E69" s="15"/>
    </row>
    <row r="70" spans="2:5" ht="15">
      <c r="B70" s="15"/>
      <c r="C70" s="492"/>
      <c r="D70" s="15"/>
      <c r="E70" s="15"/>
    </row>
    <row r="71" spans="2:5" ht="15">
      <c r="B71" s="15"/>
      <c r="C71" s="8"/>
      <c r="D71" s="15"/>
      <c r="E71" s="15"/>
    </row>
    <row r="72" spans="2:5" ht="15">
      <c r="B72" s="15"/>
      <c r="C72" s="491"/>
      <c r="D72" s="15"/>
      <c r="E72" s="15"/>
    </row>
    <row r="73" spans="2:5" ht="15">
      <c r="B73" s="15"/>
      <c r="C73" s="8"/>
      <c r="D73" s="8"/>
      <c r="E73" s="15"/>
    </row>
    <row r="74" ht="15">
      <c r="D74" s="2"/>
    </row>
    <row r="75" ht="15">
      <c r="D75" s="205"/>
    </row>
    <row r="76" ht="15">
      <c r="D76" s="205"/>
    </row>
  </sheetData>
  <sheetProtection/>
  <mergeCells count="6">
    <mergeCell ref="F39:M40"/>
    <mergeCell ref="F46:M49"/>
    <mergeCell ref="B8:N8"/>
    <mergeCell ref="B11:H11"/>
    <mergeCell ref="I17:M18"/>
    <mergeCell ref="F34:M36"/>
  </mergeCells>
  <hyperlinks>
    <hyperlink ref="F46" r:id="rId1" display="http://books.google.com/books?id=0GiiauhF6PwC&amp;pg=PA104&amp;lpg=PA104&amp;dq=California+Waste+hauling+cost+per+mile&amp;source=web&amp;ots=58DEyojq6V&amp;sig=A2YpxqiWvUW-IsworKBjxKPNUHw&amp;hl=en&amp;sa=X&amp;oi=book_result&amp;resnum=7&amp;ct=result"/>
    <hyperlink ref="F39" r:id="rId2" display="http://www.dep.state.pa.us/dep/DEPUTATE/AIRWASTE/WM/RECYCLE/Tech_Rpts/Allegheny2.pdf"/>
    <hyperlink ref="F34" r:id="rId3" display="http://books.google.com/books?id=0GiiauhF6PwC&amp;pg=PA104&amp;lpg=PA104&amp;dq=California+Waste+hauling+cost+per+mile&amp;source=web&amp;ots=58DEyojq6V&amp;sig=A2YpxqiWvUW-IsworKBjxKPNUHw&amp;hl=en&amp;sa=X&amp;oi=book_result&amp;resnum=7&amp;ct=result"/>
    <hyperlink ref="I17" r:id="rId4" display="http://www.ottawa.ca/residents/recycling_garbage/green_bin_program/faq_en.html"/>
  </hyperlinks>
  <printOptions/>
  <pageMargins left="0.29" right="0.3" top="0.41" bottom="0.43" header="0.33" footer="0.29"/>
  <pageSetup fitToHeight="1" fitToWidth="1" horizontalDpi="600" verticalDpi="600" orientation="portrait" scale="57" r:id="rId6"/>
  <drawing r:id="rId5"/>
</worksheet>
</file>

<file path=xl/worksheets/sheet7.xml><?xml version="1.0" encoding="utf-8"?>
<worksheet xmlns="http://schemas.openxmlformats.org/spreadsheetml/2006/main" xmlns:r="http://schemas.openxmlformats.org/officeDocument/2006/relationships">
  <sheetPr>
    <tabColor indexed="52"/>
    <pageSetUpPr fitToPage="1"/>
  </sheetPr>
  <dimension ref="A1:Z103"/>
  <sheetViews>
    <sheetView zoomScale="85" zoomScaleNormal="85" zoomScalePageLayoutView="0" workbookViewId="0" topLeftCell="A85">
      <selection activeCell="I70" sqref="I70"/>
    </sheetView>
  </sheetViews>
  <sheetFormatPr defaultColWidth="9.140625" defaultRowHeight="12.75"/>
  <cols>
    <col min="1" max="1" width="12.28125" style="1" customWidth="1"/>
    <col min="2" max="2" width="38.7109375" style="1" customWidth="1"/>
    <col min="3" max="3" width="41.00390625" style="1" customWidth="1"/>
    <col min="4" max="4" width="21.7109375" style="1" customWidth="1"/>
    <col min="5" max="5" width="14.140625" style="1" customWidth="1"/>
    <col min="6" max="6" width="18.57421875" style="1" customWidth="1"/>
    <col min="7" max="7" width="15.28125" style="1" customWidth="1"/>
    <col min="8" max="8" width="9.140625" style="1" customWidth="1"/>
    <col min="9" max="9" width="13.7109375" style="1" customWidth="1"/>
    <col min="10" max="11" width="9.140625" style="1" customWidth="1"/>
    <col min="12" max="12" width="12.8515625" style="1" customWidth="1"/>
    <col min="13" max="16384" width="9.140625" style="1" customWidth="1"/>
  </cols>
  <sheetData>
    <row r="1" spans="12:22" ht="11.25" customHeight="1">
      <c r="L1" s="8"/>
      <c r="M1" s="15"/>
      <c r="N1" s="15"/>
      <c r="O1" s="15"/>
      <c r="P1" s="15"/>
      <c r="Q1" s="15"/>
      <c r="R1" s="15"/>
      <c r="S1" s="15"/>
      <c r="T1" s="15"/>
      <c r="U1" s="15"/>
      <c r="V1" s="15"/>
    </row>
    <row r="2" spans="2:22" ht="18.75">
      <c r="B2" s="848" t="s">
        <v>14</v>
      </c>
      <c r="C2" s="316"/>
      <c r="D2" s="316"/>
      <c r="E2" s="316"/>
      <c r="F2" s="316"/>
      <c r="L2" s="8"/>
      <c r="M2" s="15"/>
      <c r="N2" s="15"/>
      <c r="O2" s="15"/>
      <c r="P2" s="15"/>
      <c r="Q2" s="15"/>
      <c r="R2" s="15"/>
      <c r="S2" s="15"/>
      <c r="T2" s="15"/>
      <c r="U2" s="15"/>
      <c r="V2" s="15"/>
    </row>
    <row r="3" spans="2:22" ht="16.5" customHeight="1">
      <c r="B3" s="496" t="s">
        <v>13</v>
      </c>
      <c r="C3" s="547"/>
      <c r="D3" s="547"/>
      <c r="E3" s="547"/>
      <c r="F3" s="547"/>
      <c r="L3" s="8"/>
      <c r="M3" s="15"/>
      <c r="N3" s="15"/>
      <c r="O3" s="15"/>
      <c r="P3" s="15"/>
      <c r="Q3" s="15"/>
      <c r="R3" s="15"/>
      <c r="S3" s="15"/>
      <c r="T3" s="15"/>
      <c r="U3" s="15"/>
      <c r="V3" s="15"/>
    </row>
    <row r="4" spans="2:22" ht="9.75" customHeight="1">
      <c r="B4" s="849"/>
      <c r="C4" s="2"/>
      <c r="D4" s="2"/>
      <c r="E4" s="2"/>
      <c r="F4" s="2"/>
      <c r="L4" s="8"/>
      <c r="M4" s="15"/>
      <c r="N4" s="15"/>
      <c r="O4" s="15"/>
      <c r="P4" s="15"/>
      <c r="Q4" s="15"/>
      <c r="R4" s="15"/>
      <c r="S4" s="15"/>
      <c r="T4" s="15"/>
      <c r="U4" s="15"/>
      <c r="V4" s="15"/>
    </row>
    <row r="5" spans="2:22" ht="19.5" customHeight="1">
      <c r="B5" s="11" t="s">
        <v>292</v>
      </c>
      <c r="L5" s="8"/>
      <c r="M5" s="15"/>
      <c r="N5" s="15"/>
      <c r="O5" s="15"/>
      <c r="P5" s="15"/>
      <c r="Q5" s="15"/>
      <c r="R5" s="15"/>
      <c r="S5" s="15"/>
      <c r="T5" s="15"/>
      <c r="U5" s="15"/>
      <c r="V5" s="15"/>
    </row>
    <row r="6" spans="1:12" s="15" customFormat="1" ht="9.75" customHeight="1">
      <c r="A6" s="12"/>
      <c r="B6" s="12"/>
      <c r="C6" s="12"/>
      <c r="D6" s="12"/>
      <c r="E6" s="12"/>
      <c r="F6" s="12"/>
      <c r="G6" s="12"/>
      <c r="H6" s="12"/>
      <c r="I6" s="12"/>
      <c r="J6" s="12"/>
      <c r="K6" s="12"/>
      <c r="L6" s="8"/>
    </row>
    <row r="7" spans="1:21" s="14" customFormat="1" ht="6" customHeight="1">
      <c r="A7" s="18"/>
      <c r="B7" s="18"/>
      <c r="C7" s="18"/>
      <c r="D7" s="18"/>
      <c r="E7" s="18"/>
      <c r="F7" s="18"/>
      <c r="G7" s="18"/>
      <c r="H7" s="18"/>
      <c r="I7" s="18"/>
      <c r="J7" s="18"/>
      <c r="K7" s="18"/>
      <c r="L7" s="17"/>
      <c r="M7" s="16"/>
      <c r="N7" s="16"/>
      <c r="O7" s="16"/>
      <c r="P7" s="16"/>
      <c r="Q7" s="16"/>
      <c r="R7" s="16"/>
      <c r="S7" s="16"/>
      <c r="T7" s="16"/>
      <c r="U7" s="16"/>
    </row>
    <row r="8" spans="2:25" s="220" customFormat="1" ht="64.5" customHeight="1">
      <c r="B8" s="1028" t="s">
        <v>718</v>
      </c>
      <c r="C8" s="1028"/>
      <c r="D8" s="1028"/>
      <c r="E8" s="1028"/>
      <c r="F8" s="1028"/>
      <c r="G8" s="1028"/>
      <c r="H8" s="1028"/>
      <c r="I8" s="559"/>
      <c r="J8" s="467"/>
      <c r="K8" s="467"/>
      <c r="L8" s="851"/>
      <c r="M8" s="851"/>
      <c r="N8" s="851"/>
      <c r="O8" s="222"/>
      <c r="P8" s="222"/>
      <c r="Q8" s="222"/>
      <c r="R8" s="222"/>
      <c r="S8" s="222"/>
      <c r="T8" s="222"/>
      <c r="U8" s="222"/>
      <c r="V8" s="222"/>
      <c r="W8" s="222"/>
      <c r="X8" s="222"/>
      <c r="Y8" s="222"/>
    </row>
    <row r="9" spans="2:25" s="220" customFormat="1" ht="19.5" customHeight="1">
      <c r="B9" s="234" t="s">
        <v>624</v>
      </c>
      <c r="C9" s="234"/>
      <c r="D9" s="238"/>
      <c r="E9" s="238"/>
      <c r="F9" s="238"/>
      <c r="G9" s="238"/>
      <c r="H9" s="238"/>
      <c r="I9" s="238"/>
      <c r="J9" s="238"/>
      <c r="K9" s="238"/>
      <c r="L9" s="852"/>
      <c r="M9" s="852"/>
      <c r="N9" s="852"/>
      <c r="O9" s="222"/>
      <c r="P9" s="222"/>
      <c r="Q9" s="222"/>
      <c r="R9" s="222"/>
      <c r="S9" s="222"/>
      <c r="T9" s="222"/>
      <c r="U9" s="222"/>
      <c r="V9" s="222"/>
      <c r="W9" s="222"/>
      <c r="X9" s="222"/>
      <c r="Y9" s="222"/>
    </row>
    <row r="10" spans="2:25" s="220" customFormat="1" ht="51" customHeight="1">
      <c r="B10" s="1030" t="s">
        <v>396</v>
      </c>
      <c r="C10" s="1030"/>
      <c r="D10" s="1030"/>
      <c r="E10" s="1030"/>
      <c r="F10" s="1030"/>
      <c r="G10" s="1030"/>
      <c r="H10" s="1030"/>
      <c r="I10" s="281"/>
      <c r="J10" s="281"/>
      <c r="K10" s="281"/>
      <c r="L10" s="853"/>
      <c r="M10" s="853"/>
      <c r="N10" s="853"/>
      <c r="O10" s="853"/>
      <c r="P10" s="853"/>
      <c r="Q10" s="222"/>
      <c r="R10" s="222"/>
      <c r="S10" s="222"/>
      <c r="T10" s="222"/>
      <c r="U10" s="222"/>
      <c r="V10" s="222"/>
      <c r="W10" s="222"/>
      <c r="X10" s="222"/>
      <c r="Y10" s="222"/>
    </row>
    <row r="11" spans="1:26" s="96" customFormat="1" ht="6" customHeight="1">
      <c r="A11" s="94"/>
      <c r="B11" s="94"/>
      <c r="C11" s="94"/>
      <c r="D11" s="94"/>
      <c r="E11" s="94"/>
      <c r="F11" s="94"/>
      <c r="G11" s="94"/>
      <c r="H11" s="94"/>
      <c r="I11" s="94"/>
      <c r="J11" s="94"/>
      <c r="K11" s="94"/>
      <c r="L11" s="94"/>
      <c r="M11" s="94"/>
      <c r="N11" s="94"/>
      <c r="O11" s="94"/>
      <c r="P11" s="94"/>
      <c r="Q11" s="95"/>
      <c r="R11" s="94"/>
      <c r="S11" s="94"/>
      <c r="T11" s="94"/>
      <c r="U11" s="94"/>
      <c r="V11" s="94"/>
      <c r="W11" s="94"/>
      <c r="X11" s="94"/>
      <c r="Y11" s="94"/>
      <c r="Z11" s="94"/>
    </row>
    <row r="12" spans="1:13" s="15" customFormat="1" ht="9.75" customHeight="1">
      <c r="A12" s="12"/>
      <c r="B12" s="12"/>
      <c r="C12" s="65"/>
      <c r="D12" s="12"/>
      <c r="E12" s="12"/>
      <c r="F12" s="12"/>
      <c r="G12" s="12"/>
      <c r="H12" s="12"/>
      <c r="I12" s="12"/>
      <c r="J12" s="12"/>
      <c r="K12" s="12"/>
      <c r="M12" s="8"/>
    </row>
    <row r="13" spans="1:22" s="14" customFormat="1" ht="6" customHeight="1">
      <c r="A13" s="18"/>
      <c r="B13" s="18"/>
      <c r="C13" s="66"/>
      <c r="D13" s="18"/>
      <c r="E13" s="18"/>
      <c r="F13" s="18"/>
      <c r="G13" s="18"/>
      <c r="H13" s="18"/>
      <c r="I13" s="18"/>
      <c r="J13" s="18"/>
      <c r="K13" s="18"/>
      <c r="L13" s="16"/>
      <c r="M13" s="17"/>
      <c r="N13" s="16"/>
      <c r="O13" s="16"/>
      <c r="P13" s="16"/>
      <c r="Q13" s="16"/>
      <c r="R13" s="16"/>
      <c r="S13" s="16"/>
      <c r="T13" s="16"/>
      <c r="U13" s="16"/>
      <c r="V13" s="16"/>
    </row>
    <row r="14" spans="2:22" s="14" customFormat="1" ht="12.75" customHeight="1">
      <c r="B14" s="16"/>
      <c r="C14" s="16"/>
      <c r="D14" s="16"/>
      <c r="E14" s="16"/>
      <c r="F14" s="16"/>
      <c r="G14" s="16"/>
      <c r="H14" s="16"/>
      <c r="I14" s="16"/>
      <c r="J14" s="16"/>
      <c r="K14" s="16"/>
      <c r="L14" s="16"/>
      <c r="M14" s="17"/>
      <c r="N14" s="16"/>
      <c r="O14" s="16"/>
      <c r="P14" s="16"/>
      <c r="Q14" s="16"/>
      <c r="R14" s="16"/>
      <c r="S14" s="16"/>
      <c r="T14" s="16"/>
      <c r="U14" s="16"/>
      <c r="V14" s="16"/>
    </row>
    <row r="15" spans="2:25" s="96" customFormat="1" ht="30.75" customHeight="1">
      <c r="B15" s="1032" t="s">
        <v>290</v>
      </c>
      <c r="C15" s="1032"/>
      <c r="D15" s="1032"/>
      <c r="E15" s="1032"/>
      <c r="F15" s="1032"/>
      <c r="G15" s="1032"/>
      <c r="H15" s="1032"/>
      <c r="I15" s="1032"/>
      <c r="J15" s="1032"/>
      <c r="K15" s="1032"/>
      <c r="L15" s="15"/>
      <c r="M15" s="15"/>
      <c r="N15" s="15"/>
      <c r="P15" s="95"/>
      <c r="Q15" s="94"/>
      <c r="R15" s="94"/>
      <c r="S15" s="94"/>
      <c r="T15" s="94"/>
      <c r="U15" s="94"/>
      <c r="V15" s="94"/>
      <c r="W15" s="94"/>
      <c r="X15" s="94"/>
      <c r="Y15" s="94"/>
    </row>
    <row r="16" spans="2:22" s="14" customFormat="1" ht="12.75" customHeight="1">
      <c r="B16" s="16"/>
      <c r="C16" s="16"/>
      <c r="D16" s="16"/>
      <c r="E16" s="16"/>
      <c r="F16" s="16"/>
      <c r="G16" s="16"/>
      <c r="H16" s="16"/>
      <c r="I16" s="16"/>
      <c r="J16" s="16"/>
      <c r="K16" s="16"/>
      <c r="L16" s="16"/>
      <c r="M16" s="17"/>
      <c r="N16" s="16"/>
      <c r="O16" s="16"/>
      <c r="P16" s="16"/>
      <c r="Q16" s="16"/>
      <c r="R16" s="16"/>
      <c r="S16" s="16"/>
      <c r="T16" s="16"/>
      <c r="U16" s="16"/>
      <c r="V16" s="16"/>
    </row>
    <row r="17" spans="2:22" s="14" customFormat="1" ht="15.75" customHeight="1">
      <c r="B17" s="1034" t="s">
        <v>290</v>
      </c>
      <c r="C17" s="1034"/>
      <c r="D17" s="1"/>
      <c r="E17" s="16"/>
      <c r="F17" s="16"/>
      <c r="G17" s="16"/>
      <c r="H17" s="16"/>
      <c r="I17" s="16"/>
      <c r="J17" s="16"/>
      <c r="K17" s="16"/>
      <c r="L17" s="16"/>
      <c r="M17" s="17"/>
      <c r="N17" s="16"/>
      <c r="O17" s="16"/>
      <c r="P17" s="16"/>
      <c r="Q17" s="16"/>
      <c r="R17" s="16"/>
      <c r="S17" s="16"/>
      <c r="T17" s="16"/>
      <c r="U17" s="16"/>
      <c r="V17" s="16"/>
    </row>
    <row r="18" spans="2:22" s="14" customFormat="1" ht="18" customHeight="1">
      <c r="B18" s="22" t="s">
        <v>527</v>
      </c>
      <c r="C18" s="23">
        <v>25000</v>
      </c>
      <c r="D18" s="1"/>
      <c r="E18" s="16"/>
      <c r="F18" s="16"/>
      <c r="G18" s="16"/>
      <c r="H18" s="16"/>
      <c r="I18" s="16"/>
      <c r="J18" s="16"/>
      <c r="K18" s="16"/>
      <c r="L18" s="16"/>
      <c r="M18" s="17"/>
      <c r="N18" s="16"/>
      <c r="O18" s="16"/>
      <c r="P18" s="16"/>
      <c r="Q18" s="16"/>
      <c r="R18" s="16"/>
      <c r="S18" s="16"/>
      <c r="T18" s="16"/>
      <c r="U18" s="16"/>
      <c r="V18" s="16"/>
    </row>
    <row r="19" spans="2:22" s="14" customFormat="1" ht="18" customHeight="1">
      <c r="B19" s="22" t="s">
        <v>570</v>
      </c>
      <c r="C19" s="23">
        <v>10000</v>
      </c>
      <c r="D19" s="1"/>
      <c r="E19" s="16"/>
      <c r="F19" s="16"/>
      <c r="G19" s="16"/>
      <c r="H19" s="16"/>
      <c r="I19" s="16"/>
      <c r="J19" s="16"/>
      <c r="K19" s="16"/>
      <c r="L19" s="16"/>
      <c r="M19" s="17"/>
      <c r="N19" s="16"/>
      <c r="O19" s="16"/>
      <c r="P19" s="16"/>
      <c r="Q19" s="16"/>
      <c r="R19" s="16"/>
      <c r="S19" s="16"/>
      <c r="T19" s="16"/>
      <c r="U19" s="16"/>
      <c r="V19" s="16"/>
    </row>
    <row r="20" spans="2:22" s="14" customFormat="1" ht="18" customHeight="1">
      <c r="B20" s="22" t="s">
        <v>528</v>
      </c>
      <c r="C20" s="23">
        <v>12000</v>
      </c>
      <c r="D20" s="1"/>
      <c r="E20" s="16"/>
      <c r="F20" s="16"/>
      <c r="G20" s="16"/>
      <c r="H20" s="16"/>
      <c r="I20" s="16"/>
      <c r="J20" s="16"/>
      <c r="K20" s="16"/>
      <c r="L20" s="16"/>
      <c r="M20" s="17"/>
      <c r="N20" s="16"/>
      <c r="O20" s="16"/>
      <c r="P20" s="16"/>
      <c r="Q20" s="16"/>
      <c r="R20" s="16"/>
      <c r="S20" s="16"/>
      <c r="T20" s="16"/>
      <c r="U20" s="16"/>
      <c r="V20" s="16"/>
    </row>
    <row r="21" spans="2:22" s="14" customFormat="1" ht="18" customHeight="1">
      <c r="B21" s="22" t="s">
        <v>529</v>
      </c>
      <c r="C21" s="23">
        <v>5000</v>
      </c>
      <c r="D21" s="1"/>
      <c r="E21" s="16"/>
      <c r="F21" s="16"/>
      <c r="G21" s="16"/>
      <c r="H21" s="16"/>
      <c r="I21" s="16"/>
      <c r="J21" s="16"/>
      <c r="K21" s="16"/>
      <c r="L21" s="16"/>
      <c r="M21" s="17"/>
      <c r="N21" s="16"/>
      <c r="O21" s="16"/>
      <c r="P21" s="16"/>
      <c r="Q21" s="16"/>
      <c r="R21" s="16"/>
      <c r="S21" s="16"/>
      <c r="T21" s="16"/>
      <c r="U21" s="16"/>
      <c r="V21" s="16"/>
    </row>
    <row r="22" spans="2:22" s="14" customFormat="1" ht="18" customHeight="1">
      <c r="B22" s="22" t="s">
        <v>530</v>
      </c>
      <c r="C22" s="23">
        <v>10000</v>
      </c>
      <c r="D22" s="1"/>
      <c r="E22" s="16"/>
      <c r="F22" s="16"/>
      <c r="G22" s="16"/>
      <c r="H22" s="16"/>
      <c r="I22" s="16"/>
      <c r="J22" s="16"/>
      <c r="K22" s="16"/>
      <c r="L22" s="16"/>
      <c r="M22" s="17"/>
      <c r="N22" s="16"/>
      <c r="O22" s="16"/>
      <c r="P22" s="16"/>
      <c r="Q22" s="16"/>
      <c r="R22" s="16"/>
      <c r="S22" s="16"/>
      <c r="T22" s="16"/>
      <c r="U22" s="16"/>
      <c r="V22" s="16"/>
    </row>
    <row r="23" spans="2:22" s="14" customFormat="1" ht="18" customHeight="1">
      <c r="B23" s="22" t="s">
        <v>531</v>
      </c>
      <c r="C23" s="23">
        <v>50000</v>
      </c>
      <c r="D23" s="1"/>
      <c r="E23" s="16"/>
      <c r="F23" s="16"/>
      <c r="G23" s="16"/>
      <c r="H23" s="16"/>
      <c r="I23" s="16"/>
      <c r="J23" s="16"/>
      <c r="K23" s="16"/>
      <c r="L23" s="16"/>
      <c r="M23" s="17"/>
      <c r="N23" s="16"/>
      <c r="O23" s="16"/>
      <c r="P23" s="16"/>
      <c r="Q23" s="16"/>
      <c r="R23" s="16"/>
      <c r="S23" s="16"/>
      <c r="T23" s="16"/>
      <c r="U23" s="16"/>
      <c r="V23" s="16"/>
    </row>
    <row r="24" spans="2:22" s="14" customFormat="1" ht="18" customHeight="1">
      <c r="B24" s="22" t="s">
        <v>532</v>
      </c>
      <c r="C24" s="23">
        <v>27000</v>
      </c>
      <c r="D24" s="1"/>
      <c r="E24" s="16"/>
      <c r="F24" s="16"/>
      <c r="G24" s="16"/>
      <c r="H24" s="16"/>
      <c r="I24" s="16"/>
      <c r="J24" s="16"/>
      <c r="K24" s="16"/>
      <c r="L24" s="16"/>
      <c r="M24" s="17"/>
      <c r="N24" s="16"/>
      <c r="O24" s="16"/>
      <c r="P24" s="16"/>
      <c r="Q24" s="16"/>
      <c r="R24" s="16"/>
      <c r="S24" s="16"/>
      <c r="T24" s="16"/>
      <c r="U24" s="16"/>
      <c r="V24" s="16"/>
    </row>
    <row r="25" spans="2:22" s="14" customFormat="1" ht="18" customHeight="1">
      <c r="B25" s="26" t="s">
        <v>533</v>
      </c>
      <c r="C25" s="24">
        <f>SUM(C18:C24)</f>
        <v>139000</v>
      </c>
      <c r="D25" s="1"/>
      <c r="E25" s="16"/>
      <c r="F25" s="16"/>
      <c r="G25" s="16"/>
      <c r="H25" s="16"/>
      <c r="I25" s="16"/>
      <c r="J25" s="16"/>
      <c r="K25" s="16"/>
      <c r="L25" s="16"/>
      <c r="M25" s="17"/>
      <c r="N25" s="16"/>
      <c r="O25" s="16"/>
      <c r="P25" s="16"/>
      <c r="Q25" s="16"/>
      <c r="R25" s="16"/>
      <c r="S25" s="16"/>
      <c r="T25" s="16"/>
      <c r="U25" s="16"/>
      <c r="V25" s="16"/>
    </row>
    <row r="26" spans="2:22" s="14" customFormat="1" ht="18" customHeight="1">
      <c r="B26" s="276" t="s">
        <v>291</v>
      </c>
      <c r="C26" s="25">
        <v>0.15</v>
      </c>
      <c r="D26" s="1"/>
      <c r="E26" s="16"/>
      <c r="F26" s="16"/>
      <c r="G26" s="16"/>
      <c r="H26" s="16"/>
      <c r="I26" s="16"/>
      <c r="J26" s="16"/>
      <c r="K26" s="16"/>
      <c r="L26" s="16"/>
      <c r="M26" s="17"/>
      <c r="N26" s="16"/>
      <c r="O26" s="16"/>
      <c r="P26" s="16"/>
      <c r="Q26" s="16"/>
      <c r="R26" s="16"/>
      <c r="S26" s="16"/>
      <c r="T26" s="16"/>
      <c r="U26" s="16"/>
      <c r="V26" s="16"/>
    </row>
    <row r="27" spans="2:22" s="14" customFormat="1" ht="18" customHeight="1">
      <c r="B27" s="759" t="s">
        <v>320</v>
      </c>
      <c r="C27" s="760">
        <f>C$25*(1+C$26)</f>
        <v>159850</v>
      </c>
      <c r="D27" s="1"/>
      <c r="E27" s="16"/>
      <c r="F27" s="16"/>
      <c r="G27" s="16"/>
      <c r="H27" s="16"/>
      <c r="I27" s="16"/>
      <c r="J27" s="16"/>
      <c r="K27" s="16"/>
      <c r="L27" s="16"/>
      <c r="M27" s="17"/>
      <c r="N27" s="16"/>
      <c r="O27" s="16"/>
      <c r="P27" s="16"/>
      <c r="Q27" s="16"/>
      <c r="R27" s="16"/>
      <c r="S27" s="16"/>
      <c r="T27" s="16"/>
      <c r="U27" s="16"/>
      <c r="V27" s="16"/>
    </row>
    <row r="28" spans="2:22" s="14" customFormat="1" ht="18" customHeight="1">
      <c r="B28" s="759" t="s">
        <v>321</v>
      </c>
      <c r="C28" s="760">
        <f>C$25*(1-C$26)</f>
        <v>118150</v>
      </c>
      <c r="D28" s="1"/>
      <c r="E28" s="16"/>
      <c r="F28" s="16"/>
      <c r="G28" s="16"/>
      <c r="H28" s="16"/>
      <c r="I28" s="16"/>
      <c r="J28" s="16"/>
      <c r="K28" s="16"/>
      <c r="L28" s="16"/>
      <c r="M28" s="17"/>
      <c r="N28" s="16"/>
      <c r="O28" s="16"/>
      <c r="P28" s="16"/>
      <c r="Q28" s="16"/>
      <c r="R28" s="16"/>
      <c r="S28" s="16"/>
      <c r="T28" s="16"/>
      <c r="U28" s="16"/>
      <c r="V28" s="16"/>
    </row>
    <row r="29" spans="2:22" s="14" customFormat="1" ht="18" customHeight="1">
      <c r="B29" s="15"/>
      <c r="C29" s="15"/>
      <c r="D29" s="1"/>
      <c r="E29" s="16"/>
      <c r="F29" s="16"/>
      <c r="G29" s="16"/>
      <c r="H29" s="16"/>
      <c r="I29" s="16"/>
      <c r="J29" s="16"/>
      <c r="K29" s="16"/>
      <c r="L29" s="16"/>
      <c r="M29" s="17"/>
      <c r="N29" s="16"/>
      <c r="O29" s="16"/>
      <c r="P29" s="16"/>
      <c r="Q29" s="16"/>
      <c r="R29" s="16"/>
      <c r="S29" s="16"/>
      <c r="T29" s="16"/>
      <c r="U29" s="16"/>
      <c r="V29" s="16"/>
    </row>
    <row r="30" spans="2:22" s="14" customFormat="1" ht="18" customHeight="1">
      <c r="B30" s="277"/>
      <c r="C30" s="41"/>
      <c r="D30" s="15"/>
      <c r="E30" s="16"/>
      <c r="F30" s="16"/>
      <c r="G30" s="16"/>
      <c r="H30" s="16"/>
      <c r="I30" s="16"/>
      <c r="J30" s="16"/>
      <c r="K30" s="16"/>
      <c r="L30" s="16"/>
      <c r="M30" s="17"/>
      <c r="N30" s="16"/>
      <c r="O30" s="16"/>
      <c r="P30" s="16"/>
      <c r="Q30" s="16"/>
      <c r="R30" s="16"/>
      <c r="S30" s="16"/>
      <c r="T30" s="16"/>
      <c r="U30" s="16"/>
      <c r="V30" s="16"/>
    </row>
    <row r="31" spans="2:22" s="14" customFormat="1" ht="18" customHeight="1">
      <c r="B31" s="277"/>
      <c r="C31" s="41"/>
      <c r="D31" s="15"/>
      <c r="E31" s="16"/>
      <c r="F31" s="16"/>
      <c r="G31" s="16"/>
      <c r="H31" s="16"/>
      <c r="I31" s="16"/>
      <c r="J31" s="16"/>
      <c r="K31" s="16"/>
      <c r="L31" s="16"/>
      <c r="M31" s="17"/>
      <c r="N31" s="16"/>
      <c r="O31" s="16"/>
      <c r="P31" s="16"/>
      <c r="Q31" s="16"/>
      <c r="R31" s="16"/>
      <c r="S31" s="16"/>
      <c r="T31" s="16"/>
      <c r="U31" s="16"/>
      <c r="V31" s="16"/>
    </row>
    <row r="32" spans="2:25" s="96" customFormat="1" ht="30.75" customHeight="1">
      <c r="B32" s="881" t="s">
        <v>636</v>
      </c>
      <c r="C32" s="881"/>
      <c r="D32" s="881"/>
      <c r="E32" s="881"/>
      <c r="F32" s="881"/>
      <c r="G32" s="881"/>
      <c r="H32" s="881"/>
      <c r="I32" s="881"/>
      <c r="J32" s="881"/>
      <c r="K32" s="881"/>
      <c r="L32" s="1"/>
      <c r="M32" s="1"/>
      <c r="N32" s="1"/>
      <c r="P32" s="95"/>
      <c r="Q32" s="94"/>
      <c r="R32" s="94"/>
      <c r="S32" s="94"/>
      <c r="T32" s="94"/>
      <c r="U32" s="94"/>
      <c r="V32" s="94"/>
      <c r="W32" s="94"/>
      <c r="X32" s="94"/>
      <c r="Y32" s="94"/>
    </row>
    <row r="33" spans="2:22" s="14" customFormat="1" ht="18" customHeight="1">
      <c r="B33" s="234" t="s">
        <v>637</v>
      </c>
      <c r="C33" s="41"/>
      <c r="D33" s="15"/>
      <c r="E33" s="16"/>
      <c r="F33" s="16"/>
      <c r="G33" s="16"/>
      <c r="H33" s="16"/>
      <c r="I33" s="16"/>
      <c r="J33" s="16"/>
      <c r="K33" s="16"/>
      <c r="L33" s="16"/>
      <c r="M33" s="17"/>
      <c r="N33" s="16"/>
      <c r="O33" s="16"/>
      <c r="P33" s="16"/>
      <c r="Q33" s="16"/>
      <c r="R33" s="16"/>
      <c r="S33" s="16"/>
      <c r="T33" s="16"/>
      <c r="U33" s="16"/>
      <c r="V33" s="16"/>
    </row>
    <row r="34" spans="2:22" s="14" customFormat="1" ht="18" customHeight="1">
      <c r="B34" s="766" t="s">
        <v>638</v>
      </c>
      <c r="C34" s="29"/>
      <c r="D34" s="29"/>
      <c r="E34" s="29"/>
      <c r="F34" s="29"/>
      <c r="G34" s="29"/>
      <c r="H34" s="29"/>
      <c r="I34" s="29"/>
      <c r="J34" s="29"/>
      <c r="K34" s="29"/>
      <c r="L34" s="16"/>
      <c r="M34" s="17"/>
      <c r="N34" s="16"/>
      <c r="O34" s="16"/>
      <c r="P34" s="16"/>
      <c r="Q34" s="16"/>
      <c r="R34" s="16"/>
      <c r="S34" s="16"/>
      <c r="T34" s="16"/>
      <c r="U34" s="16"/>
      <c r="V34" s="16"/>
    </row>
    <row r="35" spans="2:22" s="14" customFormat="1" ht="18" customHeight="1" thickBot="1">
      <c r="B35" s="29"/>
      <c r="C35" s="28"/>
      <c r="D35" s="28"/>
      <c r="E35" s="29"/>
      <c r="F35" s="1037"/>
      <c r="G35" s="1037"/>
      <c r="H35" s="1037"/>
      <c r="I35" s="28"/>
      <c r="J35" s="28"/>
      <c r="K35" s="29"/>
      <c r="L35" s="16"/>
      <c r="M35" s="17"/>
      <c r="N35" s="16"/>
      <c r="O35" s="16"/>
      <c r="P35" s="16"/>
      <c r="Q35" s="16"/>
      <c r="R35" s="16"/>
      <c r="S35" s="16"/>
      <c r="T35" s="16"/>
      <c r="U35" s="16"/>
      <c r="V35" s="16"/>
    </row>
    <row r="36" spans="2:22" s="14" customFormat="1" ht="18" customHeight="1" thickBot="1">
      <c r="B36" s="806" t="s">
        <v>632</v>
      </c>
      <c r="C36" s="807"/>
      <c r="D36" s="28"/>
      <c r="E36" s="28"/>
      <c r="F36" s="28"/>
      <c r="G36" s="28"/>
      <c r="H36" s="28"/>
      <c r="I36" s="28"/>
      <c r="J36" s="28"/>
      <c r="K36" s="28"/>
      <c r="L36" s="16"/>
      <c r="M36" s="17"/>
      <c r="N36" s="16"/>
      <c r="O36" s="16"/>
      <c r="P36" s="16"/>
      <c r="Q36" s="16"/>
      <c r="R36" s="16"/>
      <c r="S36" s="16"/>
      <c r="T36" s="16"/>
      <c r="U36" s="16"/>
      <c r="V36" s="16"/>
    </row>
    <row r="37" spans="2:22" s="14" customFormat="1" ht="18" customHeight="1">
      <c r="B37" s="757" t="s">
        <v>524</v>
      </c>
      <c r="C37" s="758"/>
      <c r="D37" s="28"/>
      <c r="E37" s="742"/>
      <c r="F37" s="737"/>
      <c r="G37" s="737"/>
      <c r="H37" s="737"/>
      <c r="I37" s="28"/>
      <c r="J37" s="28"/>
      <c r="K37" s="742"/>
      <c r="L37" s="16"/>
      <c r="M37" s="17"/>
      <c r="N37" s="16"/>
      <c r="O37" s="16"/>
      <c r="P37" s="16"/>
      <c r="Q37" s="16"/>
      <c r="R37" s="16"/>
      <c r="S37" s="16"/>
      <c r="T37" s="16"/>
      <c r="U37" s="16"/>
      <c r="V37" s="16"/>
    </row>
    <row r="38" spans="2:22" s="14" customFormat="1" ht="18" customHeight="1">
      <c r="B38" s="55" t="s">
        <v>513</v>
      </c>
      <c r="C38" s="738"/>
      <c r="D38" s="28"/>
      <c r="E38" s="742"/>
      <c r="F38" s="737"/>
      <c r="G38" s="737"/>
      <c r="H38" s="737"/>
      <c r="I38" s="28"/>
      <c r="J38" s="28"/>
      <c r="K38" s="742"/>
      <c r="L38" s="16"/>
      <c r="M38" s="17"/>
      <c r="N38" s="16"/>
      <c r="O38" s="16"/>
      <c r="P38" s="16"/>
      <c r="Q38" s="16"/>
      <c r="R38" s="16"/>
      <c r="S38" s="16"/>
      <c r="T38" s="16"/>
      <c r="U38" s="16"/>
      <c r="V38" s="16"/>
    </row>
    <row r="39" spans="2:22" s="14" customFormat="1" ht="18" customHeight="1">
      <c r="B39" s="735" t="s">
        <v>525</v>
      </c>
      <c r="C39" s="738"/>
      <c r="D39" s="737"/>
      <c r="E39" s="737"/>
      <c r="F39" s="737"/>
      <c r="G39" s="737"/>
      <c r="H39" s="737"/>
      <c r="I39" s="737"/>
      <c r="J39" s="737"/>
      <c r="K39" s="737"/>
      <c r="L39" s="16"/>
      <c r="M39" s="17"/>
      <c r="N39" s="16"/>
      <c r="O39" s="16"/>
      <c r="P39" s="16"/>
      <c r="Q39" s="16"/>
      <c r="R39" s="16"/>
      <c r="S39" s="16"/>
      <c r="T39" s="16"/>
      <c r="U39" s="16"/>
      <c r="V39" s="16"/>
    </row>
    <row r="40" spans="2:22" s="14" customFormat="1" ht="18" customHeight="1">
      <c r="B40" s="55" t="s">
        <v>571</v>
      </c>
      <c r="C40" s="738"/>
      <c r="D40" s="737"/>
      <c r="E40" s="737"/>
      <c r="F40" s="737"/>
      <c r="G40" s="737"/>
      <c r="H40" s="737"/>
      <c r="I40" s="737"/>
      <c r="J40" s="737"/>
      <c r="K40" s="737"/>
      <c r="L40" s="16"/>
      <c r="M40" s="17"/>
      <c r="N40" s="16"/>
      <c r="O40" s="16"/>
      <c r="P40" s="16"/>
      <c r="Q40" s="16"/>
      <c r="R40" s="16"/>
      <c r="S40" s="16"/>
      <c r="T40" s="16"/>
      <c r="U40" s="16"/>
      <c r="V40" s="16"/>
    </row>
    <row r="41" spans="2:22" s="14" customFormat="1" ht="18" customHeight="1">
      <c r="B41" s="609"/>
      <c r="C41" s="753"/>
      <c r="D41" s="28"/>
      <c r="E41" s="28"/>
      <c r="F41" s="737"/>
      <c r="G41" s="737"/>
      <c r="H41" s="737"/>
      <c r="I41" s="28"/>
      <c r="J41" s="28"/>
      <c r="K41" s="28"/>
      <c r="L41" s="16"/>
      <c r="M41" s="17"/>
      <c r="N41" s="16"/>
      <c r="O41" s="16"/>
      <c r="P41" s="16"/>
      <c r="Q41" s="16"/>
      <c r="R41" s="16"/>
      <c r="S41" s="16"/>
      <c r="T41" s="16"/>
      <c r="U41" s="16"/>
      <c r="V41" s="16"/>
    </row>
    <row r="42" spans="2:22" s="14" customFormat="1" ht="18" customHeight="1">
      <c r="B42" s="754" t="s">
        <v>515</v>
      </c>
      <c r="C42" s="752"/>
      <c r="D42" s="737"/>
      <c r="E42" s="28"/>
      <c r="F42" s="219"/>
      <c r="G42" s="739"/>
      <c r="H42" s="739"/>
      <c r="I42" s="28"/>
      <c r="J42" s="28"/>
      <c r="K42" s="28"/>
      <c r="L42" s="16"/>
      <c r="M42" s="17"/>
      <c r="N42" s="16"/>
      <c r="O42" s="16"/>
      <c r="P42" s="16"/>
      <c r="Q42" s="16"/>
      <c r="R42" s="16"/>
      <c r="S42" s="16"/>
      <c r="T42" s="16"/>
      <c r="U42" s="16"/>
      <c r="V42" s="16"/>
    </row>
    <row r="43" spans="2:22" s="14" customFormat="1" ht="18" customHeight="1">
      <c r="B43" s="52" t="s">
        <v>516</v>
      </c>
      <c r="C43" s="738"/>
      <c r="D43" s="28"/>
      <c r="E43" s="740"/>
      <c r="F43" s="219"/>
      <c r="G43" s="8"/>
      <c r="H43" s="739"/>
      <c r="I43" s="28"/>
      <c r="J43" s="28"/>
      <c r="K43" s="28"/>
      <c r="L43" s="16"/>
      <c r="M43" s="17"/>
      <c r="N43" s="16"/>
      <c r="O43" s="16"/>
      <c r="P43" s="16"/>
      <c r="Q43" s="16"/>
      <c r="R43" s="16"/>
      <c r="S43" s="16"/>
      <c r="T43" s="16"/>
      <c r="U43" s="16"/>
      <c r="V43" s="16"/>
    </row>
    <row r="44" spans="2:22" s="14" customFormat="1" ht="18" customHeight="1">
      <c r="B44" s="746" t="s">
        <v>526</v>
      </c>
      <c r="C44" s="738"/>
      <c r="D44" s="28"/>
      <c r="E44" s="742"/>
      <c r="F44" s="219"/>
      <c r="G44" s="739"/>
      <c r="H44" s="739"/>
      <c r="I44" s="28"/>
      <c r="J44" s="28"/>
      <c r="K44" s="28"/>
      <c r="L44" s="16"/>
      <c r="M44" s="17"/>
      <c r="N44" s="16"/>
      <c r="O44" s="16"/>
      <c r="P44" s="16"/>
      <c r="Q44" s="16"/>
      <c r="R44" s="16"/>
      <c r="S44" s="16"/>
      <c r="T44" s="16"/>
      <c r="U44" s="16"/>
      <c r="V44" s="16"/>
    </row>
    <row r="45" spans="2:22" s="14" customFormat="1" ht="18" customHeight="1">
      <c r="B45" s="52" t="s">
        <v>572</v>
      </c>
      <c r="C45" s="738"/>
      <c r="D45" s="28"/>
      <c r="E45" s="28"/>
      <c r="F45" s="1035"/>
      <c r="G45" s="1036"/>
      <c r="H45" s="1036"/>
      <c r="I45" s="28"/>
      <c r="J45" s="28"/>
      <c r="K45" s="28"/>
      <c r="L45" s="16"/>
      <c r="M45" s="17"/>
      <c r="N45" s="16"/>
      <c r="O45" s="16"/>
      <c r="P45" s="16"/>
      <c r="Q45" s="16"/>
      <c r="R45" s="16"/>
      <c r="S45" s="16"/>
      <c r="T45" s="16"/>
      <c r="U45" s="16"/>
      <c r="V45" s="16"/>
    </row>
    <row r="46" spans="2:22" s="14" customFormat="1" ht="18" customHeight="1">
      <c r="B46" s="747"/>
      <c r="C46" s="753"/>
      <c r="D46" s="740"/>
      <c r="E46" s="742"/>
      <c r="F46" s="1036"/>
      <c r="G46" s="1036"/>
      <c r="H46" s="1036"/>
      <c r="I46" s="28"/>
      <c r="J46" s="28"/>
      <c r="K46" s="28"/>
      <c r="L46" s="16"/>
      <c r="M46" s="17"/>
      <c r="N46" s="16"/>
      <c r="O46" s="16"/>
      <c r="P46" s="16"/>
      <c r="Q46" s="16"/>
      <c r="R46" s="16"/>
      <c r="S46" s="16"/>
      <c r="T46" s="16"/>
      <c r="U46" s="16"/>
      <c r="V46" s="16"/>
    </row>
    <row r="47" spans="2:22" s="14" customFormat="1" ht="18" customHeight="1">
      <c r="B47" s="751" t="s">
        <v>517</v>
      </c>
      <c r="C47" s="755"/>
      <c r="D47" s="8"/>
      <c r="E47" s="739"/>
      <c r="F47" s="1035"/>
      <c r="G47" s="1036"/>
      <c r="H47" s="1036"/>
      <c r="I47" s="28"/>
      <c r="J47" s="28"/>
      <c r="K47" s="742"/>
      <c r="L47" s="16"/>
      <c r="M47" s="17"/>
      <c r="N47" s="16"/>
      <c r="O47" s="16"/>
      <c r="P47" s="16"/>
      <c r="Q47" s="16"/>
      <c r="R47" s="16"/>
      <c r="S47" s="16"/>
      <c r="T47" s="16"/>
      <c r="U47" s="16"/>
      <c r="V47" s="16"/>
    </row>
    <row r="48" spans="2:22" s="14" customFormat="1" ht="18" customHeight="1">
      <c r="B48" s="55" t="s">
        <v>518</v>
      </c>
      <c r="C48" s="748"/>
      <c r="D48" s="739"/>
      <c r="E48" s="739"/>
      <c r="F48" s="1036"/>
      <c r="G48" s="1036"/>
      <c r="H48" s="1036"/>
      <c r="I48" s="28"/>
      <c r="J48" s="28"/>
      <c r="K48" s="742"/>
      <c r="L48" s="16"/>
      <c r="M48" s="17"/>
      <c r="N48" s="16"/>
      <c r="O48" s="16"/>
      <c r="P48" s="16"/>
      <c r="Q48" s="16"/>
      <c r="R48" s="16"/>
      <c r="S48" s="16"/>
      <c r="T48" s="16"/>
      <c r="U48" s="16"/>
      <c r="V48" s="16"/>
    </row>
    <row r="49" spans="2:22" s="14" customFormat="1" ht="18" customHeight="1">
      <c r="B49" s="55"/>
      <c r="C49" s="748"/>
      <c r="D49" s="739"/>
      <c r="E49" s="739"/>
      <c r="F49" s="739"/>
      <c r="G49" s="739"/>
      <c r="H49" s="739"/>
      <c r="I49" s="28"/>
      <c r="J49" s="28"/>
      <c r="K49" s="742"/>
      <c r="L49" s="16"/>
      <c r="M49" s="17"/>
      <c r="N49" s="16"/>
      <c r="O49" s="16"/>
      <c r="P49" s="16"/>
      <c r="Q49" s="16"/>
      <c r="R49" s="16"/>
      <c r="S49" s="16"/>
      <c r="T49" s="16"/>
      <c r="U49" s="16"/>
      <c r="V49" s="16"/>
    </row>
    <row r="50" spans="2:22" s="14" customFormat="1" ht="18" customHeight="1">
      <c r="B50" s="609"/>
      <c r="C50" s="756"/>
      <c r="D50" s="739"/>
      <c r="E50" s="739"/>
      <c r="F50" s="739"/>
      <c r="G50" s="739"/>
      <c r="H50" s="739"/>
      <c r="I50" s="28"/>
      <c r="J50" s="28"/>
      <c r="K50" s="28"/>
      <c r="L50" s="16"/>
      <c r="M50" s="17"/>
      <c r="N50" s="16"/>
      <c r="O50" s="16"/>
      <c r="P50" s="16"/>
      <c r="Q50" s="16"/>
      <c r="R50" s="16"/>
      <c r="S50" s="16"/>
      <c r="T50" s="16"/>
      <c r="U50" s="16"/>
      <c r="V50" s="16"/>
    </row>
    <row r="51" spans="2:22" s="14" customFormat="1" ht="18" customHeight="1">
      <c r="B51" s="734" t="s">
        <v>519</v>
      </c>
      <c r="C51" s="738"/>
      <c r="D51" s="28"/>
      <c r="E51" s="742"/>
      <c r="F51" s="219"/>
      <c r="G51" s="739"/>
      <c r="H51" s="739"/>
      <c r="I51" s="28"/>
      <c r="J51" s="740"/>
      <c r="K51" s="28"/>
      <c r="L51" s="16"/>
      <c r="M51" s="17"/>
      <c r="N51" s="16"/>
      <c r="O51" s="16"/>
      <c r="P51" s="16"/>
      <c r="Q51" s="16"/>
      <c r="R51" s="16"/>
      <c r="S51" s="16"/>
      <c r="T51" s="16"/>
      <c r="U51" s="16"/>
      <c r="V51" s="16"/>
    </row>
    <row r="52" spans="2:22" s="14" customFormat="1" ht="18" customHeight="1">
      <c r="B52" s="625" t="s">
        <v>520</v>
      </c>
      <c r="C52" s="752"/>
      <c r="D52" s="28"/>
      <c r="E52" s="28"/>
      <c r="F52" s="219"/>
      <c r="G52" s="739"/>
      <c r="H52" s="739"/>
      <c r="I52" s="28"/>
      <c r="J52" s="28"/>
      <c r="K52" s="28"/>
      <c r="L52" s="16"/>
      <c r="M52" s="17"/>
      <c r="N52" s="16"/>
      <c r="O52" s="16"/>
      <c r="P52" s="16"/>
      <c r="Q52" s="16"/>
      <c r="R52" s="16"/>
      <c r="S52" s="16"/>
      <c r="T52" s="16"/>
      <c r="U52" s="16"/>
      <c r="V52" s="16"/>
    </row>
    <row r="53" spans="2:22" s="14" customFormat="1" ht="18" customHeight="1">
      <c r="B53" s="735" t="s">
        <v>522</v>
      </c>
      <c r="C53" s="738"/>
      <c r="D53" s="28"/>
      <c r="E53" s="742"/>
      <c r="F53" s="739"/>
      <c r="G53" s="739"/>
      <c r="H53" s="739"/>
      <c r="I53" s="28"/>
      <c r="J53" s="28"/>
      <c r="K53" s="28"/>
      <c r="L53" s="16"/>
      <c r="M53" s="17"/>
      <c r="N53" s="16"/>
      <c r="O53" s="16"/>
      <c r="P53" s="16"/>
      <c r="Q53" s="16"/>
      <c r="R53" s="16"/>
      <c r="S53" s="16"/>
      <c r="T53" s="16"/>
      <c r="U53" s="16"/>
      <c r="V53" s="16"/>
    </row>
    <row r="54" spans="2:22" s="14" customFormat="1" ht="18" customHeight="1">
      <c r="B54" s="735" t="s">
        <v>521</v>
      </c>
      <c r="C54" s="738"/>
      <c r="D54" s="28"/>
      <c r="E54" s="743"/>
      <c r="F54" s="744"/>
      <c r="G54" s="741"/>
      <c r="H54" s="741"/>
      <c r="I54" s="28"/>
      <c r="J54" s="740"/>
      <c r="K54" s="28"/>
      <c r="L54" s="16"/>
      <c r="M54" s="17"/>
      <c r="N54" s="16"/>
      <c r="O54" s="16"/>
      <c r="P54" s="16"/>
      <c r="Q54" s="16"/>
      <c r="R54" s="16"/>
      <c r="S54" s="16"/>
      <c r="T54" s="16"/>
      <c r="U54" s="16"/>
      <c r="V54" s="16"/>
    </row>
    <row r="55" spans="2:22" s="14" customFormat="1" ht="18" customHeight="1">
      <c r="B55" s="55" t="s">
        <v>523</v>
      </c>
      <c r="C55" s="738"/>
      <c r="D55" s="28"/>
      <c r="E55" s="28"/>
      <c r="F55" s="219"/>
      <c r="G55" s="739"/>
      <c r="H55" s="739"/>
      <c r="I55" s="28"/>
      <c r="J55" s="28"/>
      <c r="K55" s="28"/>
      <c r="L55" s="16"/>
      <c r="M55" s="17"/>
      <c r="N55" s="16"/>
      <c r="O55" s="16"/>
      <c r="P55" s="16"/>
      <c r="Q55" s="16"/>
      <c r="R55" s="16"/>
      <c r="S55" s="16"/>
      <c r="T55" s="16"/>
      <c r="U55" s="16"/>
      <c r="V55" s="16"/>
    </row>
    <row r="56" spans="2:22" s="14" customFormat="1" ht="18" customHeight="1">
      <c r="B56" s="609"/>
      <c r="C56" s="753"/>
      <c r="D56" s="28"/>
      <c r="E56" s="28"/>
      <c r="F56" s="219"/>
      <c r="G56" s="739"/>
      <c r="H56" s="739"/>
      <c r="I56" s="28"/>
      <c r="J56" s="28"/>
      <c r="K56" s="28"/>
      <c r="L56" s="16"/>
      <c r="M56" s="17"/>
      <c r="N56" s="16"/>
      <c r="O56" s="16"/>
      <c r="P56" s="16"/>
      <c r="Q56" s="16"/>
      <c r="R56" s="16"/>
      <c r="S56" s="16"/>
      <c r="T56" s="16"/>
      <c r="U56" s="16"/>
      <c r="V56" s="16"/>
    </row>
    <row r="57" spans="2:22" s="14" customFormat="1" ht="18" customHeight="1">
      <c r="B57" s="734" t="s">
        <v>534</v>
      </c>
      <c r="C57" s="56"/>
      <c r="D57" s="8"/>
      <c r="E57" s="739"/>
      <c r="F57" s="219"/>
      <c r="G57" s="739"/>
      <c r="H57" s="739"/>
      <c r="I57" s="739"/>
      <c r="J57" s="739"/>
      <c r="K57" s="745"/>
      <c r="L57" s="16"/>
      <c r="M57" s="17"/>
      <c r="N57" s="16"/>
      <c r="O57" s="16"/>
      <c r="P57" s="16"/>
      <c r="Q57" s="16"/>
      <c r="R57" s="16"/>
      <c r="S57" s="16"/>
      <c r="T57" s="16"/>
      <c r="U57" s="16"/>
      <c r="V57" s="16"/>
    </row>
    <row r="58" spans="2:22" s="14" customFormat="1" ht="18" customHeight="1">
      <c r="B58" s="736" t="s">
        <v>631</v>
      </c>
      <c r="C58" s="749"/>
      <c r="D58" s="27"/>
      <c r="E58" s="27"/>
      <c r="F58" s="27"/>
      <c r="G58" s="27"/>
      <c r="H58" s="27"/>
      <c r="I58" s="27"/>
      <c r="J58" s="27"/>
      <c r="K58" s="27"/>
      <c r="L58" s="16"/>
      <c r="M58" s="17"/>
      <c r="N58" s="16"/>
      <c r="O58" s="16"/>
      <c r="P58" s="16"/>
      <c r="Q58" s="16"/>
      <c r="R58" s="16"/>
      <c r="S58" s="16"/>
      <c r="T58" s="16"/>
      <c r="U58" s="16"/>
      <c r="V58" s="16"/>
    </row>
    <row r="59" spans="2:22" s="14" customFormat="1" ht="18" customHeight="1" thickBot="1">
      <c r="B59" s="57"/>
      <c r="C59" s="750"/>
      <c r="D59" s="27"/>
      <c r="E59" s="27"/>
      <c r="F59" s="27"/>
      <c r="G59" s="27"/>
      <c r="H59" s="27"/>
      <c r="I59" s="27"/>
      <c r="J59" s="27"/>
      <c r="K59" s="27"/>
      <c r="L59" s="16"/>
      <c r="M59" s="17"/>
      <c r="N59" s="16"/>
      <c r="O59" s="16"/>
      <c r="P59" s="16"/>
      <c r="Q59" s="16"/>
      <c r="R59" s="16"/>
      <c r="S59" s="16"/>
      <c r="T59" s="16"/>
      <c r="U59" s="16"/>
      <c r="V59" s="16"/>
    </row>
    <row r="60" spans="2:22" s="14" customFormat="1" ht="18" customHeight="1">
      <c r="B60" s="1"/>
      <c r="C60" s="1"/>
      <c r="D60" s="1"/>
      <c r="E60" s="1"/>
      <c r="F60" s="1"/>
      <c r="G60" s="1"/>
      <c r="H60" s="1"/>
      <c r="I60" s="1"/>
      <c r="J60" s="1"/>
      <c r="K60" s="1"/>
      <c r="L60" s="16"/>
      <c r="M60" s="17"/>
      <c r="N60" s="16"/>
      <c r="O60" s="16"/>
      <c r="P60" s="16"/>
      <c r="Q60" s="16"/>
      <c r="R60" s="16"/>
      <c r="S60" s="16"/>
      <c r="T60" s="16"/>
      <c r="U60" s="16"/>
      <c r="V60" s="16"/>
    </row>
    <row r="61" spans="2:22" s="14" customFormat="1" ht="12.75" customHeight="1">
      <c r="B61" s="1"/>
      <c r="C61" s="1"/>
      <c r="D61" s="1"/>
      <c r="E61" s="16"/>
      <c r="F61" s="16"/>
      <c r="G61" s="16"/>
      <c r="H61" s="16"/>
      <c r="I61" s="16"/>
      <c r="J61" s="16"/>
      <c r="K61" s="16"/>
      <c r="L61" s="16"/>
      <c r="M61" s="17"/>
      <c r="N61" s="16"/>
      <c r="O61" s="16"/>
      <c r="P61" s="16"/>
      <c r="Q61" s="16"/>
      <c r="R61" s="16"/>
      <c r="S61" s="16"/>
      <c r="T61" s="16"/>
      <c r="U61" s="16"/>
      <c r="V61" s="16"/>
    </row>
    <row r="62" spans="2:25" s="96" customFormat="1" ht="30.75" customHeight="1">
      <c r="B62" s="881" t="s">
        <v>633</v>
      </c>
      <c r="C62" s="881"/>
      <c r="D62" s="881"/>
      <c r="E62" s="881"/>
      <c r="F62" s="881"/>
      <c r="G62" s="881"/>
      <c r="H62" s="881"/>
      <c r="I62" s="881"/>
      <c r="J62" s="881"/>
      <c r="K62" s="881"/>
      <c r="L62" s="1"/>
      <c r="M62" s="1"/>
      <c r="N62" s="1"/>
      <c r="P62" s="95"/>
      <c r="Q62" s="94"/>
      <c r="R62" s="94"/>
      <c r="S62" s="94"/>
      <c r="T62" s="94"/>
      <c r="U62" s="94"/>
      <c r="V62" s="94"/>
      <c r="W62" s="94"/>
      <c r="X62" s="94"/>
      <c r="Y62" s="94"/>
    </row>
    <row r="63" spans="2:22" s="14" customFormat="1" ht="27.75" customHeight="1">
      <c r="B63" s="1039" t="s">
        <v>311</v>
      </c>
      <c r="C63" s="1040"/>
      <c r="D63" s="1040"/>
      <c r="E63" s="1040"/>
      <c r="F63" s="1040"/>
      <c r="G63" s="16"/>
      <c r="H63" s="16"/>
      <c r="I63" s="16"/>
      <c r="J63" s="16"/>
      <c r="K63" s="16"/>
      <c r="L63" s="16"/>
      <c r="M63" s="17"/>
      <c r="N63" s="16"/>
      <c r="O63" s="16"/>
      <c r="P63" s="16"/>
      <c r="Q63" s="16"/>
      <c r="R63" s="16"/>
      <c r="S63" s="16"/>
      <c r="T63" s="16"/>
      <c r="U63" s="16"/>
      <c r="V63" s="16"/>
    </row>
    <row r="64" spans="2:22" s="14" customFormat="1" ht="30.75" customHeight="1">
      <c r="B64" s="1033" t="s">
        <v>720</v>
      </c>
      <c r="C64" s="1033"/>
      <c r="D64" s="1033"/>
      <c r="E64" s="1033"/>
      <c r="F64" s="1033"/>
      <c r="G64" s="16"/>
      <c r="H64" s="16"/>
      <c r="I64" s="16"/>
      <c r="J64" s="16"/>
      <c r="K64" s="16"/>
      <c r="L64" s="16"/>
      <c r="M64" s="17"/>
      <c r="N64" s="16"/>
      <c r="O64" s="16"/>
      <c r="P64" s="16"/>
      <c r="Q64" s="16"/>
      <c r="R64" s="16"/>
      <c r="S64" s="16"/>
      <c r="T64" s="16"/>
      <c r="U64" s="16"/>
      <c r="V64" s="16"/>
    </row>
    <row r="65" spans="2:11" ht="50.25" customHeight="1">
      <c r="B65" s="726" t="s">
        <v>535</v>
      </c>
      <c r="C65" s="761" t="s">
        <v>719</v>
      </c>
      <c r="D65" s="726" t="s">
        <v>88</v>
      </c>
      <c r="E65" s="727" t="s">
        <v>573</v>
      </c>
      <c r="F65" s="728" t="s">
        <v>673</v>
      </c>
      <c r="G65" s="1031"/>
      <c r="H65" s="1031"/>
      <c r="I65" s="1031"/>
      <c r="J65" s="1031"/>
      <c r="K65" s="1031"/>
    </row>
    <row r="66" spans="2:11" ht="17.25" customHeight="1">
      <c r="B66" s="729" t="s">
        <v>672</v>
      </c>
      <c r="C66" s="730">
        <v>100</v>
      </c>
      <c r="D66" s="731">
        <v>0</v>
      </c>
      <c r="E66" s="731">
        <v>0</v>
      </c>
      <c r="F66" s="732">
        <f>C66*D66</f>
        <v>0</v>
      </c>
      <c r="G66" s="8"/>
      <c r="H66" s="8"/>
      <c r="I66" s="8"/>
      <c r="J66" s="8"/>
      <c r="K66" s="8"/>
    </row>
    <row r="67" spans="2:11" ht="17.25" customHeight="1">
      <c r="B67" s="729" t="s">
        <v>536</v>
      </c>
      <c r="C67" s="730">
        <v>32700</v>
      </c>
      <c r="D67" s="731">
        <v>0</v>
      </c>
      <c r="E67" s="731">
        <v>0</v>
      </c>
      <c r="F67" s="732">
        <f aca="true" t="shared" si="0" ref="F67:F97">C67*D67</f>
        <v>0</v>
      </c>
      <c r="G67" s="8"/>
      <c r="H67" s="8"/>
      <c r="I67" s="8"/>
      <c r="J67" s="8"/>
      <c r="K67" s="8"/>
    </row>
    <row r="68" spans="2:11" ht="17.25" customHeight="1">
      <c r="B68" s="729" t="s">
        <v>537</v>
      </c>
      <c r="C68" s="730">
        <v>20000</v>
      </c>
      <c r="D68" s="731">
        <v>0</v>
      </c>
      <c r="E68" s="731">
        <v>0</v>
      </c>
      <c r="F68" s="732">
        <f t="shared" si="0"/>
        <v>0</v>
      </c>
      <c r="G68" s="8"/>
      <c r="H68" s="8"/>
      <c r="I68" s="8"/>
      <c r="J68" s="8"/>
      <c r="K68" s="8"/>
    </row>
    <row r="69" spans="2:11" ht="17.25" customHeight="1">
      <c r="B69" s="729" t="s">
        <v>538</v>
      </c>
      <c r="C69" s="730">
        <v>4000</v>
      </c>
      <c r="D69" s="731">
        <v>0</v>
      </c>
      <c r="E69" s="731">
        <v>0</v>
      </c>
      <c r="F69" s="732">
        <f t="shared" si="0"/>
        <v>0</v>
      </c>
      <c r="G69" s="8"/>
      <c r="H69" s="8"/>
      <c r="I69" s="8"/>
      <c r="J69" s="8"/>
      <c r="K69" s="8"/>
    </row>
    <row r="70" spans="2:11" ht="17.25" customHeight="1">
      <c r="B70" s="729" t="s">
        <v>539</v>
      </c>
      <c r="C70" s="730">
        <v>10000</v>
      </c>
      <c r="D70" s="731">
        <v>0</v>
      </c>
      <c r="E70" s="731">
        <v>0</v>
      </c>
      <c r="F70" s="732">
        <f t="shared" si="0"/>
        <v>0</v>
      </c>
      <c r="G70" s="8"/>
      <c r="H70" s="8"/>
      <c r="I70" s="8"/>
      <c r="J70" s="8"/>
      <c r="K70" s="8"/>
    </row>
    <row r="71" spans="2:11" ht="17.25" customHeight="1">
      <c r="B71" s="729" t="s">
        <v>540</v>
      </c>
      <c r="C71" s="730">
        <v>2000</v>
      </c>
      <c r="D71" s="731">
        <v>0</v>
      </c>
      <c r="E71" s="731">
        <v>0</v>
      </c>
      <c r="F71" s="732">
        <f t="shared" si="0"/>
        <v>0</v>
      </c>
      <c r="G71" s="8"/>
      <c r="H71" s="8"/>
      <c r="I71" s="8"/>
      <c r="J71" s="8"/>
      <c r="K71" s="8"/>
    </row>
    <row r="72" spans="2:11" ht="17.25" customHeight="1">
      <c r="B72" s="729" t="s">
        <v>541</v>
      </c>
      <c r="C72" s="730">
        <v>5000</v>
      </c>
      <c r="D72" s="731">
        <v>0</v>
      </c>
      <c r="E72" s="731">
        <v>0</v>
      </c>
      <c r="F72" s="732">
        <f t="shared" si="0"/>
        <v>0</v>
      </c>
      <c r="G72" s="8"/>
      <c r="H72" s="8"/>
      <c r="I72" s="8"/>
      <c r="J72" s="8"/>
      <c r="K72" s="8"/>
    </row>
    <row r="73" spans="2:11" ht="17.25" customHeight="1">
      <c r="B73" s="729" t="s">
        <v>655</v>
      </c>
      <c r="C73" s="730">
        <v>85000</v>
      </c>
      <c r="D73" s="731">
        <v>0</v>
      </c>
      <c r="E73" s="731">
        <v>0</v>
      </c>
      <c r="F73" s="732">
        <f t="shared" si="0"/>
        <v>0</v>
      </c>
      <c r="G73" s="8"/>
      <c r="H73" s="8"/>
      <c r="I73" s="8"/>
      <c r="J73" s="8"/>
      <c r="K73" s="8"/>
    </row>
    <row r="74" spans="2:11" ht="17.25" customHeight="1">
      <c r="B74" s="729" t="s">
        <v>656</v>
      </c>
      <c r="C74" s="730">
        <v>118000</v>
      </c>
      <c r="D74" s="731">
        <v>0</v>
      </c>
      <c r="E74" s="731">
        <v>0</v>
      </c>
      <c r="F74" s="732">
        <f t="shared" si="0"/>
        <v>0</v>
      </c>
      <c r="G74" s="8"/>
      <c r="H74" s="8"/>
      <c r="I74" s="8"/>
      <c r="J74" s="8"/>
      <c r="K74" s="8"/>
    </row>
    <row r="75" spans="2:11" ht="17.25" customHeight="1">
      <c r="B75" s="729" t="s">
        <v>542</v>
      </c>
      <c r="C75" s="730">
        <v>450000</v>
      </c>
      <c r="D75" s="731">
        <v>0</v>
      </c>
      <c r="E75" s="731">
        <v>0</v>
      </c>
      <c r="F75" s="732">
        <f t="shared" si="0"/>
        <v>0</v>
      </c>
      <c r="G75" s="8"/>
      <c r="H75" s="8"/>
      <c r="I75" s="8"/>
      <c r="J75" s="8"/>
      <c r="K75" s="8"/>
    </row>
    <row r="76" spans="2:11" ht="17.25" customHeight="1">
      <c r="B76" s="729" t="s">
        <v>543</v>
      </c>
      <c r="C76" s="730">
        <v>40000</v>
      </c>
      <c r="D76" s="731">
        <v>0</v>
      </c>
      <c r="E76" s="731">
        <v>0</v>
      </c>
      <c r="F76" s="732">
        <f t="shared" si="0"/>
        <v>0</v>
      </c>
      <c r="G76" s="8"/>
      <c r="H76" s="8"/>
      <c r="I76" s="8"/>
      <c r="J76" s="8"/>
      <c r="K76" s="8"/>
    </row>
    <row r="77" spans="2:11" ht="17.25" customHeight="1">
      <c r="B77" s="729" t="s">
        <v>20</v>
      </c>
      <c r="C77" s="730">
        <v>90000</v>
      </c>
      <c r="D77" s="731">
        <v>0</v>
      </c>
      <c r="E77" s="731">
        <v>0</v>
      </c>
      <c r="F77" s="732">
        <f t="shared" si="0"/>
        <v>0</v>
      </c>
      <c r="G77" s="8"/>
      <c r="H77" s="8"/>
      <c r="I77" s="8"/>
      <c r="J77" s="8"/>
      <c r="K77" s="8"/>
    </row>
    <row r="78" spans="2:11" ht="17.25" customHeight="1">
      <c r="B78" s="729" t="s">
        <v>544</v>
      </c>
      <c r="C78" s="730">
        <v>110000</v>
      </c>
      <c r="D78" s="731">
        <v>0</v>
      </c>
      <c r="E78" s="731">
        <v>0</v>
      </c>
      <c r="F78" s="732">
        <f t="shared" si="0"/>
        <v>0</v>
      </c>
      <c r="G78" s="8"/>
      <c r="H78" s="8"/>
      <c r="I78" s="8"/>
      <c r="J78" s="8"/>
      <c r="K78" s="8"/>
    </row>
    <row r="79" spans="2:15" ht="17.25" customHeight="1">
      <c r="B79" s="729" t="s">
        <v>545</v>
      </c>
      <c r="C79" s="730">
        <v>9</v>
      </c>
      <c r="D79" s="731">
        <v>0</v>
      </c>
      <c r="E79" s="731">
        <v>0</v>
      </c>
      <c r="F79" s="732">
        <f t="shared" si="0"/>
        <v>0</v>
      </c>
      <c r="G79" s="8"/>
      <c r="H79" s="8"/>
      <c r="I79" s="8"/>
      <c r="J79" s="8"/>
      <c r="K79" s="8"/>
      <c r="L79" s="15"/>
      <c r="M79" s="15"/>
      <c r="N79" s="15"/>
      <c r="O79" s="15"/>
    </row>
    <row r="80" spans="2:15" ht="17.25" customHeight="1">
      <c r="B80" s="729" t="s">
        <v>546</v>
      </c>
      <c r="C80" s="730">
        <v>40000</v>
      </c>
      <c r="D80" s="731">
        <v>0</v>
      </c>
      <c r="E80" s="731">
        <v>0</v>
      </c>
      <c r="F80" s="732">
        <f t="shared" si="0"/>
        <v>0</v>
      </c>
      <c r="G80" s="8"/>
      <c r="H80" s="8"/>
      <c r="I80" s="8"/>
      <c r="J80" s="8"/>
      <c r="K80" s="8"/>
      <c r="L80" s="15"/>
      <c r="M80" s="15"/>
      <c r="N80" s="15"/>
      <c r="O80" s="15"/>
    </row>
    <row r="81" spans="2:15" ht="17.25" customHeight="1">
      <c r="B81" s="733" t="s">
        <v>547</v>
      </c>
      <c r="C81" s="730">
        <v>9</v>
      </c>
      <c r="D81" s="731">
        <v>0</v>
      </c>
      <c r="E81" s="731">
        <v>0</v>
      </c>
      <c r="F81" s="732">
        <f t="shared" si="0"/>
        <v>0</v>
      </c>
      <c r="G81" s="8"/>
      <c r="H81" s="8"/>
      <c r="I81" s="8"/>
      <c r="J81" s="8"/>
      <c r="K81" s="8"/>
      <c r="L81" s="15"/>
      <c r="M81" s="15"/>
      <c r="N81" s="15"/>
      <c r="O81" s="15"/>
    </row>
    <row r="82" spans="2:15" ht="17.25" customHeight="1">
      <c r="B82" s="729" t="s">
        <v>548</v>
      </c>
      <c r="C82" s="730">
        <v>75000</v>
      </c>
      <c r="D82" s="731">
        <v>0</v>
      </c>
      <c r="E82" s="731">
        <v>0</v>
      </c>
      <c r="F82" s="732">
        <f t="shared" si="0"/>
        <v>0</v>
      </c>
      <c r="G82" s="8"/>
      <c r="H82" s="8"/>
      <c r="I82" s="8"/>
      <c r="J82" s="8"/>
      <c r="K82" s="8"/>
      <c r="L82" s="15"/>
      <c r="M82" s="15"/>
      <c r="N82" s="15"/>
      <c r="O82" s="15"/>
    </row>
    <row r="83" spans="2:15" ht="17.25" customHeight="1">
      <c r="B83" s="729" t="s">
        <v>549</v>
      </c>
      <c r="C83" s="730">
        <v>5000</v>
      </c>
      <c r="D83" s="731">
        <v>0</v>
      </c>
      <c r="E83" s="731">
        <v>0</v>
      </c>
      <c r="F83" s="732">
        <f t="shared" si="0"/>
        <v>0</v>
      </c>
      <c r="G83" s="8"/>
      <c r="H83" s="8"/>
      <c r="I83" s="8"/>
      <c r="J83" s="8"/>
      <c r="K83" s="8"/>
      <c r="L83" s="15"/>
      <c r="M83" s="15"/>
      <c r="N83" s="15"/>
      <c r="O83" s="15"/>
    </row>
    <row r="84" spans="2:15" ht="17.25" customHeight="1">
      <c r="B84" s="729" t="s">
        <v>550</v>
      </c>
      <c r="C84" s="730">
        <v>5760</v>
      </c>
      <c r="D84" s="731">
        <v>0</v>
      </c>
      <c r="E84" s="731">
        <v>0</v>
      </c>
      <c r="F84" s="732">
        <f t="shared" si="0"/>
        <v>0</v>
      </c>
      <c r="G84" s="8"/>
      <c r="H84" s="8"/>
      <c r="I84" s="8"/>
      <c r="J84" s="8"/>
      <c r="K84" s="8"/>
      <c r="L84" s="15"/>
      <c r="M84" s="15"/>
      <c r="N84" s="15"/>
      <c r="O84" s="15"/>
    </row>
    <row r="85" spans="2:15" ht="17.25" customHeight="1">
      <c r="B85" s="729" t="s">
        <v>551</v>
      </c>
      <c r="C85" s="730">
        <v>30</v>
      </c>
      <c r="D85" s="731">
        <v>0</v>
      </c>
      <c r="E85" s="731">
        <v>0</v>
      </c>
      <c r="F85" s="732">
        <f t="shared" si="0"/>
        <v>0</v>
      </c>
      <c r="G85" s="8"/>
      <c r="H85" s="8"/>
      <c r="I85" s="8"/>
      <c r="J85" s="8"/>
      <c r="K85" s="8"/>
      <c r="L85" s="15"/>
      <c r="M85" s="15"/>
      <c r="N85" s="15"/>
      <c r="O85" s="15"/>
    </row>
    <row r="86" spans="2:15" ht="17.25" customHeight="1">
      <c r="B86" s="729" t="s">
        <v>552</v>
      </c>
      <c r="C86" s="730">
        <v>100000</v>
      </c>
      <c r="D86" s="731">
        <v>0</v>
      </c>
      <c r="E86" s="731">
        <v>0</v>
      </c>
      <c r="F86" s="732">
        <f t="shared" si="0"/>
        <v>0</v>
      </c>
      <c r="G86" s="8"/>
      <c r="H86" s="8"/>
      <c r="I86" s="8"/>
      <c r="J86" s="8"/>
      <c r="K86" s="8"/>
      <c r="L86" s="15"/>
      <c r="M86" s="15"/>
      <c r="N86" s="15"/>
      <c r="O86" s="15"/>
    </row>
    <row r="87" spans="2:15" ht="17.25" customHeight="1">
      <c r="B87" s="729" t="s">
        <v>559</v>
      </c>
      <c r="C87" s="730">
        <v>250000</v>
      </c>
      <c r="D87" s="731">
        <v>0</v>
      </c>
      <c r="E87" s="731">
        <v>0</v>
      </c>
      <c r="F87" s="732">
        <f t="shared" si="0"/>
        <v>0</v>
      </c>
      <c r="G87" s="8"/>
      <c r="H87" s="8"/>
      <c r="I87" s="8"/>
      <c r="J87" s="8"/>
      <c r="K87" s="8"/>
      <c r="L87" s="15"/>
      <c r="M87" s="15"/>
      <c r="N87" s="15"/>
      <c r="O87" s="15"/>
    </row>
    <row r="88" spans="2:15" ht="17.25" customHeight="1">
      <c r="B88" s="729" t="s">
        <v>560</v>
      </c>
      <c r="C88" s="730">
        <v>100000</v>
      </c>
      <c r="D88" s="731">
        <v>0</v>
      </c>
      <c r="E88" s="731">
        <v>0</v>
      </c>
      <c r="F88" s="732">
        <f t="shared" si="0"/>
        <v>0</v>
      </c>
      <c r="G88" s="8"/>
      <c r="H88" s="8"/>
      <c r="I88" s="8"/>
      <c r="J88" s="8"/>
      <c r="K88" s="8"/>
      <c r="L88" s="15"/>
      <c r="M88" s="15"/>
      <c r="N88" s="15"/>
      <c r="O88" s="15"/>
    </row>
    <row r="89" spans="2:15" ht="17.25" customHeight="1">
      <c r="B89" s="729" t="s">
        <v>51</v>
      </c>
      <c r="C89" s="730">
        <v>250000</v>
      </c>
      <c r="D89" s="731">
        <v>0</v>
      </c>
      <c r="E89" s="731">
        <v>0</v>
      </c>
      <c r="F89" s="732">
        <f t="shared" si="0"/>
        <v>0</v>
      </c>
      <c r="G89" s="8"/>
      <c r="H89" s="8"/>
      <c r="I89" s="8"/>
      <c r="J89" s="8"/>
      <c r="K89" s="8"/>
      <c r="L89" s="15"/>
      <c r="M89" s="15"/>
      <c r="N89" s="15"/>
      <c r="O89" s="15"/>
    </row>
    <row r="90" spans="2:15" ht="17.25" customHeight="1">
      <c r="B90" s="729" t="s">
        <v>561</v>
      </c>
      <c r="C90" s="730">
        <v>6300</v>
      </c>
      <c r="D90" s="731">
        <v>0</v>
      </c>
      <c r="E90" s="731">
        <v>0</v>
      </c>
      <c r="F90" s="732">
        <f t="shared" si="0"/>
        <v>0</v>
      </c>
      <c r="G90" s="8"/>
      <c r="H90" s="8"/>
      <c r="I90" s="8"/>
      <c r="J90" s="8"/>
      <c r="K90" s="8"/>
      <c r="L90" s="15"/>
      <c r="M90" s="15"/>
      <c r="N90" s="15"/>
      <c r="O90" s="15"/>
    </row>
    <row r="91" spans="2:15" ht="17.25" customHeight="1">
      <c r="B91" s="729" t="s">
        <v>562</v>
      </c>
      <c r="C91" s="730">
        <v>17500</v>
      </c>
      <c r="D91" s="731">
        <v>0</v>
      </c>
      <c r="E91" s="731">
        <v>0</v>
      </c>
      <c r="F91" s="732">
        <f t="shared" si="0"/>
        <v>0</v>
      </c>
      <c r="G91" s="8"/>
      <c r="H91" s="8"/>
      <c r="I91" s="8"/>
      <c r="J91" s="8"/>
      <c r="K91" s="8"/>
      <c r="L91" s="15"/>
      <c r="M91" s="15"/>
      <c r="N91" s="15"/>
      <c r="O91" s="15"/>
    </row>
    <row r="92" spans="2:15" ht="17.25" customHeight="1">
      <c r="B92" s="729" t="s">
        <v>347</v>
      </c>
      <c r="C92" s="730">
        <v>17500</v>
      </c>
      <c r="D92" s="731">
        <v>0</v>
      </c>
      <c r="E92" s="731">
        <v>0</v>
      </c>
      <c r="F92" s="732">
        <f t="shared" si="0"/>
        <v>0</v>
      </c>
      <c r="G92" s="8"/>
      <c r="H92" s="8"/>
      <c r="I92" s="8"/>
      <c r="J92" s="8"/>
      <c r="K92" s="8"/>
      <c r="L92" s="15"/>
      <c r="M92" s="15"/>
      <c r="N92" s="15"/>
      <c r="O92" s="15"/>
    </row>
    <row r="93" spans="2:15" ht="17.25" customHeight="1">
      <c r="B93" s="729" t="s">
        <v>563</v>
      </c>
      <c r="C93" s="730">
        <v>30000</v>
      </c>
      <c r="D93" s="731">
        <v>0</v>
      </c>
      <c r="E93" s="731">
        <v>0</v>
      </c>
      <c r="F93" s="732">
        <f t="shared" si="0"/>
        <v>0</v>
      </c>
      <c r="G93" s="8"/>
      <c r="H93" s="8"/>
      <c r="I93" s="8"/>
      <c r="J93" s="8"/>
      <c r="K93" s="8"/>
      <c r="L93" s="15"/>
      <c r="M93" s="15"/>
      <c r="N93" s="15"/>
      <c r="O93" s="15"/>
    </row>
    <row r="94" spans="2:15" ht="17.25" customHeight="1">
      <c r="B94" s="729" t="s">
        <v>564</v>
      </c>
      <c r="C94" s="730">
        <v>35</v>
      </c>
      <c r="D94" s="731">
        <v>0</v>
      </c>
      <c r="E94" s="731">
        <v>0</v>
      </c>
      <c r="F94" s="732">
        <f t="shared" si="0"/>
        <v>0</v>
      </c>
      <c r="G94" s="8"/>
      <c r="H94" s="8"/>
      <c r="I94" s="8"/>
      <c r="J94" s="8"/>
      <c r="K94" s="8"/>
      <c r="L94" s="15"/>
      <c r="M94" s="15"/>
      <c r="N94" s="15"/>
      <c r="O94" s="15"/>
    </row>
    <row r="95" spans="2:15" ht="17.25" customHeight="1">
      <c r="B95" s="729" t="s">
        <v>565</v>
      </c>
      <c r="C95" s="730">
        <v>12</v>
      </c>
      <c r="D95" s="731">
        <v>0</v>
      </c>
      <c r="E95" s="731">
        <v>0</v>
      </c>
      <c r="F95" s="732">
        <f t="shared" si="0"/>
        <v>0</v>
      </c>
      <c r="G95" s="8"/>
      <c r="H95" s="8"/>
      <c r="I95" s="8"/>
      <c r="J95" s="8"/>
      <c r="K95" s="8"/>
      <c r="L95" s="15"/>
      <c r="M95" s="15"/>
      <c r="N95" s="15"/>
      <c r="O95" s="15"/>
    </row>
    <row r="96" spans="2:15" ht="17.25" customHeight="1">
      <c r="B96" s="729" t="s">
        <v>566</v>
      </c>
      <c r="C96" s="730">
        <v>100000</v>
      </c>
      <c r="D96" s="731">
        <v>0</v>
      </c>
      <c r="E96" s="731">
        <v>0</v>
      </c>
      <c r="F96" s="732">
        <f t="shared" si="0"/>
        <v>0</v>
      </c>
      <c r="G96" s="8"/>
      <c r="H96" s="8"/>
      <c r="I96" s="8"/>
      <c r="J96" s="8"/>
      <c r="K96" s="8"/>
      <c r="L96" s="15"/>
      <c r="M96" s="15"/>
      <c r="N96" s="15"/>
      <c r="O96" s="15"/>
    </row>
    <row r="97" spans="2:11" ht="17.25" customHeight="1">
      <c r="B97" s="729" t="s">
        <v>567</v>
      </c>
      <c r="C97" s="730">
        <v>110</v>
      </c>
      <c r="D97" s="731">
        <v>0</v>
      </c>
      <c r="E97" s="731">
        <v>0</v>
      </c>
      <c r="F97" s="732">
        <f t="shared" si="0"/>
        <v>0</v>
      </c>
      <c r="G97" s="8"/>
      <c r="H97" s="8"/>
      <c r="I97" s="8"/>
      <c r="J97" s="8"/>
      <c r="K97" s="8"/>
    </row>
    <row r="98" spans="2:11" ht="17.25" customHeight="1">
      <c r="B98" s="729" t="s">
        <v>568</v>
      </c>
      <c r="C98" s="730">
        <v>10000</v>
      </c>
      <c r="D98" s="731">
        <v>0</v>
      </c>
      <c r="E98" s="731">
        <v>0</v>
      </c>
      <c r="F98" s="732">
        <f>C98*D98</f>
        <v>0</v>
      </c>
      <c r="G98" s="8"/>
      <c r="H98" s="8"/>
      <c r="I98" s="8"/>
      <c r="J98" s="8"/>
      <c r="K98" s="8"/>
    </row>
    <row r="99" spans="2:6" ht="15.75" thickBot="1">
      <c r="B99" s="283"/>
      <c r="C99" s="15"/>
      <c r="D99" s="15"/>
      <c r="E99" s="15"/>
      <c r="F99" s="15"/>
    </row>
    <row r="100" spans="2:12" ht="15.75" thickBot="1">
      <c r="B100" s="797" t="s">
        <v>635</v>
      </c>
      <c r="C100" s="798">
        <f>IF('User Inputs'!E229&gt;0,'User Inputs'!E229,9)</f>
        <v>9</v>
      </c>
      <c r="D100" s="799">
        <v>0</v>
      </c>
      <c r="E100" s="800">
        <v>0</v>
      </c>
      <c r="F100" s="801">
        <f>C100*D100</f>
        <v>0</v>
      </c>
      <c r="G100" s="1038" t="s">
        <v>204</v>
      </c>
      <c r="H100" s="1011"/>
      <c r="I100" s="1011"/>
      <c r="J100" s="1011"/>
      <c r="K100" s="1011"/>
      <c r="L100" s="1011"/>
    </row>
    <row r="101" spans="7:12" ht="15.75" thickBot="1">
      <c r="G101" s="1011"/>
      <c r="H101" s="1011"/>
      <c r="I101" s="1011"/>
      <c r="J101" s="1011"/>
      <c r="K101" s="1011"/>
      <c r="L101" s="1011"/>
    </row>
    <row r="102" spans="6:7" ht="15">
      <c r="F102" s="802" t="s">
        <v>674</v>
      </c>
      <c r="G102" s="803">
        <f>SUM(F66:F100)</f>
        <v>0</v>
      </c>
    </row>
    <row r="103" spans="6:7" ht="15.75" thickBot="1">
      <c r="F103" s="804"/>
      <c r="G103" s="805"/>
    </row>
  </sheetData>
  <sheetProtection/>
  <mergeCells count="13">
    <mergeCell ref="F35:H35"/>
    <mergeCell ref="G100:L101"/>
    <mergeCell ref="B63:F63"/>
    <mergeCell ref="B8:H8"/>
    <mergeCell ref="B10:H10"/>
    <mergeCell ref="G65:K65"/>
    <mergeCell ref="B62:K62"/>
    <mergeCell ref="B15:K15"/>
    <mergeCell ref="B64:F64"/>
    <mergeCell ref="B17:C17"/>
    <mergeCell ref="B32:K32"/>
    <mergeCell ref="F45:H46"/>
    <mergeCell ref="F47:H48"/>
  </mergeCells>
  <hyperlinks>
    <hyperlink ref="B53" r:id="rId1" display="http://www.sundancegrinders.com/index.htm"/>
    <hyperlink ref="B54" r:id="rId2" display="mailto:doug@sundancegrinders.com"/>
    <hyperlink ref="B39" r:id="rId3" display="http://www.rotochopper.com/"/>
    <hyperlink ref="B44" r:id="rId4" display="http://www.franklinmiller.com/"/>
  </hyperlinks>
  <printOptions/>
  <pageMargins left="0.75" right="0.38" top="0.38" bottom="0.42" header="0.29" footer="0.33"/>
  <pageSetup fitToHeight="1" fitToWidth="1" horizontalDpi="600" verticalDpi="600" orientation="portrait" scale="40" r:id="rId8"/>
  <drawing r:id="rId7"/>
  <legacyDrawing r:id="rId6"/>
</worksheet>
</file>

<file path=xl/worksheets/sheet8.xml><?xml version="1.0" encoding="utf-8"?>
<worksheet xmlns="http://schemas.openxmlformats.org/spreadsheetml/2006/main" xmlns:r="http://schemas.openxmlformats.org/officeDocument/2006/relationships">
  <sheetPr>
    <tabColor indexed="52"/>
    <pageSetUpPr fitToPage="1"/>
  </sheetPr>
  <dimension ref="A1:AA97"/>
  <sheetViews>
    <sheetView zoomScale="85" zoomScaleNormal="85" zoomScalePageLayoutView="0" workbookViewId="0" topLeftCell="A1">
      <selection activeCell="G71" sqref="G71"/>
    </sheetView>
  </sheetViews>
  <sheetFormatPr defaultColWidth="9.140625" defaultRowHeight="12.75"/>
  <cols>
    <col min="1" max="1" width="13.7109375" style="1" customWidth="1"/>
    <col min="2" max="2" width="46.00390625" style="1" customWidth="1"/>
    <col min="3" max="3" width="21.00390625" style="1" customWidth="1"/>
    <col min="4" max="4" width="24.8515625" style="1" customWidth="1"/>
    <col min="5" max="5" width="17.28125" style="1" customWidth="1"/>
    <col min="6" max="6" width="18.140625" style="1" bestFit="1" customWidth="1"/>
    <col min="7" max="7" width="12.00390625" style="1" customWidth="1"/>
    <col min="8" max="8" width="13.00390625" style="1" customWidth="1"/>
    <col min="9" max="9" width="12.140625" style="1" customWidth="1"/>
    <col min="10" max="10" width="15.140625" style="1" customWidth="1"/>
    <col min="11" max="11" width="14.28125" style="1" customWidth="1"/>
    <col min="12" max="12" width="13.7109375" style="1" customWidth="1"/>
    <col min="13" max="16384" width="9.140625" style="1" customWidth="1"/>
  </cols>
  <sheetData>
    <row r="1" ht="11.25" customHeight="1">
      <c r="N1" s="2"/>
    </row>
    <row r="2" spans="2:14" ht="18.75">
      <c r="B2" s="848" t="s">
        <v>14</v>
      </c>
      <c r="C2" s="316"/>
      <c r="D2" s="316"/>
      <c r="E2" s="316"/>
      <c r="F2" s="316"/>
      <c r="G2" s="316"/>
      <c r="N2" s="2"/>
    </row>
    <row r="3" spans="2:14" ht="16.5" customHeight="1">
      <c r="B3" s="496" t="s">
        <v>13</v>
      </c>
      <c r="C3" s="547"/>
      <c r="D3" s="547"/>
      <c r="E3" s="547"/>
      <c r="F3" s="547"/>
      <c r="G3" s="547"/>
      <c r="N3" s="2"/>
    </row>
    <row r="4" spans="2:23" ht="9.75" customHeight="1">
      <c r="B4" s="850"/>
      <c r="C4" s="547"/>
      <c r="D4" s="547"/>
      <c r="E4" s="547"/>
      <c r="F4" s="547"/>
      <c r="G4" s="547"/>
      <c r="N4" s="2"/>
      <c r="W4" s="15"/>
    </row>
    <row r="5" spans="2:23" ht="19.5" customHeight="1">
      <c r="B5" s="11" t="s">
        <v>56</v>
      </c>
      <c r="N5" s="2"/>
      <c r="W5" s="15"/>
    </row>
    <row r="6" spans="1:22" s="15" customFormat="1" ht="9.75" customHeight="1">
      <c r="A6" s="12"/>
      <c r="B6" s="12"/>
      <c r="C6" s="12"/>
      <c r="D6" s="12"/>
      <c r="E6" s="12"/>
      <c r="F6" s="12"/>
      <c r="G6" s="12"/>
      <c r="H6" s="12"/>
      <c r="I6" s="12"/>
      <c r="J6" s="12"/>
      <c r="K6" s="12"/>
      <c r="L6" s="12"/>
      <c r="M6" s="12"/>
      <c r="N6" s="13"/>
      <c r="O6" s="12"/>
      <c r="P6" s="12"/>
      <c r="Q6" s="12"/>
      <c r="R6" s="12"/>
      <c r="S6" s="12"/>
      <c r="T6" s="12"/>
      <c r="U6" s="12"/>
      <c r="V6" s="12"/>
    </row>
    <row r="7" spans="1:23" s="14" customFormat="1" ht="6" customHeight="1">
      <c r="A7" s="18"/>
      <c r="B7" s="18"/>
      <c r="C7" s="18"/>
      <c r="D7" s="18"/>
      <c r="E7" s="18"/>
      <c r="F7" s="18"/>
      <c r="G7" s="18"/>
      <c r="H7" s="18"/>
      <c r="I7" s="18"/>
      <c r="J7" s="18"/>
      <c r="K7" s="18"/>
      <c r="L7" s="18"/>
      <c r="M7" s="18"/>
      <c r="N7" s="19"/>
      <c r="O7" s="18"/>
      <c r="P7" s="18"/>
      <c r="Q7" s="18"/>
      <c r="R7" s="18"/>
      <c r="S7" s="18"/>
      <c r="T7" s="18"/>
      <c r="U7" s="18"/>
      <c r="V7" s="18"/>
      <c r="W7" s="16"/>
    </row>
    <row r="8" spans="2:26" s="220" customFormat="1" ht="27" customHeight="1">
      <c r="B8" s="1028" t="s">
        <v>10</v>
      </c>
      <c r="C8" s="1028"/>
      <c r="D8" s="1028"/>
      <c r="E8" s="1028"/>
      <c r="F8" s="1028"/>
      <c r="G8" s="1028"/>
      <c r="H8" s="1028"/>
      <c r="I8" s="1028"/>
      <c r="J8" s="1028"/>
      <c r="K8" s="381"/>
      <c r="L8" s="381"/>
      <c r="M8" s="381"/>
      <c r="N8" s="381"/>
      <c r="O8" s="381"/>
      <c r="P8" s="222"/>
      <c r="Q8" s="222"/>
      <c r="R8" s="222"/>
      <c r="S8" s="222"/>
      <c r="T8" s="222"/>
      <c r="U8" s="222"/>
      <c r="V8" s="222"/>
      <c r="W8" s="222"/>
      <c r="X8" s="222"/>
      <c r="Y8" s="222"/>
      <c r="Z8" s="222"/>
    </row>
    <row r="9" spans="2:26" s="220" customFormat="1" ht="19.5" customHeight="1">
      <c r="B9" s="234"/>
      <c r="C9" s="234"/>
      <c r="D9" s="238"/>
      <c r="E9" s="238"/>
      <c r="F9" s="238"/>
      <c r="G9" s="238"/>
      <c r="H9" s="238"/>
      <c r="I9" s="238"/>
      <c r="J9" s="238"/>
      <c r="K9" s="238"/>
      <c r="L9" s="238"/>
      <c r="M9" s="238"/>
      <c r="N9" s="238"/>
      <c r="O9" s="238"/>
      <c r="P9" s="222"/>
      <c r="Q9" s="222"/>
      <c r="R9" s="222"/>
      <c r="S9" s="222"/>
      <c r="T9" s="222"/>
      <c r="U9" s="222"/>
      <c r="V9" s="222"/>
      <c r="W9" s="222"/>
      <c r="X9" s="222"/>
      <c r="Y9" s="222"/>
      <c r="Z9" s="222"/>
    </row>
    <row r="10" spans="2:26" s="220" customFormat="1" ht="51" customHeight="1">
      <c r="B10" s="1005" t="s">
        <v>396</v>
      </c>
      <c r="C10" s="1005"/>
      <c r="D10" s="1005"/>
      <c r="E10" s="1005"/>
      <c r="F10" s="1005"/>
      <c r="G10" s="1005"/>
      <c r="H10" s="1005"/>
      <c r="I10" s="1005"/>
      <c r="J10" s="281"/>
      <c r="K10" s="281"/>
      <c r="L10" s="281"/>
      <c r="M10" s="281"/>
      <c r="N10" s="281"/>
      <c r="O10" s="281"/>
      <c r="P10" s="281"/>
      <c r="Q10" s="281"/>
      <c r="R10" s="222"/>
      <c r="S10" s="222"/>
      <c r="T10" s="222"/>
      <c r="U10" s="222"/>
      <c r="V10" s="222"/>
      <c r="W10" s="222"/>
      <c r="X10" s="222"/>
      <c r="Y10" s="222"/>
      <c r="Z10" s="222"/>
    </row>
    <row r="11" spans="1:27" s="96" customFormat="1" ht="6" customHeight="1">
      <c r="A11" s="94"/>
      <c r="B11" s="94"/>
      <c r="C11" s="94"/>
      <c r="D11" s="94"/>
      <c r="E11" s="94"/>
      <c r="F11" s="94"/>
      <c r="G11" s="94"/>
      <c r="H11" s="94"/>
      <c r="I11" s="94"/>
      <c r="J11" s="94"/>
      <c r="K11" s="94"/>
      <c r="L11" s="94"/>
      <c r="M11" s="94"/>
      <c r="N11" s="94"/>
      <c r="O11" s="94"/>
      <c r="P11" s="94"/>
      <c r="Q11" s="94"/>
      <c r="R11" s="95"/>
      <c r="S11" s="94"/>
      <c r="T11" s="94"/>
      <c r="U11" s="94"/>
      <c r="V11" s="94"/>
      <c r="W11" s="94"/>
      <c r="X11" s="94"/>
      <c r="Y11" s="94"/>
      <c r="Z11" s="94"/>
      <c r="AA11" s="94"/>
    </row>
    <row r="12" spans="1:22" s="15" customFormat="1" ht="9.75" customHeight="1">
      <c r="A12" s="12"/>
      <c r="B12" s="12"/>
      <c r="C12" s="65"/>
      <c r="D12" s="12"/>
      <c r="E12" s="12"/>
      <c r="F12" s="12"/>
      <c r="G12" s="12"/>
      <c r="H12" s="12"/>
      <c r="I12" s="12"/>
      <c r="J12" s="12"/>
      <c r="K12" s="12"/>
      <c r="L12" s="12"/>
      <c r="M12" s="12"/>
      <c r="N12" s="13"/>
      <c r="O12" s="12"/>
      <c r="P12" s="12"/>
      <c r="Q12" s="12"/>
      <c r="R12" s="12"/>
      <c r="S12" s="12"/>
      <c r="T12" s="12"/>
      <c r="U12" s="12"/>
      <c r="V12" s="12"/>
    </row>
    <row r="13" spans="1:23" s="14" customFormat="1" ht="6" customHeight="1">
      <c r="A13" s="18"/>
      <c r="B13" s="18"/>
      <c r="C13" s="66"/>
      <c r="D13" s="18"/>
      <c r="E13" s="18"/>
      <c r="F13" s="18"/>
      <c r="G13" s="18"/>
      <c r="H13" s="18"/>
      <c r="I13" s="18"/>
      <c r="J13" s="18"/>
      <c r="K13" s="18"/>
      <c r="L13" s="18"/>
      <c r="M13" s="18"/>
      <c r="N13" s="19"/>
      <c r="O13" s="18"/>
      <c r="P13" s="18"/>
      <c r="Q13" s="18"/>
      <c r="R13" s="18"/>
      <c r="S13" s="18"/>
      <c r="T13" s="18"/>
      <c r="U13" s="18"/>
      <c r="V13" s="18"/>
      <c r="W13" s="16"/>
    </row>
    <row r="14" spans="1:23" s="14" customFormat="1" ht="11.25" customHeight="1">
      <c r="A14" s="16"/>
      <c r="B14" s="16"/>
      <c r="C14" s="16"/>
      <c r="D14" s="16"/>
      <c r="E14" s="16"/>
      <c r="F14" s="16"/>
      <c r="G14" s="16"/>
      <c r="H14" s="16"/>
      <c r="I14" s="16"/>
      <c r="J14" s="16"/>
      <c r="K14" s="16"/>
      <c r="L14" s="16"/>
      <c r="M14" s="16"/>
      <c r="N14" s="17"/>
      <c r="O14" s="16"/>
      <c r="P14" s="16"/>
      <c r="Q14" s="16"/>
      <c r="R14" s="16"/>
      <c r="S14" s="16"/>
      <c r="T14" s="16"/>
      <c r="U14" s="16"/>
      <c r="V14" s="16"/>
      <c r="W14" s="16"/>
    </row>
    <row r="15" spans="1:23" s="14" customFormat="1" ht="13.5" customHeight="1">
      <c r="A15" s="16"/>
      <c r="B15" s="813" t="s">
        <v>425</v>
      </c>
      <c r="C15" s="816"/>
      <c r="D15" s="16"/>
      <c r="E15" s="16"/>
      <c r="F15" s="16"/>
      <c r="G15" s="16"/>
      <c r="H15" s="16"/>
      <c r="I15" s="16"/>
      <c r="J15" s="16"/>
      <c r="K15" s="16"/>
      <c r="L15" s="16"/>
      <c r="M15" s="16"/>
      <c r="N15" s="17"/>
      <c r="O15" s="16"/>
      <c r="P15" s="16"/>
      <c r="Q15" s="16"/>
      <c r="R15" s="16"/>
      <c r="S15" s="16"/>
      <c r="T15" s="16"/>
      <c r="U15" s="16"/>
      <c r="V15" s="16"/>
      <c r="W15" s="16"/>
    </row>
    <row r="16" spans="1:23" s="14" customFormat="1" ht="11.25" customHeight="1">
      <c r="A16" s="16"/>
      <c r="B16" s="814" t="s">
        <v>426</v>
      </c>
      <c r="C16" s="817"/>
      <c r="D16" s="16"/>
      <c r="E16" s="16"/>
      <c r="F16" s="16"/>
      <c r="G16" s="16"/>
      <c r="H16" s="16"/>
      <c r="I16" s="16"/>
      <c r="J16" s="16"/>
      <c r="K16" s="16"/>
      <c r="L16" s="16"/>
      <c r="M16" s="16"/>
      <c r="N16" s="17"/>
      <c r="O16" s="16"/>
      <c r="P16" s="16"/>
      <c r="Q16" s="16"/>
      <c r="R16" s="16"/>
      <c r="S16" s="16"/>
      <c r="T16" s="16"/>
      <c r="U16" s="16"/>
      <c r="V16" s="16"/>
      <c r="W16" s="16"/>
    </row>
    <row r="17" spans="1:23" s="14" customFormat="1" ht="11.25" customHeight="1">
      <c r="A17" s="16"/>
      <c r="B17" s="815" t="s">
        <v>427</v>
      </c>
      <c r="C17" s="818"/>
      <c r="D17" s="16"/>
      <c r="E17" s="16"/>
      <c r="F17" s="16"/>
      <c r="G17" s="16"/>
      <c r="H17" s="16"/>
      <c r="I17" s="16"/>
      <c r="J17" s="16"/>
      <c r="K17" s="16"/>
      <c r="L17" s="16"/>
      <c r="M17" s="16"/>
      <c r="N17" s="17"/>
      <c r="O17" s="16"/>
      <c r="P17" s="16"/>
      <c r="Q17" s="16"/>
      <c r="R17" s="16"/>
      <c r="S17" s="16"/>
      <c r="T17" s="16"/>
      <c r="U17" s="16"/>
      <c r="V17" s="16"/>
      <c r="W17" s="16"/>
    </row>
    <row r="18" spans="1:23" s="14" customFormat="1" ht="11.25" customHeight="1">
      <c r="A18" s="16"/>
      <c r="B18" s="21"/>
      <c r="C18" s="1"/>
      <c r="D18" s="16"/>
      <c r="E18" s="16"/>
      <c r="F18" s="16"/>
      <c r="G18" s="16"/>
      <c r="H18" s="16"/>
      <c r="I18" s="16"/>
      <c r="J18" s="16"/>
      <c r="K18" s="16"/>
      <c r="L18" s="16"/>
      <c r="M18" s="16"/>
      <c r="N18" s="17"/>
      <c r="O18" s="16"/>
      <c r="P18" s="16"/>
      <c r="Q18" s="16"/>
      <c r="R18" s="16"/>
      <c r="S18" s="16"/>
      <c r="T18" s="16"/>
      <c r="U18" s="16"/>
      <c r="V18" s="16"/>
      <c r="W18" s="16"/>
    </row>
    <row r="19" spans="1:5" ht="15.75" thickBot="1">
      <c r="A19" s="3"/>
      <c r="B19" s="3" t="s">
        <v>59</v>
      </c>
      <c r="C19" s="3" t="s">
        <v>57</v>
      </c>
      <c r="D19" s="3" t="s">
        <v>574</v>
      </c>
      <c r="E19" s="3" t="s">
        <v>58</v>
      </c>
    </row>
    <row r="20" spans="2:9" ht="15">
      <c r="B20" s="133" t="s">
        <v>603</v>
      </c>
      <c r="C20" s="646">
        <f>'1. Feedstock Parameters'!G42</f>
        <v>0</v>
      </c>
      <c r="D20" s="629" t="s">
        <v>597</v>
      </c>
      <c r="G20" s="8"/>
      <c r="H20" s="15"/>
      <c r="I20" s="15"/>
    </row>
    <row r="21" spans="2:7" ht="17.25">
      <c r="B21" s="76" t="s">
        <v>626</v>
      </c>
      <c r="C21" s="563">
        <v>6.65</v>
      </c>
      <c r="D21" s="571" t="s">
        <v>675</v>
      </c>
      <c r="G21" s="526"/>
    </row>
    <row r="22" spans="2:4" ht="15">
      <c r="B22" s="76" t="s">
        <v>371</v>
      </c>
      <c r="C22" s="640" t="e">
        <f>'1. Feedstock Parameters'!G44</f>
        <v>#DIV/0!</v>
      </c>
      <c r="D22" s="571" t="s">
        <v>372</v>
      </c>
    </row>
    <row r="23" spans="2:4" ht="15">
      <c r="B23" s="76" t="s">
        <v>373</v>
      </c>
      <c r="C23" s="640" t="e">
        <f>'1. Feedstock Parameters'!G46</f>
        <v>#DIV/0!</v>
      </c>
      <c r="D23" s="571" t="s">
        <v>486</v>
      </c>
    </row>
    <row r="24" spans="2:5" ht="15">
      <c r="B24" s="76" t="s">
        <v>255</v>
      </c>
      <c r="C24" s="640" t="e">
        <f>'1. Feedstock Parameters'!G48</f>
        <v>#DIV/0!</v>
      </c>
      <c r="D24" s="571" t="s">
        <v>374</v>
      </c>
      <c r="E24" s="3"/>
    </row>
    <row r="25" spans="2:4" ht="15">
      <c r="B25" s="76" t="s">
        <v>260</v>
      </c>
      <c r="C25" s="565">
        <f>C20*2000</f>
        <v>0</v>
      </c>
      <c r="D25" s="571" t="s">
        <v>224</v>
      </c>
    </row>
    <row r="26" spans="2:4" ht="15">
      <c r="B26" s="76" t="s">
        <v>282</v>
      </c>
      <c r="C26" s="638" t="e">
        <f>C25*C23</f>
        <v>#DIV/0!</v>
      </c>
      <c r="D26" s="571" t="s">
        <v>224</v>
      </c>
    </row>
    <row r="27" spans="2:4" ht="15">
      <c r="B27" s="76"/>
      <c r="C27" s="564"/>
      <c r="D27" s="571"/>
    </row>
    <row r="28" spans="2:4" ht="15">
      <c r="B28" s="76" t="s">
        <v>604</v>
      </c>
      <c r="C28" s="639">
        <f>'1. Feedstock Parameters'!G43</f>
        <v>0</v>
      </c>
      <c r="D28" s="571" t="s">
        <v>597</v>
      </c>
    </row>
    <row r="29" spans="2:4" ht="17.25">
      <c r="B29" s="76" t="s">
        <v>385</v>
      </c>
      <c r="C29" s="563">
        <v>2.12</v>
      </c>
      <c r="D29" s="571" t="s">
        <v>675</v>
      </c>
    </row>
    <row r="30" spans="2:4" ht="15">
      <c r="B30" s="76" t="s">
        <v>485</v>
      </c>
      <c r="C30" s="640">
        <f>'1. Feedstock Parameters'!G45</f>
        <v>0.01</v>
      </c>
      <c r="D30" s="571" t="s">
        <v>372</v>
      </c>
    </row>
    <row r="31" spans="2:4" ht="15">
      <c r="B31" s="76" t="s">
        <v>375</v>
      </c>
      <c r="C31" s="640">
        <f>'1. Feedstock Parameters'!G47</f>
        <v>0.7</v>
      </c>
      <c r="D31" s="571" t="s">
        <v>486</v>
      </c>
    </row>
    <row r="32" spans="2:4" ht="15">
      <c r="B32" s="76" t="s">
        <v>256</v>
      </c>
      <c r="C32" s="564" t="e">
        <f>1-C24</f>
        <v>#DIV/0!</v>
      </c>
      <c r="D32" s="571" t="s">
        <v>374</v>
      </c>
    </row>
    <row r="33" spans="2:13" ht="15">
      <c r="B33" s="76" t="s">
        <v>605</v>
      </c>
      <c r="C33" s="566">
        <f>SUM(C20,C28)</f>
        <v>0</v>
      </c>
      <c r="D33" s="571" t="s">
        <v>597</v>
      </c>
      <c r="K33" s="2"/>
      <c r="L33" s="44"/>
      <c r="M33" s="2"/>
    </row>
    <row r="34" spans="2:4" ht="17.25">
      <c r="B34" s="76" t="s">
        <v>257</v>
      </c>
      <c r="C34" s="563" t="e">
        <f>(C21*C24)+(C29*C32)</f>
        <v>#DIV/0!</v>
      </c>
      <c r="D34" s="571" t="s">
        <v>675</v>
      </c>
    </row>
    <row r="35" spans="2:5" ht="15">
      <c r="B35" s="76" t="s">
        <v>258</v>
      </c>
      <c r="C35" s="567" t="e">
        <f>(C22*C24)+(C30*C32)</f>
        <v>#DIV/0!</v>
      </c>
      <c r="D35" s="647" t="s">
        <v>372</v>
      </c>
      <c r="E35" s="86" t="s">
        <v>370</v>
      </c>
    </row>
    <row r="36" spans="2:5" ht="15">
      <c r="B36" s="76" t="s">
        <v>259</v>
      </c>
      <c r="C36" s="644" t="e">
        <f>(C23*C24)+(C31*C32)</f>
        <v>#DIV/0!</v>
      </c>
      <c r="D36" s="647" t="s">
        <v>230</v>
      </c>
      <c r="E36" s="45"/>
    </row>
    <row r="37" spans="2:5" ht="15">
      <c r="B37" s="76" t="s">
        <v>606</v>
      </c>
      <c r="C37" s="645">
        <f>C28*2000</f>
        <v>0</v>
      </c>
      <c r="D37" s="647" t="s">
        <v>224</v>
      </c>
      <c r="E37" s="45"/>
    </row>
    <row r="38" spans="2:4" ht="15.75" thickBot="1">
      <c r="B38" s="84" t="s">
        <v>607</v>
      </c>
      <c r="C38" s="648">
        <f>C37*C31</f>
        <v>0</v>
      </c>
      <c r="D38" s="649" t="s">
        <v>224</v>
      </c>
    </row>
    <row r="39" spans="2:4" ht="15.75" thickBot="1">
      <c r="B39" s="8"/>
      <c r="C39" s="811"/>
      <c r="D39" s="8"/>
    </row>
    <row r="40" spans="2:10" ht="15.75" thickBot="1">
      <c r="B40" s="15"/>
      <c r="C40" s="822" t="s">
        <v>430</v>
      </c>
      <c r="D40" s="823" t="s">
        <v>432</v>
      </c>
      <c r="E40" s="822" t="s">
        <v>431</v>
      </c>
      <c r="F40" s="823"/>
      <c r="G40" s="15"/>
      <c r="H40" s="15"/>
      <c r="I40" s="15"/>
      <c r="J40" s="15"/>
    </row>
    <row r="41" spans="2:11" ht="15">
      <c r="B41" s="656" t="s">
        <v>509</v>
      </c>
      <c r="C41" s="657" t="s">
        <v>57</v>
      </c>
      <c r="D41" s="658" t="s">
        <v>57</v>
      </c>
      <c r="E41" s="657" t="s">
        <v>57</v>
      </c>
      <c r="F41" s="658" t="s">
        <v>574</v>
      </c>
      <c r="G41" s="41" t="s">
        <v>58</v>
      </c>
      <c r="H41" s="15"/>
      <c r="I41" s="15"/>
      <c r="J41" s="15"/>
      <c r="K41" s="15"/>
    </row>
    <row r="42" spans="2:11" ht="15">
      <c r="B42" s="76" t="s">
        <v>377</v>
      </c>
      <c r="C42" s="651" t="s">
        <v>378</v>
      </c>
      <c r="D42" s="651" t="s">
        <v>378</v>
      </c>
      <c r="E42" s="651" t="s">
        <v>378</v>
      </c>
      <c r="F42" s="659"/>
      <c r="G42" s="1041" t="s">
        <v>376</v>
      </c>
      <c r="H42" s="1011"/>
      <c r="I42" s="1011"/>
      <c r="J42" s="1011"/>
      <c r="K42" s="15"/>
    </row>
    <row r="43" spans="2:11" ht="15">
      <c r="B43" s="76" t="s">
        <v>283</v>
      </c>
      <c r="C43" s="652">
        <v>1.012</v>
      </c>
      <c r="D43" s="652">
        <v>1.012</v>
      </c>
      <c r="E43" s="652">
        <v>1.012</v>
      </c>
      <c r="F43" s="647"/>
      <c r="G43" s="1012"/>
      <c r="H43" s="1011"/>
      <c r="I43" s="1011"/>
      <c r="J43" s="1011"/>
      <c r="K43" s="15"/>
    </row>
    <row r="44" spans="2:11" ht="15">
      <c r="B44" s="76" t="s">
        <v>284</v>
      </c>
      <c r="C44" s="652">
        <v>62.4</v>
      </c>
      <c r="D44" s="652">
        <v>62.4</v>
      </c>
      <c r="E44" s="652">
        <v>62.4</v>
      </c>
      <c r="F44" s="647" t="s">
        <v>380</v>
      </c>
      <c r="G44" s="47" t="s">
        <v>289</v>
      </c>
      <c r="H44" s="15"/>
      <c r="I44" s="15"/>
      <c r="J44" s="15"/>
      <c r="K44" s="15"/>
    </row>
    <row r="45" spans="2:11" ht="15">
      <c r="B45" s="76" t="s">
        <v>285</v>
      </c>
      <c r="C45" s="563">
        <f>((C25)*24)/(C43*C44)</f>
        <v>0</v>
      </c>
      <c r="D45" s="563">
        <f>((C25+C37)*24)/(D43*D44)</f>
        <v>0</v>
      </c>
      <c r="E45" s="563">
        <f>((C37)*24)/(E43*E44)</f>
        <v>0</v>
      </c>
      <c r="F45" s="647" t="s">
        <v>369</v>
      </c>
      <c r="G45" s="48"/>
      <c r="H45" s="15"/>
      <c r="I45" s="15"/>
      <c r="J45" s="15"/>
      <c r="K45" s="15"/>
    </row>
    <row r="46" spans="2:17" ht="15">
      <c r="B46" s="76" t="s">
        <v>286</v>
      </c>
      <c r="C46" s="653">
        <v>15</v>
      </c>
      <c r="D46" s="653">
        <v>15</v>
      </c>
      <c r="E46" s="653">
        <v>15</v>
      </c>
      <c r="F46" s="647" t="s">
        <v>381</v>
      </c>
      <c r="H46" s="15"/>
      <c r="I46" s="15"/>
      <c r="J46" s="15"/>
      <c r="K46" s="8"/>
      <c r="L46" s="194"/>
      <c r="M46" s="15"/>
      <c r="N46" s="15"/>
      <c r="O46" s="15"/>
      <c r="P46" s="15"/>
      <c r="Q46" s="15"/>
    </row>
    <row r="47" spans="2:17" ht="15">
      <c r="B47" s="76" t="s">
        <v>382</v>
      </c>
      <c r="C47" s="654">
        <f>C45*C46</f>
        <v>0</v>
      </c>
      <c r="D47" s="654">
        <f>D45*D46</f>
        <v>0</v>
      </c>
      <c r="E47" s="654">
        <f>E45*E46</f>
        <v>0</v>
      </c>
      <c r="F47" s="647" t="s">
        <v>383</v>
      </c>
      <c r="G47" s="47"/>
      <c r="H47" s="15"/>
      <c r="I47" s="15"/>
      <c r="J47" s="15"/>
      <c r="K47" s="8"/>
      <c r="L47" s="194"/>
      <c r="M47" s="15"/>
      <c r="N47" s="15"/>
      <c r="O47" s="15"/>
      <c r="P47" s="15"/>
      <c r="Q47" s="15"/>
    </row>
    <row r="48" spans="2:17" ht="15">
      <c r="B48" s="76"/>
      <c r="C48" s="655"/>
      <c r="D48" s="655"/>
      <c r="E48" s="655"/>
      <c r="F48" s="647"/>
      <c r="G48" s="47"/>
      <c r="H48" s="15"/>
      <c r="I48" s="15"/>
      <c r="J48" s="15"/>
      <c r="K48" s="15"/>
      <c r="L48" s="15"/>
      <c r="M48" s="15"/>
      <c r="N48" s="15"/>
      <c r="O48" s="15"/>
      <c r="P48" s="15"/>
      <c r="Q48" s="15"/>
    </row>
    <row r="49" spans="2:17" ht="15">
      <c r="B49" s="76" t="s">
        <v>464</v>
      </c>
      <c r="C49" s="641">
        <f>IF('User Inputs'!E107=0,B97,'User Inputs'!E107)</f>
        <v>90</v>
      </c>
      <c r="D49" s="641">
        <f>IF('User Inputs'!E107=0,B97,'User Inputs'!E107)</f>
        <v>90</v>
      </c>
      <c r="E49" s="641">
        <f>IF('User Inputs'!E107=0,B97,'User Inputs'!E107)</f>
        <v>90</v>
      </c>
      <c r="F49" s="647" t="s">
        <v>384</v>
      </c>
      <c r="G49" s="47"/>
      <c r="H49" s="15"/>
      <c r="I49" s="15"/>
      <c r="J49" s="15"/>
      <c r="K49" s="46">
        <f>E45+C45</f>
        <v>0</v>
      </c>
      <c r="L49" s="15"/>
      <c r="M49" s="15"/>
      <c r="N49" s="15"/>
      <c r="O49" s="15"/>
      <c r="P49" s="15"/>
      <c r="Q49" s="15"/>
    </row>
    <row r="50" spans="2:17" ht="15">
      <c r="B50" s="76" t="s">
        <v>627</v>
      </c>
      <c r="C50" s="641">
        <f>IF('User Inputs'!G107=0,D97,'User Inputs'!G107)</f>
        <v>20</v>
      </c>
      <c r="D50" s="641">
        <f>IF('User Inputs'!G107=0,D97,'User Inputs'!G107)</f>
        <v>20</v>
      </c>
      <c r="E50" s="641">
        <f>IF('User Inputs'!G107=0,D97,'User Inputs'!G107)</f>
        <v>20</v>
      </c>
      <c r="F50" s="647" t="s">
        <v>384</v>
      </c>
      <c r="G50" s="48"/>
      <c r="H50" s="15"/>
      <c r="I50" s="15"/>
      <c r="J50" s="15"/>
      <c r="K50" s="15"/>
      <c r="L50" s="15"/>
      <c r="M50" s="15"/>
      <c r="N50" s="15"/>
      <c r="O50" s="15"/>
      <c r="P50" s="15"/>
      <c r="Q50" s="15"/>
    </row>
    <row r="51" spans="2:17" ht="15">
      <c r="B51" s="660" t="s">
        <v>90</v>
      </c>
      <c r="C51" s="161">
        <f>(PI()*C50*((C49/2)^2))*'User Inputs'!L107</f>
        <v>0</v>
      </c>
      <c r="D51" s="161">
        <f>(PI()*D50*((D49/2)^2))*'User Inputs'!L107</f>
        <v>0</v>
      </c>
      <c r="E51" s="161">
        <f>(PI()*E50*((E49/2)^2))*'User Inputs'!L107</f>
        <v>0</v>
      </c>
      <c r="F51" s="647" t="s">
        <v>383</v>
      </c>
      <c r="G51" s="16" t="s">
        <v>379</v>
      </c>
      <c r="H51" s="15"/>
      <c r="I51" s="15"/>
      <c r="J51" s="15"/>
      <c r="K51" s="15"/>
      <c r="L51" s="15"/>
      <c r="M51" s="8"/>
      <c r="N51" s="15"/>
      <c r="O51" s="15"/>
      <c r="P51" s="15"/>
      <c r="Q51" s="15"/>
    </row>
    <row r="52" spans="1:17" ht="15">
      <c r="A52" s="15"/>
      <c r="B52" s="76" t="s">
        <v>287</v>
      </c>
      <c r="C52" s="642">
        <f>IF('User Inputs'!J107=0,F97,'User Inputs'!J107)</f>
        <v>1</v>
      </c>
      <c r="D52" s="642">
        <f>IF('User Inputs'!J107=0,F97,'User Inputs'!J107)</f>
        <v>1</v>
      </c>
      <c r="E52" s="642">
        <f>IF('User Inputs'!J107=0,F97,'User Inputs'!J107)</f>
        <v>1</v>
      </c>
      <c r="F52" s="647" t="s">
        <v>89</v>
      </c>
      <c r="G52" s="16"/>
      <c r="H52" s="15"/>
      <c r="I52" s="15"/>
      <c r="J52" s="15"/>
      <c r="K52" s="15"/>
      <c r="L52" s="15"/>
      <c r="M52" s="8"/>
      <c r="N52" s="15"/>
      <c r="O52" s="15"/>
      <c r="P52" s="15"/>
      <c r="Q52" s="15"/>
    </row>
    <row r="53" spans="2:12" ht="15">
      <c r="B53" s="76" t="s">
        <v>288</v>
      </c>
      <c r="C53" s="643">
        <f>C51*C52</f>
        <v>0</v>
      </c>
      <c r="D53" s="643">
        <f>D51*D52</f>
        <v>0</v>
      </c>
      <c r="E53" s="643">
        <f>E51*E52</f>
        <v>0</v>
      </c>
      <c r="F53" s="647" t="s">
        <v>383</v>
      </c>
      <c r="G53" s="16"/>
      <c r="H53" s="15"/>
      <c r="I53" s="15"/>
      <c r="J53" s="15"/>
      <c r="K53" s="15"/>
      <c r="L53" s="15"/>
    </row>
    <row r="54" spans="2:12" ht="15">
      <c r="B54" s="608" t="s">
        <v>428</v>
      </c>
      <c r="C54" s="643">
        <f>C47-C53</f>
        <v>0</v>
      </c>
      <c r="D54" s="643">
        <f>D47-D53</f>
        <v>0</v>
      </c>
      <c r="E54" s="643">
        <f>E47-E53</f>
        <v>0</v>
      </c>
      <c r="F54" s="647" t="s">
        <v>383</v>
      </c>
      <c r="G54" s="16"/>
      <c r="H54" s="15"/>
      <c r="I54" s="15"/>
      <c r="J54" s="15"/>
      <c r="K54" s="15"/>
      <c r="L54" s="15"/>
    </row>
    <row r="55" spans="2:12" ht="15.75" thickBot="1">
      <c r="B55" s="705" t="s">
        <v>429</v>
      </c>
      <c r="C55" s="825">
        <f>C54/(PI()*C50*((C49/2)^2))</f>
        <v>0</v>
      </c>
      <c r="D55" s="825">
        <f>D54/(PI()*D50*((D49/2)^2))</f>
        <v>0</v>
      </c>
      <c r="E55" s="825">
        <f>E54/(PI()*E50*((E49/2)^2))</f>
        <v>0</v>
      </c>
      <c r="F55" s="649"/>
      <c r="G55" s="16"/>
      <c r="H55" s="15"/>
      <c r="I55" s="15"/>
      <c r="J55" s="15"/>
      <c r="K55" s="15"/>
      <c r="L55" s="15"/>
    </row>
    <row r="56" spans="3:16" ht="15.75" thickBot="1">
      <c r="C56" s="50"/>
      <c r="G56" s="49"/>
      <c r="H56" s="15"/>
      <c r="I56" s="15"/>
      <c r="J56" s="15"/>
      <c r="K56" s="15"/>
      <c r="L56" s="15"/>
      <c r="P56" s="15"/>
    </row>
    <row r="57" spans="2:15" ht="15.75" thickBot="1">
      <c r="B57" s="661" t="s">
        <v>580</v>
      </c>
      <c r="C57" s="662"/>
      <c r="D57" s="663"/>
      <c r="E57" s="2"/>
      <c r="F57" s="2"/>
      <c r="G57" s="186" t="s">
        <v>93</v>
      </c>
      <c r="H57" s="5"/>
      <c r="I57" s="6"/>
      <c r="J57" s="8"/>
      <c r="O57" s="15"/>
    </row>
    <row r="58" spans="2:15" ht="15">
      <c r="B58" s="76" t="s">
        <v>465</v>
      </c>
      <c r="C58" s="650">
        <v>15</v>
      </c>
      <c r="D58" s="664" t="s">
        <v>387</v>
      </c>
      <c r="E58" s="16" t="s">
        <v>386</v>
      </c>
      <c r="F58" s="15"/>
      <c r="G58" s="812" t="s">
        <v>353</v>
      </c>
      <c r="H58" s="274" t="e">
        <f>C61*H75</f>
        <v>#DIV/0!</v>
      </c>
      <c r="I58" s="54" t="s">
        <v>363</v>
      </c>
      <c r="J58" s="286"/>
      <c r="O58" s="15"/>
    </row>
    <row r="59" spans="2:14" ht="15">
      <c r="B59" s="76" t="s">
        <v>209</v>
      </c>
      <c r="C59" s="644">
        <v>0.8</v>
      </c>
      <c r="D59" s="607"/>
      <c r="E59" s="16" t="s">
        <v>386</v>
      </c>
      <c r="F59" s="15"/>
      <c r="G59" s="812" t="s">
        <v>354</v>
      </c>
      <c r="H59" s="2">
        <v>293.15</v>
      </c>
      <c r="I59" s="54" t="s">
        <v>364</v>
      </c>
      <c r="J59" s="287"/>
      <c r="N59" s="15"/>
    </row>
    <row r="60" spans="2:14" ht="15">
      <c r="B60" s="76" t="s">
        <v>210</v>
      </c>
      <c r="C60" s="644">
        <v>0.56</v>
      </c>
      <c r="D60" s="607"/>
      <c r="E60" s="2"/>
      <c r="F60" s="2"/>
      <c r="G60" s="812" t="s">
        <v>355</v>
      </c>
      <c r="H60" s="2">
        <v>101.3</v>
      </c>
      <c r="I60" s="54" t="s">
        <v>365</v>
      </c>
      <c r="J60" s="287"/>
      <c r="N60" s="15"/>
    </row>
    <row r="61" spans="2:14" ht="15">
      <c r="B61" s="76" t="s">
        <v>31</v>
      </c>
      <c r="C61" s="562" t="e">
        <f>(C38*C60*C58)+(C26*C59*C58)</f>
        <v>#DIV/0!</v>
      </c>
      <c r="D61" s="607" t="s">
        <v>466</v>
      </c>
      <c r="E61" s="2"/>
      <c r="F61" s="2"/>
      <c r="G61" s="812" t="s">
        <v>356</v>
      </c>
      <c r="H61" s="2">
        <v>8.314472</v>
      </c>
      <c r="I61" s="54"/>
      <c r="J61" s="287"/>
      <c r="N61" s="15"/>
    </row>
    <row r="62" spans="2:14" ht="15.75" thickBot="1">
      <c r="B62" s="665" t="s">
        <v>91</v>
      </c>
      <c r="C62" s="666" t="e">
        <f>H68</f>
        <v>#DIV/0!</v>
      </c>
      <c r="D62" s="626" t="s">
        <v>586</v>
      </c>
      <c r="E62" s="547"/>
      <c r="F62" s="547"/>
      <c r="G62" s="812" t="s">
        <v>357</v>
      </c>
      <c r="H62" s="273" t="e">
        <f>H60*H58/(H59*H61)</f>
        <v>#DIV/0!</v>
      </c>
      <c r="I62" s="54" t="s">
        <v>358</v>
      </c>
      <c r="J62" s="288"/>
      <c r="L62" s="15"/>
      <c r="M62" s="15"/>
      <c r="N62" s="15"/>
    </row>
    <row r="63" spans="3:14" ht="15">
      <c r="C63" s="51"/>
      <c r="G63" s="55"/>
      <c r="H63" s="2"/>
      <c r="I63" s="54"/>
      <c r="J63" s="287"/>
      <c r="L63" s="15"/>
      <c r="M63" s="15"/>
      <c r="N63" s="15"/>
    </row>
    <row r="64" spans="1:14" ht="15.75" thickBot="1">
      <c r="A64" s="2"/>
      <c r="B64" s="2"/>
      <c r="C64" s="43"/>
      <c r="D64" s="2"/>
      <c r="E64" s="2"/>
      <c r="F64" s="2"/>
      <c r="G64" s="55"/>
      <c r="H64" s="2"/>
      <c r="I64" s="54"/>
      <c r="J64" s="287"/>
      <c r="L64" s="15"/>
      <c r="M64" s="15"/>
      <c r="N64" s="15"/>
    </row>
    <row r="65" spans="1:14" ht="15">
      <c r="A65" s="2"/>
      <c r="B65" s="656" t="s">
        <v>267</v>
      </c>
      <c r="C65" s="669"/>
      <c r="D65" s="663"/>
      <c r="E65" s="2"/>
      <c r="F65" s="2"/>
      <c r="G65" s="184" t="s">
        <v>359</v>
      </c>
      <c r="H65" s="2">
        <f>0.65*16+0.35*44</f>
        <v>25.799999999999997</v>
      </c>
      <c r="I65" s="54" t="s">
        <v>360</v>
      </c>
      <c r="J65" s="287"/>
      <c r="L65" s="15"/>
      <c r="M65" s="15"/>
      <c r="N65" s="15"/>
    </row>
    <row r="66" spans="1:14" ht="15">
      <c r="A66" s="2"/>
      <c r="B66" s="670" t="s">
        <v>388</v>
      </c>
      <c r="C66" s="667"/>
      <c r="D66" s="607"/>
      <c r="E66" s="2"/>
      <c r="F66" s="2"/>
      <c r="G66" s="184" t="s">
        <v>510</v>
      </c>
      <c r="H66" s="273" t="e">
        <f>H62*H65</f>
        <v>#DIV/0!</v>
      </c>
      <c r="I66" s="54" t="s">
        <v>361</v>
      </c>
      <c r="J66" s="288"/>
      <c r="K66" s="15"/>
      <c r="L66" s="15"/>
      <c r="M66" s="15"/>
      <c r="N66" s="15"/>
    </row>
    <row r="67" spans="1:11" ht="15">
      <c r="A67" s="2"/>
      <c r="B67" s="76" t="s">
        <v>389</v>
      </c>
      <c r="C67" s="826">
        <f>IF(D55&gt;0,ROUNDUP(D55,2),0)</f>
        <v>0</v>
      </c>
      <c r="D67" s="607" t="s">
        <v>182</v>
      </c>
      <c r="E67" s="2"/>
      <c r="F67" s="2"/>
      <c r="G67" s="55"/>
      <c r="H67" s="285" t="e">
        <f>H66*H77</f>
        <v>#DIV/0!</v>
      </c>
      <c r="I67" s="54" t="s">
        <v>362</v>
      </c>
      <c r="J67" s="288"/>
      <c r="K67" s="15"/>
    </row>
    <row r="68" spans="1:11" ht="15.75" thickBot="1">
      <c r="A68" s="8"/>
      <c r="B68" s="76" t="s">
        <v>92</v>
      </c>
      <c r="C68" s="668">
        <f>'User Inputs'!K274</f>
        <v>0</v>
      </c>
      <c r="D68" s="607" t="s">
        <v>581</v>
      </c>
      <c r="E68" s="2"/>
      <c r="F68" s="2"/>
      <c r="G68" s="57"/>
      <c r="H68" s="185" t="e">
        <f>H67*H79</f>
        <v>#DIV/0!</v>
      </c>
      <c r="I68" s="58" t="s">
        <v>488</v>
      </c>
      <c r="J68" s="289"/>
      <c r="K68" s="15"/>
    </row>
    <row r="69" spans="1:11" ht="15.75" thickBot="1">
      <c r="A69" s="2"/>
      <c r="B69" s="671" t="s">
        <v>390</v>
      </c>
      <c r="C69" s="672">
        <f>(C67*C68)</f>
        <v>0</v>
      </c>
      <c r="D69" s="615"/>
      <c r="E69" s="2"/>
      <c r="F69" s="2"/>
      <c r="J69" s="8"/>
      <c r="K69" s="15"/>
    </row>
    <row r="70" spans="1:11" ht="15">
      <c r="A70" s="2"/>
      <c r="B70" s="290"/>
      <c r="C70" s="291"/>
      <c r="D70" s="2"/>
      <c r="E70" s="2"/>
      <c r="G70" s="773" t="s">
        <v>322</v>
      </c>
      <c r="H70" s="774"/>
      <c r="I70" s="282"/>
      <c r="J70" s="775"/>
      <c r="K70" s="15"/>
    </row>
    <row r="71" spans="1:10" ht="15.75" thickBot="1">
      <c r="A71" s="2"/>
      <c r="B71" s="59"/>
      <c r="C71" s="8"/>
      <c r="D71" s="2"/>
      <c r="E71" s="2"/>
      <c r="F71" s="15"/>
      <c r="G71" s="57">
        <v>0.22</v>
      </c>
      <c r="H71" s="20"/>
      <c r="I71" s="20"/>
      <c r="J71" s="58"/>
    </row>
    <row r="72" spans="1:11" ht="15">
      <c r="A72" s="2"/>
      <c r="B72" s="292"/>
      <c r="C72" s="293"/>
      <c r="D72" s="2"/>
      <c r="E72" s="2"/>
      <c r="F72" s="53"/>
      <c r="K72" s="2"/>
    </row>
    <row r="73" spans="2:3" ht="15.75" thickBot="1">
      <c r="B73" s="15"/>
      <c r="C73" s="15"/>
    </row>
    <row r="74" spans="7:9" ht="15.75" thickBot="1">
      <c r="G74" s="133" t="s">
        <v>215</v>
      </c>
      <c r="H74" s="689"/>
      <c r="I74" s="677"/>
    </row>
    <row r="75" spans="2:9" ht="15">
      <c r="B75" s="675" t="s">
        <v>368</v>
      </c>
      <c r="C75" s="676" t="e">
        <f>C61*365</f>
        <v>#DIV/0!</v>
      </c>
      <c r="D75" s="677" t="s">
        <v>34</v>
      </c>
      <c r="E75" s="8"/>
      <c r="G75" s="76" t="s">
        <v>211</v>
      </c>
      <c r="H75" s="561">
        <v>28.31685</v>
      </c>
      <c r="I75" s="647" t="s">
        <v>212</v>
      </c>
    </row>
    <row r="76" spans="2:9" ht="15">
      <c r="B76" s="302" t="s">
        <v>351</v>
      </c>
      <c r="C76" s="9">
        <v>0.6</v>
      </c>
      <c r="D76" s="607"/>
      <c r="E76" s="2"/>
      <c r="G76" s="76"/>
      <c r="H76" s="561"/>
      <c r="I76" s="647"/>
    </row>
    <row r="77" spans="2:9" ht="17.25">
      <c r="B77" s="302" t="s">
        <v>35</v>
      </c>
      <c r="C77" s="9">
        <v>1011</v>
      </c>
      <c r="D77" s="571" t="s">
        <v>11</v>
      </c>
      <c r="E77" s="547"/>
      <c r="G77" s="76" t="s">
        <v>213</v>
      </c>
      <c r="H77" s="561">
        <v>0.0022046</v>
      </c>
      <c r="I77" s="647" t="s">
        <v>362</v>
      </c>
    </row>
    <row r="78" spans="2:9" ht="15">
      <c r="B78" s="76" t="s">
        <v>508</v>
      </c>
      <c r="C78" s="673" t="e">
        <f>(C75*C76*C77)</f>
        <v>#DIV/0!</v>
      </c>
      <c r="D78" s="607" t="s">
        <v>110</v>
      </c>
      <c r="E78" s="2"/>
      <c r="G78" s="76"/>
      <c r="H78" s="561"/>
      <c r="I78" s="647"/>
    </row>
    <row r="79" spans="2:9" ht="15">
      <c r="B79" s="76" t="s">
        <v>508</v>
      </c>
      <c r="C79" s="674" t="e">
        <f>(C75*C76*C77)/1000000</f>
        <v>#DIV/0!</v>
      </c>
      <c r="D79" s="607" t="s">
        <v>36</v>
      </c>
      <c r="E79" s="2"/>
      <c r="G79" s="76" t="s">
        <v>214</v>
      </c>
      <c r="H79" s="561">
        <v>0.0004535924</v>
      </c>
      <c r="I79" s="647" t="s">
        <v>174</v>
      </c>
    </row>
    <row r="80" spans="2:9" ht="15.75" thickBot="1">
      <c r="B80" s="303" t="s">
        <v>106</v>
      </c>
      <c r="C80" s="678" t="e">
        <f>((C75*C76*C77)/H81)*G71</f>
        <v>#DIV/0!</v>
      </c>
      <c r="D80" s="615" t="s">
        <v>107</v>
      </c>
      <c r="E80" s="2"/>
      <c r="G80" s="76"/>
      <c r="H80" s="561"/>
      <c r="I80" s="647"/>
    </row>
    <row r="81" spans="3:9" ht="15.75" thickBot="1">
      <c r="C81" s="456"/>
      <c r="G81" s="84" t="s">
        <v>108</v>
      </c>
      <c r="H81" s="690">
        <v>3412.1414799</v>
      </c>
      <c r="I81" s="649" t="s">
        <v>104</v>
      </c>
    </row>
    <row r="82" spans="2:11" ht="15">
      <c r="B82" s="683" t="s">
        <v>423</v>
      </c>
      <c r="C82" s="684"/>
      <c r="D82" s="684"/>
      <c r="E82" s="808"/>
      <c r="F82" s="663"/>
      <c r="I82" s="15"/>
      <c r="J82" s="15"/>
      <c r="K82" s="15"/>
    </row>
    <row r="83" spans="1:6" ht="15">
      <c r="A83" s="526"/>
      <c r="B83" s="76" t="s">
        <v>423</v>
      </c>
      <c r="C83" s="679">
        <v>0.15</v>
      </c>
      <c r="D83" s="9" t="s">
        <v>424</v>
      </c>
      <c r="E83" s="809"/>
      <c r="F83" s="607"/>
    </row>
    <row r="84" spans="1:6" ht="15">
      <c r="A84" s="526"/>
      <c r="B84" s="76" t="s">
        <v>446</v>
      </c>
      <c r="C84" s="680">
        <f>C69+C72</f>
        <v>0</v>
      </c>
      <c r="D84" s="9" t="s">
        <v>451</v>
      </c>
      <c r="E84" s="809"/>
      <c r="F84" s="607"/>
    </row>
    <row r="85" spans="1:6" ht="15">
      <c r="A85" s="526"/>
      <c r="B85" s="685" t="s">
        <v>423</v>
      </c>
      <c r="C85" s="680">
        <f>C84*C83</f>
        <v>0</v>
      </c>
      <c r="D85" s="9"/>
      <c r="E85" s="809"/>
      <c r="F85" s="607"/>
    </row>
    <row r="86" spans="1:14" ht="15">
      <c r="A86" s="526"/>
      <c r="B86" s="302"/>
      <c r="C86" s="9"/>
      <c r="D86" s="9"/>
      <c r="E86" s="809"/>
      <c r="F86" s="647"/>
      <c r="M86" s="15"/>
      <c r="N86" s="15"/>
    </row>
    <row r="87" spans="1:6" ht="15">
      <c r="A87" s="526"/>
      <c r="B87" s="670" t="s">
        <v>452</v>
      </c>
      <c r="C87" s="9"/>
      <c r="D87" s="9"/>
      <c r="E87" s="809"/>
      <c r="F87" s="607"/>
    </row>
    <row r="88" spans="1:6" ht="15">
      <c r="A88" s="526"/>
      <c r="B88" s="302" t="s">
        <v>453</v>
      </c>
      <c r="C88" s="681" t="e">
        <f>#REF!</f>
        <v>#REF!</v>
      </c>
      <c r="D88" s="9"/>
      <c r="E88" s="809"/>
      <c r="F88" s="607"/>
    </row>
    <row r="89" spans="1:6" ht="15">
      <c r="A89" s="526"/>
      <c r="B89" s="76" t="s">
        <v>446</v>
      </c>
      <c r="C89" s="680">
        <f>C84</f>
        <v>0</v>
      </c>
      <c r="D89" s="9" t="s">
        <v>451</v>
      </c>
      <c r="E89" s="809"/>
      <c r="F89" s="607"/>
    </row>
    <row r="90" spans="1:12" ht="15">
      <c r="A90" s="526"/>
      <c r="B90" s="76" t="s">
        <v>454</v>
      </c>
      <c r="C90" s="682">
        <v>1.25</v>
      </c>
      <c r="D90" s="9"/>
      <c r="E90" s="809"/>
      <c r="F90" s="607"/>
      <c r="G90" s="15"/>
      <c r="H90" s="15"/>
      <c r="I90" s="15"/>
      <c r="J90" s="15"/>
      <c r="K90" s="15"/>
      <c r="L90" s="15"/>
    </row>
    <row r="91" spans="1:6" ht="15">
      <c r="A91" s="526"/>
      <c r="B91" s="686" t="s">
        <v>12</v>
      </c>
      <c r="C91" s="680" t="e">
        <f>C89*C88*C90</f>
        <v>#REF!</v>
      </c>
      <c r="D91" s="9" t="s">
        <v>323</v>
      </c>
      <c r="E91" s="810"/>
      <c r="F91" s="687"/>
    </row>
    <row r="92" spans="1:6" ht="15.75" thickBot="1">
      <c r="A92" s="526"/>
      <c r="B92" s="303"/>
      <c r="C92" s="304"/>
      <c r="D92" s="688"/>
      <c r="E92" s="688"/>
      <c r="F92" s="615"/>
    </row>
    <row r="93" spans="1:6" ht="15">
      <c r="A93" s="526"/>
      <c r="F93" s="2"/>
    </row>
    <row r="94" ht="15.75" thickBot="1"/>
    <row r="95" spans="2:7" ht="15">
      <c r="B95" s="183" t="s">
        <v>193</v>
      </c>
      <c r="C95" s="282"/>
      <c r="D95" s="282"/>
      <c r="E95" s="282"/>
      <c r="F95" s="282"/>
      <c r="G95" s="147"/>
    </row>
    <row r="96" spans="2:7" ht="15">
      <c r="B96" s="302" t="s">
        <v>114</v>
      </c>
      <c r="C96" s="9"/>
      <c r="D96" s="9" t="s">
        <v>115</v>
      </c>
      <c r="E96" s="9"/>
      <c r="F96" s="9" t="s">
        <v>116</v>
      </c>
      <c r="G96" s="607"/>
    </row>
    <row r="97" spans="2:7" ht="15.75" thickBot="1">
      <c r="B97" s="705">
        <v>90</v>
      </c>
      <c r="C97" s="304"/>
      <c r="D97" s="613">
        <v>20</v>
      </c>
      <c r="E97" s="613"/>
      <c r="F97" s="706">
        <v>1</v>
      </c>
      <c r="G97" s="615"/>
    </row>
  </sheetData>
  <sheetProtection/>
  <mergeCells count="3">
    <mergeCell ref="B8:J8"/>
    <mergeCell ref="B10:I10"/>
    <mergeCell ref="G42:J43"/>
  </mergeCells>
  <hyperlinks>
    <hyperlink ref="G42" r:id="rId1" display="http://faculty.engineering.ucdavis.edu/jenkins/CBC/Calculator/EconModules/EconCalculator_GenericPowerOnly.xls"/>
    <hyperlink ref="E35" r:id="rId2" display="http://www.epa.gov/region09/waste/organics/ad/EBMUDFactSheet.pdf"/>
  </hyperlinks>
  <printOptions/>
  <pageMargins left="0.32" right="0.47" top="0.46" bottom="0.64" header="0.35" footer="0.5"/>
  <pageSetup fitToHeight="1" fitToWidth="1" horizontalDpi="600" verticalDpi="600" orientation="portrait" scale="49" r:id="rId4"/>
  <drawing r:id="rId3"/>
</worksheet>
</file>

<file path=xl/worksheets/sheet9.xml><?xml version="1.0" encoding="utf-8"?>
<worksheet xmlns="http://schemas.openxmlformats.org/spreadsheetml/2006/main" xmlns:r="http://schemas.openxmlformats.org/officeDocument/2006/relationships">
  <sheetPr>
    <tabColor indexed="52"/>
    <pageSetUpPr fitToPage="1"/>
  </sheetPr>
  <dimension ref="A1:Z61"/>
  <sheetViews>
    <sheetView zoomScale="85" zoomScaleNormal="85" zoomScalePageLayoutView="0" workbookViewId="0" topLeftCell="A1">
      <selection activeCell="B20" sqref="B20"/>
    </sheetView>
  </sheetViews>
  <sheetFormatPr defaultColWidth="9.140625" defaultRowHeight="12.75"/>
  <cols>
    <col min="1" max="1" width="13.140625" style="1" customWidth="1"/>
    <col min="2" max="2" width="38.00390625" style="1" customWidth="1"/>
    <col min="3" max="3" width="19.7109375" style="1" customWidth="1"/>
    <col min="4" max="4" width="10.8515625" style="1" customWidth="1"/>
    <col min="5" max="19" width="12.57421875" style="1" customWidth="1"/>
    <col min="20" max="21" width="11.57421875" style="1" customWidth="1"/>
    <col min="22" max="16384" width="9.140625" style="1" customWidth="1"/>
  </cols>
  <sheetData>
    <row r="1" spans="3:13" ht="11.25" customHeight="1">
      <c r="C1" s="21"/>
      <c r="M1" s="2"/>
    </row>
    <row r="2" spans="2:13" ht="18.75">
      <c r="B2" s="848" t="s">
        <v>14</v>
      </c>
      <c r="C2" s="316"/>
      <c r="D2" s="316"/>
      <c r="E2" s="316"/>
      <c r="F2" s="316"/>
      <c r="M2" s="2"/>
    </row>
    <row r="3" spans="2:13" ht="16.5" customHeight="1">
      <c r="B3" s="496" t="s">
        <v>13</v>
      </c>
      <c r="C3" s="710"/>
      <c r="D3" s="547"/>
      <c r="E3" s="547"/>
      <c r="F3" s="547"/>
      <c r="M3" s="2"/>
    </row>
    <row r="4" spans="2:22" ht="9.75" customHeight="1">
      <c r="B4" s="850"/>
      <c r="C4" s="710"/>
      <c r="D4" s="547"/>
      <c r="E4" s="547"/>
      <c r="F4" s="547"/>
      <c r="M4" s="2"/>
      <c r="V4" s="15"/>
    </row>
    <row r="5" spans="2:22" ht="19.5" customHeight="1">
      <c r="B5" s="11" t="s">
        <v>395</v>
      </c>
      <c r="C5" s="21"/>
      <c r="M5" s="2"/>
      <c r="V5" s="15"/>
    </row>
    <row r="6" spans="1:21" s="15" customFormat="1" ht="9.75" customHeight="1">
      <c r="A6" s="12"/>
      <c r="B6" s="12"/>
      <c r="C6" s="65"/>
      <c r="D6" s="12"/>
      <c r="E6" s="12"/>
      <c r="F6" s="12"/>
      <c r="G6" s="12"/>
      <c r="H6" s="12"/>
      <c r="I6" s="12"/>
      <c r="J6" s="12"/>
      <c r="K6" s="12"/>
      <c r="L6" s="12"/>
      <c r="M6" s="13"/>
      <c r="N6" s="12"/>
      <c r="O6" s="12"/>
      <c r="P6" s="12"/>
      <c r="Q6" s="12"/>
      <c r="R6" s="12"/>
      <c r="S6" s="12"/>
      <c r="T6" s="12"/>
      <c r="U6" s="12"/>
    </row>
    <row r="7" spans="1:22" s="14" customFormat="1" ht="6" customHeight="1">
      <c r="A7" s="18"/>
      <c r="B7" s="18"/>
      <c r="C7" s="66"/>
      <c r="D7" s="18"/>
      <c r="E7" s="18"/>
      <c r="F7" s="18"/>
      <c r="G7" s="18"/>
      <c r="H7" s="18"/>
      <c r="I7" s="18"/>
      <c r="J7" s="18"/>
      <c r="K7" s="18"/>
      <c r="L7" s="18"/>
      <c r="M7" s="19"/>
      <c r="N7" s="18"/>
      <c r="O7" s="18"/>
      <c r="P7" s="18"/>
      <c r="Q7" s="18"/>
      <c r="R7" s="18"/>
      <c r="S7" s="18"/>
      <c r="T7" s="18"/>
      <c r="U7" s="18"/>
      <c r="V7" s="16"/>
    </row>
    <row r="8" spans="2:25" s="220" customFormat="1" ht="72.75" customHeight="1">
      <c r="B8" s="1006" t="s">
        <v>403</v>
      </c>
      <c r="C8" s="1006"/>
      <c r="D8" s="1006"/>
      <c r="E8" s="1006"/>
      <c r="F8" s="1006"/>
      <c r="G8" s="1006"/>
      <c r="H8" s="1006"/>
      <c r="I8" s="1006"/>
      <c r="J8" s="1006"/>
      <c r="K8" s="467"/>
      <c r="L8" s="467"/>
      <c r="M8" s="467"/>
      <c r="N8" s="467"/>
      <c r="O8" s="222"/>
      <c r="P8" s="222"/>
      <c r="Q8" s="222"/>
      <c r="R8" s="222"/>
      <c r="S8" s="222"/>
      <c r="T8" s="222"/>
      <c r="U8" s="222"/>
      <c r="V8" s="222"/>
      <c r="W8" s="222"/>
      <c r="X8" s="222"/>
      <c r="Y8" s="222"/>
    </row>
    <row r="9" spans="2:25" s="220" customFormat="1" ht="49.5" customHeight="1">
      <c r="B9" s="1005" t="s">
        <v>396</v>
      </c>
      <c r="C9" s="1005"/>
      <c r="D9" s="1005"/>
      <c r="E9" s="1005"/>
      <c r="F9" s="1005"/>
      <c r="G9" s="1005"/>
      <c r="H9" s="1005"/>
      <c r="I9" s="1005"/>
      <c r="J9" s="1005"/>
      <c r="K9" s="281"/>
      <c r="L9" s="281"/>
      <c r="M9" s="281"/>
      <c r="N9" s="281"/>
      <c r="O9" s="281"/>
      <c r="P9" s="281"/>
      <c r="Q9" s="222"/>
      <c r="R9" s="222"/>
      <c r="S9" s="222"/>
      <c r="T9" s="222"/>
      <c r="U9" s="222"/>
      <c r="V9" s="222"/>
      <c r="W9" s="222"/>
      <c r="X9" s="222"/>
      <c r="Y9" s="222"/>
    </row>
    <row r="10" spans="1:26" s="96" customFormat="1" ht="6" customHeight="1">
      <c r="A10" s="94"/>
      <c r="B10" s="94"/>
      <c r="C10" s="94"/>
      <c r="D10" s="94"/>
      <c r="E10" s="94"/>
      <c r="F10" s="94"/>
      <c r="G10" s="94"/>
      <c r="H10" s="94"/>
      <c r="I10" s="94"/>
      <c r="J10" s="94"/>
      <c r="K10" s="94"/>
      <c r="L10" s="94"/>
      <c r="M10" s="94"/>
      <c r="N10" s="94"/>
      <c r="O10" s="94"/>
      <c r="P10" s="94"/>
      <c r="Q10" s="95"/>
      <c r="R10" s="94"/>
      <c r="S10" s="94"/>
      <c r="T10" s="94"/>
      <c r="U10" s="94"/>
      <c r="V10" s="94"/>
      <c r="W10" s="94"/>
      <c r="X10" s="94"/>
      <c r="Y10" s="94"/>
      <c r="Z10" s="94"/>
    </row>
    <row r="11" spans="1:21" s="15" customFormat="1" ht="9.75" customHeight="1">
      <c r="A11" s="12"/>
      <c r="B11" s="12"/>
      <c r="C11" s="65"/>
      <c r="D11" s="12"/>
      <c r="E11" s="12"/>
      <c r="F11" s="12"/>
      <c r="G11" s="12"/>
      <c r="H11" s="12"/>
      <c r="I11" s="12"/>
      <c r="J11" s="12"/>
      <c r="K11" s="12"/>
      <c r="L11" s="12"/>
      <c r="M11" s="13"/>
      <c r="N11" s="12"/>
      <c r="O11" s="12"/>
      <c r="P11" s="12"/>
      <c r="Q11" s="12"/>
      <c r="R11" s="12"/>
      <c r="S11" s="12"/>
      <c r="T11" s="12"/>
      <c r="U11" s="12"/>
    </row>
    <row r="12" spans="1:22" s="14" customFormat="1" ht="6" customHeight="1">
      <c r="A12" s="18"/>
      <c r="B12" s="18"/>
      <c r="C12" s="66"/>
      <c r="D12" s="18"/>
      <c r="E12" s="18"/>
      <c r="F12" s="18"/>
      <c r="G12" s="18"/>
      <c r="H12" s="18"/>
      <c r="I12" s="18"/>
      <c r="J12" s="18"/>
      <c r="K12" s="18"/>
      <c r="L12" s="18"/>
      <c r="M12" s="19"/>
      <c r="N12" s="18"/>
      <c r="O12" s="18"/>
      <c r="P12" s="18"/>
      <c r="Q12" s="18"/>
      <c r="R12" s="18"/>
      <c r="S12" s="18"/>
      <c r="T12" s="18"/>
      <c r="U12" s="18"/>
      <c r="V12" s="16"/>
    </row>
    <row r="14" ht="15">
      <c r="B14" s="3" t="s">
        <v>367</v>
      </c>
    </row>
    <row r="15" ht="15.75" thickBot="1">
      <c r="B15" s="3"/>
    </row>
    <row r="16" spans="2:9" ht="15.75" thickBot="1">
      <c r="B16" s="183" t="s">
        <v>491</v>
      </c>
      <c r="C16" s="691">
        <f>'User Inputs'!K274</f>
        <v>0</v>
      </c>
      <c r="D16" s="147"/>
      <c r="H16" s="3"/>
      <c r="I16" s="2"/>
    </row>
    <row r="17" spans="2:4" ht="15.75" thickBot="1">
      <c r="B17" s="218" t="s">
        <v>420</v>
      </c>
      <c r="C17" s="217">
        <f>'3. Transportation &amp; Processing'!C17+'3. Transportation &amp; Processing'!C19+'3. Transportation &amp; Processing'!C22</f>
        <v>0</v>
      </c>
      <c r="D17" s="58"/>
    </row>
    <row r="18" spans="2:3" ht="15.75" thickBot="1">
      <c r="B18" s="8"/>
      <c r="C18" s="69"/>
    </row>
    <row r="19" spans="2:10" ht="15.75" thickBot="1">
      <c r="B19" s="183" t="s">
        <v>503</v>
      </c>
      <c r="C19" s="692">
        <f>'User Inputs'!E196</f>
        <v>0</v>
      </c>
      <c r="D19" s="147" t="s">
        <v>254</v>
      </c>
      <c r="H19" s="279"/>
      <c r="I19" s="279"/>
      <c r="J19" s="278"/>
    </row>
    <row r="20" spans="2:4" ht="15.75" thickBot="1">
      <c r="B20" s="57" t="s">
        <v>27</v>
      </c>
      <c r="C20" s="385">
        <f>(SUM(C22:C24,C26:C27))-C29-C30</f>
        <v>0</v>
      </c>
      <c r="D20" s="58" t="s">
        <v>254</v>
      </c>
    </row>
    <row r="21" ht="15.75" thickBot="1">
      <c r="C21" s="42"/>
    </row>
    <row r="22" spans="2:4" ht="15.75" thickBot="1">
      <c r="B22" s="183" t="s">
        <v>499</v>
      </c>
      <c r="C22" s="386">
        <f>'3. Transportation &amp; Processing'!C27</f>
        <v>0</v>
      </c>
      <c r="D22" s="147" t="s">
        <v>189</v>
      </c>
    </row>
    <row r="23" spans="2:4" ht="15.75" thickBot="1">
      <c r="B23" s="52" t="s">
        <v>500</v>
      </c>
      <c r="C23" s="386">
        <f>'3. Transportation &amp; Processing'!C35</f>
        <v>0</v>
      </c>
      <c r="D23" s="54" t="s">
        <v>189</v>
      </c>
    </row>
    <row r="24" spans="2:4" ht="15.75" thickBot="1">
      <c r="B24" s="218" t="s">
        <v>501</v>
      </c>
      <c r="C24" s="386">
        <f>'3. Transportation &amp; Processing'!C40</f>
        <v>0</v>
      </c>
      <c r="D24" s="58" t="s">
        <v>189</v>
      </c>
    </row>
    <row r="25" ht="15.75" thickBot="1">
      <c r="C25" s="42"/>
    </row>
    <row r="26" spans="2:4" ht="15.75" thickBot="1">
      <c r="B26" s="183" t="s">
        <v>502</v>
      </c>
      <c r="C26" s="386">
        <f>'3. Transportation &amp; Processing'!C48</f>
        <v>0</v>
      </c>
      <c r="D26" s="147" t="s">
        <v>189</v>
      </c>
    </row>
    <row r="27" spans="2:4" ht="15.75" thickBot="1">
      <c r="B27" s="57" t="s">
        <v>489</v>
      </c>
      <c r="C27" s="275">
        <f>'3. Transportation &amp; Processing'!C52</f>
        <v>0</v>
      </c>
      <c r="D27" s="58" t="s">
        <v>189</v>
      </c>
    </row>
    <row r="28" ht="15.75" thickBot="1">
      <c r="C28" s="42"/>
    </row>
    <row r="29" spans="2:4" ht="15.75" thickBot="1">
      <c r="B29" s="183" t="s">
        <v>190</v>
      </c>
      <c r="C29" s="275">
        <f>'3. Transportation &amp; Processing'!C58</f>
        <v>0</v>
      </c>
      <c r="D29" s="147" t="s">
        <v>189</v>
      </c>
    </row>
    <row r="30" spans="2:4" ht="15.75" thickBot="1">
      <c r="B30" s="57" t="s">
        <v>419</v>
      </c>
      <c r="C30" s="275">
        <f>'3. Transportation &amp; Processing'!C56</f>
        <v>0</v>
      </c>
      <c r="D30" s="58" t="s">
        <v>189</v>
      </c>
    </row>
    <row r="31" spans="2:4" ht="15.75" thickBot="1">
      <c r="B31" s="2"/>
      <c r="C31" s="43"/>
      <c r="D31" s="2"/>
    </row>
    <row r="32" spans="2:4" ht="15.75" thickBot="1">
      <c r="B32" s="183" t="s">
        <v>416</v>
      </c>
      <c r="C32" s="692">
        <f>'User Inputs'!E184*1928</f>
        <v>0</v>
      </c>
      <c r="D32" s="147" t="s">
        <v>254</v>
      </c>
    </row>
    <row r="33" spans="2:4" ht="15.75" thickBot="1">
      <c r="B33" s="57" t="s">
        <v>329</v>
      </c>
      <c r="C33" s="693">
        <f>'User Inputs'!E190</f>
        <v>0</v>
      </c>
      <c r="D33" s="58" t="s">
        <v>418</v>
      </c>
    </row>
    <row r="34" spans="2:4" ht="15">
      <c r="B34" s="2"/>
      <c r="C34" s="384"/>
      <c r="D34" s="2"/>
    </row>
    <row r="35" ht="15">
      <c r="B35" s="3" t="s">
        <v>367</v>
      </c>
    </row>
    <row r="36" ht="15.75" thickBot="1">
      <c r="B36" s="3"/>
    </row>
    <row r="37" spans="2:4" ht="15.75" thickBot="1">
      <c r="B37" s="388" t="s">
        <v>340</v>
      </c>
      <c r="C37" s="445">
        <f>'User Inputs'!E280</f>
        <v>0</v>
      </c>
      <c r="D37" s="390" t="s">
        <v>254</v>
      </c>
    </row>
    <row r="38" spans="2:4" ht="15.75" thickBot="1">
      <c r="B38" s="389" t="s">
        <v>341</v>
      </c>
      <c r="C38" s="445">
        <f>'User Inputs'!E281</f>
        <v>0</v>
      </c>
      <c r="D38" s="391" t="s">
        <v>254</v>
      </c>
    </row>
    <row r="39" spans="2:4" ht="15">
      <c r="B39" s="2"/>
      <c r="C39" s="384"/>
      <c r="D39" s="2"/>
    </row>
    <row r="40" ht="15">
      <c r="O40" s="1" t="s">
        <v>349</v>
      </c>
    </row>
    <row r="41" spans="2:19" ht="16.5">
      <c r="B41" s="70" t="s">
        <v>461</v>
      </c>
      <c r="C41" s="464" t="s">
        <v>350</v>
      </c>
      <c r="E41" s="71">
        <v>1</v>
      </c>
      <c r="F41" s="4">
        <v>2</v>
      </c>
      <c r="G41" s="4">
        <v>3</v>
      </c>
      <c r="H41" s="4">
        <v>4</v>
      </c>
      <c r="I41" s="4">
        <v>5</v>
      </c>
      <c r="J41" s="4">
        <v>6</v>
      </c>
      <c r="K41" s="4">
        <v>7</v>
      </c>
      <c r="L41" s="4">
        <v>8</v>
      </c>
      <c r="M41" s="4">
        <v>9</v>
      </c>
      <c r="N41" s="4">
        <v>10</v>
      </c>
      <c r="O41" s="4">
        <v>11</v>
      </c>
      <c r="P41" s="4">
        <v>12</v>
      </c>
      <c r="Q41" s="4">
        <v>13</v>
      </c>
      <c r="R41" s="4">
        <v>14</v>
      </c>
      <c r="S41" s="72">
        <v>15</v>
      </c>
    </row>
    <row r="42" ht="15">
      <c r="B42" s="3" t="s">
        <v>455</v>
      </c>
    </row>
    <row r="43" spans="2:19" ht="15">
      <c r="B43" s="21" t="s">
        <v>456</v>
      </c>
      <c r="C43" s="73">
        <f>E43+NPV(C37,F43:S43)</f>
        <v>0</v>
      </c>
      <c r="E43" s="68">
        <f>-PMT(C$38,15,'6. Financial Model Output'!C16)</f>
        <v>0</v>
      </c>
      <c r="F43" s="68">
        <f>E43</f>
        <v>0</v>
      </c>
      <c r="G43" s="68">
        <f aca="true" t="shared" si="0" ref="G43:S43">F43</f>
        <v>0</v>
      </c>
      <c r="H43" s="68">
        <f>G43</f>
        <v>0</v>
      </c>
      <c r="I43" s="68">
        <f t="shared" si="0"/>
        <v>0</v>
      </c>
      <c r="J43" s="68">
        <f t="shared" si="0"/>
        <v>0</v>
      </c>
      <c r="K43" s="68">
        <f>J43</f>
        <v>0</v>
      </c>
      <c r="L43" s="68">
        <f t="shared" si="0"/>
        <v>0</v>
      </c>
      <c r="M43" s="68">
        <f t="shared" si="0"/>
        <v>0</v>
      </c>
      <c r="N43" s="68">
        <f t="shared" si="0"/>
        <v>0</v>
      </c>
      <c r="O43" s="68">
        <f t="shared" si="0"/>
        <v>0</v>
      </c>
      <c r="P43" s="68">
        <f t="shared" si="0"/>
        <v>0</v>
      </c>
      <c r="Q43" s="68">
        <f t="shared" si="0"/>
        <v>0</v>
      </c>
      <c r="R43" s="68">
        <f t="shared" si="0"/>
        <v>0</v>
      </c>
      <c r="S43" s="68">
        <f t="shared" si="0"/>
        <v>0</v>
      </c>
    </row>
    <row r="44" spans="2:19" ht="15">
      <c r="B44" s="21" t="s">
        <v>504</v>
      </c>
      <c r="C44" s="73">
        <f>E44+NPV('3. Transportation &amp; Processing'!$C$62,F44:S44)</f>
        <v>0</v>
      </c>
      <c r="E44" s="68">
        <f>-PMT(C$38,15,'6. Financial Model Output'!C17)</f>
        <v>0</v>
      </c>
      <c r="F44" s="68">
        <f>E44</f>
        <v>0</v>
      </c>
      <c r="G44" s="68">
        <f aca="true" t="shared" si="1" ref="G44:S44">F44</f>
        <v>0</v>
      </c>
      <c r="H44" s="68">
        <f>G44</f>
        <v>0</v>
      </c>
      <c r="I44" s="68">
        <f t="shared" si="1"/>
        <v>0</v>
      </c>
      <c r="J44" s="68">
        <f t="shared" si="1"/>
        <v>0</v>
      </c>
      <c r="K44" s="68">
        <f>J44</f>
        <v>0</v>
      </c>
      <c r="L44" s="68">
        <f t="shared" si="1"/>
        <v>0</v>
      </c>
      <c r="M44" s="68">
        <f t="shared" si="1"/>
        <v>0</v>
      </c>
      <c r="N44" s="68">
        <f t="shared" si="1"/>
        <v>0</v>
      </c>
      <c r="O44" s="68">
        <f t="shared" si="1"/>
        <v>0</v>
      </c>
      <c r="P44" s="68">
        <f t="shared" si="1"/>
        <v>0</v>
      </c>
      <c r="Q44" s="68">
        <f t="shared" si="1"/>
        <v>0</v>
      </c>
      <c r="R44" s="68">
        <f t="shared" si="1"/>
        <v>0</v>
      </c>
      <c r="S44" s="68">
        <f t="shared" si="1"/>
        <v>0</v>
      </c>
    </row>
    <row r="45" spans="3:19" ht="15">
      <c r="C45" s="73"/>
      <c r="E45" s="68"/>
      <c r="F45" s="68"/>
      <c r="G45" s="68"/>
      <c r="H45" s="68"/>
      <c r="I45" s="68"/>
      <c r="J45" s="68"/>
      <c r="K45" s="68"/>
      <c r="L45" s="68"/>
      <c r="M45" s="68"/>
      <c r="N45" s="68"/>
      <c r="O45" s="68"/>
      <c r="P45" s="68"/>
      <c r="Q45" s="68"/>
      <c r="R45" s="68"/>
      <c r="S45" s="68"/>
    </row>
    <row r="46" spans="2:19" ht="15">
      <c r="B46" s="3" t="s">
        <v>457</v>
      </c>
      <c r="C46" s="73"/>
      <c r="E46" s="68"/>
      <c r="F46" s="68"/>
      <c r="G46" s="68"/>
      <c r="H46" s="68"/>
      <c r="I46" s="68"/>
      <c r="J46" s="68"/>
      <c r="K46" s="68"/>
      <c r="L46" s="68"/>
      <c r="M46" s="68"/>
      <c r="N46" s="68"/>
      <c r="O46" s="68"/>
      <c r="P46" s="68"/>
      <c r="Q46" s="68"/>
      <c r="R46" s="68"/>
      <c r="S46" s="68"/>
    </row>
    <row r="47" spans="2:19" ht="15">
      <c r="B47" s="21" t="s">
        <v>505</v>
      </c>
      <c r="C47" s="73">
        <f>E47+NPV('3. Transportation &amp; Processing'!$C$62,F47:S47)</f>
        <v>0</v>
      </c>
      <c r="E47" s="68">
        <f>'3. Transportation &amp; Processing'!C27*52*7</f>
        <v>0</v>
      </c>
      <c r="F47" s="68"/>
      <c r="G47" s="68"/>
      <c r="H47" s="68"/>
      <c r="I47" s="68"/>
      <c r="J47" s="68"/>
      <c r="K47" s="68"/>
      <c r="L47" s="68"/>
      <c r="M47" s="68"/>
      <c r="N47" s="68"/>
      <c r="O47" s="68"/>
      <c r="P47" s="68"/>
      <c r="Q47" s="68"/>
      <c r="R47" s="68"/>
      <c r="S47" s="68"/>
    </row>
    <row r="48" spans="2:19" ht="15">
      <c r="B48" s="21" t="s">
        <v>506</v>
      </c>
      <c r="C48" s="73">
        <f>E48+NPV('3. Transportation &amp; Processing'!$C$62,F48:S48)</f>
        <v>0</v>
      </c>
      <c r="E48" s="68">
        <f>'3. Transportation &amp; Processing'!C35*52*7</f>
        <v>0</v>
      </c>
      <c r="F48" s="68"/>
      <c r="G48" s="68"/>
      <c r="H48" s="68"/>
      <c r="I48" s="68"/>
      <c r="J48" s="68"/>
      <c r="K48" s="68"/>
      <c r="L48" s="68"/>
      <c r="M48" s="68"/>
      <c r="N48" s="68"/>
      <c r="O48" s="68"/>
      <c r="P48" s="68"/>
      <c r="Q48" s="68"/>
      <c r="R48" s="68"/>
      <c r="S48" s="68"/>
    </row>
    <row r="49" spans="2:19" ht="15">
      <c r="B49" s="21" t="s">
        <v>507</v>
      </c>
      <c r="C49" s="73">
        <f>E49+NPV('3. Transportation &amp; Processing'!$C$62,F49:S49)</f>
        <v>0</v>
      </c>
      <c r="E49" s="68">
        <f>'3. Transportation &amp; Processing'!C48*52*7</f>
        <v>0</v>
      </c>
      <c r="F49" s="68"/>
      <c r="G49" s="68"/>
      <c r="H49" s="68"/>
      <c r="I49" s="68"/>
      <c r="J49" s="68"/>
      <c r="K49" s="68"/>
      <c r="L49" s="68"/>
      <c r="M49" s="68"/>
      <c r="N49" s="68"/>
      <c r="O49" s="68"/>
      <c r="P49" s="68"/>
      <c r="Q49" s="68"/>
      <c r="R49" s="68"/>
      <c r="S49" s="68"/>
    </row>
    <row r="50" spans="2:19" ht="15">
      <c r="B50" s="21" t="s">
        <v>458</v>
      </c>
      <c r="C50" s="73">
        <f>E50+NPV('3. Transportation &amp; Processing'!$C$62,F50:S50)</f>
        <v>0</v>
      </c>
      <c r="E50" s="68">
        <f>'3. Transportation &amp; Processing'!C52*52*7</f>
        <v>0</v>
      </c>
      <c r="F50" s="68"/>
      <c r="G50" s="68"/>
      <c r="H50" s="68"/>
      <c r="I50" s="68"/>
      <c r="J50" s="68"/>
      <c r="K50" s="68"/>
      <c r="L50" s="68"/>
      <c r="M50" s="68"/>
      <c r="N50" s="68"/>
      <c r="O50" s="68"/>
      <c r="P50" s="68"/>
      <c r="Q50" s="68"/>
      <c r="R50" s="68"/>
      <c r="S50" s="68"/>
    </row>
    <row r="51" spans="3:19" ht="15">
      <c r="C51" s="426"/>
      <c r="E51" s="461"/>
      <c r="F51" s="74"/>
      <c r="G51" s="74"/>
      <c r="H51" s="74"/>
      <c r="I51" s="74"/>
      <c r="J51" s="74"/>
      <c r="K51" s="74"/>
      <c r="L51" s="74"/>
      <c r="M51" s="74"/>
      <c r="N51" s="74"/>
      <c r="O51" s="74"/>
      <c r="P51" s="74"/>
      <c r="Q51" s="74"/>
      <c r="R51" s="74"/>
      <c r="S51" s="74"/>
    </row>
    <row r="52" spans="2:19" ht="15">
      <c r="B52" s="465" t="s">
        <v>352</v>
      </c>
      <c r="C52" s="462">
        <f>E52+NPV('3. Transportation &amp; Processing'!$C$62,F52:S52)</f>
        <v>0</v>
      </c>
      <c r="D52" s="215"/>
      <c r="E52" s="463">
        <f aca="true" t="shared" si="2" ref="E52:S52">SUM(E43:E51)</f>
        <v>0</v>
      </c>
      <c r="F52" s="68">
        <f t="shared" si="2"/>
        <v>0</v>
      </c>
      <c r="G52" s="68">
        <f t="shared" si="2"/>
        <v>0</v>
      </c>
      <c r="H52" s="68">
        <f t="shared" si="2"/>
        <v>0</v>
      </c>
      <c r="I52" s="68">
        <f t="shared" si="2"/>
        <v>0</v>
      </c>
      <c r="J52" s="68">
        <f t="shared" si="2"/>
        <v>0</v>
      </c>
      <c r="K52" s="68">
        <f t="shared" si="2"/>
        <v>0</v>
      </c>
      <c r="L52" s="68">
        <f t="shared" si="2"/>
        <v>0</v>
      </c>
      <c r="M52" s="68">
        <f t="shared" si="2"/>
        <v>0</v>
      </c>
      <c r="N52" s="68">
        <f t="shared" si="2"/>
        <v>0</v>
      </c>
      <c r="O52" s="68">
        <f t="shared" si="2"/>
        <v>0</v>
      </c>
      <c r="P52" s="68">
        <f t="shared" si="2"/>
        <v>0</v>
      </c>
      <c r="Q52" s="68">
        <f t="shared" si="2"/>
        <v>0</v>
      </c>
      <c r="R52" s="68">
        <f t="shared" si="2"/>
        <v>0</v>
      </c>
      <c r="S52" s="68">
        <f t="shared" si="2"/>
        <v>0</v>
      </c>
    </row>
    <row r="53" ht="15">
      <c r="B53" s="3"/>
    </row>
    <row r="54" spans="5:19" ht="15">
      <c r="E54" s="73"/>
      <c r="F54" s="73"/>
      <c r="G54" s="73"/>
      <c r="H54" s="73"/>
      <c r="I54" s="73"/>
      <c r="J54" s="73"/>
      <c r="K54" s="73"/>
      <c r="L54" s="73"/>
      <c r="M54" s="73"/>
      <c r="N54" s="73"/>
      <c r="O54" s="73"/>
      <c r="P54" s="73"/>
      <c r="Q54" s="73"/>
      <c r="R54" s="73"/>
      <c r="S54" s="73"/>
    </row>
    <row r="56" spans="2:19" ht="16.5">
      <c r="B56" s="70" t="s">
        <v>402</v>
      </c>
      <c r="C56" s="464" t="s">
        <v>350</v>
      </c>
      <c r="E56" s="71">
        <v>1</v>
      </c>
      <c r="F56" s="4">
        <v>2</v>
      </c>
      <c r="G56" s="4">
        <v>3</v>
      </c>
      <c r="H56" s="4">
        <v>4</v>
      </c>
      <c r="I56" s="4">
        <v>5</v>
      </c>
      <c r="J56" s="4">
        <v>6</v>
      </c>
      <c r="K56" s="4">
        <v>7</v>
      </c>
      <c r="L56" s="4">
        <v>8</v>
      </c>
      <c r="M56" s="4">
        <v>9</v>
      </c>
      <c r="N56" s="4">
        <v>10</v>
      </c>
      <c r="O56" s="4">
        <v>11</v>
      </c>
      <c r="P56" s="4">
        <v>12</v>
      </c>
      <c r="Q56" s="4">
        <v>13</v>
      </c>
      <c r="R56" s="4">
        <v>14</v>
      </c>
      <c r="S56" s="72">
        <v>15</v>
      </c>
    </row>
    <row r="57" ht="15">
      <c r="B57" s="3" t="s">
        <v>404</v>
      </c>
    </row>
    <row r="58" spans="2:19" ht="15">
      <c r="B58" s="21" t="s">
        <v>405</v>
      </c>
      <c r="C58" s="73" t="e">
        <f>E58+NPV(C37,F58:S58)</f>
        <v>#DIV/0!</v>
      </c>
      <c r="E58" s="50" t="e">
        <f>'1-Page Summary'!C80</f>
        <v>#DIV/0!</v>
      </c>
      <c r="F58" s="50" t="e">
        <f>E58*(1+'User Inputs'!$E289)</f>
        <v>#DIV/0!</v>
      </c>
      <c r="G58" s="50" t="e">
        <f>F58*(1+'User Inputs'!$E289)</f>
        <v>#DIV/0!</v>
      </c>
      <c r="H58" s="50" t="e">
        <f>G58*(1+'User Inputs'!$E289)</f>
        <v>#DIV/0!</v>
      </c>
      <c r="I58" s="50" t="e">
        <f>H58*(1+'User Inputs'!$E289)</f>
        <v>#DIV/0!</v>
      </c>
      <c r="J58" s="50" t="e">
        <f>I58*(1+'User Inputs'!$E289)</f>
        <v>#DIV/0!</v>
      </c>
      <c r="K58" s="50" t="e">
        <f>J58*(1+'User Inputs'!$E289)</f>
        <v>#DIV/0!</v>
      </c>
      <c r="L58" s="50" t="e">
        <f>K58*(1+'User Inputs'!$E289)</f>
        <v>#DIV/0!</v>
      </c>
      <c r="M58" s="50" t="e">
        <f>L58*(1+'User Inputs'!$E289)</f>
        <v>#DIV/0!</v>
      </c>
      <c r="N58" s="50" t="e">
        <f>M58*(1+'User Inputs'!$E289)</f>
        <v>#DIV/0!</v>
      </c>
      <c r="O58" s="50" t="e">
        <f>N58*(1+'User Inputs'!$E289)</f>
        <v>#DIV/0!</v>
      </c>
      <c r="P58" s="50" t="e">
        <f>O58*(1+'User Inputs'!$E289)</f>
        <v>#DIV/0!</v>
      </c>
      <c r="Q58" s="50" t="e">
        <f>P58*(1+'User Inputs'!$E289)</f>
        <v>#DIV/0!</v>
      </c>
      <c r="R58" s="50" t="e">
        <f>Q58*(1+'User Inputs'!$E289)</f>
        <v>#DIV/0!</v>
      </c>
      <c r="S58" s="50" t="e">
        <f>R58*(1+'User Inputs'!$E289)</f>
        <v>#DIV/0!</v>
      </c>
    </row>
    <row r="59" spans="2:19" ht="15">
      <c r="B59" s="465" t="s">
        <v>407</v>
      </c>
      <c r="C59" s="462" t="e">
        <f>C58</f>
        <v>#DIV/0!</v>
      </c>
      <c r="D59" s="462">
        <f aca="true" t="shared" si="3" ref="D59:S59">D58</f>
        <v>0</v>
      </c>
      <c r="E59" s="462" t="e">
        <f t="shared" si="3"/>
        <v>#DIV/0!</v>
      </c>
      <c r="F59" s="462" t="e">
        <f t="shared" si="3"/>
        <v>#DIV/0!</v>
      </c>
      <c r="G59" s="462" t="e">
        <f t="shared" si="3"/>
        <v>#DIV/0!</v>
      </c>
      <c r="H59" s="462" t="e">
        <f t="shared" si="3"/>
        <v>#DIV/0!</v>
      </c>
      <c r="I59" s="462" t="e">
        <f t="shared" si="3"/>
        <v>#DIV/0!</v>
      </c>
      <c r="J59" s="462" t="e">
        <f t="shared" si="3"/>
        <v>#DIV/0!</v>
      </c>
      <c r="K59" s="462" t="e">
        <f t="shared" si="3"/>
        <v>#DIV/0!</v>
      </c>
      <c r="L59" s="462" t="e">
        <f t="shared" si="3"/>
        <v>#DIV/0!</v>
      </c>
      <c r="M59" s="462" t="e">
        <f t="shared" si="3"/>
        <v>#DIV/0!</v>
      </c>
      <c r="N59" s="462" t="e">
        <f t="shared" si="3"/>
        <v>#DIV/0!</v>
      </c>
      <c r="O59" s="462" t="e">
        <f t="shared" si="3"/>
        <v>#DIV/0!</v>
      </c>
      <c r="P59" s="462" t="e">
        <f t="shared" si="3"/>
        <v>#DIV/0!</v>
      </c>
      <c r="Q59" s="462" t="e">
        <f t="shared" si="3"/>
        <v>#DIV/0!</v>
      </c>
      <c r="R59" s="462" t="e">
        <f t="shared" si="3"/>
        <v>#DIV/0!</v>
      </c>
      <c r="S59" s="462" t="e">
        <f t="shared" si="3"/>
        <v>#DIV/0!</v>
      </c>
    </row>
    <row r="60" spans="5:19" ht="15">
      <c r="E60" s="50"/>
      <c r="F60" s="50"/>
      <c r="G60" s="50"/>
      <c r="H60" s="50"/>
      <c r="I60" s="50"/>
      <c r="J60" s="50"/>
      <c r="K60" s="50"/>
      <c r="L60" s="50"/>
      <c r="M60" s="50"/>
      <c r="N60" s="50"/>
      <c r="O60" s="50"/>
      <c r="P60" s="50"/>
      <c r="Q60" s="50"/>
      <c r="R60" s="50"/>
      <c r="S60" s="50"/>
    </row>
    <row r="61" spans="2:19" ht="16.5">
      <c r="B61" s="466" t="s">
        <v>366</v>
      </c>
      <c r="C61" s="75" t="e">
        <f>C59-C52</f>
        <v>#DIV/0!</v>
      </c>
      <c r="D61" s="75">
        <f aca="true" t="shared" si="4" ref="D61:S61">D59-D52</f>
        <v>0</v>
      </c>
      <c r="E61" s="75" t="e">
        <f t="shared" si="4"/>
        <v>#DIV/0!</v>
      </c>
      <c r="F61" s="75" t="e">
        <f t="shared" si="4"/>
        <v>#DIV/0!</v>
      </c>
      <c r="G61" s="75" t="e">
        <f t="shared" si="4"/>
        <v>#DIV/0!</v>
      </c>
      <c r="H61" s="75" t="e">
        <f t="shared" si="4"/>
        <v>#DIV/0!</v>
      </c>
      <c r="I61" s="75" t="e">
        <f t="shared" si="4"/>
        <v>#DIV/0!</v>
      </c>
      <c r="J61" s="75" t="e">
        <f t="shared" si="4"/>
        <v>#DIV/0!</v>
      </c>
      <c r="K61" s="75" t="e">
        <f t="shared" si="4"/>
        <v>#DIV/0!</v>
      </c>
      <c r="L61" s="75" t="e">
        <f t="shared" si="4"/>
        <v>#DIV/0!</v>
      </c>
      <c r="M61" s="75" t="e">
        <f t="shared" si="4"/>
        <v>#DIV/0!</v>
      </c>
      <c r="N61" s="75" t="e">
        <f t="shared" si="4"/>
        <v>#DIV/0!</v>
      </c>
      <c r="O61" s="75" t="e">
        <f t="shared" si="4"/>
        <v>#DIV/0!</v>
      </c>
      <c r="P61" s="75" t="e">
        <f t="shared" si="4"/>
        <v>#DIV/0!</v>
      </c>
      <c r="Q61" s="75" t="e">
        <f t="shared" si="4"/>
        <v>#DIV/0!</v>
      </c>
      <c r="R61" s="75" t="e">
        <f t="shared" si="4"/>
        <v>#DIV/0!</v>
      </c>
      <c r="S61" s="75" t="e">
        <f t="shared" si="4"/>
        <v>#DIV/0!</v>
      </c>
    </row>
  </sheetData>
  <sheetProtection/>
  <mergeCells count="2">
    <mergeCell ref="B8:J8"/>
    <mergeCell ref="B9:J9"/>
  </mergeCells>
  <printOptions/>
  <pageMargins left="0.57" right="0.31" top="0.44" bottom="0.56" header="0.35" footer="0.5"/>
  <pageSetup fitToHeight="1" fitToWidth="1" horizontalDpi="600" verticalDpi="600" orientation="landscape"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EM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Co-Digestion Economic Analysis Tool</dc:title>
  <dc:subject>EPA Food Waste Biogas Economic Model</dc:subject>
  <dc:creator>US EPA</dc:creator>
  <cp:keywords>CoEAT, organics</cp:keywords>
  <dc:description/>
  <cp:lastModifiedBy>Default2</cp:lastModifiedBy>
  <cp:lastPrinted>2010-07-15T21:29:18Z</cp:lastPrinted>
  <dcterms:created xsi:type="dcterms:W3CDTF">2008-08-14T20:37:03Z</dcterms:created>
  <dcterms:modified xsi:type="dcterms:W3CDTF">2010-08-04T22:37:20Z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