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45" windowHeight="5145" tabRatio="781" activeTab="0"/>
  </bookViews>
  <sheets>
    <sheet name="Model Description" sheetId="1" r:id="rId1"/>
    <sheet name="Chemical Specific Inputs" sheetId="2" r:id="rId2"/>
    <sheet name="Ecosystem Inputs" sheetId="3" r:id="rId3"/>
    <sheet name="Parameters &amp; Calculations" sheetId="4" r:id="rId4"/>
    <sheet name="Results" sheetId="5" r:id="rId5"/>
  </sheets>
  <definedNames>
    <definedName name="_xlnm.Print_Area" localSheetId="1">'Chemical Specific Inputs'!$B$2:$G$42</definedName>
    <definedName name="_xlnm.Print_Area" localSheetId="2">'Ecosystem Inputs'!$B$2:$H$89</definedName>
    <definedName name="_xlnm.Print_Area" localSheetId="0">'Model Description'!$A$1:$B$48</definedName>
    <definedName name="_xlnm.Print_Area" localSheetId="3">'Parameters &amp; Calculations'!$A$1:$I$89</definedName>
    <definedName name="_xlnm.Print_Area" localSheetId="4">'Results'!$A$1:$G$110</definedName>
    <definedName name="_xlnm.Print_Titles" localSheetId="3">'Parameters &amp; Calculations'!$1:$2</definedName>
    <definedName name="ZA0" localSheetId="1">"Crystal Ball Data : Ver. 5.1"</definedName>
    <definedName name="ZA0" localSheetId="2">"Crystal Ball Data : Ver. 5.1"</definedName>
    <definedName name="ZA0" localSheetId="3">"Crystal Ball Data : Ver. 5.1"</definedName>
    <definedName name="ZA0" localSheetId="4">"Crystal Ball Data : Ver. 5.1"</definedName>
    <definedName name="ZA0A" localSheetId="1">0+104</definedName>
    <definedName name="ZA0A" localSheetId="2">0+117</definedName>
    <definedName name="ZA0A" localSheetId="3">0+111</definedName>
    <definedName name="ZA0A" localSheetId="4">0+0</definedName>
    <definedName name="ZA0C" localSheetId="1">0+0</definedName>
    <definedName name="ZA0C" localSheetId="2">0+0</definedName>
    <definedName name="ZA0C" localSheetId="3">0+0</definedName>
    <definedName name="ZA0C" localSheetId="4">0+0</definedName>
    <definedName name="ZA0D" localSheetId="1">0+0</definedName>
    <definedName name="ZA0D" localSheetId="2">0+0</definedName>
    <definedName name="ZA0D" localSheetId="3">0+0</definedName>
    <definedName name="ZA0D" localSheetId="4">0+0</definedName>
    <definedName name="ZA0F" localSheetId="1">0+100</definedName>
    <definedName name="ZA0F" localSheetId="2">0+0</definedName>
    <definedName name="ZA0F" localSheetId="3">0+0</definedName>
    <definedName name="ZA0F" localSheetId="4">0+144</definedName>
    <definedName name="ZA0T" localSheetId="1">591906+0</definedName>
    <definedName name="ZA0T" localSheetId="2">561796+0</definedName>
    <definedName name="ZA0T" localSheetId="3">524468+0</definedName>
    <definedName name="ZA0T" localSheetId="4">455125+0</definedName>
  </definedNames>
  <calcPr fullCalcOnLoad="1"/>
</workbook>
</file>

<file path=xl/sharedStrings.xml><?xml version="1.0" encoding="utf-8"?>
<sst xmlns="http://schemas.openxmlformats.org/spreadsheetml/2006/main" count="555" uniqueCount="264">
  <si>
    <t>Environmental Fate and Effects Division (OPP-EFED) in collaboration with ORD</t>
  </si>
  <si>
    <t>Benthic Invertebrates</t>
  </si>
  <si>
    <t xml:space="preserve"> </t>
  </si>
  <si>
    <t>Value</t>
  </si>
  <si>
    <t>Arnot, J.A. and F.A.P.C. Gobas. 2004. A food web bioaccumulation model for organic chemicals in aquatic ecosystems. Environmental Toxicology and Chemistry, v23 (10), 2343-2355.</t>
  </si>
  <si>
    <t>Ф</t>
  </si>
  <si>
    <t>β</t>
  </si>
  <si>
    <t>T</t>
  </si>
  <si>
    <t>Model</t>
  </si>
  <si>
    <t>Version</t>
  </si>
  <si>
    <t>Date</t>
  </si>
  <si>
    <t>Developers</t>
  </si>
  <si>
    <r>
      <t>k</t>
    </r>
    <r>
      <rPr>
        <vertAlign val="subscript"/>
        <sz val="10"/>
        <color indexed="12"/>
        <rFont val="Arial"/>
        <family val="0"/>
      </rPr>
      <t>1</t>
    </r>
  </si>
  <si>
    <r>
      <t>k</t>
    </r>
    <r>
      <rPr>
        <vertAlign val="subscript"/>
        <sz val="10"/>
        <color indexed="12"/>
        <rFont val="Arial"/>
        <family val="0"/>
      </rPr>
      <t>2</t>
    </r>
  </si>
  <si>
    <r>
      <t>m</t>
    </r>
    <r>
      <rPr>
        <vertAlign val="subscript"/>
        <sz val="10"/>
        <color indexed="12"/>
        <rFont val="Arial"/>
        <family val="0"/>
      </rPr>
      <t>o</t>
    </r>
  </si>
  <si>
    <r>
      <t>C</t>
    </r>
    <r>
      <rPr>
        <vertAlign val="subscript"/>
        <sz val="10"/>
        <color indexed="12"/>
        <rFont val="Arial"/>
        <family val="0"/>
      </rPr>
      <t>WTO</t>
    </r>
  </si>
  <si>
    <r>
      <t>m</t>
    </r>
    <r>
      <rPr>
        <vertAlign val="subscript"/>
        <sz val="10"/>
        <color indexed="12"/>
        <rFont val="Arial"/>
        <family val="0"/>
      </rPr>
      <t>p</t>
    </r>
  </si>
  <si>
    <r>
      <t>k</t>
    </r>
    <r>
      <rPr>
        <vertAlign val="subscript"/>
        <sz val="10"/>
        <color indexed="12"/>
        <rFont val="Arial"/>
        <family val="0"/>
      </rPr>
      <t>D</t>
    </r>
  </si>
  <si>
    <r>
      <t>k</t>
    </r>
    <r>
      <rPr>
        <vertAlign val="subscript"/>
        <sz val="10"/>
        <color indexed="12"/>
        <rFont val="Arial"/>
        <family val="0"/>
      </rPr>
      <t>E</t>
    </r>
  </si>
  <si>
    <r>
      <t>k</t>
    </r>
    <r>
      <rPr>
        <vertAlign val="subscript"/>
        <sz val="10"/>
        <color indexed="12"/>
        <rFont val="Arial"/>
        <family val="0"/>
      </rPr>
      <t>M</t>
    </r>
  </si>
  <si>
    <r>
      <t>K</t>
    </r>
    <r>
      <rPr>
        <vertAlign val="subscript"/>
        <sz val="10"/>
        <color indexed="12"/>
        <rFont val="Arial"/>
        <family val="0"/>
      </rPr>
      <t>OW</t>
    </r>
  </si>
  <si>
    <r>
      <t>C</t>
    </r>
    <r>
      <rPr>
        <vertAlign val="subscript"/>
        <sz val="10"/>
        <color indexed="12"/>
        <rFont val="Arial"/>
        <family val="0"/>
      </rPr>
      <t>ox</t>
    </r>
  </si>
  <si>
    <r>
      <t>W</t>
    </r>
    <r>
      <rPr>
        <vertAlign val="subscript"/>
        <sz val="10"/>
        <color indexed="12"/>
        <rFont val="Arial"/>
        <family val="0"/>
      </rPr>
      <t>B</t>
    </r>
  </si>
  <si>
    <r>
      <t>G</t>
    </r>
    <r>
      <rPr>
        <vertAlign val="subscript"/>
        <sz val="10"/>
        <color indexed="12"/>
        <rFont val="Arial"/>
        <family val="0"/>
      </rPr>
      <t>V</t>
    </r>
  </si>
  <si>
    <r>
      <t>E</t>
    </r>
    <r>
      <rPr>
        <vertAlign val="subscript"/>
        <sz val="10"/>
        <color indexed="12"/>
        <rFont val="Arial"/>
        <family val="0"/>
      </rPr>
      <t>W</t>
    </r>
  </si>
  <si>
    <r>
      <t>V</t>
    </r>
    <r>
      <rPr>
        <vertAlign val="subscript"/>
        <sz val="10"/>
        <color indexed="12"/>
        <rFont val="Arial"/>
        <family val="0"/>
      </rPr>
      <t>LB</t>
    </r>
  </si>
  <si>
    <r>
      <t>V</t>
    </r>
    <r>
      <rPr>
        <vertAlign val="subscript"/>
        <sz val="10"/>
        <color indexed="12"/>
        <rFont val="Arial"/>
        <family val="0"/>
      </rPr>
      <t>NB</t>
    </r>
  </si>
  <si>
    <r>
      <t>V</t>
    </r>
    <r>
      <rPr>
        <vertAlign val="subscript"/>
        <sz val="10"/>
        <color indexed="12"/>
        <rFont val="Arial"/>
        <family val="0"/>
      </rPr>
      <t>WB</t>
    </r>
  </si>
  <si>
    <r>
      <t>E</t>
    </r>
    <r>
      <rPr>
        <vertAlign val="subscript"/>
        <sz val="10"/>
        <color indexed="12"/>
        <rFont val="Arial"/>
        <family val="0"/>
      </rPr>
      <t>D</t>
    </r>
  </si>
  <si>
    <r>
      <t>G</t>
    </r>
    <r>
      <rPr>
        <vertAlign val="subscript"/>
        <sz val="10"/>
        <color indexed="12"/>
        <rFont val="Arial"/>
        <family val="0"/>
      </rPr>
      <t>D</t>
    </r>
  </si>
  <si>
    <r>
      <t>G</t>
    </r>
    <r>
      <rPr>
        <vertAlign val="subscript"/>
        <sz val="10"/>
        <color indexed="12"/>
        <rFont val="Arial"/>
        <family val="0"/>
      </rPr>
      <t>F</t>
    </r>
  </si>
  <si>
    <r>
      <t>ε</t>
    </r>
    <r>
      <rPr>
        <vertAlign val="subscript"/>
        <sz val="10"/>
        <color indexed="12"/>
        <rFont val="Arial"/>
        <family val="0"/>
      </rPr>
      <t>L</t>
    </r>
  </si>
  <si>
    <r>
      <t>ε</t>
    </r>
    <r>
      <rPr>
        <vertAlign val="subscript"/>
        <sz val="10"/>
        <color indexed="12"/>
        <rFont val="Arial"/>
        <family val="0"/>
      </rPr>
      <t>N</t>
    </r>
  </si>
  <si>
    <r>
      <t>V</t>
    </r>
    <r>
      <rPr>
        <vertAlign val="subscript"/>
        <sz val="10"/>
        <color indexed="12"/>
        <rFont val="Arial"/>
        <family val="0"/>
      </rPr>
      <t>LD</t>
    </r>
  </si>
  <si>
    <r>
      <t>V</t>
    </r>
    <r>
      <rPr>
        <vertAlign val="subscript"/>
        <sz val="10"/>
        <color indexed="12"/>
        <rFont val="Arial"/>
        <family val="2"/>
      </rPr>
      <t>ND</t>
    </r>
  </si>
  <si>
    <r>
      <t>V</t>
    </r>
    <r>
      <rPr>
        <vertAlign val="subscript"/>
        <sz val="10"/>
        <color indexed="12"/>
        <rFont val="Arial"/>
        <family val="0"/>
      </rPr>
      <t>WD</t>
    </r>
  </si>
  <si>
    <r>
      <t>V</t>
    </r>
    <r>
      <rPr>
        <vertAlign val="subscript"/>
        <sz val="10"/>
        <color indexed="12"/>
        <rFont val="Arial"/>
        <family val="0"/>
      </rPr>
      <t>LG</t>
    </r>
  </si>
  <si>
    <r>
      <t>V</t>
    </r>
    <r>
      <rPr>
        <vertAlign val="subscript"/>
        <sz val="10"/>
        <color indexed="12"/>
        <rFont val="Arial"/>
        <family val="0"/>
      </rPr>
      <t>NG</t>
    </r>
  </si>
  <si>
    <r>
      <t>V</t>
    </r>
    <r>
      <rPr>
        <vertAlign val="subscript"/>
        <sz val="10"/>
        <color indexed="12"/>
        <rFont val="Arial"/>
        <family val="0"/>
      </rPr>
      <t>WG</t>
    </r>
  </si>
  <si>
    <r>
      <t>k</t>
    </r>
    <r>
      <rPr>
        <vertAlign val="subscript"/>
        <sz val="10"/>
        <color indexed="12"/>
        <rFont val="Arial"/>
        <family val="0"/>
      </rPr>
      <t>G</t>
    </r>
  </si>
  <si>
    <r>
      <t>C</t>
    </r>
    <r>
      <rPr>
        <vertAlign val="subscript"/>
        <sz val="10"/>
        <color indexed="12"/>
        <rFont val="Arial"/>
        <family val="0"/>
      </rPr>
      <t>S</t>
    </r>
  </si>
  <si>
    <t>Parameter</t>
  </si>
  <si>
    <t>Phyto plankton</t>
  </si>
  <si>
    <t>Zoo  plankton</t>
  </si>
  <si>
    <t>Characteristic</t>
  </si>
  <si>
    <t>phytoplankton</t>
  </si>
  <si>
    <t>zooplankton</t>
  </si>
  <si>
    <t>benthic invertebrates</t>
  </si>
  <si>
    <t>N/A</t>
  </si>
  <si>
    <t>% lipids</t>
  </si>
  <si>
    <t>% NLOM</t>
  </si>
  <si>
    <t>% Water</t>
  </si>
  <si>
    <r>
      <t>k</t>
    </r>
    <r>
      <rPr>
        <vertAlign val="subscript"/>
        <sz val="10"/>
        <color indexed="12"/>
        <rFont val="Arial"/>
        <family val="2"/>
      </rPr>
      <t>D</t>
    </r>
  </si>
  <si>
    <t>Zooplankton</t>
  </si>
  <si>
    <t>Pesticide Name</t>
  </si>
  <si>
    <r>
      <t>C</t>
    </r>
    <r>
      <rPr>
        <vertAlign val="subscript"/>
        <sz val="10"/>
        <color indexed="12"/>
        <rFont val="Arial"/>
        <family val="0"/>
      </rPr>
      <t>WDP</t>
    </r>
  </si>
  <si>
    <r>
      <t>C</t>
    </r>
    <r>
      <rPr>
        <vertAlign val="subscript"/>
        <sz val="10"/>
        <color indexed="12"/>
        <rFont val="Arial"/>
        <family val="0"/>
      </rPr>
      <t>SOC</t>
    </r>
  </si>
  <si>
    <t>OC</t>
  </si>
  <si>
    <r>
      <t>Σ (P</t>
    </r>
    <r>
      <rPr>
        <vertAlign val="subscript"/>
        <sz val="10"/>
        <color indexed="12"/>
        <rFont val="Arial"/>
        <family val="2"/>
      </rPr>
      <t>i</t>
    </r>
    <r>
      <rPr>
        <sz val="10"/>
        <color indexed="12"/>
        <rFont val="Arial"/>
        <family val="0"/>
      </rPr>
      <t xml:space="preserve"> * C</t>
    </r>
    <r>
      <rPr>
        <vertAlign val="subscript"/>
        <sz val="10"/>
        <color indexed="12"/>
        <rFont val="Arial"/>
        <family val="2"/>
      </rPr>
      <t>Di</t>
    </r>
    <r>
      <rPr>
        <sz val="10"/>
        <color indexed="12"/>
        <rFont val="Arial"/>
        <family val="0"/>
      </rPr>
      <t>)</t>
    </r>
  </si>
  <si>
    <t>Ecosystem Component</t>
  </si>
  <si>
    <t>Phytoplankton</t>
  </si>
  <si>
    <t>Sediment (pore water)*</t>
  </si>
  <si>
    <t>Water (freely dissolved)*</t>
  </si>
  <si>
    <t>Model Description</t>
  </si>
  <si>
    <t>References</t>
  </si>
  <si>
    <t>Required input</t>
  </si>
  <si>
    <r>
      <t>Log K</t>
    </r>
    <r>
      <rPr>
        <vertAlign val="subscript"/>
        <sz val="10"/>
        <rFont val="Arial"/>
        <family val="2"/>
      </rPr>
      <t>OW</t>
    </r>
  </si>
  <si>
    <r>
      <t>K</t>
    </r>
    <r>
      <rPr>
        <vertAlign val="subscript"/>
        <sz val="10"/>
        <rFont val="Arial"/>
        <family val="2"/>
      </rPr>
      <t>OW</t>
    </r>
  </si>
  <si>
    <r>
      <t>C</t>
    </r>
    <r>
      <rPr>
        <b/>
        <vertAlign val="subscript"/>
        <sz val="10"/>
        <color indexed="12"/>
        <rFont val="Arial"/>
        <family val="2"/>
      </rPr>
      <t>B</t>
    </r>
  </si>
  <si>
    <t>Body
Weight
(kg)</t>
  </si>
  <si>
    <t>Mammalian</t>
  </si>
  <si>
    <t>Avian</t>
  </si>
  <si>
    <t>Toxicity Values</t>
  </si>
  <si>
    <t>Biological Parameters</t>
  </si>
  <si>
    <t>Filter Feeder</t>
  </si>
  <si>
    <t>Filter Feeders</t>
  </si>
  <si>
    <r>
      <t>G</t>
    </r>
    <r>
      <rPr>
        <vertAlign val="subscript"/>
        <sz val="10"/>
        <color indexed="12"/>
        <rFont val="Arial"/>
        <family val="2"/>
      </rPr>
      <t>V</t>
    </r>
  </si>
  <si>
    <r>
      <t>C</t>
    </r>
    <r>
      <rPr>
        <vertAlign val="subscript"/>
        <sz val="10"/>
        <color indexed="12"/>
        <rFont val="Arial"/>
        <family val="0"/>
      </rPr>
      <t>SS</t>
    </r>
  </si>
  <si>
    <t>Zoo plankton</t>
  </si>
  <si>
    <t>1) phytoplankton</t>
  </si>
  <si>
    <t>Species</t>
  </si>
  <si>
    <t>Northern bobwhite quail</t>
  </si>
  <si>
    <t>laboratory rat</t>
  </si>
  <si>
    <t>Animal</t>
  </si>
  <si>
    <t>Dose Based (mg/kg-bw/d)</t>
  </si>
  <si>
    <t>EECs (pesticide intake)</t>
  </si>
  <si>
    <t>Dietary Based (ppm)</t>
  </si>
  <si>
    <t>Acute</t>
  </si>
  <si>
    <t>Dose Based</t>
  </si>
  <si>
    <t>Dietary Based</t>
  </si>
  <si>
    <t>Chronic</t>
  </si>
  <si>
    <t>Trophic level</t>
  </si>
  <si>
    <t>mallard duck</t>
  </si>
  <si>
    <t>Wildlife Species</t>
  </si>
  <si>
    <t>0*</t>
  </si>
  <si>
    <r>
      <t>* Default value</t>
    </r>
    <r>
      <rPr>
        <sz val="10"/>
        <rFont val="Arial"/>
        <family val="0"/>
      </rPr>
      <t xml:space="preserve"> is 0. </t>
    </r>
  </si>
  <si>
    <t>Chronic Endpoint</t>
  </si>
  <si>
    <t>ppm</t>
  </si>
  <si>
    <t>mg/kg-bw</t>
  </si>
  <si>
    <t>For Toxicity data</t>
  </si>
  <si>
    <t>units:</t>
  </si>
  <si>
    <t>species:</t>
  </si>
  <si>
    <r>
      <t>C</t>
    </r>
    <r>
      <rPr>
        <b/>
        <vertAlign val="subscript"/>
        <sz val="10"/>
        <color indexed="12"/>
        <rFont val="Arial"/>
        <family val="2"/>
      </rPr>
      <t>BD</t>
    </r>
  </si>
  <si>
    <r>
      <t>C</t>
    </r>
    <r>
      <rPr>
        <b/>
        <vertAlign val="subscript"/>
        <sz val="10"/>
        <color indexed="12"/>
        <rFont val="Arial"/>
        <family val="2"/>
      </rPr>
      <t>BR</t>
    </r>
  </si>
  <si>
    <r>
      <t>KABAM (K</t>
    </r>
    <r>
      <rPr>
        <vertAlign val="subscript"/>
        <sz val="10"/>
        <rFont val="Arial"/>
        <family val="2"/>
      </rPr>
      <t>OW</t>
    </r>
    <r>
      <rPr>
        <sz val="10"/>
        <rFont val="Arial"/>
        <family val="2"/>
      </rPr>
      <t xml:space="preserve"> (based) Aquatic BioAccumulation Model)</t>
    </r>
  </si>
  <si>
    <r>
      <t>K</t>
    </r>
    <r>
      <rPr>
        <vertAlign val="subscript"/>
        <sz val="10"/>
        <color indexed="12"/>
        <rFont val="Arial"/>
        <family val="0"/>
      </rPr>
      <t>OC</t>
    </r>
  </si>
  <si>
    <t>N/A = not applicable</t>
  </si>
  <si>
    <t>Comments/Guidance</t>
  </si>
  <si>
    <r>
      <t>X</t>
    </r>
    <r>
      <rPr>
        <vertAlign val="subscript"/>
        <sz val="10"/>
        <color indexed="12"/>
        <rFont val="Arial"/>
        <family val="0"/>
      </rPr>
      <t>POC</t>
    </r>
  </si>
  <si>
    <r>
      <t>X</t>
    </r>
    <r>
      <rPr>
        <vertAlign val="subscript"/>
        <sz val="10"/>
        <color indexed="12"/>
        <rFont val="Arial"/>
        <family val="0"/>
      </rPr>
      <t>DOC</t>
    </r>
  </si>
  <si>
    <t>Wet Weight (kg)</t>
  </si>
  <si>
    <t>calculated</t>
  </si>
  <si>
    <t>no</t>
  </si>
  <si>
    <t>yes</t>
  </si>
  <si>
    <t>The "Parameters &amp; Calculations" worksheet allows the model user to see which parameters were incorporated into the calculation of the tissue concentrations of the pesticide of interest. This worksheet is read only.</t>
  </si>
  <si>
    <r>
      <t>BSAF          (</t>
    </r>
    <r>
      <rPr>
        <b/>
        <sz val="10"/>
        <rFont val="Arial"/>
        <family val="0"/>
      </rPr>
      <t>µ</t>
    </r>
    <r>
      <rPr>
        <b/>
        <sz val="10"/>
        <rFont val="Arial"/>
        <family val="2"/>
      </rPr>
      <t>g/kg-lipid)/(</t>
    </r>
    <r>
      <rPr>
        <b/>
        <sz val="10"/>
        <rFont val="Arial"/>
        <family val="0"/>
      </rPr>
      <t>µ</t>
    </r>
    <r>
      <rPr>
        <b/>
        <sz val="10"/>
        <rFont val="Arial"/>
        <family val="2"/>
      </rPr>
      <t>g/kg-OC)</t>
    </r>
  </si>
  <si>
    <t>Sediment (in solid)**</t>
  </si>
  <si>
    <r>
      <t xml:space="preserve">* Units: µg/L; **Units: </t>
    </r>
    <r>
      <rPr>
        <sz val="10"/>
        <rFont val="Arial"/>
        <family val="0"/>
      </rPr>
      <t>µ</t>
    </r>
    <r>
      <rPr>
        <sz val="10"/>
        <rFont val="Arial"/>
        <family val="2"/>
      </rPr>
      <t>g/kg-dw</t>
    </r>
  </si>
  <si>
    <r>
      <t>BMF          (</t>
    </r>
    <r>
      <rPr>
        <b/>
        <sz val="10"/>
        <rFont val="Arial"/>
        <family val="0"/>
      </rPr>
      <t>µ</t>
    </r>
    <r>
      <rPr>
        <b/>
        <sz val="10"/>
        <rFont val="Arial"/>
        <family val="2"/>
      </rPr>
      <t>g/kg-lipid)/(</t>
    </r>
    <r>
      <rPr>
        <b/>
        <sz val="10"/>
        <rFont val="Arial"/>
        <family val="0"/>
      </rPr>
      <t>µ</t>
    </r>
    <r>
      <rPr>
        <b/>
        <sz val="10"/>
        <rFont val="Arial"/>
        <family val="2"/>
      </rPr>
      <t>g/kg-lipid)</t>
    </r>
  </si>
  <si>
    <t>Water (total)*</t>
  </si>
  <si>
    <r>
      <t>Total BCF          (</t>
    </r>
    <r>
      <rPr>
        <b/>
        <sz val="10"/>
        <rFont val="Arial"/>
        <family val="0"/>
      </rPr>
      <t>µ</t>
    </r>
    <r>
      <rPr>
        <b/>
        <sz val="10"/>
        <rFont val="Arial"/>
        <family val="2"/>
      </rPr>
      <t>g/kg-ww)/(</t>
    </r>
    <r>
      <rPr>
        <b/>
        <sz val="10"/>
        <rFont val="Arial"/>
        <family val="0"/>
      </rPr>
      <t>µ</t>
    </r>
    <r>
      <rPr>
        <b/>
        <sz val="10"/>
        <rFont val="Arial"/>
        <family val="2"/>
      </rPr>
      <t>g/L)</t>
    </r>
  </si>
  <si>
    <r>
      <t>Total BAF          (</t>
    </r>
    <r>
      <rPr>
        <b/>
        <sz val="10"/>
        <rFont val="Arial"/>
        <family val="0"/>
      </rPr>
      <t>µ</t>
    </r>
    <r>
      <rPr>
        <b/>
        <sz val="10"/>
        <rFont val="Arial"/>
        <family val="2"/>
      </rPr>
      <t>g/kg-ww)/(</t>
    </r>
    <r>
      <rPr>
        <b/>
        <sz val="10"/>
        <rFont val="Arial"/>
        <family val="0"/>
      </rPr>
      <t>µ</t>
    </r>
    <r>
      <rPr>
        <b/>
        <sz val="10"/>
        <rFont val="Arial"/>
        <family val="2"/>
      </rPr>
      <t>g/L)</t>
    </r>
  </si>
  <si>
    <t>Total concentration (µg/kg-ww)</t>
  </si>
  <si>
    <t>Lipid normalized concentration (µg/kg-lipid)</t>
  </si>
  <si>
    <r>
      <t>BCF          (</t>
    </r>
    <r>
      <rPr>
        <b/>
        <sz val="10"/>
        <rFont val="Arial"/>
        <family val="0"/>
      </rPr>
      <t>µ</t>
    </r>
    <r>
      <rPr>
        <b/>
        <sz val="10"/>
        <rFont val="Arial"/>
        <family val="2"/>
      </rPr>
      <t>g/kg-lipid)/(</t>
    </r>
    <r>
      <rPr>
        <b/>
        <sz val="10"/>
        <rFont val="Arial"/>
        <family val="0"/>
      </rPr>
      <t>µ</t>
    </r>
    <r>
      <rPr>
        <b/>
        <sz val="10"/>
        <rFont val="Arial"/>
        <family val="2"/>
      </rPr>
      <t>g/L)</t>
    </r>
  </si>
  <si>
    <r>
      <t>BAF          (</t>
    </r>
    <r>
      <rPr>
        <b/>
        <sz val="10"/>
        <rFont val="Arial"/>
        <family val="0"/>
      </rPr>
      <t>µ</t>
    </r>
    <r>
      <rPr>
        <b/>
        <sz val="10"/>
        <rFont val="Arial"/>
        <family val="2"/>
      </rPr>
      <t>g/kg-lipid)/(</t>
    </r>
    <r>
      <rPr>
        <b/>
        <sz val="10"/>
        <rFont val="Arial"/>
        <family val="0"/>
      </rPr>
      <t>µ</t>
    </r>
    <r>
      <rPr>
        <b/>
        <sz val="10"/>
        <rFont val="Arial"/>
        <family val="2"/>
      </rPr>
      <t>g/L)</t>
    </r>
  </si>
  <si>
    <t>Total</t>
  </si>
  <si>
    <t>Mineau Scaling Factor</t>
  </si>
  <si>
    <t>Mineau, P., Collins, B.T. and A. Baril. 1996. On the use of scaling factors to improve interspecies extrapolation of acute toxicity in birds. Regulatory Toxicology and Pharmacology, 24: 24-29.</t>
  </si>
  <si>
    <t>Table 6. Diets of aquatic biota of the model ecosystem.</t>
  </si>
  <si>
    <t>Table 5. Characteristics of aquatic biota of the model ecosystem.</t>
  </si>
  <si>
    <t>Table 4. Abiotic characteristics of the model aquatic ecosystem.</t>
  </si>
  <si>
    <t>other</t>
  </si>
  <si>
    <t>Default value for all species is 1.15 (for chemical specific values, see Mineau et al. 1996).</t>
  </si>
  <si>
    <t>Table 7. Identification of mammals and birds feeding on aquatic biota of the model ecosystem.</t>
  </si>
  <si>
    <t>Mammal/Bird #</t>
  </si>
  <si>
    <t>Name</t>
  </si>
  <si>
    <t>Mammal 1</t>
  </si>
  <si>
    <t>Mammal 2</t>
  </si>
  <si>
    <t>Mammal 3</t>
  </si>
  <si>
    <t>Mammal 4</t>
  </si>
  <si>
    <t>Mammal 5</t>
  </si>
  <si>
    <t>Mammal 6</t>
  </si>
  <si>
    <t>Bird 1</t>
  </si>
  <si>
    <t>Bird 2</t>
  </si>
  <si>
    <t>Bird 3</t>
  </si>
  <si>
    <t>Bird 4</t>
  </si>
  <si>
    <t>Bird 5</t>
  </si>
  <si>
    <t>Bird 6</t>
  </si>
  <si>
    <t>Body weight (kg)</t>
  </si>
  <si>
    <t>Table 8. Diets of mammals feeding on aquatic biota of the model ecosystem.</t>
  </si>
  <si>
    <t>Table 9. Diets of birds feeding on aquatic biota of the model ecosystem.</t>
  </si>
  <si>
    <t>Drinking Water
Intake
(L/d)</t>
  </si>
  <si>
    <t>Dry Food Ingestion Rate (kg-dry food/kg-bw/day)</t>
  </si>
  <si>
    <t>Wet Food Ingestion Rate (kg-wet food/kg-bw/day)</t>
  </si>
  <si>
    <t>Calculation of BCF values</t>
  </si>
  <si>
    <r>
      <t>ε</t>
    </r>
    <r>
      <rPr>
        <vertAlign val="subscript"/>
        <sz val="10"/>
        <color indexed="12"/>
        <rFont val="Arial"/>
        <family val="2"/>
      </rPr>
      <t>W</t>
    </r>
  </si>
  <si>
    <r>
      <t>C</t>
    </r>
    <r>
      <rPr>
        <vertAlign val="subscript"/>
        <sz val="10"/>
        <color indexed="12"/>
        <rFont val="Arial"/>
        <family val="2"/>
      </rPr>
      <t>BCF</t>
    </r>
  </si>
  <si>
    <t>When to use this model</t>
  </si>
  <si>
    <t>KABAM should be used for pesticides with the following characteristics:</t>
  </si>
  <si>
    <t>The pesticide is a non-ionic, organic chemical.</t>
  </si>
  <si>
    <t>The pesticide has the potential to reach aquatic habitats.</t>
  </si>
  <si>
    <r>
      <t>The Log K</t>
    </r>
    <r>
      <rPr>
        <vertAlign val="subscript"/>
        <sz val="10"/>
        <color indexed="8"/>
        <rFont val="Arial"/>
        <family val="2"/>
      </rPr>
      <t>OW</t>
    </r>
    <r>
      <rPr>
        <sz val="10"/>
        <color indexed="8"/>
        <rFont val="Arial"/>
        <family val="2"/>
      </rPr>
      <t xml:space="preserve"> value is between 4 and 8.</t>
    </r>
  </si>
  <si>
    <r>
      <t>Time to steady state (T</t>
    </r>
    <r>
      <rPr>
        <vertAlign val="subscript"/>
        <sz val="10"/>
        <rFont val="Arial"/>
        <family val="2"/>
      </rPr>
      <t>S</t>
    </r>
    <r>
      <rPr>
        <sz val="10"/>
        <rFont val="Arial"/>
        <family val="2"/>
      </rPr>
      <t>; days)</t>
    </r>
  </si>
  <si>
    <r>
      <t xml:space="preserve">Required input 
</t>
    </r>
    <r>
      <rPr>
        <sz val="10"/>
        <rFont val="Arial"/>
        <family val="2"/>
      </rPr>
      <t>Enter value from acceptable or supplemental study submitted by registrant or available in scientific literature.</t>
    </r>
  </si>
  <si>
    <r>
      <t xml:space="preserve">Required input
</t>
    </r>
    <r>
      <rPr>
        <sz val="10"/>
        <rFont val="Arial"/>
        <family val="2"/>
      </rPr>
      <t>Input value used in PRZM/EXAMS to derive EECs. Follow input parameter guidance for deriving this parameter value (USEPA 2002).</t>
    </r>
  </si>
  <si>
    <t>USEPA. 2002. Guidance for Selecting Input Parameters in Modeling the Environmental Fate and Transport of Pesticides, Version II. US Environmental Protection Agency, Washington DC. Online at: http://www.epa.gov/oppefed1/models water/input_guidance2_28_02.htm.</t>
  </si>
  <si>
    <t>Pore water EEC (µg/L)</t>
  </si>
  <si>
    <t>Water Column EEC (µg/L)</t>
  </si>
  <si>
    <r>
      <t>Concentration of Dissolved Oxygen (C</t>
    </r>
    <r>
      <rPr>
        <vertAlign val="subscript"/>
        <sz val="10"/>
        <rFont val="Arial"/>
        <family val="2"/>
      </rPr>
      <t>OX</t>
    </r>
    <r>
      <rPr>
        <sz val="10"/>
        <rFont val="Arial"/>
        <family val="0"/>
      </rPr>
      <t>; mg O</t>
    </r>
    <r>
      <rPr>
        <vertAlign val="subscript"/>
        <sz val="10"/>
        <rFont val="Arial"/>
        <family val="2"/>
      </rPr>
      <t>2</t>
    </r>
    <r>
      <rPr>
        <sz val="10"/>
        <rFont val="Arial"/>
        <family val="0"/>
      </rPr>
      <t>/L)</t>
    </r>
  </si>
  <si>
    <r>
      <t xml:space="preserve">Water Temperature (T; </t>
    </r>
    <r>
      <rPr>
        <vertAlign val="superscript"/>
        <sz val="10"/>
        <rFont val="Arial"/>
        <family val="0"/>
      </rPr>
      <t>o</t>
    </r>
    <r>
      <rPr>
        <sz val="10"/>
        <rFont val="Arial"/>
        <family val="0"/>
      </rPr>
      <t>C)</t>
    </r>
  </si>
  <si>
    <r>
      <t>Concentration of Suspended Solids (C</t>
    </r>
    <r>
      <rPr>
        <vertAlign val="subscript"/>
        <sz val="10"/>
        <rFont val="Arial"/>
        <family val="2"/>
      </rPr>
      <t>SS</t>
    </r>
    <r>
      <rPr>
        <sz val="10"/>
        <rFont val="Arial"/>
        <family val="0"/>
      </rPr>
      <t>; kg/L)</t>
    </r>
  </si>
  <si>
    <t>Sediment Organic Carbon 
(OC; %)</t>
  </si>
  <si>
    <t xml:space="preserve">When using EECs generated by PRZM/EXAMS, use a value of “0” for both POC and DOC.  </t>
  </si>
  <si>
    <t>Value is defined by the average water temperature of the EXAMS pond when using EECs generated by PRZM/EXAMS. Model user should consult output file of EXAMS to define this value.</t>
  </si>
  <si>
    <t>Default value is 4.0% when using EECs generated by PRZM/EXAMS.</t>
  </si>
  <si>
    <t>Guidance*</t>
  </si>
  <si>
    <t>fog/water shrew</t>
  </si>
  <si>
    <t>rice rat/star-nosed mole</t>
  </si>
  <si>
    <t>small mink</t>
  </si>
  <si>
    <t>large mink</t>
  </si>
  <si>
    <t>small river otter</t>
  </si>
  <si>
    <t>large river otter</t>
  </si>
  <si>
    <r>
      <t>Default value is 5.0 mg O</t>
    </r>
    <r>
      <rPr>
        <vertAlign val="subscript"/>
        <sz val="10"/>
        <rFont val="Arial"/>
        <family val="2"/>
      </rPr>
      <t>2</t>
    </r>
    <r>
      <rPr>
        <sz val="10"/>
        <rFont val="Arial"/>
        <family val="0"/>
      </rPr>
      <t>/L when using EECs generated by PRZM/EXAMS.</t>
    </r>
  </si>
  <si>
    <t>small fish</t>
  </si>
  <si>
    <t>medium fish</t>
  </si>
  <si>
    <t>large fish</t>
  </si>
  <si>
    <t>Small Fish</t>
  </si>
  <si>
    <t>Medium Fish</t>
  </si>
  <si>
    <t>Large Fish</t>
  </si>
  <si>
    <t>sandpipers</t>
  </si>
  <si>
    <t>cranes</t>
  </si>
  <si>
    <t>rails</t>
  </si>
  <si>
    <t>herons</t>
  </si>
  <si>
    <t>small osprey</t>
  </si>
  <si>
    <t>white pelican</t>
  </si>
  <si>
    <t>If selected species is "other," enter body weight (in kg) here.</t>
  </si>
  <si>
    <r>
      <t>1) Log K</t>
    </r>
    <r>
      <rPr>
        <vertAlign val="subscript"/>
        <sz val="10"/>
        <rFont val="Arial"/>
        <family val="2"/>
      </rPr>
      <t>OW</t>
    </r>
    <r>
      <rPr>
        <sz val="10"/>
        <rFont val="Arial"/>
        <family val="2"/>
      </rPr>
      <t xml:space="preserve"> value of the pesticide</t>
    </r>
  </si>
  <si>
    <r>
      <t>2) K</t>
    </r>
    <r>
      <rPr>
        <vertAlign val="subscript"/>
        <sz val="10"/>
        <rFont val="Arial"/>
        <family val="2"/>
      </rPr>
      <t>OC</t>
    </r>
    <r>
      <rPr>
        <sz val="10"/>
        <rFont val="Arial"/>
        <family val="2"/>
      </rPr>
      <t xml:space="preserve"> value of the pesticide</t>
    </r>
  </si>
  <si>
    <t>3) predicted pesticide concentration in sediment pore water (PRZM/EXAMS)</t>
  </si>
  <si>
    <t>4) predicted pesticide concentration in water (PRZM/EXAMS)</t>
  </si>
  <si>
    <t xml:space="preserve">5) available acute and chronic toxicity data for pesticide specific exposures to birds and mammals. </t>
  </si>
  <si>
    <r>
      <t>Concentration of Particulate Organic Carbon 
(X</t>
    </r>
    <r>
      <rPr>
        <vertAlign val="subscript"/>
        <sz val="10"/>
        <rFont val="Arial"/>
        <family val="2"/>
      </rPr>
      <t>POC</t>
    </r>
    <r>
      <rPr>
        <sz val="10"/>
        <rFont val="Arial"/>
        <family val="2"/>
      </rPr>
      <t>; kg OC/ L)</t>
    </r>
  </si>
  <si>
    <r>
      <t>Concentration of Dissolved Organic Carbon 
(X</t>
    </r>
    <r>
      <rPr>
        <vertAlign val="subscript"/>
        <sz val="10"/>
        <rFont val="Arial"/>
        <family val="2"/>
      </rPr>
      <t>DOC</t>
    </r>
    <r>
      <rPr>
        <sz val="10"/>
        <rFont val="Arial"/>
        <family val="2"/>
      </rPr>
      <t>; kg OC/L)</t>
    </r>
  </si>
  <si>
    <r>
      <t>No input necessary. This value is calculated automatically from the Log K</t>
    </r>
    <r>
      <rPr>
        <vertAlign val="subscript"/>
        <sz val="10"/>
        <rFont val="Arial"/>
        <family val="2"/>
      </rPr>
      <t>OW</t>
    </r>
    <r>
      <rPr>
        <sz val="10"/>
        <rFont val="Arial"/>
        <family val="0"/>
      </rPr>
      <t xml:space="preserve"> value entered above.</t>
    </r>
  </si>
  <si>
    <r>
      <t>No input necessary. This value is calculated automatically from the Log K</t>
    </r>
    <r>
      <rPr>
        <vertAlign val="subscript"/>
        <sz val="10"/>
        <rFont val="Arial"/>
        <family val="2"/>
      </rPr>
      <t>OW</t>
    </r>
    <r>
      <rPr>
        <sz val="10"/>
        <rFont val="Arial"/>
        <family val="2"/>
      </rPr>
      <t xml:space="preserve"> value entered above.</t>
    </r>
  </si>
  <si>
    <r>
      <t>k</t>
    </r>
    <r>
      <rPr>
        <b/>
        <vertAlign val="subscript"/>
        <sz val="10"/>
        <rFont val="Arial"/>
        <family val="2"/>
      </rPr>
      <t xml:space="preserve">1                                </t>
    </r>
    <r>
      <rPr>
        <b/>
        <sz val="10"/>
        <rFont val="Arial"/>
        <family val="2"/>
      </rPr>
      <t>(L/kg*d)</t>
    </r>
  </si>
  <si>
    <r>
      <t>k</t>
    </r>
    <r>
      <rPr>
        <b/>
        <vertAlign val="subscript"/>
        <sz val="10"/>
        <rFont val="Arial"/>
        <family val="2"/>
      </rPr>
      <t>M</t>
    </r>
    <r>
      <rPr>
        <b/>
        <sz val="10"/>
        <rFont val="Arial"/>
        <family val="2"/>
      </rPr>
      <t>*                  (d</t>
    </r>
    <r>
      <rPr>
        <b/>
        <vertAlign val="superscript"/>
        <sz val="10"/>
        <rFont val="Arial"/>
        <family val="2"/>
      </rPr>
      <t>-1</t>
    </r>
    <r>
      <rPr>
        <b/>
        <sz val="10"/>
        <rFont val="Arial"/>
        <family val="2"/>
      </rPr>
      <t>)</t>
    </r>
  </si>
  <si>
    <t>Trophic Level</t>
  </si>
  <si>
    <t>Do organisms in trophic level respire some pore water?</t>
  </si>
  <si>
    <t>*Note that sediment is not a trophic level. It is included in this table because it is consumed by aquatic organisms of the KABAM foodweb.</t>
  </si>
  <si>
    <t>sediment*</t>
  </si>
  <si>
    <t>Trophic level in diet</t>
  </si>
  <si>
    <r>
      <t>K</t>
    </r>
    <r>
      <rPr>
        <vertAlign val="subscript"/>
        <sz val="10"/>
        <rFont val="Arial"/>
        <family val="2"/>
      </rPr>
      <t xml:space="preserve">OC                          </t>
    </r>
    <r>
      <rPr>
        <sz val="10"/>
        <rFont val="Arial"/>
        <family val="2"/>
      </rPr>
      <t>(L/kg OC)</t>
    </r>
  </si>
  <si>
    <r>
      <t>LD</t>
    </r>
    <r>
      <rPr>
        <vertAlign val="subscript"/>
        <sz val="10"/>
        <rFont val="Arial"/>
        <family val="2"/>
      </rPr>
      <t>50</t>
    </r>
    <r>
      <rPr>
        <sz val="10"/>
        <rFont val="Arial"/>
        <family val="2"/>
      </rPr>
      <t xml:space="preserve"> (mg/kg-bw)</t>
    </r>
  </si>
  <si>
    <r>
      <t>LC</t>
    </r>
    <r>
      <rPr>
        <vertAlign val="subscript"/>
        <sz val="10"/>
        <rFont val="Arial"/>
        <family val="2"/>
      </rPr>
      <t>50</t>
    </r>
    <r>
      <rPr>
        <sz val="10"/>
        <rFont val="Arial"/>
        <family val="2"/>
      </rPr>
      <t xml:space="preserve"> (mg/kg-diet)</t>
    </r>
  </si>
  <si>
    <t>NOAEC (mg/kg-diet)</t>
  </si>
  <si>
    <t>units of chronic endpoint*</t>
  </si>
  <si>
    <t>*ppm = mg/kg-diet</t>
  </si>
  <si>
    <t>Dose Based (mg/kg-bw)</t>
  </si>
  <si>
    <t>Dietary Based (mg/kg-diet)</t>
  </si>
  <si>
    <t>Dietary Based                    (mg/kg-diet)</t>
  </si>
  <si>
    <t>For a thorough description of KABAM, its assumptions, calculations, uncertainties and additional guidance, see the user's guide and technical documentation.</t>
  </si>
  <si>
    <r>
      <t>KABAM is used to estimate potential bioaccumulation of hydrophobic organic pesticides in freshwater aquatic ecosystems and risks to mammals and birds consuming aquatic organisms which have bioaccumulated these pesticides. This tool can also be used to estimate pesticide concentrations in fish tissues consumed by humans (i.e., filets). The bioaccumulation portion of KABAM is based upon work by Arnot and Gobas (2004) who parameterized a bioaccumulation model based on PCBs and some pesticides (e.g., lindane, DDT) in freshwater aquatic ecosystems. KABAM relies on a chemical's octanol-water partition coefficient (K</t>
    </r>
    <r>
      <rPr>
        <vertAlign val="subscript"/>
        <sz val="10"/>
        <rFont val="Arial"/>
        <family val="2"/>
      </rPr>
      <t>OW</t>
    </r>
    <r>
      <rPr>
        <sz val="10"/>
        <rFont val="Arial"/>
        <family val="2"/>
      </rPr>
      <t xml:space="preserve">) to estimate uptake and elimination constants through respiration and diet of organisms in different trophic levels. Pesticide tissue residues are calculated for different levels of an aquatic food web. The model then uses pesticide tissue concentrations in aquatic animals to estimate dose- and dietary-based exposures and associated risks to mammals and birds consuming aquatic organisms, using an approach that is similar to the T-REX model (USEPA 2008). </t>
    </r>
  </si>
  <si>
    <t xml:space="preserve">KABAM incorporates 7 trophic levels to describe bioaccumulation of a pesticide in a model aquatic food web: </t>
  </si>
  <si>
    <r>
      <t xml:space="preserve">2) zooplankton (e.g., </t>
    </r>
    <r>
      <rPr>
        <i/>
        <sz val="10"/>
        <rFont val="Arial"/>
        <family val="2"/>
      </rPr>
      <t>Daphnia sp.</t>
    </r>
    <r>
      <rPr>
        <sz val="10"/>
        <rFont val="Arial"/>
        <family val="2"/>
      </rPr>
      <t>)</t>
    </r>
  </si>
  <si>
    <r>
      <t xml:space="preserve">3) benthic invertebrates (e.g., </t>
    </r>
    <r>
      <rPr>
        <i/>
        <sz val="10"/>
        <rFont val="Arial"/>
        <family val="2"/>
      </rPr>
      <t>Chironomus sp</t>
    </r>
    <r>
      <rPr>
        <sz val="10"/>
        <rFont val="Arial"/>
        <family val="2"/>
      </rPr>
      <t>., crayfish)</t>
    </r>
  </si>
  <si>
    <t>4) filter feeders (e.g., mussels, clams)</t>
  </si>
  <si>
    <t>5) small fish (e.g., young of the year)</t>
  </si>
  <si>
    <t>6) medium sized fish (e.g., adult bluegill)</t>
  </si>
  <si>
    <t>7) larger upper-trophic level fish (e.g., largemouth bass)</t>
  </si>
  <si>
    <t xml:space="preserve">Pesticide concentrations in organisms of the aquatic trophic levels listed above are used to estimate acute and chronic exposures of mammals and birds consuming aquatic organisms. The model user can define the mammals and birds of concern, by defining the body weight and diet of each bird and mammal. Default values are available for several mammals and birds of concern. Available pesticide-specific acute and chronic toxicity data for mammals and birds are used to calculate risk quotients for estimated exposures due to bioaccumulation of a pesticide in an aquatic ecosystem. </t>
  </si>
  <si>
    <t xml:space="preserve">Model inputs are included in the 2 "Inputs" worksheets. The only required inputs to the KABAM tool are: </t>
  </si>
  <si>
    <t>The "Results" page includes pesticide tissue concentrations per trophic level, separate contributions of dietary and respiratory intakes to overall pesticide body concentration of aquatic organisms. It also includes bioconcentration, bioaccumulation, biomagnification and biota-sediment accumulation factors (BCF, BAF, BMF and BSAF, respectively) for aquatic organisms. In addition, this page also incorporates potential dietary and dose exposures of the pesticide of concern to mammals and birds consuming aquatic organisms. This worksheet is read only.</t>
  </si>
  <si>
    <t>USEPA. 2008. User’s Guide: T-REX Version 1.4.1 (Terrestrial Residue Exposure model).  United States Environmental Protection Agency. Environmental Fate and Effects Division.</t>
  </si>
  <si>
    <r>
      <t>k</t>
    </r>
    <r>
      <rPr>
        <b/>
        <vertAlign val="subscript"/>
        <sz val="10"/>
        <rFont val="Arial"/>
        <family val="2"/>
      </rPr>
      <t xml:space="preserve">2                                </t>
    </r>
    <r>
      <rPr>
        <b/>
        <sz val="10"/>
        <rFont val="Arial"/>
        <family val="2"/>
      </rPr>
      <t>(d</t>
    </r>
    <r>
      <rPr>
        <b/>
        <vertAlign val="superscript"/>
        <sz val="10"/>
        <rFont val="Arial"/>
        <family val="2"/>
      </rPr>
      <t>-1</t>
    </r>
    <r>
      <rPr>
        <b/>
        <sz val="10"/>
        <rFont val="Arial"/>
        <family val="2"/>
      </rPr>
      <t>)</t>
    </r>
  </si>
  <si>
    <r>
      <t>k</t>
    </r>
    <r>
      <rPr>
        <b/>
        <vertAlign val="subscript"/>
        <sz val="10"/>
        <rFont val="Arial"/>
        <family val="2"/>
      </rPr>
      <t xml:space="preserve">D                             </t>
    </r>
    <r>
      <rPr>
        <b/>
        <sz val="10"/>
        <rFont val="Arial"/>
        <family val="2"/>
      </rPr>
      <t>(kg-food/kg-org/d)</t>
    </r>
  </si>
  <si>
    <r>
      <t>k</t>
    </r>
    <r>
      <rPr>
        <b/>
        <vertAlign val="subscript"/>
        <sz val="10"/>
        <rFont val="Arial"/>
        <family val="2"/>
      </rPr>
      <t xml:space="preserve">E                                </t>
    </r>
    <r>
      <rPr>
        <b/>
        <sz val="10"/>
        <rFont val="Arial"/>
        <family val="2"/>
      </rPr>
      <t>(d</t>
    </r>
    <r>
      <rPr>
        <b/>
        <vertAlign val="superscript"/>
        <sz val="10"/>
        <rFont val="Arial"/>
        <family val="2"/>
      </rPr>
      <t>-1</t>
    </r>
    <r>
      <rPr>
        <b/>
        <sz val="10"/>
        <rFont val="Arial"/>
        <family val="2"/>
      </rPr>
      <t>)</t>
    </r>
  </si>
  <si>
    <r>
      <t>Default value is 3.00x10</t>
    </r>
    <r>
      <rPr>
        <vertAlign val="superscript"/>
        <sz val="10"/>
        <rFont val="Arial"/>
        <family val="2"/>
      </rPr>
      <t>-5</t>
    </r>
    <r>
      <rPr>
        <sz val="10"/>
        <rFont val="Arial"/>
        <family val="0"/>
      </rPr>
      <t xml:space="preserve"> kg/L when using EECs generated by PRZM/EXAMS.</t>
    </r>
  </si>
  <si>
    <t>filter feeders</t>
  </si>
  <si>
    <t>Equation A1</t>
  </si>
  <si>
    <t>Equation A2</t>
  </si>
  <si>
    <t>Equation A4</t>
  </si>
  <si>
    <t>Equation A5</t>
  </si>
  <si>
    <t>Equation A6</t>
  </si>
  <si>
    <t>Equation A7</t>
  </si>
  <si>
    <t>Equation A8</t>
  </si>
  <si>
    <t>Equation A9</t>
  </si>
  <si>
    <t>See Appendix A of KABAM user's guide and technical documentation for equation details.</t>
  </si>
  <si>
    <r>
      <t>Table 10. Input parameters and calculations relevant to derivation of C</t>
    </r>
    <r>
      <rPr>
        <b/>
        <vertAlign val="subscript"/>
        <sz val="10"/>
        <rFont val="Arial"/>
        <family val="2"/>
      </rPr>
      <t>B</t>
    </r>
    <r>
      <rPr>
        <b/>
        <sz val="10"/>
        <rFont val="Arial"/>
        <family val="2"/>
      </rPr>
      <t>.</t>
    </r>
  </si>
  <si>
    <t>All other inputs in the "chemical specific inputs" and "ecosystem inputs" worksheets have default values.  No input is necessary from the model user, but these parameter values can be altered according to the preferences of the user. The model user should consult the User's guide for KABAM before altering default values in the KABAM tool. If default parameter values are altered by the model user, their cells will be highlighted yellow.</t>
  </si>
  <si>
    <r>
      <t>k</t>
    </r>
    <r>
      <rPr>
        <vertAlign val="subscript"/>
        <sz val="10"/>
        <rFont val="Arial"/>
        <family val="2"/>
      </rPr>
      <t>1</t>
    </r>
    <r>
      <rPr>
        <sz val="10"/>
        <rFont val="Arial"/>
        <family val="0"/>
      </rPr>
      <t xml:space="preserve"> and k</t>
    </r>
    <r>
      <rPr>
        <vertAlign val="subscript"/>
        <sz val="10"/>
        <rFont val="Arial"/>
        <family val="2"/>
      </rPr>
      <t>2</t>
    </r>
    <r>
      <rPr>
        <sz val="10"/>
        <rFont val="Arial"/>
        <family val="0"/>
      </rPr>
      <t xml:space="preserve"> represent the uptake and elimination constants respectively, through respiration.</t>
    </r>
  </si>
  <si>
    <r>
      <t>k</t>
    </r>
    <r>
      <rPr>
        <vertAlign val="subscript"/>
        <sz val="10"/>
        <rFont val="Arial"/>
        <family val="2"/>
      </rPr>
      <t>M</t>
    </r>
    <r>
      <rPr>
        <sz val="10"/>
        <rFont val="Arial"/>
        <family val="0"/>
      </rPr>
      <t xml:space="preserve"> represents the metabolism rate constant. </t>
    </r>
  </si>
  <si>
    <t xml:space="preserve">Table 2. Input parameters for rate constants.   "calculated" indicates that model will calculate rate constant. </t>
  </si>
  <si>
    <t>Measure of effect (units)</t>
  </si>
  <si>
    <r>
      <t>k</t>
    </r>
    <r>
      <rPr>
        <vertAlign val="subscript"/>
        <sz val="10"/>
        <rFont val="Arial"/>
        <family val="2"/>
      </rPr>
      <t>D</t>
    </r>
    <r>
      <rPr>
        <sz val="10"/>
        <rFont val="Arial"/>
        <family val="0"/>
      </rPr>
      <t xml:space="preserve"> and k</t>
    </r>
    <r>
      <rPr>
        <vertAlign val="subscript"/>
        <sz val="10"/>
        <rFont val="Arial"/>
        <family val="2"/>
      </rPr>
      <t>E</t>
    </r>
    <r>
      <rPr>
        <sz val="10"/>
        <rFont val="Arial"/>
        <family val="0"/>
      </rPr>
      <t xml:space="preserve"> represent the uptake and elimination constants, respectively, through diet.</t>
    </r>
  </si>
  <si>
    <t>*When using pesticide concentrations from monitoring data or mesocosm studies, consult Appendix B of the User’s Guide for specific guidance on selecting values for these parameters.</t>
  </si>
  <si>
    <t xml:space="preserve">Diet for: </t>
  </si>
  <si>
    <t>Contribution due to diet (µg/kg-ww)</t>
  </si>
  <si>
    <t>Contribution due to respiration (µg/kg-ww)</t>
  </si>
  <si>
    <r>
      <t>K</t>
    </r>
    <r>
      <rPr>
        <vertAlign val="subscript"/>
        <sz val="10"/>
        <color indexed="12"/>
        <rFont val="Arial"/>
        <family val="0"/>
      </rPr>
      <t>BW</t>
    </r>
  </si>
  <si>
    <r>
      <t>K</t>
    </r>
    <r>
      <rPr>
        <vertAlign val="subscript"/>
        <sz val="10"/>
        <color indexed="12"/>
        <rFont val="Arial"/>
        <family val="0"/>
      </rPr>
      <t>GB</t>
    </r>
  </si>
  <si>
    <r>
      <rPr>
        <b/>
        <sz val="10"/>
        <color indexed="10"/>
        <rFont val="Arial"/>
        <family val="2"/>
      </rPr>
      <t xml:space="preserve">Required input 
</t>
    </r>
    <r>
      <rPr>
        <sz val="10"/>
        <rFont val="Arial"/>
        <family val="2"/>
      </rPr>
      <t xml:space="preserve">Enter value generated by PRZM/EXAMS benthic file.  PRZM/EXAMS EEC represents the freely dissolved concentration of the pesticide in the pore water of the sediment. The appropriate averaging period of the EEC is dependent on the specific pesticide being modeled and is based on the time it takes for the chemical to reach steady state. Select the EEC generated by PRZM/EXAMS which has an averaging period closest to the time to steady state calculated above.  In cases where the time to steady state exceeds 365 days, the user should select the EEC representing the average of yearly averages. The peak EEC should not be used. </t>
    </r>
  </si>
  <si>
    <r>
      <rPr>
        <b/>
        <sz val="10"/>
        <color indexed="10"/>
        <rFont val="Arial"/>
        <family val="2"/>
      </rPr>
      <t xml:space="preserve">Required input 
</t>
    </r>
    <r>
      <rPr>
        <sz val="10"/>
        <rFont val="Arial"/>
        <family val="2"/>
      </rPr>
      <t xml:space="preserve">Enter value generated by PRZM/EXAMS water column file.  PRZM/EXAMS EEC represents the freely dissolved concentration of the pesticide in the water column. The appropriate averaging period of the EEC is dependent on the specific pesticide being modeled and is based on the time it takes for the chemical to reach steady state. The averaging period used for the water column EEC should be the same as the one selected for the pore water EEC (discussed above).                      </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</si>
</sst>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0000000%"/>
    <numFmt numFmtId="172" formatCode="0.000000E+00"/>
    <numFmt numFmtId="173" formatCode="[$-409]h:mm:ss\ AM/PM"/>
    <numFmt numFmtId="174" formatCode="0.00000000000E+00"/>
    <numFmt numFmtId="175" formatCode="0.00000"/>
    <numFmt numFmtId="176" formatCode="0.0000E+00"/>
    <numFmt numFmtId="177" formatCode="0.000000%"/>
    <numFmt numFmtId="178" formatCode="0.00000000E+00"/>
    <numFmt numFmtId="179" formatCode="0.000"/>
    <numFmt numFmtId="180" formatCode="[$-409]dddd\,\ mmmm\ dd\,\ yyyy"/>
    <numFmt numFmtId="181" formatCode="0.00000000000000"/>
    <numFmt numFmtId="182" formatCode="0.000000"/>
    <numFmt numFmtId="183" formatCode="0.000000000000000E+00"/>
    <numFmt numFmtId="184" formatCode="0.00000000000000E+00"/>
    <numFmt numFmtId="185" formatCode="0.0000000000"/>
    <numFmt numFmtId="186" formatCode="0.0000"/>
    <numFmt numFmtId="187" formatCode="0.0%"/>
    <numFmt numFmtId="188" formatCode="0.0"/>
    <numFmt numFmtId="189" formatCode="0.0000000"/>
    <numFmt numFmtId="190" formatCode="0.00000000"/>
    <numFmt numFmtId="191" formatCode="0.000000000"/>
    <numFmt numFmtId="192" formatCode="0.000000000000%"/>
    <numFmt numFmtId="193" formatCode="0.00000000000%"/>
    <numFmt numFmtId="194" formatCode="0.000000000%"/>
    <numFmt numFmtId="195" formatCode="0.00000000%"/>
    <numFmt numFmtId="196" formatCode="0.0000000%"/>
    <numFmt numFmtId="197" formatCode="0.00000000000"/>
    <numFmt numFmtId="198" formatCode="0.0E+00"/>
    <numFmt numFmtId="199" formatCode="0E+00"/>
    <numFmt numFmtId="200" formatCode="#,##0.0"/>
    <numFmt numFmtId="201" formatCode="0.000000000000"/>
    <numFmt numFmtId="202" formatCode="0.0000000000000"/>
    <numFmt numFmtId="203" formatCode="[$-409]mmmm\ d\,\ yyyy;@"/>
    <numFmt numFmtId="204" formatCode="#,##0.000"/>
    <numFmt numFmtId="205" formatCode="#,##0.0000"/>
    <numFmt numFmtId="206" formatCode="#,##0.00000"/>
    <numFmt numFmtId="207" formatCode="#,##0.000000"/>
    <numFmt numFmtId="208" formatCode="#,##0.0000000"/>
    <numFmt numFmtId="209" formatCode="#,##0.000000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vertAlign val="subscript"/>
      <sz val="10"/>
      <name val="Arial"/>
      <family val="2"/>
    </font>
    <font>
      <sz val="10"/>
      <color indexed="12"/>
      <name val="Arial"/>
      <family val="0"/>
    </font>
    <font>
      <b/>
      <sz val="10"/>
      <color indexed="12"/>
      <name val="Arial"/>
      <family val="2"/>
    </font>
    <font>
      <vertAlign val="subscript"/>
      <sz val="10"/>
      <color indexed="12"/>
      <name val="Arial"/>
      <family val="0"/>
    </font>
    <font>
      <b/>
      <vertAlign val="subscript"/>
      <sz val="10"/>
      <name val="Arial"/>
      <family val="2"/>
    </font>
    <font>
      <b/>
      <sz val="12"/>
      <name val="Arial"/>
      <family val="2"/>
    </font>
    <font>
      <sz val="12"/>
      <name val="Arial"/>
      <family val="2"/>
    </font>
    <font>
      <b/>
      <vertAlign val="subscript"/>
      <sz val="10"/>
      <color indexed="12"/>
      <name val="Arial"/>
      <family val="2"/>
    </font>
    <font>
      <vertAlign val="superscript"/>
      <sz val="10"/>
      <name val="Arial"/>
      <family val="0"/>
    </font>
    <font>
      <sz val="10"/>
      <name val="Times New Roman"/>
      <family val="1"/>
    </font>
    <font>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75"/>
      <color indexed="8"/>
      <name val="Arial"/>
      <family val="2"/>
    </font>
    <font>
      <sz val="8"/>
      <color indexed="8"/>
      <name val="Arial"/>
      <family val="2"/>
    </font>
    <font>
      <b/>
      <sz val="9.75"/>
      <color indexed="8"/>
      <name val="Arial"/>
      <family val="2"/>
    </font>
    <font>
      <sz val="7.35"/>
      <color indexed="8"/>
      <name val="Arial"/>
      <family val="2"/>
    </font>
    <font>
      <sz val="10"/>
      <color indexed="8"/>
      <name val="Arial"/>
      <family val="2"/>
    </font>
    <font>
      <vertAlign val="subscript"/>
      <sz val="10"/>
      <color indexed="8"/>
      <name val="Arial"/>
      <family val="2"/>
    </font>
    <font>
      <b/>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8"/>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hair"/>
      <top style="hair"/>
      <bottom style="hair"/>
    </border>
    <border>
      <left style="double"/>
      <right>
        <color indexed="63"/>
      </right>
      <top>
        <color indexed="63"/>
      </top>
      <bottom>
        <color indexed="63"/>
      </bottom>
    </border>
    <border>
      <left style="double"/>
      <right style="hair"/>
      <top style="hair"/>
      <bottom style="thin"/>
    </border>
    <border>
      <left style="double"/>
      <right style="hair"/>
      <top>
        <color indexed="63"/>
      </top>
      <bottom style="hair"/>
    </border>
    <border>
      <left style="double"/>
      <right style="hair"/>
      <top style="hair"/>
      <bottom>
        <color indexed="63"/>
      </bottom>
    </border>
    <border>
      <left style="double"/>
      <right style="hair"/>
      <top style="thin"/>
      <bottom style="hair"/>
    </border>
    <border>
      <left style="double"/>
      <right style="hair"/>
      <top style="hair"/>
      <bottom style="double"/>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double"/>
      <right style="thin"/>
      <top style="thin"/>
      <bottom style="thin"/>
    </border>
    <border>
      <left style="double"/>
      <right style="hair"/>
      <top>
        <color indexed="63"/>
      </top>
      <bottom>
        <color indexed="63"/>
      </bottom>
    </border>
    <border>
      <left style="double"/>
      <right style="hair"/>
      <top>
        <color indexed="63"/>
      </top>
      <bottom style="double"/>
    </border>
    <border>
      <left style="hair"/>
      <right style="hair"/>
      <top>
        <color indexed="63"/>
      </top>
      <bottom style="hair"/>
    </border>
    <border>
      <left style="double"/>
      <right style="hair"/>
      <top>
        <color indexed="63"/>
      </top>
      <bottom style="thin"/>
    </border>
    <border>
      <left style="hair"/>
      <right style="hair"/>
      <top style="hair"/>
      <bottom>
        <color indexed="63"/>
      </bottom>
    </border>
    <border>
      <left style="double"/>
      <right style="thin"/>
      <top style="thin"/>
      <bottom style="double"/>
    </border>
    <border>
      <left style="hair"/>
      <right style="double"/>
      <top>
        <color indexed="63"/>
      </top>
      <bottom style="hair"/>
    </border>
    <border>
      <left style="hair"/>
      <right style="double"/>
      <top style="hair"/>
      <bottom>
        <color indexed="63"/>
      </bottom>
    </border>
    <border>
      <left style="hair"/>
      <right style="hair"/>
      <top style="hair"/>
      <bottom style="double"/>
    </border>
    <border>
      <left style="hair"/>
      <right style="double"/>
      <top style="hair"/>
      <bottom style="double"/>
    </border>
    <border>
      <left style="hair"/>
      <right>
        <color indexed="63"/>
      </right>
      <top style="hair"/>
      <bottom style="hair"/>
    </border>
    <border>
      <left style="hair"/>
      <right>
        <color indexed="63"/>
      </right>
      <top>
        <color indexed="63"/>
      </top>
      <bottom style="hair"/>
    </border>
    <border>
      <left style="thin"/>
      <right style="thin"/>
      <top style="thin"/>
      <bottom style="thin"/>
    </border>
    <border>
      <left style="thin"/>
      <right style="double"/>
      <top style="thin"/>
      <bottom style="thin"/>
    </border>
    <border>
      <left style="double"/>
      <right style="hair"/>
      <top style="thin"/>
      <bottom style="thin"/>
    </border>
    <border>
      <left style="hair"/>
      <right style="hair"/>
      <top style="thin"/>
      <bottom style="thin"/>
    </border>
    <border>
      <left style="hair"/>
      <right>
        <color indexed="63"/>
      </right>
      <top style="thin"/>
      <bottom style="thin"/>
    </border>
    <border>
      <left style="hair"/>
      <right style="double"/>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double"/>
      <top style="thin"/>
      <bottom>
        <color indexed="63"/>
      </bottom>
    </border>
    <border>
      <left style="hair"/>
      <right>
        <color indexed="63"/>
      </right>
      <top style="hair"/>
      <bottom style="double"/>
    </border>
    <border>
      <left style="hair"/>
      <right style="hair"/>
      <top style="thin"/>
      <bottom>
        <color indexed="63"/>
      </bottom>
    </border>
    <border>
      <left style="hair"/>
      <right style="double"/>
      <top style="thin"/>
      <bottom>
        <color indexed="63"/>
      </bottom>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style="thin"/>
      <bottom style="double"/>
    </border>
    <border>
      <left style="hair"/>
      <right style="double"/>
      <top style="thin"/>
      <bottom style="double"/>
    </border>
    <border>
      <left style="thin"/>
      <right style="thin"/>
      <top style="thin"/>
      <bottom style="double"/>
    </border>
    <border>
      <left style="thin"/>
      <right style="double"/>
      <top style="thin"/>
      <bottom style="double"/>
    </border>
    <border>
      <left style="double"/>
      <right style="hair"/>
      <top style="thin"/>
      <bottom style="double"/>
    </border>
    <border>
      <left style="double"/>
      <right>
        <color indexed="63"/>
      </right>
      <top style="hair"/>
      <bottom style="hair"/>
    </border>
    <border>
      <left style="thin"/>
      <right>
        <color indexed="63"/>
      </right>
      <top>
        <color indexed="63"/>
      </top>
      <bottom>
        <color indexed="63"/>
      </bottom>
    </border>
    <border>
      <left style="thin"/>
      <right>
        <color indexed="63"/>
      </right>
      <top>
        <color indexed="63"/>
      </top>
      <bottom style="double"/>
    </border>
    <border>
      <left>
        <color indexed="63"/>
      </left>
      <right style="hair"/>
      <top style="hair"/>
      <bottom>
        <color indexed="63"/>
      </bottom>
    </border>
    <border>
      <left>
        <color indexed="63"/>
      </left>
      <right style="thin"/>
      <top style="thin"/>
      <bottom>
        <color indexed="63"/>
      </bottom>
    </border>
    <border>
      <left>
        <color indexed="63"/>
      </left>
      <right style="double"/>
      <top style="hair"/>
      <bottom style="hair"/>
    </border>
    <border>
      <left>
        <color indexed="63"/>
      </left>
      <right style="thin"/>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color indexed="63"/>
      </left>
      <right style="hair"/>
      <top>
        <color indexed="63"/>
      </top>
      <bottom style="double"/>
    </border>
    <border>
      <left style="hair"/>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hair"/>
      <bottom style="hair"/>
    </border>
    <border>
      <left style="double"/>
      <right style="hair"/>
      <top style="double"/>
      <bottom style="thin"/>
    </border>
    <border>
      <left style="hair"/>
      <right style="hair"/>
      <top style="double"/>
      <bottom style="thin"/>
    </border>
    <border>
      <left style="hair"/>
      <right style="double"/>
      <top style="double"/>
      <bottom style="thin"/>
    </border>
    <border>
      <left style="thin"/>
      <right>
        <color indexed="63"/>
      </right>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color indexed="63"/>
      </right>
      <top style="thin"/>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color indexed="63"/>
      </right>
      <top style="hair"/>
      <bottom style="thin"/>
    </border>
    <border>
      <left>
        <color indexed="63"/>
      </left>
      <right style="double"/>
      <top style="hair"/>
      <bottom style="thin"/>
    </border>
    <border>
      <left style="double"/>
      <right>
        <color indexed="63"/>
      </right>
      <top>
        <color indexed="63"/>
      </top>
      <bottom style="thin"/>
    </border>
    <border>
      <left style="double"/>
      <right style="thin"/>
      <top style="double"/>
      <bottom>
        <color indexed="63"/>
      </bottom>
    </border>
    <border>
      <left style="double"/>
      <right style="thin"/>
      <top>
        <color indexed="63"/>
      </top>
      <bottom>
        <color indexed="63"/>
      </bottom>
    </border>
    <border>
      <left style="thin"/>
      <right>
        <color indexed="63"/>
      </right>
      <top style="double"/>
      <bottom style="thin"/>
    </border>
    <border>
      <left style="double"/>
      <right style="hair"/>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2">
    <xf numFmtId="0" fontId="0" fillId="0" borderId="0" xfId="0" applyAlignment="1">
      <alignment/>
    </xf>
    <xf numFmtId="0" fontId="0" fillId="24" borderId="0" xfId="0" applyFill="1" applyAlignment="1">
      <alignment/>
    </xf>
    <xf numFmtId="0" fontId="0" fillId="24" borderId="0" xfId="0" applyFill="1" applyBorder="1" applyAlignment="1">
      <alignment/>
    </xf>
    <xf numFmtId="0" fontId="4" fillId="24" borderId="0" xfId="0" applyFont="1" applyFill="1" applyBorder="1" applyAlignment="1">
      <alignment horizontal="left"/>
    </xf>
    <xf numFmtId="0" fontId="6" fillId="24" borderId="10" xfId="0" applyFont="1" applyFill="1" applyBorder="1" applyAlignment="1">
      <alignment wrapText="1"/>
    </xf>
    <xf numFmtId="0" fontId="0" fillId="24" borderId="11" xfId="0" applyFill="1" applyBorder="1" applyAlignment="1">
      <alignment/>
    </xf>
    <xf numFmtId="0" fontId="4" fillId="24" borderId="11" xfId="0" applyFont="1" applyFill="1" applyBorder="1" applyAlignment="1">
      <alignment/>
    </xf>
    <xf numFmtId="0" fontId="0" fillId="24" borderId="0" xfId="0" applyFill="1" applyBorder="1" applyAlignment="1">
      <alignment wrapText="1"/>
    </xf>
    <xf numFmtId="0" fontId="6" fillId="24" borderId="12" xfId="0" applyFont="1" applyFill="1" applyBorder="1" applyAlignment="1">
      <alignment wrapText="1"/>
    </xf>
    <xf numFmtId="0" fontId="6" fillId="24" borderId="13" xfId="0" applyFont="1" applyFill="1" applyBorder="1" applyAlignment="1">
      <alignment wrapText="1"/>
    </xf>
    <xf numFmtId="0" fontId="0" fillId="24" borderId="11" xfId="0" applyFill="1" applyBorder="1" applyAlignment="1">
      <alignment horizontal="right"/>
    </xf>
    <xf numFmtId="0" fontId="6" fillId="24" borderId="14" xfId="0" applyFont="1" applyFill="1" applyBorder="1" applyAlignment="1">
      <alignment wrapText="1"/>
    </xf>
    <xf numFmtId="0" fontId="6" fillId="24" borderId="15" xfId="0" applyFont="1" applyFill="1" applyBorder="1" applyAlignment="1">
      <alignment wrapText="1"/>
    </xf>
    <xf numFmtId="0" fontId="10" fillId="24" borderId="11" xfId="0" applyFont="1" applyFill="1" applyBorder="1" applyAlignment="1">
      <alignment/>
    </xf>
    <xf numFmtId="0" fontId="11" fillId="24" borderId="11" xfId="0" applyFont="1" applyFill="1" applyBorder="1" applyAlignment="1">
      <alignment/>
    </xf>
    <xf numFmtId="0" fontId="10" fillId="24" borderId="11" xfId="0" applyFont="1" applyFill="1" applyBorder="1" applyAlignment="1">
      <alignment horizontal="left"/>
    </xf>
    <xf numFmtId="0" fontId="10" fillId="24" borderId="0" xfId="0" applyFont="1" applyFill="1" applyBorder="1" applyAlignment="1">
      <alignment horizontal="left"/>
    </xf>
    <xf numFmtId="0" fontId="0" fillId="24" borderId="0" xfId="0" applyFont="1" applyFill="1" applyBorder="1" applyAlignment="1">
      <alignment/>
    </xf>
    <xf numFmtId="0" fontId="0" fillId="25" borderId="10" xfId="0" applyNumberFormat="1" applyFont="1" applyFill="1" applyBorder="1" applyAlignment="1">
      <alignment vertical="center" wrapText="1"/>
    </xf>
    <xf numFmtId="0" fontId="0" fillId="25" borderId="16" xfId="0" applyNumberFormat="1" applyFont="1" applyFill="1" applyBorder="1" applyAlignment="1">
      <alignment vertical="center" wrapText="1"/>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20" xfId="0" applyFill="1" applyBorder="1" applyAlignment="1">
      <alignment horizontal="center"/>
    </xf>
    <xf numFmtId="186" fontId="0" fillId="24" borderId="19" xfId="0" applyNumberFormat="1" applyFill="1" applyBorder="1" applyAlignment="1">
      <alignment horizontal="center"/>
    </xf>
    <xf numFmtId="186" fontId="0" fillId="24" borderId="20" xfId="0" applyNumberFormat="1" applyFill="1" applyBorder="1" applyAlignment="1">
      <alignment horizontal="center"/>
    </xf>
    <xf numFmtId="11" fontId="0" fillId="24" borderId="19" xfId="0" applyNumberFormat="1" applyFill="1" applyBorder="1" applyAlignment="1">
      <alignment horizontal="center"/>
    </xf>
    <xf numFmtId="11" fontId="0" fillId="24" borderId="20" xfId="0" applyNumberFormat="1" applyFill="1" applyBorder="1" applyAlignment="1">
      <alignment horizontal="center"/>
    </xf>
    <xf numFmtId="0" fontId="0" fillId="24" borderId="19" xfId="0" applyNumberFormat="1"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20" xfId="0" applyNumberFormat="1" applyFill="1" applyBorder="1" applyAlignment="1">
      <alignment horizontal="center"/>
    </xf>
    <xf numFmtId="0" fontId="0" fillId="24" borderId="21" xfId="0" applyNumberFormat="1" applyFill="1" applyBorder="1" applyAlignment="1">
      <alignment horizontal="center"/>
    </xf>
    <xf numFmtId="0" fontId="0" fillId="24" borderId="22" xfId="0" applyNumberFormat="1" applyFill="1" applyBorder="1" applyAlignment="1">
      <alignment horizontal="center"/>
    </xf>
    <xf numFmtId="182" fontId="0" fillId="24" borderId="19" xfId="0" applyNumberFormat="1" applyFill="1" applyBorder="1" applyAlignment="1">
      <alignment horizontal="center"/>
    </xf>
    <xf numFmtId="182" fontId="0" fillId="24" borderId="20" xfId="0" applyNumberFormat="1" applyFill="1" applyBorder="1" applyAlignment="1">
      <alignment horizontal="center"/>
    </xf>
    <xf numFmtId="0" fontId="0" fillId="24" borderId="11" xfId="0" applyFont="1" applyFill="1" applyBorder="1" applyAlignment="1">
      <alignment horizontal="left"/>
    </xf>
    <xf numFmtId="0" fontId="0" fillId="24" borderId="0" xfId="0" applyFont="1" applyFill="1" applyAlignment="1">
      <alignment/>
    </xf>
    <xf numFmtId="0" fontId="0" fillId="24" borderId="15" xfId="0" applyFill="1" applyBorder="1" applyAlignment="1">
      <alignment/>
    </xf>
    <xf numFmtId="0" fontId="0" fillId="24" borderId="10" xfId="0" applyFill="1" applyBorder="1" applyAlignment="1">
      <alignment/>
    </xf>
    <xf numFmtId="0" fontId="0" fillId="24" borderId="16" xfId="0" applyFill="1" applyBorder="1" applyAlignment="1">
      <alignment/>
    </xf>
    <xf numFmtId="0" fontId="0" fillId="24" borderId="13" xfId="0" applyFill="1" applyBorder="1" applyAlignment="1">
      <alignment/>
    </xf>
    <xf numFmtId="0" fontId="0" fillId="24" borderId="0" xfId="0" applyFont="1" applyFill="1" applyAlignment="1">
      <alignment wrapText="1"/>
    </xf>
    <xf numFmtId="0" fontId="4" fillId="24" borderId="0" xfId="0" applyFont="1" applyFill="1" applyAlignment="1">
      <alignment vertical="top" wrapText="1"/>
    </xf>
    <xf numFmtId="0" fontId="7" fillId="24" borderId="13" xfId="0" applyFont="1" applyFill="1" applyBorder="1" applyAlignment="1">
      <alignment wrapText="1"/>
    </xf>
    <xf numFmtId="0" fontId="0" fillId="24" borderId="23" xfId="0" applyFont="1" applyFill="1" applyBorder="1" applyAlignment="1">
      <alignment vertical="top" wrapText="1"/>
    </xf>
    <xf numFmtId="0" fontId="6" fillId="24" borderId="10" xfId="0" applyFont="1" applyFill="1" applyBorder="1" applyAlignment="1">
      <alignment/>
    </xf>
    <xf numFmtId="2" fontId="0" fillId="24" borderId="19" xfId="0" applyNumberFormat="1" applyFill="1" applyBorder="1" applyAlignment="1">
      <alignment horizontal="center"/>
    </xf>
    <xf numFmtId="189" fontId="0" fillId="24" borderId="19" xfId="0" applyNumberFormat="1" applyFill="1" applyBorder="1" applyAlignment="1">
      <alignment horizontal="center"/>
    </xf>
    <xf numFmtId="179" fontId="0" fillId="24" borderId="19" xfId="0" applyNumberFormat="1" applyFill="1" applyBorder="1" applyAlignment="1">
      <alignment horizontal="center"/>
    </xf>
    <xf numFmtId="179" fontId="0" fillId="24" borderId="20" xfId="0" applyNumberFormat="1" applyFill="1" applyBorder="1" applyAlignment="1">
      <alignment horizontal="center"/>
    </xf>
    <xf numFmtId="0" fontId="0" fillId="24" borderId="19" xfId="0" applyFont="1" applyFill="1" applyBorder="1" applyAlignment="1">
      <alignment wrapText="1"/>
    </xf>
    <xf numFmtId="0" fontId="0" fillId="24" borderId="24" xfId="0" applyFont="1" applyFill="1" applyBorder="1" applyAlignment="1">
      <alignment wrapText="1"/>
    </xf>
    <xf numFmtId="0" fontId="0" fillId="24" borderId="24" xfId="0" applyFont="1" applyFill="1" applyBorder="1" applyAlignment="1">
      <alignment/>
    </xf>
    <xf numFmtId="0" fontId="0" fillId="24" borderId="25" xfId="0" applyFont="1" applyFill="1" applyBorder="1" applyAlignment="1">
      <alignment/>
    </xf>
    <xf numFmtId="0" fontId="0" fillId="24" borderId="26" xfId="0" applyFont="1" applyFill="1" applyBorder="1" applyAlignment="1">
      <alignment wrapText="1"/>
    </xf>
    <xf numFmtId="0" fontId="0" fillId="24" borderId="27" xfId="0" applyFont="1" applyFill="1" applyBorder="1" applyAlignment="1">
      <alignment wrapText="1"/>
    </xf>
    <xf numFmtId="0" fontId="0" fillId="24" borderId="14" xfId="0" applyFill="1" applyBorder="1" applyAlignment="1">
      <alignment/>
    </xf>
    <xf numFmtId="0" fontId="0" fillId="25" borderId="0" xfId="0" applyNumberFormat="1" applyFont="1" applyFill="1" applyBorder="1" applyAlignment="1">
      <alignment vertical="center" wrapText="1"/>
    </xf>
    <xf numFmtId="0" fontId="4" fillId="24" borderId="0" xfId="0" applyNumberFormat="1" applyFont="1" applyFill="1" applyBorder="1" applyAlignment="1">
      <alignment horizontal="center" vertical="center"/>
    </xf>
    <xf numFmtId="0" fontId="0" fillId="24" borderId="0" xfId="0" applyFont="1" applyFill="1" applyBorder="1" applyAlignment="1">
      <alignment vertical="center" wrapText="1"/>
    </xf>
    <xf numFmtId="0" fontId="0" fillId="24" borderId="28" xfId="0" applyFont="1" applyFill="1" applyBorder="1" applyAlignment="1">
      <alignment wrapText="1"/>
    </xf>
    <xf numFmtId="0" fontId="0" fillId="24" borderId="17" xfId="0" applyFont="1" applyFill="1" applyBorder="1" applyAlignment="1">
      <alignment wrapText="1"/>
    </xf>
    <xf numFmtId="0" fontId="0" fillId="24" borderId="29" xfId="0" applyFont="1" applyFill="1" applyBorder="1" applyAlignment="1">
      <alignment vertical="top" wrapText="1"/>
    </xf>
    <xf numFmtId="0" fontId="0" fillId="24" borderId="26" xfId="0" applyNumberFormat="1" applyFill="1" applyBorder="1" applyAlignment="1" applyProtection="1">
      <alignment horizontal="center"/>
      <protection locked="0"/>
    </xf>
    <xf numFmtId="0" fontId="0" fillId="24" borderId="30" xfId="0" applyNumberFormat="1" applyFill="1" applyBorder="1" applyAlignment="1" applyProtection="1">
      <alignment horizontal="center"/>
      <protection locked="0"/>
    </xf>
    <xf numFmtId="0" fontId="0" fillId="24" borderId="20" xfId="0" applyNumberFormat="1" applyFill="1" applyBorder="1" applyAlignment="1" applyProtection="1">
      <alignment horizontal="center"/>
      <protection locked="0"/>
    </xf>
    <xf numFmtId="0" fontId="0" fillId="24" borderId="31" xfId="0" applyNumberFormat="1" applyFill="1" applyBorder="1" applyAlignment="1" applyProtection="1">
      <alignment horizontal="center"/>
      <protection locked="0"/>
    </xf>
    <xf numFmtId="0" fontId="0" fillId="24" borderId="18"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0" xfId="0" applyFont="1" applyFill="1" applyBorder="1" applyAlignment="1" applyProtection="1">
      <alignment horizontal="center"/>
      <protection locked="0"/>
    </xf>
    <xf numFmtId="0" fontId="0" fillId="24" borderId="26" xfId="0" applyFont="1" applyFill="1" applyBorder="1" applyAlignment="1" applyProtection="1">
      <alignment horizontal="center"/>
      <protection locked="0"/>
    </xf>
    <xf numFmtId="187" fontId="0" fillId="24" borderId="26" xfId="0" applyNumberFormat="1"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187" fontId="0" fillId="24" borderId="19" xfId="0" applyNumberFormat="1" applyFont="1" applyFill="1" applyBorder="1" applyAlignment="1" applyProtection="1">
      <alignment horizontal="center"/>
      <protection locked="0"/>
    </xf>
    <xf numFmtId="0" fontId="0" fillId="24" borderId="20" xfId="0" applyFill="1" applyBorder="1" applyAlignment="1" applyProtection="1">
      <alignment horizontal="center"/>
      <protection locked="0"/>
    </xf>
    <xf numFmtId="187" fontId="0" fillId="24" borderId="17" xfId="0" applyNumberFormat="1" applyFill="1" applyBorder="1" applyAlignment="1" applyProtection="1">
      <alignment horizontal="center"/>
      <protection locked="0"/>
    </xf>
    <xf numFmtId="187" fontId="0" fillId="24" borderId="18" xfId="0" applyNumberFormat="1" applyFill="1" applyBorder="1" applyAlignment="1" applyProtection="1">
      <alignment horizontal="center"/>
      <protection locked="0"/>
    </xf>
    <xf numFmtId="187" fontId="0" fillId="24" borderId="19" xfId="0" applyNumberFormat="1" applyFill="1" applyBorder="1" applyAlignment="1" applyProtection="1">
      <alignment horizontal="center"/>
      <protection locked="0"/>
    </xf>
    <xf numFmtId="187" fontId="0" fillId="24" borderId="20" xfId="0" applyNumberFormat="1" applyFill="1" applyBorder="1" applyAlignment="1" applyProtection="1">
      <alignment horizontal="center"/>
      <protection locked="0"/>
    </xf>
    <xf numFmtId="187" fontId="0" fillId="24" borderId="32" xfId="0" applyNumberFormat="1" applyFill="1" applyBorder="1" applyAlignment="1" applyProtection="1">
      <alignment horizontal="center"/>
      <protection locked="0"/>
    </xf>
    <xf numFmtId="187" fontId="0" fillId="24" borderId="33" xfId="0" applyNumberFormat="1" applyFill="1" applyBorder="1" applyAlignment="1" applyProtection="1">
      <alignment horizontal="center"/>
      <protection locked="0"/>
    </xf>
    <xf numFmtId="4" fontId="0" fillId="24" borderId="19" xfId="0" applyNumberFormat="1" applyFont="1" applyFill="1" applyBorder="1" applyAlignment="1">
      <alignment horizontal="right"/>
    </xf>
    <xf numFmtId="0" fontId="0" fillId="24" borderId="0" xfId="0" applyFont="1" applyFill="1" applyAlignment="1">
      <alignment horizontal="left" wrapText="1"/>
    </xf>
    <xf numFmtId="17" fontId="0" fillId="24" borderId="0" xfId="0" applyNumberFormat="1" applyFont="1" applyFill="1" applyAlignment="1">
      <alignment wrapText="1"/>
    </xf>
    <xf numFmtId="0" fontId="0" fillId="24" borderId="0" xfId="0" applyFont="1" applyFill="1" applyAlignment="1">
      <alignment vertical="top" wrapText="1"/>
    </xf>
    <xf numFmtId="0" fontId="0" fillId="24" borderId="0" xfId="0" applyFont="1" applyFill="1" applyBorder="1" applyAlignment="1">
      <alignment wrapText="1"/>
    </xf>
    <xf numFmtId="0" fontId="0" fillId="24" borderId="0" xfId="0" applyFont="1" applyFill="1" applyAlignment="1">
      <alignment vertical="top"/>
    </xf>
    <xf numFmtId="4" fontId="0" fillId="24" borderId="21" xfId="0" applyNumberFormat="1" applyFont="1" applyFill="1" applyBorder="1" applyAlignment="1">
      <alignment horizontal="right"/>
    </xf>
    <xf numFmtId="187" fontId="0" fillId="24" borderId="28" xfId="0" applyNumberFormat="1" applyFont="1" applyFill="1" applyBorder="1" applyAlignment="1" applyProtection="1">
      <alignment horizontal="center"/>
      <protection locked="0"/>
    </xf>
    <xf numFmtId="0" fontId="0" fillId="24" borderId="31" xfId="0" applyFill="1" applyBorder="1" applyAlignment="1" applyProtection="1">
      <alignment horizontal="center"/>
      <protection locked="0"/>
    </xf>
    <xf numFmtId="3" fontId="0" fillId="24" borderId="19" xfId="0" applyNumberFormat="1" applyFont="1" applyFill="1" applyBorder="1" applyAlignment="1">
      <alignment horizontal="right"/>
    </xf>
    <xf numFmtId="1" fontId="0" fillId="24" borderId="34" xfId="0" applyNumberFormat="1" applyFont="1" applyFill="1" applyBorder="1" applyAlignment="1">
      <alignment horizontal="center"/>
    </xf>
    <xf numFmtId="0" fontId="4" fillId="24" borderId="0" xfId="0" applyFont="1" applyFill="1" applyBorder="1" applyAlignment="1">
      <alignment horizontal="center" vertical="top"/>
    </xf>
    <xf numFmtId="0" fontId="0" fillId="24" borderId="0" xfId="0" applyFill="1" applyBorder="1" applyAlignment="1">
      <alignment/>
    </xf>
    <xf numFmtId="0" fontId="0" fillId="24" borderId="17"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19" xfId="0" applyFont="1" applyFill="1" applyBorder="1" applyAlignment="1" applyProtection="1">
      <alignment horizontal="center"/>
      <protection locked="0"/>
    </xf>
    <xf numFmtId="0" fontId="0" fillId="24" borderId="28" xfId="0" applyFont="1" applyFill="1" applyBorder="1" applyAlignment="1" applyProtection="1">
      <alignment horizontal="center"/>
      <protection locked="0"/>
    </xf>
    <xf numFmtId="0" fontId="0" fillId="24" borderId="0" xfId="0" applyFont="1" applyFill="1" applyBorder="1" applyAlignment="1">
      <alignment horizontal="left" vertical="top"/>
    </xf>
    <xf numFmtId="0" fontId="14" fillId="24" borderId="0" xfId="0" applyFont="1" applyFill="1" applyAlignment="1">
      <alignment/>
    </xf>
    <xf numFmtId="0" fontId="6" fillId="24" borderId="13" xfId="0" applyFont="1" applyFill="1" applyBorder="1" applyAlignment="1">
      <alignment wrapText="1"/>
    </xf>
    <xf numFmtId="0" fontId="6" fillId="24" borderId="13" xfId="0" applyFont="1" applyFill="1" applyBorder="1" applyAlignment="1">
      <alignment/>
    </xf>
    <xf numFmtId="0" fontId="0" fillId="24" borderId="26" xfId="0" applyNumberFormat="1" applyFill="1" applyBorder="1" applyAlignment="1">
      <alignment horizontal="center"/>
    </xf>
    <xf numFmtId="11" fontId="0" fillId="24" borderId="26" xfId="0" applyNumberFormat="1" applyFill="1" applyBorder="1" applyAlignment="1">
      <alignment horizontal="center"/>
    </xf>
    <xf numFmtId="0" fontId="0" fillId="24" borderId="30" xfId="0" applyNumberFormat="1" applyFill="1" applyBorder="1" applyAlignment="1">
      <alignment horizontal="center"/>
    </xf>
    <xf numFmtId="187" fontId="0" fillId="24" borderId="35" xfId="0" applyNumberFormat="1" applyFont="1" applyFill="1" applyBorder="1" applyAlignment="1" applyProtection="1">
      <alignment horizontal="center"/>
      <protection/>
    </xf>
    <xf numFmtId="187" fontId="0" fillId="24" borderId="34" xfId="0" applyNumberFormat="1" applyFont="1" applyFill="1" applyBorder="1" applyAlignment="1" applyProtection="1">
      <alignment horizontal="center"/>
      <protection/>
    </xf>
    <xf numFmtId="187" fontId="0" fillId="24" borderId="28" xfId="0" applyNumberFormat="1" applyFont="1" applyFill="1" applyBorder="1" applyAlignment="1" applyProtection="1">
      <alignment horizontal="center"/>
      <protection/>
    </xf>
    <xf numFmtId="182" fontId="4" fillId="24" borderId="26" xfId="0" applyNumberFormat="1" applyFont="1" applyFill="1" applyBorder="1" applyAlignment="1">
      <alignment horizontal="center"/>
    </xf>
    <xf numFmtId="190" fontId="4" fillId="24" borderId="26" xfId="0" applyNumberFormat="1" applyFont="1" applyFill="1" applyBorder="1" applyAlignment="1">
      <alignment horizontal="center"/>
    </xf>
    <xf numFmtId="175" fontId="4" fillId="24" borderId="30" xfId="0" applyNumberFormat="1" applyFont="1" applyFill="1" applyBorder="1" applyAlignment="1">
      <alignment horizontal="center"/>
    </xf>
    <xf numFmtId="182" fontId="0" fillId="24" borderId="26" xfId="0" applyNumberFormat="1" applyFont="1" applyFill="1" applyBorder="1" applyAlignment="1">
      <alignment horizontal="center"/>
    </xf>
    <xf numFmtId="182" fontId="0" fillId="24" borderId="30" xfId="0" applyNumberFormat="1" applyFont="1" applyFill="1" applyBorder="1" applyAlignment="1">
      <alignment horizontal="center"/>
    </xf>
    <xf numFmtId="203" fontId="0" fillId="24" borderId="0" xfId="0" applyNumberFormat="1" applyFont="1" applyFill="1" applyAlignment="1">
      <alignment horizontal="left" wrapText="1"/>
    </xf>
    <xf numFmtId="190" fontId="0" fillId="24" borderId="26" xfId="0" applyNumberFormat="1" applyFont="1" applyFill="1" applyBorder="1" applyAlignment="1">
      <alignment horizontal="center"/>
    </xf>
    <xf numFmtId="0" fontId="0" fillId="26" borderId="0" xfId="0" applyFont="1" applyFill="1" applyAlignment="1">
      <alignment wrapText="1"/>
    </xf>
    <xf numFmtId="0" fontId="0" fillId="26" borderId="0" xfId="0" applyFont="1" applyFill="1" applyAlignment="1">
      <alignment/>
    </xf>
    <xf numFmtId="0" fontId="0" fillId="26" borderId="0" xfId="0" applyFont="1" applyFill="1" applyAlignment="1">
      <alignment vertical="top" wrapText="1"/>
    </xf>
    <xf numFmtId="0" fontId="0" fillId="26" borderId="0" xfId="0" applyFont="1" applyFill="1" applyBorder="1" applyAlignment="1">
      <alignment/>
    </xf>
    <xf numFmtId="0" fontId="0" fillId="26" borderId="0" xfId="0" applyFill="1" applyAlignment="1">
      <alignment/>
    </xf>
    <xf numFmtId="0" fontId="0" fillId="26" borderId="0" xfId="0" applyFill="1" applyBorder="1" applyAlignment="1">
      <alignment wrapText="1"/>
    </xf>
    <xf numFmtId="0" fontId="0" fillId="24" borderId="13" xfId="0" applyFont="1" applyFill="1" applyBorder="1" applyAlignment="1">
      <alignment vertical="center" wrapText="1"/>
    </xf>
    <xf numFmtId="11" fontId="0" fillId="25" borderId="26" xfId="0" applyNumberFormat="1" applyFont="1" applyFill="1" applyBorder="1" applyAlignment="1" applyProtection="1">
      <alignment horizontal="center" vertical="center"/>
      <protection locked="0"/>
    </xf>
    <xf numFmtId="0" fontId="0" fillId="24" borderId="10" xfId="0" applyFont="1" applyFill="1" applyBorder="1" applyAlignment="1">
      <alignment vertical="center" wrapText="1"/>
    </xf>
    <xf numFmtId="0" fontId="0" fillId="24" borderId="14" xfId="0" applyFill="1" applyBorder="1" applyAlignment="1">
      <alignment vertical="center" wrapText="1"/>
    </xf>
    <xf numFmtId="0" fontId="4" fillId="27" borderId="23" xfId="0" applyFont="1" applyFill="1" applyBorder="1" applyAlignment="1">
      <alignment horizontal="center" wrapText="1"/>
    </xf>
    <xf numFmtId="0" fontId="4" fillId="27" borderId="36" xfId="0" applyFont="1" applyFill="1" applyBorder="1" applyAlignment="1">
      <alignment horizontal="center" wrapText="1"/>
    </xf>
    <xf numFmtId="0" fontId="4" fillId="27" borderId="37" xfId="0" applyFont="1" applyFill="1" applyBorder="1" applyAlignment="1">
      <alignment horizontal="center" wrapText="1"/>
    </xf>
    <xf numFmtId="0" fontId="4" fillId="27" borderId="38" xfId="0" applyFont="1" applyFill="1" applyBorder="1" applyAlignment="1">
      <alignment vertical="center" wrapText="1"/>
    </xf>
    <xf numFmtId="0" fontId="4" fillId="27" borderId="39" xfId="0" applyNumberFormat="1" applyFont="1" applyFill="1" applyBorder="1" applyAlignment="1">
      <alignment horizontal="center" vertical="center"/>
    </xf>
    <xf numFmtId="0" fontId="4" fillId="27" borderId="38" xfId="0" applyFont="1" applyFill="1" applyBorder="1" applyAlignment="1">
      <alignment/>
    </xf>
    <xf numFmtId="0" fontId="4" fillId="27" borderId="39" xfId="0" applyFont="1" applyFill="1" applyBorder="1" applyAlignment="1">
      <alignment horizontal="center" wrapText="1"/>
    </xf>
    <xf numFmtId="0" fontId="4" fillId="27" borderId="40" xfId="0" applyFont="1" applyFill="1" applyBorder="1" applyAlignment="1">
      <alignment horizontal="center" wrapText="1"/>
    </xf>
    <xf numFmtId="0" fontId="4" fillId="27" borderId="41" xfId="0" applyFont="1" applyFill="1" applyBorder="1" applyAlignment="1">
      <alignment horizontal="center" wrapText="1"/>
    </xf>
    <xf numFmtId="0" fontId="0" fillId="27" borderId="42" xfId="0" applyFill="1" applyBorder="1" applyAlignment="1">
      <alignment/>
    </xf>
    <xf numFmtId="0" fontId="4" fillId="27" borderId="43" xfId="0" applyFont="1" applyFill="1" applyBorder="1" applyAlignment="1">
      <alignment/>
    </xf>
    <xf numFmtId="0" fontId="4" fillId="27" borderId="23" xfId="0" applyFont="1" applyFill="1" applyBorder="1" applyAlignment="1">
      <alignment wrapText="1"/>
    </xf>
    <xf numFmtId="0" fontId="4" fillId="27" borderId="44" xfId="0" applyFont="1" applyFill="1" applyBorder="1" applyAlignment="1">
      <alignment horizontal="center" wrapText="1"/>
    </xf>
    <xf numFmtId="0" fontId="4" fillId="27" borderId="45" xfId="0" applyFont="1" applyFill="1" applyBorder="1" applyAlignment="1">
      <alignment horizontal="center" wrapText="1"/>
    </xf>
    <xf numFmtId="190" fontId="0" fillId="24" borderId="30" xfId="0" applyNumberFormat="1" applyFont="1" applyFill="1" applyBorder="1" applyAlignment="1">
      <alignment horizontal="center"/>
    </xf>
    <xf numFmtId="1" fontId="0" fillId="25" borderId="19" xfId="0" applyNumberFormat="1" applyFont="1" applyFill="1" applyBorder="1" applyAlignment="1">
      <alignment horizontal="center"/>
    </xf>
    <xf numFmtId="0" fontId="0" fillId="0" borderId="19" xfId="0" applyNumberFormat="1" applyFill="1" applyBorder="1" applyAlignment="1">
      <alignment horizontal="center"/>
    </xf>
    <xf numFmtId="0" fontId="0" fillId="0" borderId="20" xfId="0" applyNumberFormat="1" applyFill="1" applyBorder="1" applyAlignment="1">
      <alignment horizontal="center"/>
    </xf>
    <xf numFmtId="11" fontId="0" fillId="0" borderId="26" xfId="0" applyNumberFormat="1" applyFont="1" applyFill="1" applyBorder="1" applyAlignment="1" applyProtection="1">
      <alignment horizontal="center" vertical="center"/>
      <protection locked="0"/>
    </xf>
    <xf numFmtId="11" fontId="0" fillId="0" borderId="0" xfId="0" applyNumberFormat="1" applyFont="1" applyFill="1" applyAlignment="1" applyProtection="1">
      <alignment horizontal="center" vertical="center"/>
      <protection locked="0"/>
    </xf>
    <xf numFmtId="187" fontId="0" fillId="0" borderId="28" xfId="0" applyNumberForma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187" fontId="0" fillId="0" borderId="19" xfId="0" applyNumberFormat="1" applyFont="1" applyFill="1" applyBorder="1" applyAlignment="1" applyProtection="1">
      <alignment horizontal="center"/>
      <protection locked="0"/>
    </xf>
    <xf numFmtId="187" fontId="0" fillId="0" borderId="28" xfId="0" applyNumberFormat="1" applyFont="1" applyFill="1" applyBorder="1" applyAlignment="1" applyProtection="1">
      <alignment horizontal="center"/>
      <protection locked="0"/>
    </xf>
    <xf numFmtId="198" fontId="0" fillId="0" borderId="19" xfId="0" applyNumberFormat="1" applyFont="1" applyFill="1" applyBorder="1" applyAlignment="1" applyProtection="1">
      <alignment horizontal="center"/>
      <protection locked="0"/>
    </xf>
    <xf numFmtId="198" fontId="0" fillId="0" borderId="28" xfId="0" applyNumberFormat="1" applyFont="1" applyFill="1" applyBorder="1" applyAlignment="1" applyProtection="1">
      <alignment horizontal="center"/>
      <protection locked="0"/>
    </xf>
    <xf numFmtId="0" fontId="4" fillId="0" borderId="32" xfId="0" applyNumberFormat="1" applyFont="1" applyFill="1" applyBorder="1" applyAlignment="1" applyProtection="1">
      <alignment horizontal="center" vertical="center"/>
      <protection locked="0"/>
    </xf>
    <xf numFmtId="0" fontId="4" fillId="0" borderId="19" xfId="0" applyNumberFormat="1" applyFont="1" applyFill="1" applyBorder="1" applyAlignment="1" applyProtection="1">
      <alignment horizontal="center" vertical="center"/>
      <protection locked="0"/>
    </xf>
    <xf numFmtId="0" fontId="0" fillId="24" borderId="0" xfId="0" applyFont="1" applyFill="1" applyBorder="1" applyAlignment="1">
      <alignment vertical="top" wrapText="1"/>
    </xf>
    <xf numFmtId="2" fontId="0" fillId="24" borderId="0" xfId="0" applyNumberFormat="1" applyFont="1" applyFill="1" applyBorder="1" applyAlignment="1">
      <alignment horizontal="center" vertical="top"/>
    </xf>
    <xf numFmtId="0" fontId="0" fillId="24" borderId="0" xfId="0" applyFont="1" applyFill="1" applyBorder="1" applyAlignment="1">
      <alignment horizontal="center" vertical="top" wrapText="1"/>
    </xf>
    <xf numFmtId="179" fontId="0" fillId="24" borderId="0" xfId="0" applyNumberFormat="1" applyFont="1" applyFill="1" applyBorder="1" applyAlignment="1">
      <alignment horizontal="center" vertical="top" wrapText="1"/>
    </xf>
    <xf numFmtId="2" fontId="0" fillId="24" borderId="0" xfId="0" applyNumberFormat="1" applyFont="1" applyFill="1" applyBorder="1" applyAlignment="1">
      <alignment horizontal="center" vertical="top" wrapText="1"/>
    </xf>
    <xf numFmtId="1" fontId="0" fillId="24" borderId="20" xfId="0" applyNumberFormat="1" applyFont="1" applyFill="1" applyBorder="1" applyAlignment="1">
      <alignment horizontal="center"/>
    </xf>
    <xf numFmtId="0" fontId="0" fillId="26" borderId="0" xfId="0" applyFill="1" applyBorder="1" applyAlignment="1">
      <alignment/>
    </xf>
    <xf numFmtId="11" fontId="0" fillId="26" borderId="0" xfId="0" applyNumberFormat="1" applyFont="1" applyFill="1" applyBorder="1" applyAlignment="1">
      <alignment horizontal="center" vertical="top" wrapText="1"/>
    </xf>
    <xf numFmtId="0" fontId="0" fillId="26" borderId="0" xfId="0" applyNumberFormat="1" applyFont="1" applyFill="1" applyBorder="1" applyAlignment="1">
      <alignment horizontal="center" vertical="top" wrapText="1"/>
    </xf>
    <xf numFmtId="0" fontId="4" fillId="26" borderId="0" xfId="0" applyFont="1" applyFill="1" applyBorder="1" applyAlignment="1">
      <alignment horizontal="center" vertical="top"/>
    </xf>
    <xf numFmtId="3" fontId="0" fillId="24" borderId="21" xfId="0" applyNumberFormat="1" applyFont="1" applyFill="1" applyBorder="1" applyAlignment="1">
      <alignment horizontal="right"/>
    </xf>
    <xf numFmtId="0" fontId="4" fillId="27" borderId="36" xfId="0" applyFont="1" applyFill="1" applyBorder="1" applyAlignment="1">
      <alignment horizontal="center" vertical="top" wrapText="1"/>
    </xf>
    <xf numFmtId="0" fontId="4" fillId="27" borderId="44" xfId="0" applyFont="1" applyFill="1" applyBorder="1" applyAlignment="1">
      <alignment horizontal="center" vertical="top" wrapText="1"/>
    </xf>
    <xf numFmtId="0" fontId="4" fillId="27" borderId="37" xfId="0" applyFont="1" applyFill="1" applyBorder="1" applyAlignment="1">
      <alignment horizontal="center" vertical="top" wrapText="1"/>
    </xf>
    <xf numFmtId="2" fontId="0" fillId="24" borderId="34" xfId="0" applyNumberFormat="1" applyFont="1" applyFill="1" applyBorder="1" applyAlignment="1">
      <alignment horizontal="center"/>
    </xf>
    <xf numFmtId="1" fontId="0" fillId="25" borderId="32" xfId="0" applyNumberFormat="1" applyFont="1" applyFill="1" applyBorder="1" applyAlignment="1">
      <alignment horizontal="center"/>
    </xf>
    <xf numFmtId="2" fontId="0" fillId="24" borderId="46" xfId="0" applyNumberFormat="1" applyFont="1" applyFill="1" applyBorder="1" applyAlignment="1">
      <alignment horizontal="center"/>
    </xf>
    <xf numFmtId="1" fontId="0" fillId="24" borderId="33" xfId="0" applyNumberFormat="1" applyFont="1" applyFill="1" applyBorder="1" applyAlignment="1">
      <alignment horizontal="center"/>
    </xf>
    <xf numFmtId="0" fontId="0" fillId="24" borderId="0" xfId="0" applyFont="1" applyFill="1" applyBorder="1" applyAlignment="1">
      <alignment/>
    </xf>
    <xf numFmtId="1" fontId="0" fillId="25" borderId="0" xfId="0" applyNumberFormat="1" applyFont="1" applyFill="1" applyBorder="1" applyAlignment="1">
      <alignment horizontal="center"/>
    </xf>
    <xf numFmtId="2" fontId="0" fillId="24" borderId="0" xfId="0" applyNumberFormat="1" applyFont="1" applyFill="1" applyBorder="1" applyAlignment="1">
      <alignment horizontal="center"/>
    </xf>
    <xf numFmtId="1" fontId="0" fillId="24" borderId="0" xfId="0" applyNumberFormat="1" applyFont="1" applyFill="1" applyBorder="1" applyAlignment="1">
      <alignment horizontal="center"/>
    </xf>
    <xf numFmtId="0" fontId="4" fillId="27" borderId="0" xfId="0" applyFont="1" applyFill="1" applyBorder="1" applyAlignment="1">
      <alignment horizontal="center" wrapText="1"/>
    </xf>
    <xf numFmtId="4" fontId="0" fillId="24" borderId="20" xfId="0" applyNumberFormat="1" applyFont="1" applyFill="1" applyBorder="1" applyAlignment="1">
      <alignment horizontal="right"/>
    </xf>
    <xf numFmtId="4" fontId="0" fillId="24" borderId="22" xfId="0" applyNumberFormat="1" applyFont="1" applyFill="1" applyBorder="1" applyAlignment="1">
      <alignment horizontal="right"/>
    </xf>
    <xf numFmtId="0" fontId="4" fillId="27" borderId="47" xfId="0" applyFont="1" applyFill="1" applyBorder="1" applyAlignment="1">
      <alignment horizontal="center" wrapText="1"/>
    </xf>
    <xf numFmtId="0" fontId="4" fillId="27" borderId="48" xfId="0" applyFont="1" applyFill="1" applyBorder="1" applyAlignment="1">
      <alignment horizontal="center" wrapText="1"/>
    </xf>
    <xf numFmtId="3" fontId="0" fillId="24" borderId="17" xfId="0" applyNumberFormat="1" applyFont="1" applyFill="1" applyBorder="1" applyAlignment="1">
      <alignment horizontal="right"/>
    </xf>
    <xf numFmtId="4" fontId="0" fillId="24" borderId="17" xfId="0" applyNumberFormat="1" applyFont="1" applyFill="1" applyBorder="1" applyAlignment="1">
      <alignment horizontal="right"/>
    </xf>
    <xf numFmtId="4" fontId="0" fillId="24" borderId="18" xfId="0" applyNumberFormat="1" applyFont="1" applyFill="1" applyBorder="1" applyAlignment="1">
      <alignment horizontal="right"/>
    </xf>
    <xf numFmtId="1" fontId="0" fillId="24" borderId="19" xfId="0" applyNumberFormat="1" applyFont="1" applyFill="1" applyBorder="1" applyAlignment="1">
      <alignment/>
    </xf>
    <xf numFmtId="1" fontId="0" fillId="24" borderId="21" xfId="0" applyNumberFormat="1" applyFont="1" applyFill="1" applyBorder="1" applyAlignment="1">
      <alignment/>
    </xf>
    <xf numFmtId="1" fontId="0" fillId="25" borderId="34" xfId="0" applyNumberFormat="1" applyFont="1" applyFill="1" applyBorder="1" applyAlignment="1">
      <alignment horizontal="center"/>
    </xf>
    <xf numFmtId="1" fontId="0" fillId="25" borderId="46" xfId="0" applyNumberFormat="1" applyFont="1" applyFill="1" applyBorder="1" applyAlignment="1">
      <alignment horizontal="center"/>
    </xf>
    <xf numFmtId="1" fontId="0" fillId="24" borderId="11" xfId="0" applyNumberFormat="1" applyFont="1" applyFill="1" applyBorder="1" applyAlignment="1">
      <alignment horizontal="center"/>
    </xf>
    <xf numFmtId="2" fontId="0" fillId="24" borderId="11" xfId="0" applyNumberFormat="1" applyFont="1" applyFill="1" applyBorder="1" applyAlignment="1">
      <alignment horizontal="center"/>
    </xf>
    <xf numFmtId="0" fontId="0" fillId="24" borderId="11" xfId="0" applyFill="1" applyBorder="1" applyAlignment="1">
      <alignment vertical="center" wrapText="1"/>
    </xf>
    <xf numFmtId="0" fontId="4" fillId="24" borderId="11" xfId="0" applyFont="1" applyFill="1" applyBorder="1" applyAlignment="1">
      <alignment horizontal="center" wrapText="1"/>
    </xf>
    <xf numFmtId="0" fontId="0" fillId="24" borderId="0" xfId="0" applyFill="1" applyAlignment="1" applyProtection="1">
      <alignment/>
      <protection/>
    </xf>
    <xf numFmtId="0" fontId="16" fillId="24" borderId="0" xfId="0" applyFont="1" applyFill="1" applyBorder="1" applyAlignment="1" applyProtection="1">
      <alignment/>
      <protection/>
    </xf>
    <xf numFmtId="187" fontId="16" fillId="24" borderId="0" xfId="0" applyNumberFormat="1" applyFont="1" applyFill="1" applyBorder="1" applyAlignment="1" applyProtection="1">
      <alignment horizontal="center"/>
      <protection/>
    </xf>
    <xf numFmtId="187" fontId="0" fillId="24" borderId="0" xfId="0" applyNumberFormat="1" applyFill="1" applyBorder="1" applyAlignment="1" applyProtection="1">
      <alignment horizontal="center"/>
      <protection/>
    </xf>
    <xf numFmtId="187" fontId="16" fillId="24" borderId="0" xfId="0" applyNumberFormat="1" applyFont="1" applyFill="1" applyBorder="1" applyAlignment="1" applyProtection="1">
      <alignment horizontal="left"/>
      <protection/>
    </xf>
    <xf numFmtId="0" fontId="0" fillId="24" borderId="49" xfId="0" applyFill="1" applyBorder="1" applyAlignment="1">
      <alignment/>
    </xf>
    <xf numFmtId="187" fontId="0" fillId="24" borderId="50" xfId="0" applyNumberFormat="1" applyFill="1" applyBorder="1" applyAlignment="1" applyProtection="1">
      <alignment horizontal="center"/>
      <protection/>
    </xf>
    <xf numFmtId="187" fontId="0" fillId="24" borderId="51" xfId="0" applyNumberFormat="1" applyFill="1" applyBorder="1" applyAlignment="1" applyProtection="1">
      <alignment horizontal="center"/>
      <protection/>
    </xf>
    <xf numFmtId="0" fontId="0" fillId="24" borderId="21" xfId="0" applyFont="1" applyFill="1" applyBorder="1" applyAlignment="1">
      <alignment wrapText="1"/>
    </xf>
    <xf numFmtId="0" fontId="0" fillId="24" borderId="28" xfId="0" applyFont="1" applyFill="1" applyBorder="1" applyAlignment="1" applyProtection="1">
      <alignment horizontal="center" wrapText="1"/>
      <protection locked="0"/>
    </xf>
    <xf numFmtId="0" fontId="0" fillId="24" borderId="31" xfId="0" applyFont="1" applyFill="1" applyBorder="1" applyAlignment="1" applyProtection="1">
      <alignment horizontal="center" wrapText="1"/>
      <protection locked="0"/>
    </xf>
    <xf numFmtId="0" fontId="0" fillId="24" borderId="49" xfId="0" applyFill="1" applyBorder="1" applyAlignment="1" applyProtection="1">
      <alignment/>
      <protection/>
    </xf>
    <xf numFmtId="0" fontId="4" fillId="0" borderId="19" xfId="0" applyFont="1" applyFill="1" applyBorder="1" applyAlignment="1" applyProtection="1">
      <alignment horizontal="center" vertical="center"/>
      <protection locked="0"/>
    </xf>
    <xf numFmtId="0" fontId="0" fillId="24" borderId="13" xfId="0" applyFont="1" applyFill="1" applyBorder="1" applyAlignment="1">
      <alignment horizontal="left" vertical="center" wrapText="1"/>
    </xf>
    <xf numFmtId="0" fontId="4" fillId="24" borderId="26" xfId="0" applyFont="1" applyFill="1" applyBorder="1" applyAlignment="1" applyProtection="1">
      <alignment horizontal="center" vertical="center" wrapText="1"/>
      <protection locked="0"/>
    </xf>
    <xf numFmtId="0" fontId="4" fillId="27" borderId="23" xfId="0" applyFont="1" applyFill="1" applyBorder="1" applyAlignment="1">
      <alignment vertical="center" wrapText="1"/>
    </xf>
    <xf numFmtId="0" fontId="4" fillId="27" borderId="36" xfId="0" applyNumberFormat="1" applyFont="1" applyFill="1" applyBorder="1" applyAlignment="1">
      <alignment horizontal="center" vertical="center"/>
    </xf>
    <xf numFmtId="0" fontId="0" fillId="26" borderId="0" xfId="0" applyFill="1" applyAlignment="1" applyProtection="1">
      <alignment/>
      <protection hidden="1"/>
    </xf>
    <xf numFmtId="0" fontId="4" fillId="26" borderId="0" xfId="0" applyFont="1" applyFill="1" applyAlignment="1" applyProtection="1">
      <alignment/>
      <protection hidden="1"/>
    </xf>
    <xf numFmtId="0" fontId="0" fillId="28" borderId="0" xfId="0" applyNumberFormat="1" applyFont="1" applyFill="1" applyBorder="1" applyAlignment="1">
      <alignment vertical="center" wrapText="1"/>
    </xf>
    <xf numFmtId="0" fontId="4" fillId="26" borderId="0" xfId="0" applyNumberFormat="1" applyFont="1" applyFill="1" applyBorder="1" applyAlignment="1">
      <alignment horizontal="center" vertical="center"/>
    </xf>
    <xf numFmtId="0" fontId="0" fillId="26" borderId="0" xfId="0" applyFont="1" applyFill="1" applyBorder="1" applyAlignment="1">
      <alignment vertical="center" wrapText="1"/>
    </xf>
    <xf numFmtId="0" fontId="4" fillId="26" borderId="0" xfId="0" applyFont="1" applyFill="1" applyAlignment="1">
      <alignment/>
    </xf>
    <xf numFmtId="0" fontId="0" fillId="24" borderId="10" xfId="0" applyFont="1" applyFill="1" applyBorder="1" applyAlignment="1">
      <alignment/>
    </xf>
    <xf numFmtId="0" fontId="0" fillId="24" borderId="16" xfId="0" applyFont="1" applyFill="1" applyBorder="1" applyAlignment="1">
      <alignment/>
    </xf>
    <xf numFmtId="0" fontId="0" fillId="24" borderId="20" xfId="0" applyNumberFormat="1" applyFont="1" applyFill="1" applyBorder="1" applyAlignment="1" applyProtection="1">
      <alignment horizontal="center"/>
      <protection locked="0"/>
    </xf>
    <xf numFmtId="0" fontId="0" fillId="24" borderId="13" xfId="0" applyFont="1" applyFill="1" applyBorder="1" applyAlignment="1">
      <alignment/>
    </xf>
    <xf numFmtId="0" fontId="0" fillId="24" borderId="30" xfId="0" applyNumberFormat="1" applyFont="1" applyFill="1" applyBorder="1" applyAlignment="1" applyProtection="1">
      <alignment horizontal="center"/>
      <protection locked="0"/>
    </xf>
    <xf numFmtId="0" fontId="4" fillId="27" borderId="23" xfId="0" applyFont="1" applyFill="1" applyBorder="1" applyAlignment="1">
      <alignment/>
    </xf>
    <xf numFmtId="187" fontId="4" fillId="27" borderId="36" xfId="0" applyNumberFormat="1" applyFont="1" applyFill="1" applyBorder="1" applyAlignment="1">
      <alignment horizontal="center" wrapText="1"/>
    </xf>
    <xf numFmtId="187" fontId="4" fillId="27" borderId="37" xfId="0" applyNumberFormat="1" applyFont="1" applyFill="1" applyBorder="1" applyAlignment="1">
      <alignment horizontal="center" wrapText="1"/>
    </xf>
    <xf numFmtId="0" fontId="0" fillId="26" borderId="0" xfId="0" applyFill="1" applyAlignment="1" applyProtection="1">
      <alignment/>
      <protection/>
    </xf>
    <xf numFmtId="0" fontId="16" fillId="26" borderId="0" xfId="0" applyFont="1" applyFill="1" applyBorder="1" applyAlignment="1" applyProtection="1">
      <alignment/>
      <protection/>
    </xf>
    <xf numFmtId="187" fontId="16" fillId="26" borderId="0" xfId="0" applyNumberFormat="1" applyFont="1" applyFill="1" applyBorder="1" applyAlignment="1" applyProtection="1">
      <alignment horizontal="center"/>
      <protection/>
    </xf>
    <xf numFmtId="187" fontId="0" fillId="26" borderId="0" xfId="0" applyNumberFormat="1" applyFill="1" applyBorder="1" applyAlignment="1" applyProtection="1">
      <alignment horizontal="center"/>
      <protection/>
    </xf>
    <xf numFmtId="187" fontId="16" fillId="26" borderId="0" xfId="0" applyNumberFormat="1" applyFont="1" applyFill="1" applyBorder="1" applyAlignment="1" applyProtection="1">
      <alignment horizontal="left"/>
      <protection/>
    </xf>
    <xf numFmtId="0" fontId="0" fillId="24" borderId="33" xfId="0" applyNumberFormat="1" applyFill="1" applyBorder="1" applyAlignment="1" applyProtection="1">
      <alignment horizontal="center"/>
      <protection locked="0"/>
    </xf>
    <xf numFmtId="187" fontId="0" fillId="24" borderId="33" xfId="0" applyNumberFormat="1" applyFont="1" applyFill="1" applyBorder="1" applyAlignment="1" applyProtection="1">
      <alignment horizontal="center"/>
      <protection locked="0"/>
    </xf>
    <xf numFmtId="0" fontId="0" fillId="24" borderId="28" xfId="0" applyNumberFormat="1" applyFill="1" applyBorder="1" applyAlignment="1">
      <alignment horizontal="center"/>
    </xf>
    <xf numFmtId="0" fontId="0" fillId="24" borderId="31" xfId="0" applyNumberFormat="1" applyFill="1" applyBorder="1" applyAlignment="1">
      <alignment horizontal="center"/>
    </xf>
    <xf numFmtId="0" fontId="0" fillId="24" borderId="52" xfId="0" applyFill="1" applyBorder="1" applyAlignment="1">
      <alignment/>
    </xf>
    <xf numFmtId="0" fontId="0" fillId="24" borderId="53" xfId="0" applyFill="1" applyBorder="1" applyAlignment="1">
      <alignment/>
    </xf>
    <xf numFmtId="0" fontId="4" fillId="24" borderId="0" xfId="0" applyFont="1" applyFill="1" applyBorder="1" applyAlignment="1">
      <alignment horizontal="center" wrapText="1"/>
    </xf>
    <xf numFmtId="0" fontId="0" fillId="24" borderId="23" xfId="0" applyNumberFormat="1" applyFont="1" applyFill="1" applyBorder="1" applyAlignment="1">
      <alignment vertical="center" wrapText="1"/>
    </xf>
    <xf numFmtId="188" fontId="0" fillId="24" borderId="36" xfId="0" applyNumberFormat="1" applyFont="1" applyFill="1" applyBorder="1" applyAlignment="1">
      <alignment horizontal="center" vertical="center"/>
    </xf>
    <xf numFmtId="179" fontId="0" fillId="24" borderId="36" xfId="0" applyNumberFormat="1" applyFont="1" applyFill="1" applyBorder="1" applyAlignment="1">
      <alignment horizontal="center" vertical="center" wrapText="1"/>
    </xf>
    <xf numFmtId="179" fontId="0" fillId="24" borderId="36" xfId="0" applyNumberFormat="1" applyFont="1" applyFill="1" applyBorder="1" applyAlignment="1">
      <alignment horizontal="center" vertical="center"/>
    </xf>
    <xf numFmtId="2" fontId="0" fillId="24" borderId="37" xfId="0" applyNumberFormat="1" applyFont="1" applyFill="1" applyBorder="1" applyAlignment="1">
      <alignment horizontal="center" vertical="center" wrapText="1"/>
    </xf>
    <xf numFmtId="186" fontId="0" fillId="24" borderId="36" xfId="0" applyNumberFormat="1" applyFont="1" applyFill="1" applyBorder="1" applyAlignment="1">
      <alignment horizontal="center" vertical="center" wrapText="1"/>
    </xf>
    <xf numFmtId="186" fontId="0" fillId="24" borderId="36" xfId="0" applyNumberFormat="1" applyFont="1" applyFill="1" applyBorder="1" applyAlignment="1">
      <alignment horizontal="center" vertical="center"/>
    </xf>
    <xf numFmtId="2" fontId="0" fillId="24" borderId="37" xfId="0" applyNumberFormat="1" applyFont="1" applyFill="1" applyBorder="1" applyAlignment="1">
      <alignment horizontal="center" vertical="center"/>
    </xf>
    <xf numFmtId="188" fontId="0" fillId="24" borderId="54" xfId="0" applyNumberFormat="1" applyFont="1" applyFill="1" applyBorder="1" applyAlignment="1">
      <alignment horizontal="center" vertical="center"/>
    </xf>
    <xf numFmtId="179" fontId="0" fillId="24" borderId="54" xfId="0" applyNumberFormat="1" applyFont="1" applyFill="1" applyBorder="1" applyAlignment="1">
      <alignment horizontal="center" vertical="center" wrapText="1"/>
    </xf>
    <xf numFmtId="179" fontId="0" fillId="24" borderId="54" xfId="0" applyNumberFormat="1" applyFont="1" applyFill="1" applyBorder="1" applyAlignment="1">
      <alignment horizontal="center" vertical="center"/>
    </xf>
    <xf numFmtId="186" fontId="0" fillId="24" borderId="54" xfId="0" applyNumberFormat="1" applyFont="1" applyFill="1" applyBorder="1" applyAlignment="1">
      <alignment horizontal="center" vertical="center" wrapText="1"/>
    </xf>
    <xf numFmtId="2" fontId="0" fillId="24" borderId="55" xfId="0" applyNumberFormat="1" applyFont="1" applyFill="1" applyBorder="1" applyAlignment="1">
      <alignment horizontal="center" vertical="center" wrapText="1"/>
    </xf>
    <xf numFmtId="2" fontId="0" fillId="24" borderId="36" xfId="0" applyNumberFormat="1" applyFont="1" applyFill="1" applyBorder="1" applyAlignment="1">
      <alignment horizontal="center" vertical="center" wrapText="1"/>
    </xf>
    <xf numFmtId="0" fontId="0" fillId="24" borderId="37" xfId="0" applyNumberFormat="1" applyFont="1" applyFill="1" applyBorder="1" applyAlignment="1">
      <alignment horizontal="center" vertical="center" wrapText="1"/>
    </xf>
    <xf numFmtId="11" fontId="0" fillId="24" borderId="36" xfId="0" applyNumberFormat="1" applyFont="1" applyFill="1" applyBorder="1" applyAlignment="1">
      <alignment horizontal="center" vertical="center" wrapText="1"/>
    </xf>
    <xf numFmtId="2" fontId="0" fillId="24" borderId="36" xfId="0" applyNumberFormat="1" applyFont="1" applyFill="1" applyBorder="1" applyAlignment="1">
      <alignment horizontal="center" vertical="center"/>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2" fontId="0" fillId="24" borderId="54" xfId="0" applyNumberFormat="1" applyFont="1" applyFill="1" applyBorder="1" applyAlignment="1">
      <alignment horizontal="center" vertical="center" wrapText="1"/>
    </xf>
    <xf numFmtId="11" fontId="0" fillId="24" borderId="54" xfId="0" applyNumberFormat="1" applyFont="1" applyFill="1" applyBorder="1" applyAlignment="1">
      <alignment horizontal="center" vertical="center" wrapText="1"/>
    </xf>
    <xf numFmtId="0" fontId="0" fillId="24" borderId="55" xfId="0" applyNumberFormat="1" applyFont="1" applyFill="1" applyBorder="1" applyAlignment="1">
      <alignment horizontal="center" vertical="center" wrapText="1"/>
    </xf>
    <xf numFmtId="179" fontId="0" fillId="24" borderId="37" xfId="0" applyNumberFormat="1" applyFont="1" applyFill="1" applyBorder="1" applyAlignment="1">
      <alignment horizontal="center" vertical="center"/>
    </xf>
    <xf numFmtId="0" fontId="0" fillId="24" borderId="54" xfId="0" applyFont="1" applyFill="1" applyBorder="1" applyAlignment="1">
      <alignment horizontal="center" vertical="center"/>
    </xf>
    <xf numFmtId="179" fontId="0" fillId="24" borderId="55" xfId="0" applyNumberFormat="1" applyFont="1" applyFill="1" applyBorder="1" applyAlignment="1">
      <alignment horizontal="center" vertical="center"/>
    </xf>
    <xf numFmtId="0" fontId="6" fillId="24" borderId="14" xfId="0" applyFont="1" applyFill="1" applyBorder="1" applyAlignment="1">
      <alignment wrapText="1"/>
    </xf>
    <xf numFmtId="0" fontId="6" fillId="24" borderId="56" xfId="0" applyFont="1" applyFill="1" applyBorder="1" applyAlignment="1">
      <alignment/>
    </xf>
    <xf numFmtId="0" fontId="0" fillId="24" borderId="46" xfId="0" applyFont="1" applyFill="1" applyBorder="1" applyAlignment="1">
      <alignment wrapText="1"/>
    </xf>
    <xf numFmtId="0" fontId="0" fillId="24" borderId="32"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protection/>
    </xf>
    <xf numFmtId="187" fontId="0" fillId="26" borderId="0" xfId="0" applyNumberFormat="1" applyFill="1" applyBorder="1" applyAlignment="1" applyProtection="1">
      <alignment horizontal="center"/>
      <protection/>
    </xf>
    <xf numFmtId="0" fontId="6" fillId="24" borderId="10" xfId="0" applyFont="1" applyFill="1" applyBorder="1" applyAlignment="1">
      <alignment wrapText="1"/>
    </xf>
    <xf numFmtId="0" fontId="0" fillId="24" borderId="19" xfId="0" applyNumberFormat="1" applyFill="1" applyBorder="1" applyAlignment="1">
      <alignment horizontal="center"/>
    </xf>
    <xf numFmtId="0" fontId="0" fillId="24" borderId="20" xfId="0" applyNumberFormat="1" applyFill="1" applyBorder="1" applyAlignment="1">
      <alignment horizontal="center"/>
    </xf>
    <xf numFmtId="175" fontId="0" fillId="24" borderId="19" xfId="0" applyNumberFormat="1" applyFill="1" applyBorder="1" applyAlignment="1">
      <alignment horizontal="center"/>
    </xf>
    <xf numFmtId="182" fontId="0" fillId="24" borderId="19" xfId="0" applyNumberFormat="1" applyFill="1" applyBorder="1" applyAlignment="1">
      <alignment horizontal="center"/>
    </xf>
    <xf numFmtId="182" fontId="0" fillId="24" borderId="20" xfId="0" applyNumberFormat="1" applyFill="1" applyBorder="1" applyAlignment="1">
      <alignment horizontal="center"/>
    </xf>
    <xf numFmtId="0" fontId="6" fillId="24" borderId="10" xfId="0" applyFont="1" applyFill="1" applyBorder="1" applyAlignment="1">
      <alignment wrapText="1"/>
    </xf>
    <xf numFmtId="175" fontId="0" fillId="24" borderId="20" xfId="0" applyNumberFormat="1" applyFill="1" applyBorder="1" applyAlignment="1">
      <alignment horizontal="center"/>
    </xf>
    <xf numFmtId="186" fontId="0" fillId="24" borderId="19" xfId="0" applyNumberFormat="1" applyFill="1" applyBorder="1" applyAlignment="1">
      <alignment horizontal="center"/>
    </xf>
    <xf numFmtId="186" fontId="0" fillId="24" borderId="20" xfId="0" applyNumberFormat="1" applyFill="1" applyBorder="1" applyAlignment="1">
      <alignment horizontal="center"/>
    </xf>
    <xf numFmtId="0" fontId="0" fillId="24" borderId="57" xfId="0" applyFill="1" applyBorder="1" applyAlignment="1">
      <alignment/>
    </xf>
    <xf numFmtId="187" fontId="0" fillId="24" borderId="28" xfId="0" applyNumberFormat="1" applyFill="1" applyBorder="1" applyAlignment="1" applyProtection="1">
      <alignment horizontal="center"/>
      <protection locked="0"/>
    </xf>
    <xf numFmtId="187" fontId="0" fillId="26" borderId="58" xfId="0" applyNumberFormat="1" applyFill="1" applyBorder="1" applyAlignment="1" applyProtection="1">
      <alignment horizontal="center"/>
      <protection/>
    </xf>
    <xf numFmtId="187" fontId="0" fillId="26" borderId="59" xfId="0" applyNumberFormat="1" applyFill="1" applyBorder="1" applyAlignment="1" applyProtection="1">
      <alignment horizontal="center"/>
      <protection/>
    </xf>
    <xf numFmtId="187" fontId="0" fillId="26" borderId="44" xfId="0" applyNumberFormat="1" applyFill="1" applyBorder="1" applyAlignment="1" applyProtection="1">
      <alignment horizontal="center"/>
      <protection/>
    </xf>
    <xf numFmtId="187" fontId="0" fillId="24" borderId="60" xfId="0" applyNumberFormat="1" applyFill="1" applyBorder="1" applyAlignment="1" applyProtection="1">
      <alignment horizontal="center"/>
      <protection locked="0"/>
    </xf>
    <xf numFmtId="187" fontId="0" fillId="26" borderId="61" xfId="0" applyNumberFormat="1" applyFill="1" applyBorder="1" applyAlignment="1" applyProtection="1">
      <alignment horizontal="center"/>
      <protection/>
    </xf>
    <xf numFmtId="187" fontId="0" fillId="24" borderId="62" xfId="0" applyNumberFormat="1" applyFill="1" applyBorder="1" applyAlignment="1" applyProtection="1">
      <alignment horizontal="center"/>
      <protection locked="0"/>
    </xf>
    <xf numFmtId="187" fontId="0" fillId="26" borderId="63" xfId="0" applyNumberFormat="1" applyFill="1" applyBorder="1" applyAlignment="1" applyProtection="1">
      <alignment horizontal="center"/>
      <protection/>
    </xf>
    <xf numFmtId="0" fontId="38" fillId="24" borderId="0" xfId="0" applyFont="1" applyFill="1" applyAlignment="1">
      <alignment horizontal="justify"/>
    </xf>
    <xf numFmtId="0" fontId="38" fillId="24" borderId="0" xfId="0" applyFont="1" applyFill="1" applyAlignment="1">
      <alignment horizontal="justify" vertical="center"/>
    </xf>
    <xf numFmtId="0" fontId="0" fillId="0" borderId="0" xfId="0" applyFont="1" applyAlignment="1">
      <alignment horizontal="justify"/>
    </xf>
    <xf numFmtId="1" fontId="4" fillId="24" borderId="19" xfId="0" applyNumberFormat="1" applyFont="1" applyFill="1" applyBorder="1" applyAlignment="1" applyProtection="1">
      <alignment horizontal="center" vertical="center"/>
      <protection/>
    </xf>
    <xf numFmtId="1" fontId="4" fillId="0" borderId="19" xfId="0" applyNumberFormat="1" applyFont="1" applyFill="1" applyBorder="1" applyAlignment="1" applyProtection="1">
      <alignment horizontal="center" vertical="center"/>
      <protection locked="0"/>
    </xf>
    <xf numFmtId="1" fontId="4" fillId="0" borderId="19" xfId="0" applyNumberFormat="1" applyFont="1" applyFill="1" applyBorder="1" applyAlignment="1" applyProtection="1">
      <alignment horizontal="center" vertical="center"/>
      <protection/>
    </xf>
    <xf numFmtId="188" fontId="0" fillId="0" borderId="19" xfId="0" applyNumberFormat="1" applyFont="1" applyFill="1" applyBorder="1" applyAlignment="1" applyProtection="1">
      <alignment horizontal="center" vertical="center"/>
      <protection locked="0"/>
    </xf>
    <xf numFmtId="187" fontId="0" fillId="24" borderId="26" xfId="0" applyNumberFormat="1" applyFont="1" applyFill="1" applyBorder="1" applyAlignment="1" applyProtection="1">
      <alignment horizontal="center"/>
      <protection/>
    </xf>
    <xf numFmtId="0" fontId="0" fillId="24" borderId="0" xfId="0" applyFont="1" applyFill="1" applyBorder="1" applyAlignment="1" applyProtection="1">
      <alignment horizontal="center" vertical="center" wrapText="1"/>
      <protection locked="0"/>
    </xf>
    <xf numFmtId="0" fontId="0" fillId="24" borderId="0" xfId="0" applyFill="1" applyBorder="1" applyAlignment="1" applyProtection="1">
      <alignment vertical="top" wrapText="1"/>
      <protection locked="0"/>
    </xf>
    <xf numFmtId="0" fontId="0" fillId="24" borderId="0" xfId="0" applyFill="1" applyBorder="1" applyAlignment="1" applyProtection="1">
      <alignment horizontal="center" vertical="top"/>
      <protection locked="0"/>
    </xf>
    <xf numFmtId="0" fontId="16" fillId="24" borderId="0" xfId="0" applyFont="1" applyFill="1" applyBorder="1" applyAlignment="1">
      <alignment/>
    </xf>
    <xf numFmtId="0" fontId="16" fillId="24" borderId="0" xfId="0" applyFont="1" applyFill="1" applyBorder="1" applyAlignment="1">
      <alignment wrapText="1"/>
    </xf>
    <xf numFmtId="0" fontId="16" fillId="24" borderId="0" xfId="0" applyFont="1" applyFill="1" applyBorder="1" applyAlignment="1" applyProtection="1">
      <alignment horizontal="center" vertical="center" wrapText="1"/>
      <protection locked="0"/>
    </xf>
    <xf numFmtId="0" fontId="16" fillId="24" borderId="0" xfId="0" applyFont="1" applyFill="1" applyBorder="1" applyAlignment="1" applyProtection="1">
      <alignment vertical="top" wrapText="1"/>
      <protection locked="0"/>
    </xf>
    <xf numFmtId="0" fontId="16" fillId="24" borderId="0" xfId="0" applyFont="1" applyFill="1" applyAlignment="1">
      <alignment/>
    </xf>
    <xf numFmtId="0" fontId="0" fillId="24" borderId="0" xfId="0" applyFont="1" applyFill="1" applyAlignment="1">
      <alignment/>
    </xf>
    <xf numFmtId="0" fontId="0" fillId="24" borderId="0" xfId="0" applyFill="1" applyBorder="1" applyAlignment="1" applyProtection="1">
      <alignment horizontal="center"/>
      <protection locked="0"/>
    </xf>
    <xf numFmtId="0" fontId="0" fillId="24" borderId="0" xfId="0" applyNumberFormat="1" applyFont="1" applyFill="1" applyAlignment="1">
      <alignment wrapText="1"/>
    </xf>
    <xf numFmtId="0" fontId="4" fillId="24" borderId="0" xfId="0" applyFont="1" applyFill="1" applyAlignment="1">
      <alignment wrapText="1"/>
    </xf>
    <xf numFmtId="0" fontId="0" fillId="24" borderId="0" xfId="0" applyNumberFormat="1" applyFont="1" applyFill="1" applyBorder="1" applyAlignment="1" applyProtection="1">
      <alignment horizontal="center"/>
      <protection locked="0"/>
    </xf>
    <xf numFmtId="187" fontId="0" fillId="24" borderId="0" xfId="0" applyNumberFormat="1" applyFont="1" applyFill="1" applyBorder="1" applyAlignment="1" applyProtection="1">
      <alignment horizontal="center"/>
      <protection locked="0"/>
    </xf>
    <xf numFmtId="0" fontId="0" fillId="24" borderId="64" xfId="0" applyFill="1" applyBorder="1" applyAlignment="1">
      <alignment/>
    </xf>
    <xf numFmtId="0" fontId="0" fillId="24" borderId="65" xfId="0" applyNumberFormat="1" applyFont="1" applyFill="1" applyBorder="1" applyAlignment="1" applyProtection="1">
      <alignment horizontal="center"/>
      <protection locked="0"/>
    </xf>
    <xf numFmtId="187" fontId="0" fillId="24" borderId="65" xfId="0" applyNumberFormat="1" applyFont="1" applyFill="1" applyBorder="1" applyAlignment="1" applyProtection="1">
      <alignment horizontal="center"/>
      <protection locked="0"/>
    </xf>
    <xf numFmtId="0" fontId="0" fillId="24" borderId="66" xfId="0" applyFill="1" applyBorder="1" applyAlignment="1" applyProtection="1">
      <alignment horizontal="center"/>
      <protection locked="0"/>
    </xf>
    <xf numFmtId="0" fontId="4" fillId="27" borderId="43" xfId="0" applyFont="1" applyFill="1" applyBorder="1" applyAlignment="1">
      <alignment wrapText="1"/>
    </xf>
    <xf numFmtId="0" fontId="0" fillId="24" borderId="67" xfId="0" applyFill="1" applyBorder="1" applyAlignment="1">
      <alignment/>
    </xf>
    <xf numFmtId="0" fontId="0" fillId="24" borderId="68" xfId="0" applyFill="1" applyBorder="1" applyAlignment="1">
      <alignment/>
    </xf>
    <xf numFmtId="0" fontId="0" fillId="24" borderId="69" xfId="0" applyFill="1" applyBorder="1" applyAlignment="1">
      <alignment/>
    </xf>
    <xf numFmtId="0" fontId="0" fillId="24" borderId="70" xfId="0" applyFill="1" applyBorder="1" applyAlignment="1">
      <alignment/>
    </xf>
    <xf numFmtId="0" fontId="0" fillId="24" borderId="65" xfId="0" applyFill="1" applyBorder="1" applyAlignment="1">
      <alignment/>
    </xf>
    <xf numFmtId="0" fontId="0" fillId="24" borderId="66" xfId="0" applyFill="1" applyBorder="1" applyAlignment="1">
      <alignment/>
    </xf>
    <xf numFmtId="188" fontId="0" fillId="24" borderId="0" xfId="0" applyNumberFormat="1" applyFont="1" applyFill="1" applyAlignment="1">
      <alignment horizontal="left" wrapText="1"/>
    </xf>
    <xf numFmtId="0" fontId="0" fillId="0" borderId="37" xfId="0" applyBorder="1" applyAlignment="1">
      <alignment/>
    </xf>
    <xf numFmtId="0" fontId="4" fillId="27" borderId="36" xfId="0" applyFont="1" applyFill="1" applyBorder="1" applyAlignment="1">
      <alignment horizontal="center" vertical="center" wrapText="1"/>
    </xf>
    <xf numFmtId="0" fontId="0" fillId="0" borderId="36" xfId="0" applyBorder="1" applyAlignment="1">
      <alignment/>
    </xf>
    <xf numFmtId="0" fontId="0" fillId="24" borderId="19" xfId="0" applyFill="1" applyBorder="1" applyAlignment="1" applyProtection="1">
      <alignment wrapText="1"/>
      <protection locked="0"/>
    </xf>
    <xf numFmtId="0" fontId="0" fillId="24" borderId="19"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xf>
    <xf numFmtId="0" fontId="0" fillId="0" borderId="72" xfId="0" applyBorder="1" applyAlignment="1" applyProtection="1">
      <alignment wrapText="1"/>
      <protection/>
    </xf>
    <xf numFmtId="0" fontId="0" fillId="24" borderId="28" xfId="0" applyFont="1" applyFill="1" applyBorder="1" applyAlignment="1" applyProtection="1">
      <alignment horizontal="center" wrapText="1"/>
      <protection locked="0"/>
    </xf>
    <xf numFmtId="0" fontId="0" fillId="24" borderId="28" xfId="0" applyFill="1" applyBorder="1" applyAlignment="1" applyProtection="1">
      <alignment wrapText="1"/>
      <protection locked="0"/>
    </xf>
    <xf numFmtId="0" fontId="0" fillId="24" borderId="73" xfId="0" applyFont="1" applyFill="1" applyBorder="1" applyAlignment="1" applyProtection="1">
      <alignment horizontal="center" vertical="top" wrapText="1"/>
      <protection locked="0"/>
    </xf>
    <xf numFmtId="0" fontId="0" fillId="24" borderId="60" xfId="0" applyFill="1" applyBorder="1" applyAlignment="1" applyProtection="1">
      <alignment vertical="top" wrapText="1"/>
      <protection locked="0"/>
    </xf>
    <xf numFmtId="0" fontId="0" fillId="24" borderId="65" xfId="0" applyFill="1" applyBorder="1" applyAlignment="1" applyProtection="1">
      <alignment vertical="top" wrapText="1"/>
      <protection locked="0"/>
    </xf>
    <xf numFmtId="0" fontId="0" fillId="24" borderId="74" xfId="0" applyFill="1" applyBorder="1" applyAlignment="1" applyProtection="1">
      <alignment vertical="top" wrapText="1"/>
      <protection locked="0"/>
    </xf>
    <xf numFmtId="0" fontId="0" fillId="24" borderId="31" xfId="0" applyFont="1" applyFill="1" applyBorder="1" applyAlignment="1" applyProtection="1">
      <alignment horizontal="center" vertical="top"/>
      <protection locked="0"/>
    </xf>
    <xf numFmtId="0" fontId="0" fillId="24" borderId="75" xfId="0" applyFill="1" applyBorder="1" applyAlignment="1" applyProtection="1">
      <alignment horizontal="center" vertical="top"/>
      <protection locked="0"/>
    </xf>
    <xf numFmtId="0" fontId="0" fillId="24" borderId="17" xfId="0" applyFont="1" applyFill="1" applyBorder="1" applyAlignment="1" applyProtection="1">
      <alignment horizontal="center" wrapText="1"/>
      <protection locked="0"/>
    </xf>
    <xf numFmtId="0" fontId="0" fillId="24" borderId="17" xfId="0" applyFill="1" applyBorder="1" applyAlignment="1" applyProtection="1">
      <alignment wrapText="1"/>
      <protection locked="0"/>
    </xf>
    <xf numFmtId="0" fontId="4" fillId="27" borderId="76" xfId="0" applyFont="1" applyFill="1" applyBorder="1" applyAlignment="1">
      <alignment vertical="center" wrapText="1"/>
    </xf>
    <xf numFmtId="0" fontId="0" fillId="0" borderId="77" xfId="0" applyBorder="1" applyAlignment="1">
      <alignment/>
    </xf>
    <xf numFmtId="0" fontId="0" fillId="0" borderId="78" xfId="0" applyBorder="1" applyAlignment="1">
      <alignment/>
    </xf>
    <xf numFmtId="0" fontId="0" fillId="24" borderId="19" xfId="0" applyFont="1" applyFill="1" applyBorder="1" applyAlignment="1">
      <alignment vertical="center" wrapText="1"/>
    </xf>
    <xf numFmtId="0" fontId="0" fillId="0" borderId="19" xfId="0" applyBorder="1" applyAlignment="1">
      <alignment/>
    </xf>
    <xf numFmtId="0" fontId="0" fillId="0" borderId="20" xfId="0" applyBorder="1" applyAlignment="1">
      <alignment/>
    </xf>
    <xf numFmtId="0" fontId="16" fillId="24" borderId="19" xfId="0" applyFont="1" applyFill="1" applyBorder="1" applyAlignment="1">
      <alignment vertical="center" wrapText="1"/>
    </xf>
    <xf numFmtId="0" fontId="16" fillId="0" borderId="19" xfId="0" applyFont="1" applyBorder="1" applyAlignment="1">
      <alignment/>
    </xf>
    <xf numFmtId="0" fontId="16" fillId="0" borderId="20" xfId="0" applyFont="1" applyBorder="1" applyAlignment="1">
      <alignment/>
    </xf>
    <xf numFmtId="0" fontId="0" fillId="24" borderId="19" xfId="0" applyFont="1" applyFill="1" applyBorder="1" applyAlignment="1">
      <alignment vertical="center" wrapText="1"/>
    </xf>
    <xf numFmtId="0" fontId="0" fillId="24" borderId="34" xfId="0" applyFont="1" applyFill="1" applyBorder="1" applyAlignment="1">
      <alignment vertical="center" wrapText="1"/>
    </xf>
    <xf numFmtId="0" fontId="0" fillId="0" borderId="79" xfId="0" applyFont="1" applyBorder="1" applyAlignment="1">
      <alignment/>
    </xf>
    <xf numFmtId="0" fontId="0" fillId="0" borderId="62" xfId="0" applyFont="1" applyBorder="1" applyAlignment="1">
      <alignment/>
    </xf>
    <xf numFmtId="0" fontId="0" fillId="24" borderId="32" xfId="0" applyFont="1" applyFill="1" applyBorder="1" applyAlignment="1">
      <alignment vertical="center" wrapText="1"/>
    </xf>
    <xf numFmtId="0" fontId="0" fillId="0" borderId="32" xfId="0" applyBorder="1" applyAlignment="1">
      <alignment/>
    </xf>
    <xf numFmtId="0" fontId="0" fillId="0" borderId="33" xfId="0" applyBorder="1" applyAlignment="1">
      <alignment/>
    </xf>
    <xf numFmtId="0" fontId="4" fillId="27" borderId="80" xfId="0" applyFont="1" applyFill="1" applyBorder="1" applyAlignment="1">
      <alignment wrapText="1"/>
    </xf>
    <xf numFmtId="0" fontId="0" fillId="27" borderId="81" xfId="0" applyFill="1" applyBorder="1" applyAlignment="1">
      <alignment wrapText="1"/>
    </xf>
    <xf numFmtId="0" fontId="0" fillId="27" borderId="82" xfId="0" applyFill="1" applyBorder="1" applyAlignment="1">
      <alignment wrapText="1"/>
    </xf>
    <xf numFmtId="0" fontId="4" fillId="27" borderId="83" xfId="0" applyFont="1" applyFill="1" applyBorder="1" applyAlignment="1">
      <alignment horizontal="center" wrapText="1"/>
    </xf>
    <xf numFmtId="0" fontId="0" fillId="27" borderId="61" xfId="0" applyFill="1" applyBorder="1" applyAlignment="1">
      <alignment wrapText="1"/>
    </xf>
    <xf numFmtId="0" fontId="4" fillId="27" borderId="84" xfId="0" applyFont="1" applyFill="1" applyBorder="1" applyAlignment="1">
      <alignment vertical="center" wrapText="1"/>
    </xf>
    <xf numFmtId="0" fontId="0" fillId="27" borderId="85" xfId="0" applyFill="1" applyBorder="1" applyAlignment="1">
      <alignment vertical="center" wrapText="1"/>
    </xf>
    <xf numFmtId="0" fontId="0" fillId="27" borderId="86" xfId="0" applyFill="1" applyBorder="1" applyAlignment="1">
      <alignment vertical="center" wrapText="1"/>
    </xf>
    <xf numFmtId="0" fontId="4" fillId="27" borderId="42" xfId="0" applyFont="1" applyFill="1" applyBorder="1" applyAlignment="1">
      <alignment wrapText="1"/>
    </xf>
    <xf numFmtId="0" fontId="0" fillId="0" borderId="43" xfId="0" applyBorder="1" applyAlignment="1">
      <alignment wrapText="1"/>
    </xf>
    <xf numFmtId="187" fontId="0" fillId="24" borderId="19" xfId="0" applyNumberFormat="1" applyFont="1" applyFill="1" applyBorder="1" applyAlignment="1" applyProtection="1">
      <alignment horizontal="center"/>
      <protection locked="0"/>
    </xf>
    <xf numFmtId="0" fontId="0" fillId="0" borderId="19" xfId="0" applyFont="1" applyBorder="1" applyAlignment="1" applyProtection="1">
      <alignment/>
      <protection locked="0"/>
    </xf>
    <xf numFmtId="187" fontId="0" fillId="24" borderId="32" xfId="0" applyNumberFormat="1" applyFont="1" applyFill="1" applyBorder="1" applyAlignment="1" applyProtection="1">
      <alignment horizontal="center"/>
      <protection locked="0"/>
    </xf>
    <xf numFmtId="0" fontId="0" fillId="0" borderId="32" xfId="0" applyFont="1" applyBorder="1" applyAlignment="1" applyProtection="1">
      <alignment/>
      <protection locked="0"/>
    </xf>
    <xf numFmtId="0" fontId="4" fillId="27" borderId="84" xfId="0" applyFont="1" applyFill="1" applyBorder="1" applyAlignment="1">
      <alignment vertical="center"/>
    </xf>
    <xf numFmtId="0" fontId="4" fillId="27" borderId="85" xfId="0" applyFont="1" applyFill="1" applyBorder="1" applyAlignment="1">
      <alignment vertical="center"/>
    </xf>
    <xf numFmtId="0" fontId="4" fillId="27" borderId="86" xfId="0" applyFont="1" applyFill="1" applyBorder="1" applyAlignment="1">
      <alignment vertical="center"/>
    </xf>
    <xf numFmtId="0" fontId="4" fillId="27" borderId="39" xfId="0" applyFont="1" applyFill="1" applyBorder="1" applyAlignment="1">
      <alignment horizontal="center" vertical="center" wrapText="1"/>
    </xf>
    <xf numFmtId="0" fontId="0" fillId="27" borderId="39" xfId="0" applyFont="1" applyFill="1" applyBorder="1" applyAlignment="1">
      <alignment wrapText="1"/>
    </xf>
    <xf numFmtId="0" fontId="0" fillId="27" borderId="39" xfId="0" applyFill="1" applyBorder="1" applyAlignment="1">
      <alignment wrapText="1"/>
    </xf>
    <xf numFmtId="0" fontId="0" fillId="27" borderId="41" xfId="0" applyFill="1" applyBorder="1" applyAlignment="1">
      <alignment wrapText="1"/>
    </xf>
    <xf numFmtId="0" fontId="0" fillId="24" borderId="28" xfId="0" applyFill="1" applyBorder="1" applyAlignment="1">
      <alignment vertical="center" wrapText="1"/>
    </xf>
    <xf numFmtId="0" fontId="0" fillId="24" borderId="31" xfId="0" applyFill="1" applyBorder="1" applyAlignment="1">
      <alignment vertical="center" wrapText="1"/>
    </xf>
    <xf numFmtId="0" fontId="0" fillId="24" borderId="20" xfId="0" applyFont="1" applyFill="1" applyBorder="1" applyAlignment="1">
      <alignment vertical="center" wrapText="1"/>
    </xf>
    <xf numFmtId="0" fontId="0" fillId="24" borderId="87" xfId="0" applyFont="1" applyFill="1" applyBorder="1" applyAlignment="1">
      <alignment vertical="center" wrapText="1"/>
    </xf>
    <xf numFmtId="0" fontId="0" fillId="24" borderId="68" xfId="0" applyFont="1" applyFill="1" applyBorder="1" applyAlignment="1">
      <alignment vertical="center" wrapText="1"/>
    </xf>
    <xf numFmtId="0" fontId="0" fillId="24" borderId="69" xfId="0" applyFont="1" applyFill="1" applyBorder="1" applyAlignment="1">
      <alignment vertical="center" wrapText="1"/>
    </xf>
    <xf numFmtId="0" fontId="0" fillId="0" borderId="35"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27" borderId="85" xfId="0" applyFill="1" applyBorder="1" applyAlignment="1">
      <alignment vertical="center"/>
    </xf>
    <xf numFmtId="0" fontId="0" fillId="27" borderId="86" xfId="0" applyFill="1" applyBorder="1" applyAlignment="1">
      <alignment vertical="center"/>
    </xf>
    <xf numFmtId="0" fontId="0" fillId="0" borderId="77" xfId="0" applyBorder="1" applyAlignment="1">
      <alignment vertical="center" wrapText="1"/>
    </xf>
    <xf numFmtId="0" fontId="0" fillId="0" borderId="78" xfId="0" applyBorder="1" applyAlignment="1">
      <alignment wrapText="1"/>
    </xf>
    <xf numFmtId="0" fontId="0" fillId="0" borderId="19" xfId="0" applyBorder="1" applyAlignment="1" applyProtection="1">
      <alignment/>
      <protection locked="0"/>
    </xf>
    <xf numFmtId="0" fontId="0" fillId="0" borderId="90" xfId="0" applyFont="1" applyBorder="1" applyAlignment="1">
      <alignment horizontal="justify"/>
    </xf>
    <xf numFmtId="0" fontId="0" fillId="0" borderId="91" xfId="0" applyFont="1" applyBorder="1" applyAlignment="1">
      <alignment/>
    </xf>
    <xf numFmtId="0" fontId="0" fillId="0" borderId="92" xfId="0" applyFont="1" applyBorder="1" applyAlignment="1">
      <alignment/>
    </xf>
    <xf numFmtId="0" fontId="0" fillId="0" borderId="93" xfId="0" applyFont="1" applyBorder="1" applyAlignment="1">
      <alignment horizontal="justify"/>
    </xf>
    <xf numFmtId="0" fontId="0" fillId="0" borderId="94" xfId="0" applyFont="1" applyBorder="1" applyAlignment="1">
      <alignment/>
    </xf>
    <xf numFmtId="0" fontId="0" fillId="0" borderId="95" xfId="0" applyBorder="1" applyAlignment="1">
      <alignment/>
    </xf>
    <xf numFmtId="0" fontId="0" fillId="0" borderId="96" xfId="0" applyFont="1" applyBorder="1" applyAlignment="1">
      <alignment wrapText="1"/>
    </xf>
    <xf numFmtId="0" fontId="0" fillId="0" borderId="97" xfId="0" applyFont="1" applyBorder="1" applyAlignment="1">
      <alignment wrapText="1"/>
    </xf>
    <xf numFmtId="0" fontId="0" fillId="0" borderId="98" xfId="0" applyFont="1" applyBorder="1" applyAlignment="1">
      <alignment wrapText="1"/>
    </xf>
    <xf numFmtId="0" fontId="4" fillId="27" borderId="99" xfId="0" applyFont="1" applyFill="1" applyBorder="1" applyAlignment="1">
      <alignment horizontal="center"/>
    </xf>
    <xf numFmtId="0" fontId="4" fillId="27" borderId="100" xfId="0" applyFont="1" applyFill="1" applyBorder="1" applyAlignment="1">
      <alignment horizontal="center"/>
    </xf>
    <xf numFmtId="0" fontId="4" fillId="27" borderId="101" xfId="0" applyFont="1" applyFill="1" applyBorder="1" applyAlignment="1">
      <alignment horizontal="center"/>
    </xf>
    <xf numFmtId="0" fontId="4" fillId="27" borderId="36" xfId="0" applyFont="1" applyFill="1" applyBorder="1" applyAlignment="1">
      <alignment horizontal="center" wrapText="1"/>
    </xf>
    <xf numFmtId="0" fontId="0" fillId="0" borderId="36" xfId="0" applyBorder="1" applyAlignment="1">
      <alignment/>
    </xf>
    <xf numFmtId="187" fontId="0" fillId="24" borderId="26" xfId="0" applyNumberFormat="1" applyFont="1" applyFill="1" applyBorder="1" applyAlignment="1" applyProtection="1">
      <alignment horizontal="center"/>
      <protection locked="0"/>
    </xf>
    <xf numFmtId="0" fontId="0" fillId="0" borderId="26" xfId="0" applyBorder="1" applyAlignment="1" applyProtection="1">
      <alignment/>
      <protection locked="0"/>
    </xf>
    <xf numFmtId="0" fontId="4" fillId="27" borderId="102" xfId="0" applyFont="1" applyFill="1" applyBorder="1" applyAlignment="1">
      <alignment horizontal="center"/>
    </xf>
    <xf numFmtId="0" fontId="0" fillId="24" borderId="34" xfId="0" applyFill="1" applyBorder="1" applyAlignment="1">
      <alignment horizontal="center"/>
    </xf>
    <xf numFmtId="0" fontId="0" fillId="24" borderId="79" xfId="0" applyFill="1" applyBorder="1" applyAlignment="1">
      <alignment horizontal="center"/>
    </xf>
    <xf numFmtId="0" fontId="0" fillId="24" borderId="62" xfId="0" applyFill="1" applyBorder="1" applyAlignment="1">
      <alignment horizontal="center"/>
    </xf>
    <xf numFmtId="0" fontId="0" fillId="24" borderId="34" xfId="0" applyNumberFormat="1" applyFill="1" applyBorder="1" applyAlignment="1">
      <alignment horizontal="center"/>
    </xf>
    <xf numFmtId="0" fontId="0" fillId="24" borderId="79" xfId="0" applyFill="1" applyBorder="1" applyAlignment="1">
      <alignment horizontal="center"/>
    </xf>
    <xf numFmtId="0" fontId="0" fillId="24" borderId="62" xfId="0" applyFill="1" applyBorder="1" applyAlignment="1">
      <alignment horizontal="center"/>
    </xf>
    <xf numFmtId="186" fontId="0" fillId="24" borderId="34" xfId="0" applyNumberFormat="1" applyFill="1" applyBorder="1" applyAlignment="1">
      <alignment horizontal="center"/>
    </xf>
    <xf numFmtId="1" fontId="0" fillId="24" borderId="34" xfId="0" applyNumberFormat="1" applyFill="1" applyBorder="1" applyAlignment="1">
      <alignment horizontal="center"/>
    </xf>
    <xf numFmtId="189" fontId="0" fillId="24" borderId="103" xfId="0" applyNumberFormat="1" applyFill="1" applyBorder="1" applyAlignment="1">
      <alignment horizontal="center"/>
    </xf>
    <xf numFmtId="0" fontId="0" fillId="24" borderId="104" xfId="0" applyFill="1" applyBorder="1" applyAlignment="1">
      <alignment horizontal="center"/>
    </xf>
    <xf numFmtId="0" fontId="0" fillId="24" borderId="105" xfId="0" applyFill="1" applyBorder="1" applyAlignment="1">
      <alignment horizontal="center"/>
    </xf>
    <xf numFmtId="182" fontId="0" fillId="24" borderId="34" xfId="0" applyNumberFormat="1" applyFill="1" applyBorder="1" applyAlignment="1">
      <alignment horizontal="center"/>
    </xf>
    <xf numFmtId="182" fontId="0" fillId="24" borderId="79" xfId="0" applyNumberFormat="1" applyFill="1" applyBorder="1" applyAlignment="1">
      <alignment horizontal="center"/>
    </xf>
    <xf numFmtId="182" fontId="0" fillId="24" borderId="62" xfId="0" applyNumberFormat="1" applyFill="1" applyBorder="1" applyAlignment="1">
      <alignment horizontal="center"/>
    </xf>
    <xf numFmtId="190" fontId="0" fillId="24" borderId="34" xfId="0" applyNumberFormat="1" applyFill="1" applyBorder="1" applyAlignment="1">
      <alignment horizontal="center"/>
    </xf>
    <xf numFmtId="190" fontId="0" fillId="24" borderId="71" xfId="0" applyNumberFormat="1" applyFill="1" applyBorder="1" applyAlignment="1">
      <alignment horizontal="center"/>
    </xf>
    <xf numFmtId="0" fontId="0" fillId="24" borderId="106" xfId="0" applyFill="1" applyBorder="1" applyAlignment="1">
      <alignment horizontal="center"/>
    </xf>
    <xf numFmtId="0" fontId="0" fillId="24" borderId="107" xfId="0" applyFill="1" applyBorder="1" applyAlignment="1">
      <alignment horizontal="center"/>
    </xf>
    <xf numFmtId="189" fontId="0" fillId="24" borderId="34" xfId="0" applyNumberFormat="1" applyFill="1" applyBorder="1" applyAlignment="1">
      <alignment horizontal="center"/>
    </xf>
    <xf numFmtId="0" fontId="0" fillId="24" borderId="103" xfId="0" applyNumberFormat="1" applyFill="1" applyBorder="1" applyAlignment="1">
      <alignment horizontal="center"/>
    </xf>
    <xf numFmtId="186" fontId="0" fillId="24" borderId="79" xfId="0" applyNumberFormat="1" applyFill="1" applyBorder="1" applyAlignment="1">
      <alignment horizontal="center"/>
    </xf>
    <xf numFmtId="186" fontId="0" fillId="24" borderId="62" xfId="0" applyNumberFormat="1" applyFill="1" applyBorder="1" applyAlignment="1">
      <alignment horizontal="center"/>
    </xf>
    <xf numFmtId="190" fontId="0" fillId="24" borderId="106" xfId="0" applyNumberFormat="1" applyFill="1" applyBorder="1" applyAlignment="1">
      <alignment horizontal="center"/>
    </xf>
    <xf numFmtId="190" fontId="0" fillId="24" borderId="107" xfId="0" applyNumberFormat="1" applyFill="1" applyBorder="1" applyAlignment="1">
      <alignment horizontal="center"/>
    </xf>
    <xf numFmtId="186" fontId="0" fillId="24" borderId="103" xfId="0" applyNumberFormat="1" applyFill="1" applyBorder="1" applyAlignment="1">
      <alignment horizontal="center"/>
    </xf>
    <xf numFmtId="186" fontId="0" fillId="24" borderId="104" xfId="0" applyNumberFormat="1" applyFill="1" applyBorder="1" applyAlignment="1">
      <alignment horizontal="center"/>
    </xf>
    <xf numFmtId="186" fontId="0" fillId="24" borderId="105" xfId="0" applyNumberFormat="1" applyFill="1" applyBorder="1" applyAlignment="1">
      <alignment horizontal="center"/>
    </xf>
    <xf numFmtId="0" fontId="0" fillId="24" borderId="71" xfId="0" applyNumberFormat="1" applyFill="1" applyBorder="1" applyAlignment="1">
      <alignment horizontal="center"/>
    </xf>
    <xf numFmtId="0" fontId="4" fillId="27" borderId="108" xfId="0" applyFont="1" applyFill="1" applyBorder="1" applyAlignment="1">
      <alignment horizontal="center"/>
    </xf>
    <xf numFmtId="175" fontId="0" fillId="24" borderId="34" xfId="0" applyNumberFormat="1" applyFill="1" applyBorder="1" applyAlignment="1">
      <alignment horizontal="center"/>
    </xf>
    <xf numFmtId="175" fontId="0" fillId="24" borderId="79" xfId="0" applyNumberFormat="1" applyFill="1" applyBorder="1" applyAlignment="1">
      <alignment horizontal="center"/>
    </xf>
    <xf numFmtId="175" fontId="0" fillId="24" borderId="62" xfId="0" applyNumberFormat="1" applyFill="1" applyBorder="1" applyAlignment="1">
      <alignment horizontal="center"/>
    </xf>
    <xf numFmtId="1" fontId="0" fillId="24" borderId="79" xfId="0" applyNumberFormat="1" applyFill="1" applyBorder="1" applyAlignment="1">
      <alignment horizontal="center"/>
    </xf>
    <xf numFmtId="1" fontId="0" fillId="24" borderId="62" xfId="0" applyNumberFormat="1" applyFill="1" applyBorder="1" applyAlignment="1">
      <alignment horizontal="center"/>
    </xf>
    <xf numFmtId="0" fontId="0" fillId="24" borderId="34" xfId="0" applyNumberFormat="1" applyFill="1" applyBorder="1" applyAlignment="1">
      <alignment horizontal="center"/>
    </xf>
    <xf numFmtId="9" fontId="0" fillId="24" borderId="71" xfId="0" applyNumberFormat="1" applyFill="1" applyBorder="1" applyAlignment="1">
      <alignment horizontal="center"/>
    </xf>
    <xf numFmtId="0" fontId="0" fillId="24" borderId="106" xfId="0" applyNumberFormat="1" applyFill="1" applyBorder="1" applyAlignment="1">
      <alignment horizontal="center"/>
    </xf>
    <xf numFmtId="0" fontId="0" fillId="24" borderId="107" xfId="0" applyNumberFormat="1" applyFill="1" applyBorder="1" applyAlignment="1">
      <alignment horizontal="center"/>
    </xf>
    <xf numFmtId="0" fontId="4" fillId="27" borderId="109" xfId="0" applyFont="1" applyFill="1" applyBorder="1" applyAlignment="1">
      <alignment horizontal="center" wrapText="1"/>
    </xf>
    <xf numFmtId="0" fontId="0" fillId="27" borderId="110" xfId="0" applyFill="1" applyBorder="1" applyAlignment="1">
      <alignment wrapText="1"/>
    </xf>
    <xf numFmtId="0" fontId="0" fillId="27" borderId="43" xfId="0" applyFill="1" applyBorder="1" applyAlignment="1">
      <alignment wrapText="1"/>
    </xf>
    <xf numFmtId="0" fontId="0" fillId="24" borderId="10" xfId="0" applyFont="1" applyFill="1" applyBorder="1" applyAlignment="1">
      <alignment/>
    </xf>
    <xf numFmtId="0" fontId="0" fillId="24" borderId="19" xfId="0" applyFill="1" applyBorder="1" applyAlignment="1">
      <alignment/>
    </xf>
    <xf numFmtId="0" fontId="4" fillId="27" borderId="23" xfId="0" applyFont="1" applyFill="1" applyBorder="1" applyAlignment="1">
      <alignment horizontal="center" vertical="top" wrapText="1"/>
    </xf>
    <xf numFmtId="0" fontId="0" fillId="27" borderId="36" xfId="0" applyFill="1" applyBorder="1" applyAlignment="1">
      <alignment horizontal="center" vertical="top"/>
    </xf>
    <xf numFmtId="0" fontId="0" fillId="27" borderId="37" xfId="0" applyFill="1" applyBorder="1" applyAlignment="1">
      <alignment horizontal="center" vertical="top"/>
    </xf>
    <xf numFmtId="0" fontId="4" fillId="27" borderId="36" xfId="0" applyFont="1" applyFill="1" applyBorder="1" applyAlignment="1">
      <alignment horizontal="center"/>
    </xf>
    <xf numFmtId="0" fontId="4" fillId="27" borderId="37" xfId="0" applyFont="1" applyFill="1" applyBorder="1" applyAlignment="1">
      <alignment horizontal="center"/>
    </xf>
    <xf numFmtId="0" fontId="4" fillId="27" borderId="76" xfId="0" applyFont="1" applyFill="1" applyBorder="1" applyAlignment="1">
      <alignment wrapText="1"/>
    </xf>
    <xf numFmtId="0" fontId="4" fillId="27" borderId="77" xfId="0" applyFont="1" applyFill="1" applyBorder="1" applyAlignment="1">
      <alignment wrapText="1"/>
    </xf>
    <xf numFmtId="0" fontId="4" fillId="27" borderId="78" xfId="0" applyFont="1" applyFill="1" applyBorder="1" applyAlignment="1">
      <alignment wrapText="1"/>
    </xf>
    <xf numFmtId="0" fontId="4" fillId="27" borderId="42" xfId="0" applyFont="1" applyFill="1" applyBorder="1" applyAlignment="1">
      <alignment horizontal="center" wrapText="1"/>
    </xf>
    <xf numFmtId="0" fontId="0" fillId="27" borderId="43" xfId="0" applyFont="1" applyFill="1" applyBorder="1" applyAlignment="1">
      <alignment horizontal="center" wrapText="1"/>
    </xf>
    <xf numFmtId="0" fontId="4" fillId="27" borderId="83" xfId="0" applyFont="1" applyFill="1" applyBorder="1" applyAlignment="1">
      <alignment horizontal="center" vertical="top" wrapText="1"/>
    </xf>
    <xf numFmtId="0" fontId="4" fillId="27" borderId="61" xfId="0" applyFont="1" applyFill="1" applyBorder="1" applyAlignment="1">
      <alignment horizontal="center" vertical="top" wrapText="1"/>
    </xf>
    <xf numFmtId="0" fontId="4" fillId="27" borderId="93" xfId="0" applyFont="1" applyFill="1" applyBorder="1" applyAlignment="1">
      <alignment wrapText="1"/>
    </xf>
    <xf numFmtId="0" fontId="0" fillId="27" borderId="94" xfId="0" applyFill="1" applyBorder="1" applyAlignment="1">
      <alignment wrapText="1"/>
    </xf>
    <xf numFmtId="0" fontId="0" fillId="0" borderId="95" xfId="0" applyBorder="1" applyAlignment="1">
      <alignment wrapText="1"/>
    </xf>
    <xf numFmtId="0" fontId="4" fillId="27" borderId="102" xfId="0" applyFont="1" applyFill="1" applyBorder="1" applyAlignment="1">
      <alignment horizontal="center" vertical="top" wrapText="1"/>
    </xf>
    <xf numFmtId="0" fontId="0" fillId="27" borderId="100" xfId="0" applyFill="1" applyBorder="1" applyAlignment="1">
      <alignment horizontal="center" vertical="top" wrapText="1"/>
    </xf>
    <xf numFmtId="0" fontId="0" fillId="0" borderId="101" xfId="0" applyBorder="1" applyAlignment="1">
      <alignment/>
    </xf>
    <xf numFmtId="0" fontId="4" fillId="27" borderId="36" xfId="0" applyFont="1" applyFill="1" applyBorder="1" applyAlignment="1">
      <alignment horizontal="center" vertical="top" wrapText="1"/>
    </xf>
    <xf numFmtId="0" fontId="0" fillId="27" borderId="36" xfId="0" applyFont="1" applyFill="1" applyBorder="1" applyAlignment="1">
      <alignment horizontal="center" wrapText="1"/>
    </xf>
    <xf numFmtId="0" fontId="0" fillId="27" borderId="95" xfId="0" applyFill="1" applyBorder="1" applyAlignment="1">
      <alignment wrapText="1"/>
    </xf>
    <xf numFmtId="0" fontId="4" fillId="27" borderId="99" xfId="0" applyFont="1" applyFill="1" applyBorder="1" applyAlignment="1">
      <alignment horizontal="center" vertical="top" wrapText="1"/>
    </xf>
    <xf numFmtId="0" fontId="0" fillId="27" borderId="101" xfId="0" applyFill="1" applyBorder="1" applyAlignment="1">
      <alignment horizontal="center" vertical="top" wrapText="1"/>
    </xf>
    <xf numFmtId="0" fontId="4" fillId="27" borderId="111" xfId="0" applyFont="1" applyFill="1" applyBorder="1" applyAlignment="1">
      <alignment horizontal="center" wrapText="1"/>
    </xf>
    <xf numFmtId="0" fontId="0" fillId="27" borderId="85" xfId="0" applyFill="1" applyBorder="1" applyAlignment="1">
      <alignment horizontal="center" wrapText="1"/>
    </xf>
    <xf numFmtId="0" fontId="0" fillId="27" borderId="86" xfId="0" applyFill="1" applyBorder="1" applyAlignment="1">
      <alignment horizontal="center" wrapText="1"/>
    </xf>
    <xf numFmtId="0" fontId="4" fillId="27" borderId="76" xfId="0" applyFont="1" applyFill="1" applyBorder="1" applyAlignment="1">
      <alignment horizontal="center" vertical="top" wrapText="1"/>
    </xf>
    <xf numFmtId="0" fontId="0" fillId="27" borderId="23" xfId="0" applyFont="1" applyFill="1" applyBorder="1" applyAlignment="1">
      <alignment horizontal="center" wrapText="1"/>
    </xf>
    <xf numFmtId="0" fontId="0" fillId="24" borderId="16" xfId="0" applyFont="1" applyFill="1" applyBorder="1" applyAlignment="1">
      <alignment/>
    </xf>
    <xf numFmtId="0" fontId="0" fillId="24" borderId="32" xfId="0" applyFill="1" applyBorder="1" applyAlignment="1">
      <alignment/>
    </xf>
    <xf numFmtId="0" fontId="4" fillId="27" borderId="77" xfId="0" applyFont="1" applyFill="1" applyBorder="1" applyAlignment="1">
      <alignment horizontal="center" wrapText="1"/>
    </xf>
    <xf numFmtId="0" fontId="0" fillId="0" borderId="77" xfId="0" applyBorder="1" applyAlignment="1">
      <alignment/>
    </xf>
    <xf numFmtId="0" fontId="4" fillId="27" borderId="38" xfId="0" applyFont="1" applyFill="1" applyBorder="1" applyAlignment="1">
      <alignment horizontal="center" wrapText="1"/>
    </xf>
    <xf numFmtId="0" fontId="0" fillId="27" borderId="39" xfId="0" applyFill="1" applyBorder="1" applyAlignment="1">
      <alignment/>
    </xf>
    <xf numFmtId="0" fontId="0" fillId="27" borderId="86" xfId="0" applyFill="1" applyBorder="1" applyAlignment="1">
      <alignment wrapText="1"/>
    </xf>
    <xf numFmtId="0" fontId="0" fillId="24" borderId="12" xfId="0" applyFont="1" applyFill="1" applyBorder="1" applyAlignment="1">
      <alignment/>
    </xf>
    <xf numFmtId="0" fontId="0" fillId="24" borderId="21" xfId="0" applyFill="1" applyBorder="1" applyAlignment="1">
      <alignment/>
    </xf>
    <xf numFmtId="0" fontId="4" fillId="27" borderId="112" xfId="0" applyFont="1" applyFill="1" applyBorder="1" applyAlignment="1">
      <alignment horizontal="center" wrapText="1"/>
    </xf>
    <xf numFmtId="0" fontId="0" fillId="27" borderId="47" xfId="0" applyFill="1" applyBorder="1" applyAlignment="1">
      <alignment/>
    </xf>
    <xf numFmtId="0" fontId="0" fillId="24" borderId="15" xfId="0" applyFont="1" applyFill="1" applyBorder="1" applyAlignment="1">
      <alignment/>
    </xf>
    <xf numFmtId="0" fontId="0" fillId="24" borderId="17" xfId="0" applyFill="1" applyBorder="1" applyAlignment="1">
      <alignment/>
    </xf>
    <xf numFmtId="0" fontId="0" fillId="0" borderId="86" xfId="0" applyBorder="1" applyAlignment="1">
      <alignment wrapText="1"/>
    </xf>
    <xf numFmtId="0" fontId="0" fillId="24" borderId="96" xfId="0" applyFont="1" applyFill="1" applyBorder="1" applyAlignment="1">
      <alignment wrapText="1"/>
    </xf>
    <xf numFmtId="0" fontId="0" fillId="24" borderId="97" xfId="0" applyFill="1" applyBorder="1" applyAlignment="1">
      <alignment wrapText="1"/>
    </xf>
    <xf numFmtId="0" fontId="0" fillId="0" borderId="98" xfId="0" applyBorder="1" applyAlignment="1">
      <alignment wrapText="1"/>
    </xf>
    <xf numFmtId="0" fontId="0" fillId="0" borderId="85" xfId="0" applyBorder="1" applyAlignment="1">
      <alignment vertical="center" wrapText="1"/>
    </xf>
    <xf numFmtId="0" fontId="4" fillId="26" borderId="113" xfId="0" applyFont="1" applyFill="1" applyBorder="1" applyAlignment="1">
      <alignment horizontal="center" vertical="top" wrapText="1"/>
    </xf>
    <xf numFmtId="0" fontId="0" fillId="26" borderId="68" xfId="0" applyFont="1" applyFill="1" applyBorder="1" applyAlignment="1">
      <alignment horizontal="center" wrapText="1"/>
    </xf>
    <xf numFmtId="0" fontId="4" fillId="26" borderId="68" xfId="0" applyFont="1" applyFill="1" applyBorder="1" applyAlignment="1">
      <alignment horizontal="center" vertical="top" wrapText="1"/>
    </xf>
    <xf numFmtId="0" fontId="4" fillId="26" borderId="114" xfId="0" applyFont="1" applyFill="1" applyBorder="1" applyAlignment="1">
      <alignment horizontal="center" vertical="top" wrapText="1"/>
    </xf>
    <xf numFmtId="0" fontId="0" fillId="26" borderId="114" xfId="0" applyFill="1" applyBorder="1" applyAlignment="1">
      <alignment horizontal="center" vertical="top" wrapText="1"/>
    </xf>
    <xf numFmtId="0" fontId="4" fillId="27" borderId="37" xfId="0" applyFont="1" applyFill="1" applyBorder="1" applyAlignment="1">
      <alignment horizontal="center" vertical="top" wrapText="1"/>
    </xf>
    <xf numFmtId="0" fontId="0" fillId="27" borderId="37" xfId="0"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0"/>
      </font>
    </dxf>
    <dxf>
      <font>
        <b val="0"/>
        <i val="0"/>
        <color auto="1"/>
      </font>
    </dxf>
    <dxf>
      <font>
        <b/>
        <i val="0"/>
        <color indexed="10"/>
      </font>
    </dxf>
    <dxf>
      <font>
        <b/>
        <i val="0"/>
        <color indexed="10"/>
      </font>
    </dxf>
    <dxf>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Figure 1. Total pesticide concentration 
per trophic level</a:t>
            </a:r>
          </a:p>
        </c:rich>
      </c:tx>
      <c:layout>
        <c:manualLayout>
          <c:xMode val="factor"/>
          <c:yMode val="factor"/>
          <c:x val="-0.2895"/>
          <c:y val="0.87675"/>
        </c:manualLayout>
      </c:layout>
      <c:spPr>
        <a:noFill/>
        <a:ln>
          <a:noFill/>
        </a:ln>
      </c:spPr>
    </c:title>
    <c:plotArea>
      <c:layout>
        <c:manualLayout>
          <c:xMode val="edge"/>
          <c:yMode val="edge"/>
          <c:x val="0.0555"/>
          <c:y val="0.05325"/>
          <c:w val="0.917"/>
          <c:h val="0.79725"/>
        </c:manualLayout>
      </c:layout>
      <c:barChart>
        <c:barDir val="col"/>
        <c:grouping val="stacked"/>
        <c:varyColors val="0"/>
        <c:ser>
          <c:idx val="0"/>
          <c:order val="0"/>
          <c:tx>
            <c:strRef>
              <c:f>Results!$E$2</c:f>
              <c:strCache>
                <c:ptCount val="1"/>
                <c:pt idx="0">
                  <c:v>Contribution due to diet (µg/kg-ww)</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Results!$A$8:$A$13</c:f>
              <c:strCache/>
            </c:strRef>
          </c:cat>
          <c:val>
            <c:numRef>
              <c:f>Results!$E$8:$E$13</c:f>
              <c:numCache/>
            </c:numRef>
          </c:val>
        </c:ser>
        <c:ser>
          <c:idx val="1"/>
          <c:order val="1"/>
          <c:tx>
            <c:strRef>
              <c:f>Results!$F$2</c:f>
              <c:strCache>
                <c:ptCount val="1"/>
                <c:pt idx="0">
                  <c:v>Contribution due to respiration (µg/kg-ww)</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Results!$A$8:$A$13</c:f>
              <c:strCache/>
            </c:strRef>
          </c:cat>
          <c:val>
            <c:numRef>
              <c:f>Results!$F$8:$F$13</c:f>
              <c:numCache/>
            </c:numRef>
          </c:val>
        </c:ser>
        <c:overlap val="100"/>
        <c:axId val="61600372"/>
        <c:axId val="17532437"/>
      </c:barChart>
      <c:catAx>
        <c:axId val="6160037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Trophic Level</a:t>
                </a:r>
              </a:p>
            </c:rich>
          </c:tx>
          <c:layout>
            <c:manualLayout>
              <c:xMode val="factor"/>
              <c:yMode val="factor"/>
              <c:x val="0.0082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32437"/>
        <c:crosses val="autoZero"/>
        <c:auto val="1"/>
        <c:lblOffset val="100"/>
        <c:tickLblSkip val="1"/>
        <c:noMultiLvlLbl val="0"/>
      </c:catAx>
      <c:valAx>
        <c:axId val="1753243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Concentration (µg/kg)</a:t>
                </a:r>
              </a:p>
            </c:rich>
          </c:tx>
          <c:layout>
            <c:manualLayout>
              <c:xMode val="factor"/>
              <c:yMode val="factor"/>
              <c:x val="-0.00275"/>
              <c:y val="0.016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600372"/>
        <c:crossesAt val="1"/>
        <c:crossBetween val="between"/>
        <c:dispUnits/>
      </c:valAx>
      <c:spPr>
        <a:solidFill>
          <a:srgbClr val="FFFFFF"/>
        </a:solidFill>
        <a:ln w="3175">
          <a:noFill/>
        </a:ln>
      </c:spPr>
    </c:plotArea>
    <c:legend>
      <c:legendPos val="r"/>
      <c:layout>
        <c:manualLayout>
          <c:xMode val="edge"/>
          <c:yMode val="edge"/>
          <c:x val="0.6505"/>
          <c:y val="0.901"/>
          <c:w val="0.33825"/>
          <c:h val="0.09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114300</xdr:rowOff>
    </xdr:from>
    <xdr:to>
      <xdr:col>6</xdr:col>
      <xdr:colOff>695325</xdr:colOff>
      <xdr:row>33</xdr:row>
      <xdr:rowOff>333375</xdr:rowOff>
    </xdr:to>
    <xdr:graphicFrame>
      <xdr:nvGraphicFramePr>
        <xdr:cNvPr id="1" name="Chart 1"/>
        <xdr:cNvGraphicFramePr/>
      </xdr:nvGraphicFramePr>
      <xdr:xfrm>
        <a:off x="0" y="3105150"/>
        <a:ext cx="594360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54"/>
  <sheetViews>
    <sheetView tabSelected="1" zoomScalePageLayoutView="0" workbookViewId="0" topLeftCell="A1">
      <selection activeCell="A4" sqref="A4"/>
    </sheetView>
  </sheetViews>
  <sheetFormatPr defaultColWidth="9.140625" defaultRowHeight="12.75"/>
  <cols>
    <col min="1" max="1" width="11.28125" style="120" customWidth="1"/>
    <col min="2" max="2" width="81.421875" style="118" customWidth="1"/>
    <col min="3" max="4" width="14.7109375" style="119" customWidth="1"/>
    <col min="5" max="16384" width="9.140625" style="119" customWidth="1"/>
  </cols>
  <sheetData>
    <row r="1" spans="1:2" ht="15.75">
      <c r="A1" s="43" t="s">
        <v>8</v>
      </c>
      <c r="B1" s="42" t="s">
        <v>104</v>
      </c>
    </row>
    <row r="2" spans="1:2" ht="12.75">
      <c r="A2" s="43"/>
      <c r="B2" s="42"/>
    </row>
    <row r="3" spans="1:2" ht="12.75">
      <c r="A3" s="43" t="s">
        <v>9</v>
      </c>
      <c r="B3" s="320">
        <v>1</v>
      </c>
    </row>
    <row r="4" spans="1:2" ht="12.75">
      <c r="A4" s="43"/>
      <c r="B4" s="84"/>
    </row>
    <row r="5" spans="1:2" ht="12.75">
      <c r="A5" s="43" t="s">
        <v>10</v>
      </c>
      <c r="B5" s="116">
        <v>39910</v>
      </c>
    </row>
    <row r="6" spans="1:2" ht="12.75">
      <c r="A6" s="43"/>
      <c r="B6" s="85"/>
    </row>
    <row r="7" spans="1:2" ht="12.75">
      <c r="A7" s="43" t="s">
        <v>11</v>
      </c>
      <c r="B7" s="42" t="s">
        <v>0</v>
      </c>
    </row>
    <row r="8" spans="1:2" ht="12.75">
      <c r="A8" s="43"/>
      <c r="B8" s="42"/>
    </row>
    <row r="9" spans="1:2" ht="38.25">
      <c r="A9" s="43" t="s">
        <v>158</v>
      </c>
      <c r="B9" s="288" t="s">
        <v>159</v>
      </c>
    </row>
    <row r="10" spans="1:2" ht="12.75">
      <c r="A10" s="43"/>
      <c r="B10" s="287" t="s">
        <v>160</v>
      </c>
    </row>
    <row r="11" spans="1:2" ht="15.75">
      <c r="A11" s="43"/>
      <c r="B11" s="287" t="s">
        <v>162</v>
      </c>
    </row>
    <row r="12" spans="1:2" ht="12.75">
      <c r="A12" s="43"/>
      <c r="B12" s="287" t="s">
        <v>161</v>
      </c>
    </row>
    <row r="13" spans="1:2" ht="11.25" customHeight="1">
      <c r="A13" s="43"/>
      <c r="B13" s="42"/>
    </row>
    <row r="14" spans="1:2" ht="175.5" customHeight="1">
      <c r="A14" s="43" t="s">
        <v>63</v>
      </c>
      <c r="B14" s="42" t="s">
        <v>223</v>
      </c>
    </row>
    <row r="15" spans="1:4" ht="12.75">
      <c r="A15" s="86"/>
      <c r="B15" s="87"/>
      <c r="C15" s="121"/>
      <c r="D15" s="121"/>
    </row>
    <row r="16" spans="1:4" ht="25.5">
      <c r="A16" s="86"/>
      <c r="B16" s="87" t="s">
        <v>224</v>
      </c>
      <c r="C16" s="121"/>
      <c r="D16" s="121"/>
    </row>
    <row r="17" spans="1:2" ht="12.75">
      <c r="A17" s="86"/>
      <c r="B17" s="42" t="s">
        <v>79</v>
      </c>
    </row>
    <row r="18" spans="1:2" ht="12.75">
      <c r="A18" s="86"/>
      <c r="B18" s="42" t="s">
        <v>225</v>
      </c>
    </row>
    <row r="19" spans="1:2" ht="12.75" customHeight="1">
      <c r="A19" s="86"/>
      <c r="B19" s="42" t="s">
        <v>226</v>
      </c>
    </row>
    <row r="20" spans="1:2" ht="12.75" customHeight="1">
      <c r="A20" s="86"/>
      <c r="B20" s="42" t="s">
        <v>227</v>
      </c>
    </row>
    <row r="21" spans="1:2" ht="12.75">
      <c r="A21" s="86"/>
      <c r="B21" s="42" t="s">
        <v>228</v>
      </c>
    </row>
    <row r="22" spans="1:2" ht="12.75">
      <c r="A22" s="86"/>
      <c r="B22" s="42" t="s">
        <v>229</v>
      </c>
    </row>
    <row r="23" spans="1:2" ht="12.75">
      <c r="A23" s="86"/>
      <c r="B23" s="42" t="s">
        <v>230</v>
      </c>
    </row>
    <row r="24" spans="1:2" ht="12.75">
      <c r="A24" s="86"/>
      <c r="B24" s="42"/>
    </row>
    <row r="25" spans="1:2" ht="87" customHeight="1">
      <c r="A25" s="86"/>
      <c r="B25" s="42" t="s">
        <v>231</v>
      </c>
    </row>
    <row r="26" spans="1:2" ht="12.75">
      <c r="A26" s="86"/>
      <c r="B26" s="42"/>
    </row>
    <row r="27" spans="1:2" ht="27.75" customHeight="1">
      <c r="A27" s="86"/>
      <c r="B27" s="306" t="s">
        <v>232</v>
      </c>
    </row>
    <row r="28" spans="1:2" ht="12.75" customHeight="1">
      <c r="A28" s="86"/>
      <c r="B28" s="305" t="s">
        <v>197</v>
      </c>
    </row>
    <row r="29" spans="1:2" ht="12.75" customHeight="1">
      <c r="A29" s="86"/>
      <c r="B29" s="305" t="s">
        <v>198</v>
      </c>
    </row>
    <row r="30" spans="1:2" ht="12.75" customHeight="1">
      <c r="A30" s="86"/>
      <c r="B30" s="305" t="s">
        <v>199</v>
      </c>
    </row>
    <row r="31" spans="1:2" ht="12.75" customHeight="1">
      <c r="A31" s="86"/>
      <c r="B31" s="305" t="s">
        <v>200</v>
      </c>
    </row>
    <row r="32" spans="1:2" ht="24.75" customHeight="1">
      <c r="A32" s="86"/>
      <c r="B32" s="305" t="s">
        <v>201</v>
      </c>
    </row>
    <row r="33" spans="1:2" ht="12.75" customHeight="1">
      <c r="A33" s="86"/>
      <c r="B33" s="305"/>
    </row>
    <row r="34" spans="1:2" ht="78.75" customHeight="1">
      <c r="A34" s="86"/>
      <c r="B34" s="306" t="s">
        <v>250</v>
      </c>
    </row>
    <row r="35" spans="1:2" ht="12.75">
      <c r="A35" s="86"/>
      <c r="B35" s="42"/>
    </row>
    <row r="36" spans="1:2" ht="38.25">
      <c r="A36" s="88"/>
      <c r="B36" s="42" t="s">
        <v>114</v>
      </c>
    </row>
    <row r="37" spans="1:2" ht="12.75">
      <c r="A37" s="88"/>
      <c r="B37" s="42"/>
    </row>
    <row r="38" spans="1:2" ht="78.75" customHeight="1">
      <c r="A38" s="88"/>
      <c r="B38" s="42" t="s">
        <v>233</v>
      </c>
    </row>
    <row r="39" spans="1:2" ht="12.75">
      <c r="A39" s="88"/>
      <c r="B39" s="42"/>
    </row>
    <row r="40" spans="1:2" ht="25.5" customHeight="1">
      <c r="A40" s="88"/>
      <c r="B40" s="42" t="s">
        <v>222</v>
      </c>
    </row>
    <row r="41" spans="1:2" ht="12.75">
      <c r="A41" s="88"/>
      <c r="B41" s="42"/>
    </row>
    <row r="42" spans="1:2" ht="24.75" customHeight="1">
      <c r="A42" s="43" t="s">
        <v>64</v>
      </c>
      <c r="B42" s="42" t="s">
        <v>4</v>
      </c>
    </row>
    <row r="43" spans="1:2" ht="12.75">
      <c r="A43" s="43"/>
      <c r="B43" s="42"/>
    </row>
    <row r="44" spans="1:2" ht="29.25" customHeight="1">
      <c r="A44" s="43"/>
      <c r="B44" s="42" t="s">
        <v>128</v>
      </c>
    </row>
    <row r="45" spans="1:2" ht="12.75">
      <c r="A45" s="86"/>
      <c r="B45" s="42"/>
    </row>
    <row r="46" spans="1:2" ht="38.25">
      <c r="A46" s="86"/>
      <c r="B46" s="289" t="s">
        <v>166</v>
      </c>
    </row>
    <row r="47" spans="1:2" ht="12.75">
      <c r="A47" s="86"/>
      <c r="B47" s="42"/>
    </row>
    <row r="48" spans="1:2" ht="25.5">
      <c r="A48" s="86"/>
      <c r="B48" s="289" t="s">
        <v>234</v>
      </c>
    </row>
    <row r="54" ht="12.75">
      <c r="B54" s="118" t="s">
        <v>2</v>
      </c>
    </row>
  </sheetData>
  <sheetProtection password="CA7F" sheet="1"/>
  <printOptions/>
  <pageMargins left="0.75" right="0.5" top="0.75" bottom="0.75" header="0.5" footer="0.75"/>
  <pageSetup horizontalDpi="600" verticalDpi="600" orientation="portrait" r:id="rId1"/>
  <headerFooter alignWithMargins="0">
    <oddFooter>&amp;CKABAM description, Page &amp;P of &amp;N</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I1" sqref="I1"/>
    </sheetView>
  </sheetViews>
  <sheetFormatPr defaultColWidth="9.140625" defaultRowHeight="12.75"/>
  <cols>
    <col min="1" max="1" width="1.57421875" style="122" customWidth="1"/>
    <col min="2" max="2" width="18.421875" style="122" customWidth="1"/>
    <col min="3" max="3" width="15.7109375" style="122" customWidth="1"/>
    <col min="4" max="4" width="13.421875" style="122" customWidth="1"/>
    <col min="5" max="5" width="13.7109375" style="122" customWidth="1"/>
    <col min="6" max="6" width="13.57421875" style="122" customWidth="1"/>
    <col min="7" max="7" width="13.28125" style="122" customWidth="1"/>
    <col min="8" max="8" width="1.8515625" style="122" customWidth="1"/>
    <col min="9" max="9" width="2.421875" style="122" customWidth="1"/>
    <col min="10" max="10" width="9.140625" style="122" customWidth="1"/>
    <col min="11" max="11" width="13.00390625" style="122" customWidth="1"/>
    <col min="12" max="12" width="12.8515625" style="122" customWidth="1"/>
    <col min="13" max="16384" width="9.140625" style="122" customWidth="1"/>
  </cols>
  <sheetData>
    <row r="1" spans="1:8" ht="9" customHeight="1" thickBot="1">
      <c r="A1" s="1"/>
      <c r="B1" s="1"/>
      <c r="C1" s="1"/>
      <c r="D1" s="1"/>
      <c r="E1" s="1"/>
      <c r="F1" s="1"/>
      <c r="G1" s="1"/>
      <c r="H1" s="1"/>
    </row>
    <row r="2" spans="1:8" ht="18.75" customHeight="1" thickTop="1">
      <c r="A2" s="1"/>
      <c r="B2" s="338" t="str">
        <f>CONCATENATE("Table 1. Chemical characteristics of ",'Chemical Specific Inputs'!C4,".")</f>
        <v>Table 1. Chemical characteristics of .</v>
      </c>
      <c r="C2" s="339"/>
      <c r="D2" s="339"/>
      <c r="E2" s="339"/>
      <c r="F2" s="339"/>
      <c r="G2" s="340"/>
      <c r="H2" s="1"/>
    </row>
    <row r="3" spans="1:8" ht="12.75">
      <c r="A3" s="1"/>
      <c r="B3" s="209" t="s">
        <v>44</v>
      </c>
      <c r="C3" s="210" t="s">
        <v>3</v>
      </c>
      <c r="D3" s="322" t="s">
        <v>107</v>
      </c>
      <c r="E3" s="323"/>
      <c r="F3" s="323"/>
      <c r="G3" s="321"/>
      <c r="H3" s="1"/>
    </row>
    <row r="4" spans="1:8" ht="30" customHeight="1">
      <c r="A4" s="1"/>
      <c r="B4" s="207" t="s">
        <v>54</v>
      </c>
      <c r="C4" s="208"/>
      <c r="D4" s="344" t="s">
        <v>65</v>
      </c>
      <c r="E4" s="345"/>
      <c r="F4" s="345"/>
      <c r="G4" s="346"/>
      <c r="H4" s="1"/>
    </row>
    <row r="5" spans="1:8" ht="39" customHeight="1">
      <c r="A5" s="1"/>
      <c r="B5" s="18" t="s">
        <v>66</v>
      </c>
      <c r="C5" s="155"/>
      <c r="D5" s="344" t="s">
        <v>164</v>
      </c>
      <c r="E5" s="345"/>
      <c r="F5" s="345"/>
      <c r="G5" s="346"/>
      <c r="H5" s="1"/>
    </row>
    <row r="6" spans="1:8" ht="33.75" customHeight="1">
      <c r="A6" s="1"/>
      <c r="B6" s="18" t="s">
        <v>67</v>
      </c>
      <c r="C6" s="290">
        <f>10^C5</f>
        <v>1</v>
      </c>
      <c r="D6" s="347" t="s">
        <v>204</v>
      </c>
      <c r="E6" s="342"/>
      <c r="F6" s="342"/>
      <c r="G6" s="343"/>
      <c r="H6" s="1"/>
    </row>
    <row r="7" spans="1:8" ht="53.25" customHeight="1">
      <c r="A7" s="1"/>
      <c r="B7" s="18" t="s">
        <v>213</v>
      </c>
      <c r="C7" s="291"/>
      <c r="D7" s="344" t="s">
        <v>165</v>
      </c>
      <c r="E7" s="345"/>
      <c r="F7" s="345"/>
      <c r="G7" s="346"/>
      <c r="H7" s="1"/>
    </row>
    <row r="8" spans="1:8" ht="31.5" customHeight="1">
      <c r="A8" s="1"/>
      <c r="B8" s="18" t="s">
        <v>163</v>
      </c>
      <c r="C8" s="292">
        <f>((0.00654)*C6+55.31)/24</f>
        <v>2.3048558333333333</v>
      </c>
      <c r="D8" s="348" t="s">
        <v>205</v>
      </c>
      <c r="E8" s="349"/>
      <c r="F8" s="349"/>
      <c r="G8" s="350"/>
      <c r="H8" s="1"/>
    </row>
    <row r="9" spans="1:8" ht="154.5" customHeight="1">
      <c r="A9" s="1"/>
      <c r="B9" s="18" t="s">
        <v>167</v>
      </c>
      <c r="C9" s="206"/>
      <c r="D9" s="341" t="s">
        <v>262</v>
      </c>
      <c r="E9" s="342"/>
      <c r="F9" s="342"/>
      <c r="G9" s="343"/>
      <c r="H9" s="102"/>
    </row>
    <row r="10" spans="1:8" ht="120" customHeight="1" thickBot="1">
      <c r="A10" s="1"/>
      <c r="B10" s="19" t="s">
        <v>168</v>
      </c>
      <c r="C10" s="154"/>
      <c r="D10" s="351" t="s">
        <v>263</v>
      </c>
      <c r="E10" s="352"/>
      <c r="F10" s="352"/>
      <c r="G10" s="353"/>
      <c r="H10" s="102"/>
    </row>
    <row r="11" spans="1:8" ht="12.75" customHeight="1" thickBot="1" thickTop="1">
      <c r="A11" s="1"/>
      <c r="B11" s="58"/>
      <c r="C11" s="59"/>
      <c r="D11" s="60"/>
      <c r="E11" s="7"/>
      <c r="F11" s="7"/>
      <c r="G11" s="1"/>
      <c r="H11" s="1"/>
    </row>
    <row r="12" spans="1:8" ht="29.25" customHeight="1" thickTop="1">
      <c r="A12" s="1"/>
      <c r="B12" s="354" t="s">
        <v>253</v>
      </c>
      <c r="C12" s="355"/>
      <c r="D12" s="355"/>
      <c r="E12" s="355"/>
      <c r="F12" s="355"/>
      <c r="G12" s="356"/>
      <c r="H12" s="1"/>
    </row>
    <row r="13" spans="1:8" ht="42.75" customHeight="1">
      <c r="A13" s="1"/>
      <c r="B13" s="138" t="s">
        <v>91</v>
      </c>
      <c r="C13" s="129" t="s">
        <v>206</v>
      </c>
      <c r="D13" s="129" t="s">
        <v>235</v>
      </c>
      <c r="E13" s="129" t="s">
        <v>236</v>
      </c>
      <c r="F13" s="129" t="s">
        <v>237</v>
      </c>
      <c r="G13" s="130" t="s">
        <v>207</v>
      </c>
      <c r="H13" s="1"/>
    </row>
    <row r="14" spans="1:8" ht="12.75" customHeight="1">
      <c r="A14" s="1"/>
      <c r="B14" s="41" t="s">
        <v>45</v>
      </c>
      <c r="C14" s="64" t="s">
        <v>111</v>
      </c>
      <c r="D14" s="64" t="s">
        <v>111</v>
      </c>
      <c r="E14" s="64" t="s">
        <v>94</v>
      </c>
      <c r="F14" s="64" t="s">
        <v>94</v>
      </c>
      <c r="G14" s="65">
        <v>0</v>
      </c>
      <c r="H14" s="1"/>
    </row>
    <row r="15" spans="1:8" ht="12.75" customHeight="1">
      <c r="A15" s="1"/>
      <c r="B15" s="39" t="s">
        <v>46</v>
      </c>
      <c r="C15" s="64" t="s">
        <v>111</v>
      </c>
      <c r="D15" s="64" t="s">
        <v>111</v>
      </c>
      <c r="E15" s="64" t="s">
        <v>111</v>
      </c>
      <c r="F15" s="64" t="s">
        <v>111</v>
      </c>
      <c r="G15" s="66">
        <v>0</v>
      </c>
      <c r="H15" s="1"/>
    </row>
    <row r="16" spans="1:8" ht="12.75" customHeight="1">
      <c r="A16" s="1"/>
      <c r="B16" s="39" t="s">
        <v>47</v>
      </c>
      <c r="C16" s="64" t="s">
        <v>111</v>
      </c>
      <c r="D16" s="64" t="s">
        <v>111</v>
      </c>
      <c r="E16" s="64" t="s">
        <v>111</v>
      </c>
      <c r="F16" s="64" t="s">
        <v>111</v>
      </c>
      <c r="G16" s="66">
        <v>0</v>
      </c>
      <c r="H16" s="1"/>
    </row>
    <row r="17" spans="1:11" ht="12.75" customHeight="1">
      <c r="A17" s="1"/>
      <c r="B17" s="39" t="s">
        <v>239</v>
      </c>
      <c r="C17" s="64" t="s">
        <v>111</v>
      </c>
      <c r="D17" s="64" t="s">
        <v>111</v>
      </c>
      <c r="E17" s="64" t="s">
        <v>111</v>
      </c>
      <c r="F17" s="64" t="s">
        <v>111</v>
      </c>
      <c r="G17" s="66">
        <v>0</v>
      </c>
      <c r="H17" s="1"/>
      <c r="K17" s="122" t="s">
        <v>2</v>
      </c>
    </row>
    <row r="18" spans="1:11" ht="12.75" customHeight="1">
      <c r="A18" s="1"/>
      <c r="B18" s="39" t="s">
        <v>184</v>
      </c>
      <c r="C18" s="64" t="s">
        <v>111</v>
      </c>
      <c r="D18" s="64" t="s">
        <v>111</v>
      </c>
      <c r="E18" s="64" t="s">
        <v>111</v>
      </c>
      <c r="F18" s="64" t="s">
        <v>111</v>
      </c>
      <c r="G18" s="66">
        <v>0</v>
      </c>
      <c r="H18" s="1"/>
      <c r="K18" s="122" t="s">
        <v>2</v>
      </c>
    </row>
    <row r="19" spans="1:8" ht="12.75" customHeight="1">
      <c r="A19" s="1"/>
      <c r="B19" s="39" t="s">
        <v>185</v>
      </c>
      <c r="C19" s="64" t="s">
        <v>111</v>
      </c>
      <c r="D19" s="64" t="s">
        <v>111</v>
      </c>
      <c r="E19" s="64" t="s">
        <v>111</v>
      </c>
      <c r="F19" s="64" t="s">
        <v>111</v>
      </c>
      <c r="G19" s="66">
        <v>0</v>
      </c>
      <c r="H19" s="1"/>
    </row>
    <row r="20" spans="1:8" ht="12.75" customHeight="1">
      <c r="A20" s="1"/>
      <c r="B20" s="57" t="s">
        <v>186</v>
      </c>
      <c r="C20" s="64" t="s">
        <v>111</v>
      </c>
      <c r="D20" s="64" t="s">
        <v>111</v>
      </c>
      <c r="E20" s="64" t="s">
        <v>111</v>
      </c>
      <c r="F20" s="64" t="s">
        <v>111</v>
      </c>
      <c r="G20" s="67">
        <v>0</v>
      </c>
      <c r="H20" s="1"/>
    </row>
    <row r="21" spans="1:8" ht="17.25" customHeight="1">
      <c r="A21" s="1"/>
      <c r="B21" s="314" t="s">
        <v>95</v>
      </c>
      <c r="C21" s="315"/>
      <c r="D21" s="315"/>
      <c r="E21" s="315"/>
      <c r="F21" s="315"/>
      <c r="G21" s="316"/>
      <c r="H21" s="1"/>
    </row>
    <row r="22" spans="1:8" ht="17.25" customHeight="1">
      <c r="A22" s="1"/>
      <c r="B22" s="5" t="s">
        <v>251</v>
      </c>
      <c r="C22" s="2"/>
      <c r="D22" s="2"/>
      <c r="E22" s="2"/>
      <c r="F22" s="2"/>
      <c r="G22" s="317"/>
      <c r="H22" s="1"/>
    </row>
    <row r="23" spans="1:8" ht="17.25" customHeight="1">
      <c r="A23" s="1"/>
      <c r="B23" s="5" t="s">
        <v>255</v>
      </c>
      <c r="C23" s="2"/>
      <c r="D23" s="2"/>
      <c r="E23" s="2"/>
      <c r="F23" s="2"/>
      <c r="G23" s="317"/>
      <c r="H23" s="1"/>
    </row>
    <row r="24" spans="1:8" ht="17.25" customHeight="1" thickBot="1">
      <c r="A24" s="1"/>
      <c r="B24" s="309" t="s">
        <v>252</v>
      </c>
      <c r="C24" s="318"/>
      <c r="D24" s="318"/>
      <c r="E24" s="318"/>
      <c r="F24" s="318"/>
      <c r="G24" s="319"/>
      <c r="H24" s="1"/>
    </row>
    <row r="25" spans="1:8" ht="12.75" customHeight="1" thickBot="1" thickTop="1">
      <c r="A25" s="1"/>
      <c r="B25" s="1"/>
      <c r="C25" s="1"/>
      <c r="D25" s="1"/>
      <c r="E25" s="1"/>
      <c r="F25" s="1"/>
      <c r="G25" s="1"/>
      <c r="H25" s="1"/>
    </row>
    <row r="26" spans="1:8" ht="30" customHeight="1" thickTop="1">
      <c r="A26" s="1"/>
      <c r="B26" s="359" t="str">
        <f>CONCATENATE("Table 3. Mammalian and avian toxicity data for ",'Chemical Specific Inputs'!C4,". These are required inputs.")</f>
        <v>Table 3. Mammalian and avian toxicity data for . These are required inputs.</v>
      </c>
      <c r="C26" s="360"/>
      <c r="D26" s="360"/>
      <c r="E26" s="360"/>
      <c r="F26" s="360"/>
      <c r="G26" s="361"/>
      <c r="H26" s="1"/>
    </row>
    <row r="27" spans="1:8" ht="68.25" customHeight="1">
      <c r="A27" s="1"/>
      <c r="B27" s="139" t="s">
        <v>83</v>
      </c>
      <c r="C27" s="129" t="s">
        <v>254</v>
      </c>
      <c r="D27" s="140" t="s">
        <v>3</v>
      </c>
      <c r="E27" s="357" t="s">
        <v>80</v>
      </c>
      <c r="F27" s="358"/>
      <c r="G27" s="141" t="s">
        <v>196</v>
      </c>
      <c r="H27" s="1"/>
    </row>
    <row r="28" spans="1:12" ht="18" customHeight="1">
      <c r="A28" s="1"/>
      <c r="B28" s="52" t="s">
        <v>71</v>
      </c>
      <c r="C28" s="55" t="s">
        <v>214</v>
      </c>
      <c r="D28" s="96"/>
      <c r="E28" s="336" t="s">
        <v>92</v>
      </c>
      <c r="F28" s="337"/>
      <c r="G28" s="68"/>
      <c r="H28" s="1"/>
      <c r="L28" s="211"/>
    </row>
    <row r="29" spans="1:12" ht="17.25" customHeight="1">
      <c r="A29" s="1"/>
      <c r="B29" s="52" t="s">
        <v>2</v>
      </c>
      <c r="C29" s="51" t="s">
        <v>215</v>
      </c>
      <c r="D29" s="97"/>
      <c r="E29" s="325" t="s">
        <v>81</v>
      </c>
      <c r="F29" s="324"/>
      <c r="G29" s="69"/>
      <c r="H29" s="1"/>
      <c r="L29" s="211"/>
    </row>
    <row r="30" spans="1:12" ht="28.5" customHeight="1">
      <c r="A30" s="1"/>
      <c r="B30" s="52"/>
      <c r="C30" s="61" t="s">
        <v>216</v>
      </c>
      <c r="D30" s="203"/>
      <c r="E30" s="328" t="s">
        <v>92</v>
      </c>
      <c r="F30" s="329"/>
      <c r="G30" s="204"/>
      <c r="H30" s="1"/>
      <c r="J30" s="212" t="s">
        <v>99</v>
      </c>
      <c r="K30" s="211"/>
      <c r="L30" s="211"/>
    </row>
    <row r="31" spans="1:12" ht="39.75" customHeight="1">
      <c r="A31" s="1"/>
      <c r="B31" s="56"/>
      <c r="C31" s="202" t="s">
        <v>127</v>
      </c>
      <c r="D31" s="98">
        <v>1.15</v>
      </c>
      <c r="E31" s="326" t="s">
        <v>133</v>
      </c>
      <c r="F31" s="327"/>
      <c r="G31" s="70"/>
      <c r="H31" s="1"/>
      <c r="J31" s="211" t="s">
        <v>100</v>
      </c>
      <c r="K31" s="211" t="s">
        <v>101</v>
      </c>
      <c r="L31" s="211"/>
    </row>
    <row r="32" spans="1:12" ht="19.5" customHeight="1">
      <c r="A32" s="1"/>
      <c r="B32" s="52" t="s">
        <v>70</v>
      </c>
      <c r="C32" s="62" t="s">
        <v>214</v>
      </c>
      <c r="D32" s="96"/>
      <c r="E32" s="336" t="s">
        <v>82</v>
      </c>
      <c r="F32" s="337"/>
      <c r="G32" s="68"/>
      <c r="H32" s="1"/>
      <c r="J32" s="211" t="s">
        <v>97</v>
      </c>
      <c r="K32" s="211" t="s">
        <v>92</v>
      </c>
      <c r="L32" s="211"/>
    </row>
    <row r="33" spans="1:12" ht="17.25" customHeight="1">
      <c r="A33" s="1"/>
      <c r="B33" s="53"/>
      <c r="C33" s="51" t="s">
        <v>215</v>
      </c>
      <c r="D33" s="99" t="s">
        <v>48</v>
      </c>
      <c r="E33" s="325" t="s">
        <v>132</v>
      </c>
      <c r="F33" s="324"/>
      <c r="G33" s="71"/>
      <c r="H33" s="1"/>
      <c r="J33" s="211" t="s">
        <v>98</v>
      </c>
      <c r="K33" s="211" t="s">
        <v>81</v>
      </c>
      <c r="L33" s="211"/>
    </row>
    <row r="34" spans="1:11" ht="18.75" customHeight="1">
      <c r="A34" s="1"/>
      <c r="B34" s="53"/>
      <c r="C34" s="61" t="s">
        <v>96</v>
      </c>
      <c r="D34" s="100"/>
      <c r="E34" s="330" t="s">
        <v>82</v>
      </c>
      <c r="F34" s="331"/>
      <c r="G34" s="334" t="s">
        <v>2</v>
      </c>
      <c r="H34" s="1"/>
      <c r="K34" s="122" t="s">
        <v>132</v>
      </c>
    </row>
    <row r="35" spans="1:10" ht="30.75" customHeight="1" thickBot="1">
      <c r="A35" s="1"/>
      <c r="B35" s="54"/>
      <c r="C35" s="264" t="s">
        <v>217</v>
      </c>
      <c r="D35" s="265" t="s">
        <v>97</v>
      </c>
      <c r="E35" s="332"/>
      <c r="F35" s="333"/>
      <c r="G35" s="335"/>
      <c r="H35" s="1"/>
      <c r="J35" s="122" t="s">
        <v>2</v>
      </c>
    </row>
    <row r="36" spans="1:8" ht="12.75" customHeight="1" thickTop="1">
      <c r="A36" s="1"/>
      <c r="B36" s="17" t="s">
        <v>218</v>
      </c>
      <c r="C36" s="87"/>
      <c r="D36" s="295"/>
      <c r="E36" s="296"/>
      <c r="F36" s="296"/>
      <c r="G36" s="297"/>
      <c r="H36" s="1"/>
    </row>
    <row r="37" spans="1:8" ht="12.75" customHeight="1">
      <c r="A37" s="1"/>
      <c r="B37" s="298" t="str">
        <f>IF(E28="other","Must enter avian body weight corresponding to LD50"," ")</f>
        <v> </v>
      </c>
      <c r="C37" s="299"/>
      <c r="D37" s="300"/>
      <c r="E37" s="301"/>
      <c r="F37" s="296"/>
      <c r="G37" s="297"/>
      <c r="H37" s="1"/>
    </row>
    <row r="38" spans="1:8" ht="12.75" customHeight="1">
      <c r="A38" s="1"/>
      <c r="B38" s="298" t="str">
        <f>IF(E29="other","Must enter avian body weight corresponding to LC50"," ")</f>
        <v> </v>
      </c>
      <c r="C38" s="299"/>
      <c r="D38" s="300"/>
      <c r="E38" s="301"/>
      <c r="F38" s="296"/>
      <c r="G38" s="297"/>
      <c r="H38" s="1"/>
    </row>
    <row r="39" spans="1:8" ht="12.75" customHeight="1">
      <c r="A39" s="1"/>
      <c r="B39" s="298" t="str">
        <f>IF(E30="other","Must enter avian body weight corresponding to NOEC"," ")</f>
        <v> </v>
      </c>
      <c r="C39" s="299"/>
      <c r="D39" s="300"/>
      <c r="E39" s="301"/>
      <c r="F39" s="296"/>
      <c r="G39" s="297"/>
      <c r="H39" s="1"/>
    </row>
    <row r="40" spans="1:8" ht="12.75" customHeight="1">
      <c r="A40" s="1"/>
      <c r="B40" s="195" t="str">
        <f>IF(E32="other","Must enter mammalian body weight corresponding to LD50"," ")</f>
        <v> </v>
      </c>
      <c r="C40" s="299"/>
      <c r="D40" s="300"/>
      <c r="E40" s="301"/>
      <c r="F40" s="296"/>
      <c r="G40" s="297"/>
      <c r="H40" s="1"/>
    </row>
    <row r="41" spans="1:8" ht="12.75" customHeight="1">
      <c r="A41" s="1"/>
      <c r="B41" s="195" t="str">
        <f>IF(E33="other","Must enter mammalian body weight corresponding to LC50"," ")</f>
        <v>Must enter mammalian body weight corresponding to LC50</v>
      </c>
      <c r="C41" s="299"/>
      <c r="D41" s="300"/>
      <c r="E41" s="301"/>
      <c r="F41" s="296"/>
      <c r="G41" s="297"/>
      <c r="H41" s="1"/>
    </row>
    <row r="42" spans="1:11" ht="12.75" customHeight="1">
      <c r="A42" s="1"/>
      <c r="B42" s="303"/>
      <c r="C42" s="302"/>
      <c r="D42" s="302"/>
      <c r="E42" s="302"/>
      <c r="F42" s="1"/>
      <c r="G42" s="1"/>
      <c r="H42" s="1"/>
      <c r="J42" s="122" t="s">
        <v>2</v>
      </c>
      <c r="K42" s="122" t="s">
        <v>82</v>
      </c>
    </row>
    <row r="43" ht="12.75" customHeight="1">
      <c r="K43" s="122" t="s">
        <v>132</v>
      </c>
    </row>
    <row r="44" spans="2:6" ht="12.75" customHeight="1">
      <c r="B44" s="213"/>
      <c r="C44" s="214"/>
      <c r="D44" s="215"/>
      <c r="E44" s="123"/>
      <c r="F44" s="123"/>
    </row>
    <row r="45" spans="2:6" ht="12.75" customHeight="1">
      <c r="B45" s="216" t="s">
        <v>2</v>
      </c>
      <c r="C45" s="214"/>
      <c r="D45" s="215"/>
      <c r="E45" s="123"/>
      <c r="F45" s="123"/>
    </row>
    <row r="46" spans="2:6" ht="12.75" customHeight="1">
      <c r="B46" s="216" t="s">
        <v>2</v>
      </c>
      <c r="C46" s="214"/>
      <c r="D46" s="215"/>
      <c r="E46" s="123"/>
      <c r="F46" s="123"/>
    </row>
    <row r="47" ht="12.75" customHeight="1"/>
    <row r="82" ht="20.25" customHeight="1"/>
  </sheetData>
  <sheetProtection password="CA7F" sheet="1"/>
  <mergeCells count="20">
    <mergeCell ref="D10:G10"/>
    <mergeCell ref="B12:G12"/>
    <mergeCell ref="E28:F28"/>
    <mergeCell ref="E29:F29"/>
    <mergeCell ref="E27:F27"/>
    <mergeCell ref="B26:G26"/>
    <mergeCell ref="D3:G3"/>
    <mergeCell ref="B2:G2"/>
    <mergeCell ref="D9:G9"/>
    <mergeCell ref="D7:G7"/>
    <mergeCell ref="D6:G6"/>
    <mergeCell ref="D5:G5"/>
    <mergeCell ref="D4:G4"/>
    <mergeCell ref="D8:G8"/>
    <mergeCell ref="E31:F31"/>
    <mergeCell ref="E30:F30"/>
    <mergeCell ref="E34:F35"/>
    <mergeCell ref="G34:G35"/>
    <mergeCell ref="E32:F32"/>
    <mergeCell ref="E33:F33"/>
  </mergeCells>
  <conditionalFormatting sqref="C15:F20 C14:D14">
    <cfRule type="cellIs" priority="1" dxfId="4" operator="notEqual" stopIfTrue="1">
      <formula>"calculated"</formula>
    </cfRule>
  </conditionalFormatting>
  <conditionalFormatting sqref="G14:G20">
    <cfRule type="cellIs" priority="2" dxfId="4" operator="notEqual" stopIfTrue="1">
      <formula>0</formula>
    </cfRule>
  </conditionalFormatting>
  <dataValidations count="5">
    <dataValidation type="list" allowBlank="1" showInputMessage="1" showErrorMessage="1" errorTitle="Invalid Input" error="select units from drop down list" sqref="D35:D41">
      <formula1>$J$32:$J$33</formula1>
    </dataValidation>
    <dataValidation type="list" allowBlank="1" showInputMessage="1" showErrorMessage="1" errorTitle="Invalid Input" error="select species from drop down list" sqref="E29:F30">
      <formula1>$K$32:$K$34</formula1>
    </dataValidation>
    <dataValidation type="list" allowBlank="1" showInputMessage="1" showErrorMessage="1" errorTitle="Invalid Input" error="select species from drop down list" sqref="E32:F33">
      <formula1>$K$42:$K$43</formula1>
    </dataValidation>
    <dataValidation type="list" allowBlank="1" showInputMessage="1" showErrorMessage="1" errorTitle="Invalid input" error="select species from drop down list" sqref="E28:F28">
      <formula1>$K$32:$K$34</formula1>
    </dataValidation>
    <dataValidation allowBlank="1" showInputMessage="1" showErrorMessage="1" errorTitle="Invalid Input" error="select species from drop down list" sqref="E34:F41"/>
  </dataValidations>
  <printOptions/>
  <pageMargins left="0.75" right="0.75" top="0.75" bottom="0.75" header="0.5" footer="0.5"/>
  <pageSetup horizontalDpi="600" verticalDpi="600" orientation="portrait" r:id="rId1"/>
  <headerFooter alignWithMargins="0">
    <oddFooter>&amp;CKABAM -  Chemical Specific Inputs, Page &amp;P of &amp;N</oddFooter>
  </headerFooter>
  <rowBreaks count="3" manualBreakCount="3">
    <brk id="10" max="255" man="1"/>
    <brk id="25" min="1" max="6" man="1"/>
    <brk id="65" max="255" man="1"/>
  </rowBreaks>
</worksheet>
</file>

<file path=xl/worksheets/sheet3.xml><?xml version="1.0" encoding="utf-8"?>
<worksheet xmlns="http://schemas.openxmlformats.org/spreadsheetml/2006/main" xmlns:r="http://schemas.openxmlformats.org/officeDocument/2006/relationships">
  <dimension ref="A1:K93"/>
  <sheetViews>
    <sheetView zoomScalePageLayoutView="0" workbookViewId="0" topLeftCell="A1">
      <selection activeCell="L4" sqref="L4"/>
    </sheetView>
  </sheetViews>
  <sheetFormatPr defaultColWidth="9.140625" defaultRowHeight="12.75"/>
  <cols>
    <col min="1" max="1" width="2.00390625" style="122" customWidth="1"/>
    <col min="2" max="2" width="17.7109375" style="122" customWidth="1"/>
    <col min="3" max="3" width="14.140625" style="122" customWidth="1"/>
    <col min="4" max="4" width="12.57421875" style="122" customWidth="1"/>
    <col min="5" max="6" width="10.8515625" style="122" customWidth="1"/>
    <col min="7" max="7" width="11.00390625" style="122" customWidth="1"/>
    <col min="8" max="8" width="11.7109375" style="122" customWidth="1"/>
    <col min="9" max="9" width="2.00390625" style="122" customWidth="1"/>
    <col min="10" max="16384" width="9.140625" style="122" customWidth="1"/>
  </cols>
  <sheetData>
    <row r="1" spans="1:9" ht="13.5" thickBot="1">
      <c r="A1" s="1"/>
      <c r="B1" s="1"/>
      <c r="C1" s="1"/>
      <c r="D1" s="1"/>
      <c r="E1" s="1"/>
      <c r="F1" s="1"/>
      <c r="G1" s="1"/>
      <c r="H1" s="1"/>
      <c r="I1" s="1"/>
    </row>
    <row r="2" spans="1:9" ht="18.75" customHeight="1" thickTop="1">
      <c r="A2" s="1"/>
      <c r="B2" s="359" t="s">
        <v>131</v>
      </c>
      <c r="C2" s="360"/>
      <c r="D2" s="360"/>
      <c r="E2" s="360"/>
      <c r="F2" s="360"/>
      <c r="G2" s="360"/>
      <c r="H2" s="361"/>
      <c r="I2" s="1"/>
    </row>
    <row r="3" spans="1:9" ht="12.75">
      <c r="A3" s="1"/>
      <c r="B3" s="131" t="s">
        <v>44</v>
      </c>
      <c r="C3" s="132" t="s">
        <v>3</v>
      </c>
      <c r="D3" s="371" t="s">
        <v>176</v>
      </c>
      <c r="E3" s="372"/>
      <c r="F3" s="372"/>
      <c r="G3" s="373"/>
      <c r="H3" s="374"/>
      <c r="I3" s="1"/>
    </row>
    <row r="4" spans="1:9" ht="54" customHeight="1">
      <c r="A4" s="1"/>
      <c r="B4" s="124" t="s">
        <v>202</v>
      </c>
      <c r="C4" s="146">
        <v>0</v>
      </c>
      <c r="D4" s="378" t="s">
        <v>173</v>
      </c>
      <c r="E4" s="379"/>
      <c r="F4" s="379"/>
      <c r="G4" s="379"/>
      <c r="H4" s="380"/>
      <c r="I4" s="1"/>
    </row>
    <row r="5" spans="1:9" ht="65.25" customHeight="1">
      <c r="A5" s="1"/>
      <c r="B5" s="124" t="s">
        <v>203</v>
      </c>
      <c r="C5" s="125">
        <v>0</v>
      </c>
      <c r="D5" s="381"/>
      <c r="E5" s="382"/>
      <c r="F5" s="382"/>
      <c r="G5" s="382"/>
      <c r="H5" s="383"/>
      <c r="I5" s="1"/>
    </row>
    <row r="6" spans="1:9" ht="48" customHeight="1">
      <c r="A6" s="1"/>
      <c r="B6" s="126" t="s">
        <v>169</v>
      </c>
      <c r="C6" s="293">
        <v>5</v>
      </c>
      <c r="D6" s="347" t="s">
        <v>183</v>
      </c>
      <c r="E6" s="347"/>
      <c r="F6" s="347"/>
      <c r="G6" s="347"/>
      <c r="H6" s="377"/>
      <c r="I6" s="1"/>
    </row>
    <row r="7" spans="1:11" ht="41.25" customHeight="1">
      <c r="A7" s="1"/>
      <c r="B7" s="126" t="s">
        <v>170</v>
      </c>
      <c r="C7" s="149">
        <v>15</v>
      </c>
      <c r="D7" s="347" t="s">
        <v>174</v>
      </c>
      <c r="E7" s="347"/>
      <c r="F7" s="347"/>
      <c r="G7" s="347"/>
      <c r="H7" s="377"/>
      <c r="I7" s="1" t="s">
        <v>2</v>
      </c>
      <c r="K7" s="122" t="s">
        <v>2</v>
      </c>
    </row>
    <row r="8" spans="1:11" ht="42" customHeight="1">
      <c r="A8" s="1"/>
      <c r="B8" s="126" t="s">
        <v>171</v>
      </c>
      <c r="C8" s="147">
        <v>3E-05</v>
      </c>
      <c r="D8" s="347" t="s">
        <v>238</v>
      </c>
      <c r="E8" s="347"/>
      <c r="F8" s="347"/>
      <c r="G8" s="347"/>
      <c r="H8" s="377"/>
      <c r="I8" s="1" t="s">
        <v>2</v>
      </c>
      <c r="K8" s="122" t="s">
        <v>2</v>
      </c>
    </row>
    <row r="9" spans="1:9" ht="45" customHeight="1">
      <c r="A9" s="1"/>
      <c r="B9" s="127" t="s">
        <v>172</v>
      </c>
      <c r="C9" s="148">
        <v>0.04</v>
      </c>
      <c r="D9" s="375" t="s">
        <v>175</v>
      </c>
      <c r="E9" s="375"/>
      <c r="F9" s="375"/>
      <c r="G9" s="375"/>
      <c r="H9" s="376"/>
      <c r="I9" s="1" t="s">
        <v>2</v>
      </c>
    </row>
    <row r="10" spans="1:9" ht="27.75" customHeight="1" thickBot="1">
      <c r="A10" s="1"/>
      <c r="B10" s="395" t="s">
        <v>256</v>
      </c>
      <c r="C10" s="396"/>
      <c r="D10" s="396"/>
      <c r="E10" s="396"/>
      <c r="F10" s="396"/>
      <c r="G10" s="396"/>
      <c r="H10" s="397"/>
      <c r="I10" s="1"/>
    </row>
    <row r="11" spans="1:9" ht="14.25" thickBot="1" thickTop="1">
      <c r="A11" s="1"/>
      <c r="B11" s="1"/>
      <c r="C11" s="1"/>
      <c r="D11" s="1"/>
      <c r="E11" s="1"/>
      <c r="F11" s="1"/>
      <c r="G11" s="1"/>
      <c r="H11" s="1"/>
      <c r="I11" s="1"/>
    </row>
    <row r="12" spans="1:9" ht="18.75" customHeight="1" thickTop="1">
      <c r="A12" s="1"/>
      <c r="B12" s="368" t="s">
        <v>130</v>
      </c>
      <c r="C12" s="384"/>
      <c r="D12" s="384"/>
      <c r="E12" s="384"/>
      <c r="F12" s="384"/>
      <c r="G12" s="385"/>
      <c r="H12" s="1"/>
      <c r="I12" s="1"/>
    </row>
    <row r="13" spans="1:9" ht="90.75" customHeight="1">
      <c r="A13" s="1"/>
      <c r="B13" s="133" t="s">
        <v>208</v>
      </c>
      <c r="C13" s="134" t="s">
        <v>110</v>
      </c>
      <c r="D13" s="134" t="s">
        <v>49</v>
      </c>
      <c r="E13" s="134" t="s">
        <v>50</v>
      </c>
      <c r="F13" s="135" t="s">
        <v>51</v>
      </c>
      <c r="G13" s="136" t="s">
        <v>209</v>
      </c>
      <c r="H13" s="1"/>
      <c r="I13" s="1"/>
    </row>
    <row r="14" spans="1:9" ht="12.75">
      <c r="A14" s="1"/>
      <c r="B14" s="41" t="s">
        <v>211</v>
      </c>
      <c r="C14" s="72" t="s">
        <v>48</v>
      </c>
      <c r="D14" s="73">
        <v>0</v>
      </c>
      <c r="E14" s="294">
        <f>C9</f>
        <v>0.04</v>
      </c>
      <c r="F14" s="108">
        <f>1-D14-E14</f>
        <v>0.96</v>
      </c>
      <c r="G14" s="266" t="s">
        <v>48</v>
      </c>
      <c r="H14" s="1"/>
      <c r="I14" s="1"/>
    </row>
    <row r="15" spans="1:9" ht="12.75">
      <c r="A15" s="1"/>
      <c r="B15" s="39" t="s">
        <v>45</v>
      </c>
      <c r="C15" s="74" t="s">
        <v>48</v>
      </c>
      <c r="D15" s="150">
        <v>0.02</v>
      </c>
      <c r="E15" s="75">
        <v>0.08</v>
      </c>
      <c r="F15" s="109">
        <f aca="true" t="shared" si="0" ref="F15:F21">1-D15-E15</f>
        <v>0.9</v>
      </c>
      <c r="G15" s="71" t="s">
        <v>112</v>
      </c>
      <c r="H15" s="1"/>
      <c r="I15" s="1"/>
    </row>
    <row r="16" spans="1:9" ht="12.75">
      <c r="A16" s="1"/>
      <c r="B16" s="39" t="s">
        <v>46</v>
      </c>
      <c r="C16" s="152">
        <v>1E-07</v>
      </c>
      <c r="D16" s="150">
        <v>0.03</v>
      </c>
      <c r="E16" s="75">
        <v>0.12</v>
      </c>
      <c r="F16" s="109">
        <f t="shared" si="0"/>
        <v>0.85</v>
      </c>
      <c r="G16" s="76" t="s">
        <v>112</v>
      </c>
      <c r="H16" s="1"/>
      <c r="I16" s="1"/>
    </row>
    <row r="17" spans="1:9" ht="12.75">
      <c r="A17" s="1"/>
      <c r="B17" s="39" t="s">
        <v>47</v>
      </c>
      <c r="C17" s="152">
        <v>0.0001</v>
      </c>
      <c r="D17" s="150">
        <v>0.03</v>
      </c>
      <c r="E17" s="75">
        <v>0.21</v>
      </c>
      <c r="F17" s="109">
        <f t="shared" si="0"/>
        <v>0.76</v>
      </c>
      <c r="G17" s="76" t="s">
        <v>113</v>
      </c>
      <c r="H17" s="1" t="s">
        <v>2</v>
      </c>
      <c r="I17" s="1"/>
    </row>
    <row r="18" spans="1:9" ht="12.75">
      <c r="A18" s="1"/>
      <c r="B18" s="39" t="s">
        <v>239</v>
      </c>
      <c r="C18" s="152">
        <v>0.001</v>
      </c>
      <c r="D18" s="150">
        <v>0.02</v>
      </c>
      <c r="E18" s="75">
        <v>0.13</v>
      </c>
      <c r="F18" s="109">
        <f t="shared" si="0"/>
        <v>0.85</v>
      </c>
      <c r="G18" s="76" t="s">
        <v>113</v>
      </c>
      <c r="H18" s="1"/>
      <c r="I18" s="1"/>
    </row>
    <row r="19" spans="1:9" ht="12.75">
      <c r="A19" s="1"/>
      <c r="B19" s="39" t="s">
        <v>184</v>
      </c>
      <c r="C19" s="152">
        <v>0.01</v>
      </c>
      <c r="D19" s="150">
        <v>0.04</v>
      </c>
      <c r="E19" s="75">
        <v>0.23</v>
      </c>
      <c r="F19" s="109">
        <f t="shared" si="0"/>
        <v>0.73</v>
      </c>
      <c r="G19" s="76" t="s">
        <v>113</v>
      </c>
      <c r="H19" s="1" t="s">
        <v>2</v>
      </c>
      <c r="I19" s="1"/>
    </row>
    <row r="20" spans="1:9" ht="12.75">
      <c r="A20" s="1"/>
      <c r="B20" s="39" t="s">
        <v>185</v>
      </c>
      <c r="C20" s="152">
        <v>0.1</v>
      </c>
      <c r="D20" s="150">
        <v>0.04</v>
      </c>
      <c r="E20" s="75">
        <v>0.23</v>
      </c>
      <c r="F20" s="109">
        <f t="shared" si="0"/>
        <v>0.73</v>
      </c>
      <c r="G20" s="76" t="s">
        <v>113</v>
      </c>
      <c r="H20" s="1"/>
      <c r="I20" s="1"/>
    </row>
    <row r="21" spans="1:9" ht="13.5" thickBot="1">
      <c r="A21" s="1"/>
      <c r="B21" s="57" t="s">
        <v>186</v>
      </c>
      <c r="C21" s="153">
        <v>1</v>
      </c>
      <c r="D21" s="151">
        <v>0.04</v>
      </c>
      <c r="E21" s="90">
        <v>0.23</v>
      </c>
      <c r="F21" s="110">
        <f t="shared" si="0"/>
        <v>0.73</v>
      </c>
      <c r="G21" s="91" t="s">
        <v>112</v>
      </c>
      <c r="H21" s="1"/>
      <c r="I21" s="1"/>
    </row>
    <row r="22" spans="1:9" ht="26.25" customHeight="1" thickTop="1">
      <c r="A22" s="1"/>
      <c r="B22" s="389" t="s">
        <v>210</v>
      </c>
      <c r="C22" s="390"/>
      <c r="D22" s="390"/>
      <c r="E22" s="390"/>
      <c r="F22" s="390"/>
      <c r="G22" s="391"/>
      <c r="H22" s="1"/>
      <c r="I22" s="1"/>
    </row>
    <row r="23" spans="1:9" ht="13.5" thickBot="1">
      <c r="A23" s="1"/>
      <c r="B23" s="309" t="s">
        <v>106</v>
      </c>
      <c r="C23" s="310"/>
      <c r="D23" s="311"/>
      <c r="E23" s="311"/>
      <c r="F23" s="311"/>
      <c r="G23" s="312"/>
      <c r="H23" s="1"/>
      <c r="I23" s="1"/>
    </row>
    <row r="24" spans="1:9" ht="14.25" thickBot="1" thickTop="1">
      <c r="A24" s="1"/>
      <c r="B24" s="2"/>
      <c r="C24" s="307"/>
      <c r="D24" s="308"/>
      <c r="E24" s="308"/>
      <c r="F24" s="308"/>
      <c r="G24" s="304"/>
      <c r="H24" s="1"/>
      <c r="I24" s="1"/>
    </row>
    <row r="25" spans="1:9" ht="18.75" customHeight="1" thickTop="1">
      <c r="A25" s="1"/>
      <c r="B25" s="368" t="s">
        <v>129</v>
      </c>
      <c r="C25" s="369"/>
      <c r="D25" s="369"/>
      <c r="E25" s="369"/>
      <c r="F25" s="369"/>
      <c r="G25" s="369"/>
      <c r="H25" s="370"/>
      <c r="I25" s="1"/>
    </row>
    <row r="26" spans="1:9" ht="12.75">
      <c r="A26" s="1"/>
      <c r="B26" s="137"/>
      <c r="C26" s="398" t="s">
        <v>257</v>
      </c>
      <c r="D26" s="399"/>
      <c r="E26" s="399"/>
      <c r="F26" s="399"/>
      <c r="G26" s="399"/>
      <c r="H26" s="400"/>
      <c r="I26" s="1"/>
    </row>
    <row r="27" spans="1:9" ht="30" customHeight="1">
      <c r="A27" s="1"/>
      <c r="B27" s="313" t="s">
        <v>212</v>
      </c>
      <c r="C27" s="129" t="s">
        <v>78</v>
      </c>
      <c r="D27" s="129" t="s">
        <v>1</v>
      </c>
      <c r="E27" s="129" t="s">
        <v>74</v>
      </c>
      <c r="F27" s="129" t="s">
        <v>187</v>
      </c>
      <c r="G27" s="129" t="s">
        <v>188</v>
      </c>
      <c r="H27" s="130" t="s">
        <v>189</v>
      </c>
      <c r="I27" s="1"/>
    </row>
    <row r="28" spans="1:9" ht="12.75">
      <c r="A28" s="1"/>
      <c r="B28" s="38" t="s">
        <v>211</v>
      </c>
      <c r="C28" s="77">
        <v>0</v>
      </c>
      <c r="D28" s="77">
        <v>0.34</v>
      </c>
      <c r="E28" s="77">
        <v>0.34</v>
      </c>
      <c r="F28" s="77">
        <v>0</v>
      </c>
      <c r="G28" s="77">
        <v>0</v>
      </c>
      <c r="H28" s="78">
        <v>0</v>
      </c>
      <c r="I28" s="1"/>
    </row>
    <row r="29" spans="1:9" ht="12.75">
      <c r="A29" s="1"/>
      <c r="B29" s="39" t="s">
        <v>45</v>
      </c>
      <c r="C29" s="279">
        <v>1</v>
      </c>
      <c r="D29" s="79">
        <v>0.33</v>
      </c>
      <c r="E29" s="79">
        <v>0.33</v>
      </c>
      <c r="F29" s="79">
        <v>0</v>
      </c>
      <c r="G29" s="79">
        <v>0</v>
      </c>
      <c r="H29" s="80">
        <v>0</v>
      </c>
      <c r="I29" s="1"/>
    </row>
    <row r="30" spans="1:9" ht="12.75">
      <c r="A30" s="1"/>
      <c r="B30" s="278" t="s">
        <v>46</v>
      </c>
      <c r="C30" s="282"/>
      <c r="D30" s="283">
        <v>0.33</v>
      </c>
      <c r="E30" s="79">
        <v>0.33</v>
      </c>
      <c r="F30" s="79">
        <v>0.5</v>
      </c>
      <c r="G30" s="79">
        <v>0</v>
      </c>
      <c r="H30" s="80">
        <v>0</v>
      </c>
      <c r="I30" s="1"/>
    </row>
    <row r="31" spans="1:9" ht="12.75">
      <c r="A31" s="1"/>
      <c r="B31" s="278" t="s">
        <v>47</v>
      </c>
      <c r="C31" s="280"/>
      <c r="D31" s="284"/>
      <c r="E31" s="283">
        <v>0</v>
      </c>
      <c r="F31" s="79">
        <v>0.5</v>
      </c>
      <c r="G31" s="79">
        <v>0.5</v>
      </c>
      <c r="H31" s="80">
        <v>0</v>
      </c>
      <c r="I31" s="1"/>
    </row>
    <row r="32" spans="1:9" ht="12.75">
      <c r="A32" s="1"/>
      <c r="B32" s="278" t="s">
        <v>239</v>
      </c>
      <c r="C32" s="280"/>
      <c r="D32" s="267"/>
      <c r="E32" s="284"/>
      <c r="F32" s="283">
        <v>0</v>
      </c>
      <c r="G32" s="79">
        <v>0</v>
      </c>
      <c r="H32" s="80">
        <v>0</v>
      </c>
      <c r="I32" s="1"/>
    </row>
    <row r="33" spans="1:9" ht="12.75">
      <c r="A33" s="1"/>
      <c r="B33" s="278" t="s">
        <v>184</v>
      </c>
      <c r="C33" s="280"/>
      <c r="D33" s="267"/>
      <c r="E33" s="267"/>
      <c r="F33" s="284"/>
      <c r="G33" s="283">
        <v>0.5</v>
      </c>
      <c r="H33" s="80">
        <v>0</v>
      </c>
      <c r="I33" s="1"/>
    </row>
    <row r="34" spans="1:9" ht="13.5" thickBot="1">
      <c r="A34" s="1"/>
      <c r="B34" s="278" t="s">
        <v>185</v>
      </c>
      <c r="C34" s="281"/>
      <c r="D34" s="267"/>
      <c r="E34" s="267"/>
      <c r="F34" s="267"/>
      <c r="G34" s="286"/>
      <c r="H34" s="285">
        <v>1</v>
      </c>
      <c r="I34" s="1"/>
    </row>
    <row r="35" spans="1:9" ht="14.25" thickBot="1" thickTop="1">
      <c r="A35" s="1"/>
      <c r="B35" s="199" t="s">
        <v>126</v>
      </c>
      <c r="C35" s="200">
        <f>SUM(C28:C29)</f>
        <v>1</v>
      </c>
      <c r="D35" s="200">
        <f>SUM(D28:D30)</f>
        <v>1</v>
      </c>
      <c r="E35" s="200">
        <f>SUM(E28:E31)</f>
        <v>1</v>
      </c>
      <c r="F35" s="200">
        <f>SUM(F28:F32)</f>
        <v>1</v>
      </c>
      <c r="G35" s="200">
        <f>SUM(G28:G33)</f>
        <v>1</v>
      </c>
      <c r="H35" s="201">
        <f>SUM(H28:H34)</f>
        <v>1</v>
      </c>
      <c r="I35" s="1"/>
    </row>
    <row r="36" spans="1:9" ht="26.25" customHeight="1" thickBot="1" thickTop="1">
      <c r="A36" s="1"/>
      <c r="B36" s="392" t="s">
        <v>210</v>
      </c>
      <c r="C36" s="393"/>
      <c r="D36" s="393"/>
      <c r="E36" s="393"/>
      <c r="F36" s="393"/>
      <c r="G36" s="393"/>
      <c r="H36" s="394"/>
      <c r="I36" s="1"/>
    </row>
    <row r="37" spans="1:9" ht="13.5" thickTop="1">
      <c r="A37" s="194"/>
      <c r="B37" s="195" t="str">
        <f>IF(C35=1," ","ERROR in zooplankton diet")</f>
        <v> </v>
      </c>
      <c r="C37" s="196"/>
      <c r="D37" s="197"/>
      <c r="E37" s="198"/>
      <c r="F37" s="197"/>
      <c r="G37" s="197"/>
      <c r="H37" s="197"/>
      <c r="I37" s="194"/>
    </row>
    <row r="38" spans="1:9" ht="12.75">
      <c r="A38" s="194"/>
      <c r="B38" s="195" t="str">
        <f>IF(D35=1," ","ERROR in benthic invertebrates diet")</f>
        <v> </v>
      </c>
      <c r="C38" s="196"/>
      <c r="D38" s="197"/>
      <c r="E38" s="198"/>
      <c r="F38" s="197"/>
      <c r="G38" s="197"/>
      <c r="H38" s="197"/>
      <c r="I38" s="194"/>
    </row>
    <row r="39" spans="1:9" ht="12.75">
      <c r="A39" s="194"/>
      <c r="B39" s="195" t="str">
        <f>IF(E35=1," ","ERROR in filter feeder diet")</f>
        <v> </v>
      </c>
      <c r="C39" s="196"/>
      <c r="D39" s="198"/>
      <c r="E39" s="198"/>
      <c r="F39" s="197"/>
      <c r="G39" s="197"/>
      <c r="H39" s="197"/>
      <c r="I39" s="194"/>
    </row>
    <row r="40" spans="1:9" ht="12.75">
      <c r="A40" s="194"/>
      <c r="B40" s="195" t="str">
        <f>IF(F35=1," ","ERROR in small forage fish diet")</f>
        <v> </v>
      </c>
      <c r="C40" s="196"/>
      <c r="D40" s="197"/>
      <c r="E40" s="198"/>
      <c r="F40" s="197"/>
      <c r="G40" s="197"/>
      <c r="H40" s="197"/>
      <c r="I40" s="194"/>
    </row>
    <row r="41" spans="1:9" ht="12.75">
      <c r="A41" s="194"/>
      <c r="B41" s="195" t="str">
        <f>IF(G35=1," ","ERROR in medium forage fish diet")</f>
        <v> </v>
      </c>
      <c r="C41" s="196"/>
      <c r="D41" s="197"/>
      <c r="E41" s="198"/>
      <c r="F41" s="197"/>
      <c r="G41" s="197"/>
      <c r="H41" s="197"/>
      <c r="I41" s="194"/>
    </row>
    <row r="42" spans="1:9" ht="12.75">
      <c r="A42" s="194"/>
      <c r="B42" s="195" t="str">
        <f>IF(H35=1," ","ERROR in piscivorous fish diet")</f>
        <v> </v>
      </c>
      <c r="C42" s="196"/>
      <c r="D42" s="197"/>
      <c r="E42" s="198"/>
      <c r="F42" s="197"/>
      <c r="G42" s="197"/>
      <c r="H42" s="197"/>
      <c r="I42" s="194"/>
    </row>
    <row r="43" spans="1:9" ht="13.5" thickBot="1">
      <c r="A43" s="194"/>
      <c r="B43" s="195"/>
      <c r="C43" s="196"/>
      <c r="D43" s="197"/>
      <c r="E43" s="198"/>
      <c r="F43" s="197"/>
      <c r="G43" s="197"/>
      <c r="H43" s="197"/>
      <c r="I43" s="194"/>
    </row>
    <row r="44" spans="1:9" ht="30.75" customHeight="1" thickTop="1">
      <c r="A44" s="194"/>
      <c r="B44" s="338" t="s">
        <v>134</v>
      </c>
      <c r="C44" s="386"/>
      <c r="D44" s="386"/>
      <c r="E44" s="387"/>
      <c r="F44" s="197"/>
      <c r="G44" s="197"/>
      <c r="H44" s="197"/>
      <c r="I44" s="194"/>
    </row>
    <row r="45" spans="1:9" ht="27" customHeight="1">
      <c r="A45" s="194"/>
      <c r="B45" s="222" t="s">
        <v>135</v>
      </c>
      <c r="C45" s="401" t="s">
        <v>136</v>
      </c>
      <c r="D45" s="402"/>
      <c r="E45" s="130" t="s">
        <v>149</v>
      </c>
      <c r="F45" s="197"/>
      <c r="G45" s="197"/>
      <c r="H45" s="197"/>
      <c r="I45" s="194"/>
    </row>
    <row r="46" spans="1:9" ht="12.75">
      <c r="A46" s="194"/>
      <c r="B46" s="220" t="s">
        <v>137</v>
      </c>
      <c r="C46" s="403" t="s">
        <v>177</v>
      </c>
      <c r="D46" s="404"/>
      <c r="E46" s="221">
        <v>0.018</v>
      </c>
      <c r="F46" s="197"/>
      <c r="G46" s="197"/>
      <c r="H46" s="197"/>
      <c r="I46" s="194"/>
    </row>
    <row r="47" spans="1:9" ht="12.75">
      <c r="A47" s="194"/>
      <c r="B47" s="217" t="s">
        <v>138</v>
      </c>
      <c r="C47" s="364" t="s">
        <v>178</v>
      </c>
      <c r="D47" s="388"/>
      <c r="E47" s="219">
        <v>0.085</v>
      </c>
      <c r="F47" s="197"/>
      <c r="G47" s="197"/>
      <c r="H47" s="197"/>
      <c r="I47" s="194"/>
    </row>
    <row r="48" spans="1:9" ht="12.75">
      <c r="A48" s="194"/>
      <c r="B48" s="217" t="s">
        <v>139</v>
      </c>
      <c r="C48" s="364" t="s">
        <v>179</v>
      </c>
      <c r="D48" s="388"/>
      <c r="E48" s="219">
        <v>0.45</v>
      </c>
      <c r="F48" s="197"/>
      <c r="G48" s="197"/>
      <c r="H48" s="197"/>
      <c r="I48" s="194"/>
    </row>
    <row r="49" spans="1:9" ht="12.75">
      <c r="A49" s="194"/>
      <c r="B49" s="217" t="s">
        <v>140</v>
      </c>
      <c r="C49" s="364" t="s">
        <v>180</v>
      </c>
      <c r="D49" s="388"/>
      <c r="E49" s="219">
        <v>1.8</v>
      </c>
      <c r="F49" s="197"/>
      <c r="G49" s="197"/>
      <c r="H49" s="197"/>
      <c r="I49" s="194"/>
    </row>
    <row r="50" spans="1:9" ht="12.75">
      <c r="A50" s="194"/>
      <c r="B50" s="217" t="s">
        <v>141</v>
      </c>
      <c r="C50" s="364" t="s">
        <v>181</v>
      </c>
      <c r="D50" s="388"/>
      <c r="E50" s="219">
        <v>5</v>
      </c>
      <c r="F50" s="197"/>
      <c r="G50" s="197"/>
      <c r="H50" s="197"/>
      <c r="I50" s="194"/>
    </row>
    <row r="51" spans="1:9" ht="12.75">
      <c r="A51" s="194"/>
      <c r="B51" s="217" t="s">
        <v>142</v>
      </c>
      <c r="C51" s="364" t="s">
        <v>182</v>
      </c>
      <c r="D51" s="388"/>
      <c r="E51" s="219">
        <v>15</v>
      </c>
      <c r="F51" s="197"/>
      <c r="G51" s="197"/>
      <c r="H51" s="197"/>
      <c r="I51" s="194"/>
    </row>
    <row r="52" spans="1:9" ht="12.75">
      <c r="A52" s="194"/>
      <c r="B52" s="217" t="s">
        <v>143</v>
      </c>
      <c r="C52" s="364" t="s">
        <v>190</v>
      </c>
      <c r="D52" s="365"/>
      <c r="E52" s="219">
        <v>0.02</v>
      </c>
      <c r="F52" s="197"/>
      <c r="G52" s="197"/>
      <c r="H52" s="197"/>
      <c r="I52" s="194"/>
    </row>
    <row r="53" spans="1:9" ht="12.75">
      <c r="A53" s="194"/>
      <c r="B53" s="217" t="s">
        <v>144</v>
      </c>
      <c r="C53" s="364" t="s">
        <v>191</v>
      </c>
      <c r="D53" s="365"/>
      <c r="E53" s="219">
        <v>6.7</v>
      </c>
      <c r="F53" s="197"/>
      <c r="G53" s="197"/>
      <c r="H53" s="197"/>
      <c r="I53" s="194"/>
    </row>
    <row r="54" spans="1:9" ht="12.75">
      <c r="A54" s="194"/>
      <c r="B54" s="217" t="s">
        <v>145</v>
      </c>
      <c r="C54" s="364" t="s">
        <v>192</v>
      </c>
      <c r="D54" s="365"/>
      <c r="E54" s="66">
        <v>0.07</v>
      </c>
      <c r="F54" s="197"/>
      <c r="G54" s="197"/>
      <c r="H54" s="197"/>
      <c r="I54" s="194"/>
    </row>
    <row r="55" spans="1:9" ht="12.75">
      <c r="A55" s="194"/>
      <c r="B55" s="217" t="s">
        <v>146</v>
      </c>
      <c r="C55" s="364" t="s">
        <v>193</v>
      </c>
      <c r="D55" s="365"/>
      <c r="E55" s="66">
        <v>2.9</v>
      </c>
      <c r="F55" s="197"/>
      <c r="G55" s="197"/>
      <c r="H55" s="197"/>
      <c r="I55" s="194"/>
    </row>
    <row r="56" spans="1:9" ht="12.75">
      <c r="A56" s="194"/>
      <c r="B56" s="217" t="s">
        <v>147</v>
      </c>
      <c r="C56" s="364" t="s">
        <v>194</v>
      </c>
      <c r="D56" s="365"/>
      <c r="E56" s="66">
        <v>1.25</v>
      </c>
      <c r="F56" s="197"/>
      <c r="G56" s="197"/>
      <c r="H56" s="197"/>
      <c r="I56" s="194"/>
    </row>
    <row r="57" spans="1:9" ht="13.5" thickBot="1">
      <c r="A57" s="194"/>
      <c r="B57" s="218" t="s">
        <v>148</v>
      </c>
      <c r="C57" s="366" t="s">
        <v>195</v>
      </c>
      <c r="D57" s="367"/>
      <c r="E57" s="230">
        <v>7.5</v>
      </c>
      <c r="F57" s="197"/>
      <c r="G57" s="197"/>
      <c r="H57" s="197"/>
      <c r="I57" s="194"/>
    </row>
    <row r="58" spans="1:9" ht="14.25" thickBot="1" thickTop="1">
      <c r="A58" s="194"/>
      <c r="B58" s="195"/>
      <c r="C58" s="196"/>
      <c r="D58" s="197"/>
      <c r="E58" s="198"/>
      <c r="F58" s="197"/>
      <c r="G58" s="197"/>
      <c r="H58" s="197"/>
      <c r="I58" s="194"/>
    </row>
    <row r="59" spans="1:9" ht="13.5" customHeight="1" thickTop="1">
      <c r="A59" s="194"/>
      <c r="B59" s="368" t="s">
        <v>150</v>
      </c>
      <c r="C59" s="369"/>
      <c r="D59" s="369"/>
      <c r="E59" s="369"/>
      <c r="F59" s="369"/>
      <c r="G59" s="369"/>
      <c r="H59" s="370"/>
      <c r="I59" s="194"/>
    </row>
    <row r="60" spans="1:9" ht="12.75">
      <c r="A60" s="194"/>
      <c r="B60" s="362" t="s">
        <v>212</v>
      </c>
      <c r="C60" s="398" t="s">
        <v>257</v>
      </c>
      <c r="D60" s="399"/>
      <c r="E60" s="399"/>
      <c r="F60" s="399"/>
      <c r="G60" s="399"/>
      <c r="H60" s="400"/>
      <c r="I60" s="194"/>
    </row>
    <row r="61" spans="1:9" ht="25.5" customHeight="1">
      <c r="A61" s="194"/>
      <c r="B61" s="363"/>
      <c r="C61" s="223" t="str">
        <f>C46</f>
        <v>fog/water shrew</v>
      </c>
      <c r="D61" s="223" t="str">
        <f>C47</f>
        <v>rice rat/star-nosed mole</v>
      </c>
      <c r="E61" s="223" t="str">
        <f>C48</f>
        <v>small mink</v>
      </c>
      <c r="F61" s="223" t="str">
        <f>C49</f>
        <v>large mink</v>
      </c>
      <c r="G61" s="223" t="str">
        <f>C50</f>
        <v>small river otter</v>
      </c>
      <c r="H61" s="224" t="str">
        <f>C51</f>
        <v>large river otter</v>
      </c>
      <c r="I61" s="194"/>
    </row>
    <row r="62" spans="1:9" ht="12.75">
      <c r="A62" s="194"/>
      <c r="B62" s="39" t="s">
        <v>45</v>
      </c>
      <c r="C62" s="79">
        <v>0</v>
      </c>
      <c r="D62" s="79">
        <v>0</v>
      </c>
      <c r="E62" s="79">
        <v>0</v>
      </c>
      <c r="F62" s="79">
        <v>0</v>
      </c>
      <c r="G62" s="79">
        <v>0</v>
      </c>
      <c r="H62" s="80">
        <v>0</v>
      </c>
      <c r="I62" s="194"/>
    </row>
    <row r="63" spans="1:9" ht="12.75">
      <c r="A63" s="194"/>
      <c r="B63" s="39" t="s">
        <v>46</v>
      </c>
      <c r="C63" s="79">
        <v>0</v>
      </c>
      <c r="D63" s="79">
        <v>0</v>
      </c>
      <c r="E63" s="79">
        <v>0</v>
      </c>
      <c r="F63" s="79">
        <v>0</v>
      </c>
      <c r="G63" s="79">
        <v>0</v>
      </c>
      <c r="H63" s="80">
        <v>0</v>
      </c>
      <c r="I63" s="194"/>
    </row>
    <row r="64" spans="1:9" ht="12.75">
      <c r="A64" s="194"/>
      <c r="B64" s="39" t="s">
        <v>47</v>
      </c>
      <c r="C64" s="79">
        <v>1</v>
      </c>
      <c r="D64" s="79">
        <v>0.34</v>
      </c>
      <c r="E64" s="79">
        <v>0</v>
      </c>
      <c r="F64" s="79">
        <v>0</v>
      </c>
      <c r="G64" s="79">
        <v>0</v>
      </c>
      <c r="H64" s="80">
        <v>0</v>
      </c>
      <c r="I64" s="194"/>
    </row>
    <row r="65" spans="1:9" ht="12.75">
      <c r="A65" s="194"/>
      <c r="B65" s="39" t="s">
        <v>239</v>
      </c>
      <c r="C65" s="79">
        <v>0</v>
      </c>
      <c r="D65" s="79">
        <v>0.33</v>
      </c>
      <c r="E65" s="79">
        <v>0</v>
      </c>
      <c r="F65" s="79">
        <v>0</v>
      </c>
      <c r="G65" s="79">
        <v>0</v>
      </c>
      <c r="H65" s="80">
        <v>0</v>
      </c>
      <c r="I65" s="194"/>
    </row>
    <row r="66" spans="1:9" ht="12.75">
      <c r="A66" s="194"/>
      <c r="B66" s="39" t="s">
        <v>184</v>
      </c>
      <c r="C66" s="79">
        <v>0</v>
      </c>
      <c r="D66" s="79">
        <v>0.33</v>
      </c>
      <c r="E66" s="79">
        <v>0</v>
      </c>
      <c r="F66" s="79">
        <v>0</v>
      </c>
      <c r="G66" s="79">
        <v>0</v>
      </c>
      <c r="H66" s="80">
        <v>0</v>
      </c>
      <c r="I66" s="194"/>
    </row>
    <row r="67" spans="1:9" ht="12.75">
      <c r="A67" s="194"/>
      <c r="B67" s="39" t="s">
        <v>185</v>
      </c>
      <c r="C67" s="79">
        <v>0</v>
      </c>
      <c r="D67" s="79">
        <v>0</v>
      </c>
      <c r="E67" s="79">
        <v>1</v>
      </c>
      <c r="F67" s="79">
        <v>1</v>
      </c>
      <c r="G67" s="79">
        <v>1</v>
      </c>
      <c r="H67" s="80">
        <v>0</v>
      </c>
      <c r="I67" s="194"/>
    </row>
    <row r="68" spans="1:9" ht="13.5" thickBot="1">
      <c r="A68" s="194"/>
      <c r="B68" s="40" t="s">
        <v>186</v>
      </c>
      <c r="C68" s="81">
        <v>0</v>
      </c>
      <c r="D68" s="81">
        <v>0</v>
      </c>
      <c r="E68" s="81">
        <v>0</v>
      </c>
      <c r="F68" s="81">
        <v>0</v>
      </c>
      <c r="G68" s="81">
        <v>0</v>
      </c>
      <c r="H68" s="231">
        <v>1</v>
      </c>
      <c r="I68" s="194"/>
    </row>
    <row r="69" spans="1:9" ht="14.25" thickBot="1" thickTop="1">
      <c r="A69" s="194"/>
      <c r="B69" s="205" t="s">
        <v>126</v>
      </c>
      <c r="C69" s="200">
        <f aca="true" t="shared" si="1" ref="C69:H69">SUM(C62:C68)</f>
        <v>1</v>
      </c>
      <c r="D69" s="200">
        <f t="shared" si="1"/>
        <v>1</v>
      </c>
      <c r="E69" s="200">
        <f t="shared" si="1"/>
        <v>1</v>
      </c>
      <c r="F69" s="200">
        <f t="shared" si="1"/>
        <v>1</v>
      </c>
      <c r="G69" s="200">
        <f t="shared" si="1"/>
        <v>1</v>
      </c>
      <c r="H69" s="201">
        <f t="shared" si="1"/>
        <v>1</v>
      </c>
      <c r="I69" s="194"/>
    </row>
    <row r="70" spans="1:9" ht="13.5" thickTop="1">
      <c r="A70" s="194"/>
      <c r="B70" s="2"/>
      <c r="C70" s="197"/>
      <c r="D70" s="197"/>
      <c r="E70" s="197"/>
      <c r="F70" s="197"/>
      <c r="G70" s="197"/>
      <c r="H70" s="197"/>
      <c r="I70" s="194"/>
    </row>
    <row r="71" spans="1:9" ht="12.75">
      <c r="A71" s="194"/>
      <c r="B71" s="195" t="str">
        <f>IF(C69=1," ",CONCATENATE("ERROR in ",C46," diet"))</f>
        <v> </v>
      </c>
      <c r="C71" s="197"/>
      <c r="D71" s="197"/>
      <c r="E71" s="195" t="str">
        <f>IF(F69=1," ",CONCATENATE("ERROR in ",C49," diet"))</f>
        <v> </v>
      </c>
      <c r="F71" s="197"/>
      <c r="G71" s="197"/>
      <c r="H71" s="197"/>
      <c r="I71" s="194"/>
    </row>
    <row r="72" spans="1:9" ht="12.75">
      <c r="A72" s="194"/>
      <c r="B72" s="195" t="str">
        <f>IF(D69=1," ",CONCATENATE("ERROR in ",C47," diet"))</f>
        <v> </v>
      </c>
      <c r="C72" s="197"/>
      <c r="D72" s="197"/>
      <c r="E72" s="195" t="str">
        <f>IF(G69=1," ",CONCATENATE("ERROR in ",C50," diet"))</f>
        <v> </v>
      </c>
      <c r="F72" s="197"/>
      <c r="G72" s="197"/>
      <c r="H72" s="197"/>
      <c r="I72" s="194"/>
    </row>
    <row r="73" spans="1:9" ht="12.75">
      <c r="A73" s="194"/>
      <c r="B73" s="195" t="str">
        <f>IF(E69=1," ",CONCATENATE("ERROR in ",C48," diet"))</f>
        <v> </v>
      </c>
      <c r="C73" s="197"/>
      <c r="D73" s="197"/>
      <c r="E73" s="195" t="str">
        <f>IF(H69=1," ",CONCATENATE("ERROR in ",C51," diet"))</f>
        <v> </v>
      </c>
      <c r="F73" s="197"/>
      <c r="G73" s="197"/>
      <c r="H73" s="197"/>
      <c r="I73" s="194"/>
    </row>
    <row r="74" spans="1:9" ht="13.5" thickBot="1">
      <c r="A74" s="194"/>
      <c r="B74" s="195"/>
      <c r="C74" s="196"/>
      <c r="D74" s="197"/>
      <c r="E74" s="198"/>
      <c r="F74" s="197"/>
      <c r="G74" s="197"/>
      <c r="H74" s="197"/>
      <c r="I74" s="194"/>
    </row>
    <row r="75" spans="1:9" ht="13.5" thickTop="1">
      <c r="A75" s="194"/>
      <c r="B75" s="368" t="s">
        <v>151</v>
      </c>
      <c r="C75" s="369"/>
      <c r="D75" s="369"/>
      <c r="E75" s="369"/>
      <c r="F75" s="369"/>
      <c r="G75" s="369"/>
      <c r="H75" s="370"/>
      <c r="I75" s="194"/>
    </row>
    <row r="76" spans="1:9" ht="12.75">
      <c r="A76" s="194"/>
      <c r="B76" s="137"/>
      <c r="C76" s="398" t="s">
        <v>257</v>
      </c>
      <c r="D76" s="399"/>
      <c r="E76" s="399"/>
      <c r="F76" s="399"/>
      <c r="G76" s="399"/>
      <c r="H76" s="400"/>
      <c r="I76" s="194"/>
    </row>
    <row r="77" spans="1:9" ht="24.75" customHeight="1">
      <c r="A77" s="194"/>
      <c r="B77" s="313" t="s">
        <v>212</v>
      </c>
      <c r="C77" s="223" t="str">
        <f>C52</f>
        <v>sandpipers</v>
      </c>
      <c r="D77" s="223" t="str">
        <f>C53</f>
        <v>cranes</v>
      </c>
      <c r="E77" s="223" t="str">
        <f>C54</f>
        <v>rails</v>
      </c>
      <c r="F77" s="223" t="str">
        <f>C55</f>
        <v>herons</v>
      </c>
      <c r="G77" s="223" t="str">
        <f>C56</f>
        <v>small osprey</v>
      </c>
      <c r="H77" s="224" t="str">
        <f>C57</f>
        <v>white pelican</v>
      </c>
      <c r="I77" s="194"/>
    </row>
    <row r="78" spans="1:9" ht="12.75">
      <c r="A78" s="194"/>
      <c r="B78" s="39" t="s">
        <v>45</v>
      </c>
      <c r="C78" s="79">
        <v>0</v>
      </c>
      <c r="D78" s="79">
        <v>0</v>
      </c>
      <c r="E78" s="79">
        <v>0</v>
      </c>
      <c r="F78" s="79">
        <v>0</v>
      </c>
      <c r="G78" s="79">
        <v>0</v>
      </c>
      <c r="H78" s="80">
        <v>0</v>
      </c>
      <c r="I78" s="194"/>
    </row>
    <row r="79" spans="1:9" ht="12.75">
      <c r="A79" s="194"/>
      <c r="B79" s="39" t="s">
        <v>46</v>
      </c>
      <c r="C79" s="79">
        <v>0</v>
      </c>
      <c r="D79" s="79">
        <v>0</v>
      </c>
      <c r="E79" s="79">
        <v>0</v>
      </c>
      <c r="F79" s="79">
        <v>0</v>
      </c>
      <c r="G79" s="79">
        <v>0</v>
      </c>
      <c r="H79" s="80">
        <v>0</v>
      </c>
      <c r="I79" s="194"/>
    </row>
    <row r="80" spans="1:9" ht="12.75">
      <c r="A80" s="194"/>
      <c r="B80" s="39" t="s">
        <v>47</v>
      </c>
      <c r="C80" s="79">
        <v>0.33</v>
      </c>
      <c r="D80" s="79">
        <v>0.33</v>
      </c>
      <c r="E80" s="79">
        <v>0.5</v>
      </c>
      <c r="F80" s="79">
        <v>0.5</v>
      </c>
      <c r="G80" s="79">
        <v>0</v>
      </c>
      <c r="H80" s="80">
        <v>0</v>
      </c>
      <c r="I80" s="194"/>
    </row>
    <row r="81" spans="1:9" ht="12.75">
      <c r="A81" s="194"/>
      <c r="B81" s="39" t="s">
        <v>239</v>
      </c>
      <c r="C81" s="79">
        <v>0.33</v>
      </c>
      <c r="D81" s="79">
        <v>0.33</v>
      </c>
      <c r="E81" s="79">
        <v>0</v>
      </c>
      <c r="F81" s="79">
        <v>0</v>
      </c>
      <c r="G81" s="79">
        <v>0</v>
      </c>
      <c r="H81" s="80">
        <v>0</v>
      </c>
      <c r="I81" s="194"/>
    </row>
    <row r="82" spans="1:9" ht="12.75">
      <c r="A82" s="194"/>
      <c r="B82" s="39" t="s">
        <v>184</v>
      </c>
      <c r="C82" s="79">
        <v>0.34</v>
      </c>
      <c r="D82" s="79">
        <v>0</v>
      </c>
      <c r="E82" s="79">
        <v>0.5</v>
      </c>
      <c r="F82" s="79">
        <v>0</v>
      </c>
      <c r="G82" s="79">
        <v>0</v>
      </c>
      <c r="H82" s="80">
        <v>0</v>
      </c>
      <c r="I82" s="194"/>
    </row>
    <row r="83" spans="1:9" ht="12.75">
      <c r="A83" s="194"/>
      <c r="B83" s="39" t="s">
        <v>185</v>
      </c>
      <c r="C83" s="79">
        <v>0</v>
      </c>
      <c r="D83" s="79">
        <v>0.34</v>
      </c>
      <c r="E83" s="79">
        <v>0</v>
      </c>
      <c r="F83" s="79">
        <v>0.5</v>
      </c>
      <c r="G83" s="79">
        <v>1</v>
      </c>
      <c r="H83" s="80">
        <v>0</v>
      </c>
      <c r="I83" s="194"/>
    </row>
    <row r="84" spans="1:9" ht="13.5" thickBot="1">
      <c r="A84" s="194"/>
      <c r="B84" s="40" t="s">
        <v>186</v>
      </c>
      <c r="C84" s="81">
        <v>0</v>
      </c>
      <c r="D84" s="81">
        <v>0</v>
      </c>
      <c r="E84" s="81">
        <v>0</v>
      </c>
      <c r="F84" s="81">
        <v>0</v>
      </c>
      <c r="G84" s="81">
        <v>0</v>
      </c>
      <c r="H84" s="82">
        <v>1</v>
      </c>
      <c r="I84" s="194"/>
    </row>
    <row r="85" spans="1:9" ht="14.25" thickBot="1" thickTop="1">
      <c r="A85" s="194"/>
      <c r="B85" s="205" t="s">
        <v>126</v>
      </c>
      <c r="C85" s="200">
        <f aca="true" t="shared" si="2" ref="C85:H85">SUM(C78:C84)</f>
        <v>1</v>
      </c>
      <c r="D85" s="200">
        <f t="shared" si="2"/>
        <v>1</v>
      </c>
      <c r="E85" s="200">
        <f t="shared" si="2"/>
        <v>1</v>
      </c>
      <c r="F85" s="200">
        <f t="shared" si="2"/>
        <v>1</v>
      </c>
      <c r="G85" s="200">
        <f t="shared" si="2"/>
        <v>1</v>
      </c>
      <c r="H85" s="201">
        <f t="shared" si="2"/>
        <v>1</v>
      </c>
      <c r="I85" s="194"/>
    </row>
    <row r="86" spans="1:9" ht="13.5" thickTop="1">
      <c r="A86" s="194"/>
      <c r="B86" s="195"/>
      <c r="C86" s="196"/>
      <c r="D86" s="197"/>
      <c r="E86" s="198"/>
      <c r="F86" s="197"/>
      <c r="G86" s="197"/>
      <c r="H86" s="197"/>
      <c r="I86" s="194"/>
    </row>
    <row r="87" spans="1:9" ht="12.75">
      <c r="A87" s="194"/>
      <c r="B87" s="195" t="str">
        <f>IF(C85=1," ",CONCATENATE("ERROR in ",C52," diet"))</f>
        <v> </v>
      </c>
      <c r="C87" s="196"/>
      <c r="D87" s="197"/>
      <c r="E87" s="195" t="str">
        <f>IF(F85=1," ",CONCATENATE("ERROR in ",C55," diet"))</f>
        <v> </v>
      </c>
      <c r="F87" s="197"/>
      <c r="G87" s="197"/>
      <c r="H87" s="197"/>
      <c r="I87" s="194"/>
    </row>
    <row r="88" spans="1:9" ht="12.75">
      <c r="A88" s="194"/>
      <c r="B88" s="195" t="str">
        <f>IF(D85=1," ",CONCATENATE("ERROR in ",C53," diet"))</f>
        <v> </v>
      </c>
      <c r="C88" s="196"/>
      <c r="D88" s="197"/>
      <c r="E88" s="195" t="str">
        <f>IF(G85=1," ",CONCATENATE("ERROR in ",C56," diet"))</f>
        <v> </v>
      </c>
      <c r="F88" s="197"/>
      <c r="G88" s="197"/>
      <c r="H88" s="197"/>
      <c r="I88" s="194"/>
    </row>
    <row r="89" spans="1:9" ht="12.75">
      <c r="A89" s="194"/>
      <c r="B89" s="195" t="str">
        <f>IF(E85=1," ",CONCATENATE("ERROR in ",C54," diet"))</f>
        <v> </v>
      </c>
      <c r="C89" s="196"/>
      <c r="D89" s="197"/>
      <c r="E89" s="195" t="str">
        <f>IF(H85=1," ",CONCATENATE("ERROR in ",C57," diet"))</f>
        <v> </v>
      </c>
      <c r="F89" s="197"/>
      <c r="G89" s="197"/>
      <c r="H89" s="197"/>
      <c r="I89" s="194"/>
    </row>
    <row r="90" spans="1:9" ht="12.75">
      <c r="A90" s="194"/>
      <c r="B90" s="1"/>
      <c r="C90" s="196"/>
      <c r="D90" s="197"/>
      <c r="E90" s="198"/>
      <c r="F90" s="197"/>
      <c r="G90" s="197"/>
      <c r="H90" s="197"/>
      <c r="I90" s="194"/>
    </row>
    <row r="91" spans="1:9" ht="12.75">
      <c r="A91" s="225"/>
      <c r="B91" s="226"/>
      <c r="C91" s="227"/>
      <c r="D91" s="228"/>
      <c r="E91" s="229"/>
      <c r="F91" s="228"/>
      <c r="G91" s="228"/>
      <c r="H91" s="228"/>
      <c r="I91" s="225"/>
    </row>
    <row r="92" ht="12.75">
      <c r="B92" s="122" t="s">
        <v>113</v>
      </c>
    </row>
    <row r="93" ht="12.75">
      <c r="B93" s="122" t="s">
        <v>112</v>
      </c>
    </row>
  </sheetData>
  <sheetProtection password="CA7F" sheet="1"/>
  <mergeCells count="32">
    <mergeCell ref="B10:H10"/>
    <mergeCell ref="B75:H75"/>
    <mergeCell ref="C76:H76"/>
    <mergeCell ref="C26:H26"/>
    <mergeCell ref="B25:H25"/>
    <mergeCell ref="C45:D45"/>
    <mergeCell ref="C46:D46"/>
    <mergeCell ref="C47:D47"/>
    <mergeCell ref="C60:H60"/>
    <mergeCell ref="C51:D51"/>
    <mergeCell ref="C52:D52"/>
    <mergeCell ref="C53:D53"/>
    <mergeCell ref="B12:G12"/>
    <mergeCell ref="B44:E44"/>
    <mergeCell ref="C48:D48"/>
    <mergeCell ref="C49:D49"/>
    <mergeCell ref="C50:D50"/>
    <mergeCell ref="B22:G22"/>
    <mergeCell ref="B36:H36"/>
    <mergeCell ref="D3:H3"/>
    <mergeCell ref="B2:H2"/>
    <mergeCell ref="D9:H9"/>
    <mergeCell ref="D8:H8"/>
    <mergeCell ref="D7:H7"/>
    <mergeCell ref="D6:H6"/>
    <mergeCell ref="D4:H5"/>
    <mergeCell ref="B60:B61"/>
    <mergeCell ref="C54:D54"/>
    <mergeCell ref="C55:D55"/>
    <mergeCell ref="C56:D56"/>
    <mergeCell ref="C57:D57"/>
    <mergeCell ref="B59:H59"/>
  </mergeCells>
  <conditionalFormatting sqref="C4:C5 G30:H30 E31 H31 F32:H32 H33 F28:H29 C28 D67:D68 C62:D63 C65:C68 E68:G68 E62:G66 H62:H67 D84 C78:F79 C83:C84 D82 E83:E84 E81 F81:F82 F84:G84 G78:G82 H78:H83 D14">
    <cfRule type="cellIs" priority="1" dxfId="4" operator="notEqual" stopIfTrue="1">
      <formula>0</formula>
    </cfRule>
  </conditionalFormatting>
  <conditionalFormatting sqref="C6 E50">
    <cfRule type="cellIs" priority="2" dxfId="4" operator="notEqual" stopIfTrue="1">
      <formula>5</formula>
    </cfRule>
  </conditionalFormatting>
  <conditionalFormatting sqref="C8">
    <cfRule type="cellIs" priority="3" dxfId="4" operator="notEqual" stopIfTrue="1">
      <formula>0.00003</formula>
    </cfRule>
  </conditionalFormatting>
  <conditionalFormatting sqref="C9 D19:D21">
    <cfRule type="cellIs" priority="4" dxfId="4" operator="notEqual" stopIfTrue="1">
      <formula>0.04</formula>
    </cfRule>
  </conditionalFormatting>
  <conditionalFormatting sqref="C16">
    <cfRule type="cellIs" priority="5" dxfId="4" operator="notEqual" stopIfTrue="1">
      <formula>0.0000001</formula>
    </cfRule>
  </conditionalFormatting>
  <conditionalFormatting sqref="C17">
    <cfRule type="cellIs" priority="6" dxfId="4" operator="notEqual" stopIfTrue="1">
      <formula>0.0001</formula>
    </cfRule>
  </conditionalFormatting>
  <conditionalFormatting sqref="C18">
    <cfRule type="cellIs" priority="7" dxfId="4" operator="notEqual" stopIfTrue="1">
      <formula>0.001</formula>
    </cfRule>
  </conditionalFormatting>
  <conditionalFormatting sqref="C19">
    <cfRule type="cellIs" priority="8" dxfId="4" operator="notEqual" stopIfTrue="1">
      <formula>0.01</formula>
    </cfRule>
  </conditionalFormatting>
  <conditionalFormatting sqref="C20">
    <cfRule type="cellIs" priority="9" dxfId="4" operator="notEqual" stopIfTrue="1">
      <formula>0.1</formula>
    </cfRule>
  </conditionalFormatting>
  <conditionalFormatting sqref="C21 H34 C29 C64 E67:G67 H68 G83 H84">
    <cfRule type="cellIs" priority="10" dxfId="4" operator="notEqual" stopIfTrue="1">
      <formula>1</formula>
    </cfRule>
  </conditionalFormatting>
  <conditionalFormatting sqref="D15 D18 E52">
    <cfRule type="cellIs" priority="11" dxfId="4" operator="notEqual" stopIfTrue="1">
      <formula>0.02</formula>
    </cfRule>
  </conditionalFormatting>
  <conditionalFormatting sqref="D16:D17">
    <cfRule type="cellIs" priority="12" dxfId="4" operator="notEqual" stopIfTrue="1">
      <formula>0.03</formula>
    </cfRule>
  </conditionalFormatting>
  <conditionalFormatting sqref="E15">
    <cfRule type="cellIs" priority="13" dxfId="4" operator="notEqual" stopIfTrue="1">
      <formula>0.08</formula>
    </cfRule>
  </conditionalFormatting>
  <conditionalFormatting sqref="E16">
    <cfRule type="cellIs" priority="14" dxfId="4" operator="notEqual" stopIfTrue="1">
      <formula>0.12</formula>
    </cfRule>
  </conditionalFormatting>
  <conditionalFormatting sqref="E17">
    <cfRule type="cellIs" priority="15" dxfId="4" operator="notEqual" stopIfTrue="1">
      <formula>0.21</formula>
    </cfRule>
  </conditionalFormatting>
  <conditionalFormatting sqref="E18">
    <cfRule type="cellIs" priority="16" dxfId="4" operator="notEqual" stopIfTrue="1">
      <formula>0.13</formula>
    </cfRule>
  </conditionalFormatting>
  <conditionalFormatting sqref="E19:E21">
    <cfRule type="cellIs" priority="17" dxfId="4" operator="notEqual" stopIfTrue="1">
      <formula>0.23</formula>
    </cfRule>
  </conditionalFormatting>
  <conditionalFormatting sqref="G15:G16 G21">
    <cfRule type="cellIs" priority="18" dxfId="4" operator="notEqual" stopIfTrue="1">
      <formula>"no"</formula>
    </cfRule>
  </conditionalFormatting>
  <conditionalFormatting sqref="G17:G20">
    <cfRule type="cellIs" priority="19" dxfId="4" operator="notEqual" stopIfTrue="1">
      <formula>"yes"</formula>
    </cfRule>
  </conditionalFormatting>
  <conditionalFormatting sqref="G31 G33 F30:F31 E80:F80 E82 F83">
    <cfRule type="cellIs" priority="20" dxfId="4" operator="notEqual" stopIfTrue="1">
      <formula>0.5</formula>
    </cfRule>
  </conditionalFormatting>
  <conditionalFormatting sqref="D29:E30 D65:D66 C80:D81">
    <cfRule type="cellIs" priority="21" dxfId="4" operator="notEqual" stopIfTrue="1">
      <formula>0.33</formula>
    </cfRule>
  </conditionalFormatting>
  <conditionalFormatting sqref="D28:E28 D64 C82 D83">
    <cfRule type="cellIs" priority="22" dxfId="4" operator="notEqual" stopIfTrue="1">
      <formula>0.34</formula>
    </cfRule>
  </conditionalFormatting>
  <conditionalFormatting sqref="E46">
    <cfRule type="cellIs" priority="23" dxfId="4" operator="notEqual" stopIfTrue="1">
      <formula>0.018</formula>
    </cfRule>
  </conditionalFormatting>
  <conditionalFormatting sqref="E47">
    <cfRule type="cellIs" priority="24" dxfId="4" operator="notEqual" stopIfTrue="1">
      <formula>0.085</formula>
    </cfRule>
  </conditionalFormatting>
  <conditionalFormatting sqref="E48">
    <cfRule type="cellIs" priority="25" dxfId="4" operator="notEqual" stopIfTrue="1">
      <formula>0.45</formula>
    </cfRule>
  </conditionalFormatting>
  <conditionalFormatting sqref="E49">
    <cfRule type="cellIs" priority="26" dxfId="4" operator="notEqual" stopIfTrue="1">
      <formula>1.8</formula>
    </cfRule>
  </conditionalFormatting>
  <conditionalFormatting sqref="E51">
    <cfRule type="cellIs" priority="27" dxfId="4" operator="notEqual" stopIfTrue="1">
      <formula>15</formula>
    </cfRule>
  </conditionalFormatting>
  <conditionalFormatting sqref="E53">
    <cfRule type="cellIs" priority="28" dxfId="4" operator="notEqual" stopIfTrue="1">
      <formula>6.7</formula>
    </cfRule>
  </conditionalFormatting>
  <conditionalFormatting sqref="E54">
    <cfRule type="cellIs" priority="29" dxfId="4" operator="notEqual" stopIfTrue="1">
      <formula>0.07</formula>
    </cfRule>
  </conditionalFormatting>
  <conditionalFormatting sqref="E55">
    <cfRule type="cellIs" priority="30" dxfId="4" operator="notEqual" stopIfTrue="1">
      <formula>2.9</formula>
    </cfRule>
  </conditionalFormatting>
  <conditionalFormatting sqref="E56">
    <cfRule type="cellIs" priority="31" dxfId="4" operator="notEqual" stopIfTrue="1">
      <formula>1.25</formula>
    </cfRule>
  </conditionalFormatting>
  <conditionalFormatting sqref="E57">
    <cfRule type="cellIs" priority="32" dxfId="4" operator="notEqual" stopIfTrue="1">
      <formula>7.5</formula>
    </cfRule>
  </conditionalFormatting>
  <dataValidations count="1">
    <dataValidation type="list" allowBlank="1" showInputMessage="1" showErrorMessage="1" errorTitle="Invalid Input" error="Select &quot;yes&quot; or &quot;no&quot; from drop down list" sqref="G15:G21">
      <formula1>$B$92:$B$93</formula1>
    </dataValidation>
  </dataValidations>
  <printOptions/>
  <pageMargins left="0.75" right="0.75" top="0.75" bottom="0.75" header="0.5" footer="0.5"/>
  <pageSetup horizontalDpi="600" verticalDpi="600" orientation="portrait" r:id="rId1"/>
  <headerFooter alignWithMargins="0">
    <oddFooter>&amp;CKABAM - Ecosystem Inputs Page &amp;P of &amp;N</oddFooter>
  </headerFooter>
  <rowBreaks count="2" manualBreakCount="2">
    <brk id="10" max="255" man="1"/>
    <brk id="43" min="1" max="7" man="1"/>
  </rowBreaks>
</worksheet>
</file>

<file path=xl/worksheets/sheet4.xml><?xml version="1.0" encoding="utf-8"?>
<worksheet xmlns="http://schemas.openxmlformats.org/spreadsheetml/2006/main" xmlns:r="http://schemas.openxmlformats.org/officeDocument/2006/relationships">
  <dimension ref="A1:P90"/>
  <sheetViews>
    <sheetView zoomScalePageLayoutView="0" workbookViewId="0" topLeftCell="A1">
      <pane ySplit="2" topLeftCell="BM3" activePane="bottomLeft" state="frozen"/>
      <selection pane="topLeft" activeCell="A1" sqref="A1"/>
      <selection pane="bottomLeft" activeCell="L4" sqref="L4"/>
    </sheetView>
  </sheetViews>
  <sheetFormatPr defaultColWidth="9.140625" defaultRowHeight="12.75"/>
  <cols>
    <col min="1" max="1" width="1.7109375" style="122" customWidth="1"/>
    <col min="2" max="2" width="10.421875" style="122" customWidth="1"/>
    <col min="3" max="3" width="11.8515625" style="122" customWidth="1"/>
    <col min="4" max="4" width="11.7109375" style="122" customWidth="1"/>
    <col min="5" max="5" width="12.57421875" style="122" customWidth="1"/>
    <col min="6" max="6" width="11.140625" style="122" customWidth="1"/>
    <col min="7" max="8" width="10.8515625" style="122" customWidth="1"/>
    <col min="9" max="9" width="11.140625" style="122" customWidth="1"/>
    <col min="10" max="10" width="3.00390625" style="122" customWidth="1"/>
    <col min="11" max="16384" width="9.140625" style="122" customWidth="1"/>
  </cols>
  <sheetData>
    <row r="1" spans="1:10" ht="18.75" customHeight="1" thickTop="1">
      <c r="A1" s="1"/>
      <c r="B1" s="359" t="s">
        <v>249</v>
      </c>
      <c r="C1" s="360"/>
      <c r="D1" s="360"/>
      <c r="E1" s="360"/>
      <c r="F1" s="360"/>
      <c r="G1" s="360"/>
      <c r="H1" s="360"/>
      <c r="I1" s="361"/>
      <c r="J1" s="1"/>
    </row>
    <row r="2" spans="1:10" ht="27.75" customHeight="1">
      <c r="A2" s="1"/>
      <c r="B2" s="128" t="s">
        <v>41</v>
      </c>
      <c r="C2" s="129" t="s">
        <v>42</v>
      </c>
      <c r="D2" s="129" t="s">
        <v>43</v>
      </c>
      <c r="E2" s="129" t="s">
        <v>1</v>
      </c>
      <c r="F2" s="129" t="s">
        <v>75</v>
      </c>
      <c r="G2" s="129" t="s">
        <v>187</v>
      </c>
      <c r="H2" s="129" t="s">
        <v>188</v>
      </c>
      <c r="I2" s="130" t="s">
        <v>189</v>
      </c>
      <c r="J2" s="1"/>
    </row>
    <row r="3" spans="1:10" ht="12.75">
      <c r="A3" s="1"/>
      <c r="B3" s="405" t="s">
        <v>240</v>
      </c>
      <c r="C3" s="399"/>
      <c r="D3" s="399"/>
      <c r="E3" s="399"/>
      <c r="F3" s="399"/>
      <c r="G3" s="399"/>
      <c r="H3" s="399"/>
      <c r="I3" s="400"/>
      <c r="J3" s="1"/>
    </row>
    <row r="4" spans="1:10" ht="14.25">
      <c r="A4" s="1"/>
      <c r="B4" s="44" t="s">
        <v>68</v>
      </c>
      <c r="C4" s="111">
        <f>(C10*(C16*C9*C19+C17*C8))/(C11+C13+C14+C15)</f>
        <v>0</v>
      </c>
      <c r="D4" s="112">
        <f>(D10*(D16*C19*C9+D17*C8)+D12*D18)/(D11+D13+D14+D15)</f>
        <v>0</v>
      </c>
      <c r="E4" s="111">
        <f>(E10*(E16*C19*C9+E17*C8)+E12*E18)/(E11+E13+E14+E15)</f>
        <v>0</v>
      </c>
      <c r="F4" s="111">
        <f>(F10*(F16*C19*C9+F17*C8)+F12*F18)/(F11+F13+F14+F15)</f>
        <v>0</v>
      </c>
      <c r="G4" s="111">
        <f>(G10*(G16*C19*C9+G17*C8)+G12*G18)/(G11+G13+G14+G15)</f>
        <v>0</v>
      </c>
      <c r="H4" s="111">
        <f>(H10*(H16*C19*C9+H17*C8)+H12*H18)/(H11+H13+H14+H15)</f>
        <v>0</v>
      </c>
      <c r="I4" s="113">
        <f>(I10*(I16*C19*C9+I17*C8)+I12*I18)/(I11+I13+I14+I15)</f>
        <v>0</v>
      </c>
      <c r="J4" s="1"/>
    </row>
    <row r="5" spans="1:10" ht="14.25">
      <c r="A5" s="1"/>
      <c r="B5" s="44" t="s">
        <v>102</v>
      </c>
      <c r="C5" s="114">
        <v>0</v>
      </c>
      <c r="D5" s="117">
        <f>(0*(D16*C19*C9+D17*C8)+D12*D18)/(D11+D13+D14+D15)</f>
        <v>0</v>
      </c>
      <c r="E5" s="114">
        <f>(0*(E16*C19*C9+E17*C8)+E12*E18)/(E11+E13+E14+E15)</f>
        <v>0</v>
      </c>
      <c r="F5" s="114">
        <f>(0*(F16*C19*C9+F17*C8)+F12*F18)/(F11+F13+F14+F15)</f>
        <v>0</v>
      </c>
      <c r="G5" s="114">
        <f>(0*(G16*C19*C9+G17*C8)+G12*G18)/(G11+G13+G14+G15)</f>
        <v>0</v>
      </c>
      <c r="H5" s="114">
        <f>(0*(H16*C19*C9+H17*C8)+H12*H18)/(H11+H13+H14+H15)</f>
        <v>0</v>
      </c>
      <c r="I5" s="115">
        <f>(0*(I16*C19*C9+I17*C8)+I12*I18)/(I11+I13+I14+I15)</f>
        <v>0</v>
      </c>
      <c r="J5" s="1"/>
    </row>
    <row r="6" spans="1:10" ht="14.25">
      <c r="A6" s="1"/>
      <c r="B6" s="44" t="s">
        <v>103</v>
      </c>
      <c r="C6" s="117">
        <f>(C10*(C16*C19*C9+C17*C8))/(C11+C13+C14+C15)</f>
        <v>0</v>
      </c>
      <c r="D6" s="117">
        <f>(D10*(D16*C19*C9+D17*C8)+0*D18)/(D11+D13+D14+D15)</f>
        <v>0</v>
      </c>
      <c r="E6" s="117">
        <f>(E10*(E16*C19*C9+E17*C8)+0*E18)/(E11+E13+E14+E15)</f>
        <v>0</v>
      </c>
      <c r="F6" s="117">
        <f>(F10*(F16*C19*C9+F17*C8)+0*F18)/(F11+F13+F14+F15)</f>
        <v>0</v>
      </c>
      <c r="G6" s="117">
        <f>(G10*(G16*C19*C9+G17*C8)+0*G18)/(G11+G13+G14+G15)</f>
        <v>0</v>
      </c>
      <c r="H6" s="117">
        <f>(H10*(H16*C19*C9+H17*C8)+0*H18)/(H11+H13+H14+H15)</f>
        <v>0</v>
      </c>
      <c r="I6" s="142">
        <f>(I10*(I16*C19*C9+I17*C8)+0*I18)/(I11+I13+I14+I15)</f>
        <v>0</v>
      </c>
      <c r="J6" s="1"/>
    </row>
    <row r="7" spans="1:10" ht="16.5">
      <c r="A7" s="1"/>
      <c r="B7" s="4" t="s">
        <v>40</v>
      </c>
      <c r="C7" s="417">
        <f>C26</f>
        <v>0</v>
      </c>
      <c r="D7" s="418"/>
      <c r="E7" s="418"/>
      <c r="F7" s="418"/>
      <c r="G7" s="418"/>
      <c r="H7" s="418"/>
      <c r="I7" s="419"/>
      <c r="J7" s="13" t="s">
        <v>2</v>
      </c>
    </row>
    <row r="8" spans="1:10" ht="16.5">
      <c r="A8" s="1"/>
      <c r="B8" s="4" t="s">
        <v>55</v>
      </c>
      <c r="C8" s="420">
        <f>('Chemical Specific Inputs'!$C$9)/1000000</f>
        <v>0</v>
      </c>
      <c r="D8" s="407"/>
      <c r="E8" s="407"/>
      <c r="F8" s="407"/>
      <c r="G8" s="407"/>
      <c r="H8" s="407"/>
      <c r="I8" s="408"/>
      <c r="J8" s="14" t="s">
        <v>2</v>
      </c>
    </row>
    <row r="9" spans="1:10" ht="16.5">
      <c r="A9" s="1"/>
      <c r="B9" s="4" t="s">
        <v>15</v>
      </c>
      <c r="C9" s="420">
        <f>'Chemical Specific Inputs'!$C$10/1000000</f>
        <v>0</v>
      </c>
      <c r="D9" s="407"/>
      <c r="E9" s="407"/>
      <c r="F9" s="407"/>
      <c r="G9" s="407"/>
      <c r="H9" s="407"/>
      <c r="I9" s="408"/>
      <c r="J9" s="16" t="s">
        <v>2</v>
      </c>
    </row>
    <row r="10" spans="1:10" ht="15.75">
      <c r="A10" s="1"/>
      <c r="B10" s="4" t="s">
        <v>12</v>
      </c>
      <c r="C10" s="49">
        <f>IF('Chemical Specific Inputs'!$C$14="calculated",C35,'Chemical Specific Inputs'!$C$14)</f>
        <v>0.18181619836874505</v>
      </c>
      <c r="D10" s="49">
        <f>IF('Chemical Specific Inputs'!$C$15="calculated",D35,'Chemical Specific Inputs'!$C$15)</f>
        <v>503.1222319120475</v>
      </c>
      <c r="E10" s="49">
        <f>IF('Chemical Specific Inputs'!$C$16="calculated",E35,'Chemical Specific Inputs'!$C$16)</f>
        <v>44.84081611875565</v>
      </c>
      <c r="F10" s="49">
        <f>IF('Chemical Specific Inputs'!$C$17="calculated",F35,'Chemical Specific Inputs'!$C$17)</f>
        <v>20.02965681890658</v>
      </c>
      <c r="G10" s="49">
        <f>IF('Chemical Specific Inputs'!$C$18="calculated",G35,'Chemical Specific Inputs'!$C$18)</f>
        <v>8.946919057420226</v>
      </c>
      <c r="H10" s="49">
        <f>IF('Chemical Specific Inputs'!$C$19="calculated",H35,'Chemical Specific Inputs'!$C$19)</f>
        <v>3.9964419432523757</v>
      </c>
      <c r="I10" s="50">
        <f>IF('Chemical Specific Inputs'!$C$20="calculated",I35,'Chemical Specific Inputs'!$C$20)</f>
        <v>1.7851450430347466</v>
      </c>
      <c r="J10" s="1"/>
    </row>
    <row r="11" spans="1:10" ht="15.75">
      <c r="A11" s="1"/>
      <c r="B11" s="4" t="s">
        <v>13</v>
      </c>
      <c r="C11" s="34">
        <f>IF('Chemical Specific Inputs'!$D$14="calculated",C40,'Chemical Specific Inputs'!$D$14)</f>
        <v>0.19178923878559603</v>
      </c>
      <c r="D11" s="34">
        <f>IF('Chemical Specific Inputs'!$D$15="calculated",D40,'Chemical Specific Inputs'!$D$15)</f>
        <v>569.0140600679117</v>
      </c>
      <c r="E11" s="34">
        <f>IF('Chemical Specific Inputs'!$D$16="calculated",E40,'Chemical Specific Inputs'!$D$16)</f>
        <v>56.23730622531592</v>
      </c>
      <c r="F11" s="34">
        <f>IF('Chemical Specific Inputs'!$D$17="calculated",F40,'Chemical Specific Inputs'!$D$17)</f>
        <v>22.902814955012957</v>
      </c>
      <c r="G11" s="34">
        <f>IF('Chemical Specific Inputs'!$D$18="calculated",G40,'Chemical Specific Inputs'!$D$18)</f>
        <v>11.499156940325463</v>
      </c>
      <c r="H11" s="34">
        <f>IF('Chemical Specific Inputs'!$D$19="calculated",H40,'Chemical Specific Inputs'!$D$19)</f>
        <v>5.136484728812256</v>
      </c>
      <c r="I11" s="35">
        <f>IF('Chemical Specific Inputs'!$D$20="calculated",I40,'Chemical Specific Inputs'!$D$20)</f>
        <v>2.294383449694424</v>
      </c>
      <c r="J11" s="1"/>
    </row>
    <row r="12" spans="1:10" ht="15.75">
      <c r="A12" s="1"/>
      <c r="B12" s="4" t="s">
        <v>17</v>
      </c>
      <c r="C12" s="34">
        <f>C57</f>
        <v>0</v>
      </c>
      <c r="D12" s="34">
        <f>IF('Chemical Specific Inputs'!$E$15="calculated",D57,'Chemical Specific Inputs'!$E$15)</f>
        <v>0.30356916337205386</v>
      </c>
      <c r="E12" s="34">
        <f>IF('Chemical Specific Inputs'!$E$16="calculated",E57,'Chemical Specific Inputs'!$E$16)</f>
        <v>0.10771040372283953</v>
      </c>
      <c r="F12" s="34">
        <f>IF('Chemical Specific Inputs'!$E$17="calculated",F57,'Chemical Specific Inputs'!$E$17)</f>
        <v>0.04712476801196726</v>
      </c>
      <c r="G12" s="34">
        <f>IF('Chemical Specific Inputs'!$E$18="calculated",G57,'Chemical Specific Inputs'!$E$18)</f>
        <v>0.05398307927472656</v>
      </c>
      <c r="H12" s="34">
        <f>IF('Chemical Specific Inputs'!$E$19="calculated",H57,'Chemical Specific Inputs'!$E$19)</f>
        <v>0.03821709340061737</v>
      </c>
      <c r="I12" s="35">
        <f>IF('Chemical Specific Inputs'!$E$20="calculated",I57,'Chemical Specific Inputs'!$E$20)</f>
        <v>0.027055630164381922</v>
      </c>
      <c r="J12" s="1"/>
    </row>
    <row r="13" spans="1:10" ht="15.75">
      <c r="A13" s="1"/>
      <c r="B13" s="4" t="s">
        <v>18</v>
      </c>
      <c r="C13" s="34">
        <f>C68</f>
        <v>0</v>
      </c>
      <c r="D13" s="34">
        <f>IF('Chemical Specific Inputs'!$F$15="calculated",D68,'Chemical Specific Inputs'!$F$15)</f>
        <v>0.23393708529190632</v>
      </c>
      <c r="E13" s="34">
        <f>IF('Chemical Specific Inputs'!$F$16="calculated",E68,'Chemical Specific Inputs'!$F$16)</f>
        <v>0.09222913545539058</v>
      </c>
      <c r="F13" s="34">
        <f>IF('Chemical Specific Inputs'!$F$17="calculated",F68,'Chemical Specific Inputs'!$F$17)</f>
        <v>0.036789515091741595</v>
      </c>
      <c r="G13" s="34">
        <f>IF('Chemical Specific Inputs'!$F$18="calculated",G68,'Chemical Specific Inputs'!$F$18)</f>
        <v>0.04221649561789103</v>
      </c>
      <c r="H13" s="34">
        <f>IF('Chemical Specific Inputs'!$F$19="calculated",H68,'Chemical Specific Inputs'!$F$19)</f>
        <v>0.02773410121044995</v>
      </c>
      <c r="I13" s="35">
        <f>IF('Chemical Specific Inputs'!$F$20="calculated",I68,'Chemical Specific Inputs'!$F$20)</f>
        <v>0.019261814357244948</v>
      </c>
      <c r="J13" s="1"/>
    </row>
    <row r="14" spans="1:10" ht="15.75">
      <c r="A14" s="1"/>
      <c r="B14" s="4" t="s">
        <v>39</v>
      </c>
      <c r="C14" s="34">
        <v>0.1</v>
      </c>
      <c r="D14" s="34">
        <f aca="true" t="shared" si="0" ref="D14:I14">D48</f>
        <v>0.012559432157547906</v>
      </c>
      <c r="E14" s="34">
        <f t="shared" si="0"/>
        <v>0.003154786722400966</v>
      </c>
      <c r="F14" s="34">
        <f t="shared" si="0"/>
        <v>0.0019905358527674863</v>
      </c>
      <c r="G14" s="34">
        <f t="shared" si="0"/>
        <v>0.0012559432157547902</v>
      </c>
      <c r="H14" s="34">
        <f t="shared" si="0"/>
        <v>0.0007924465962305567</v>
      </c>
      <c r="I14" s="35">
        <f t="shared" si="0"/>
        <v>0.0005</v>
      </c>
      <c r="J14" s="1"/>
    </row>
    <row r="15" spans="1:10" ht="15.75">
      <c r="A15" s="1"/>
      <c r="B15" s="4" t="s">
        <v>19</v>
      </c>
      <c r="C15" s="22">
        <f>'Chemical Specific Inputs'!$G$14</f>
        <v>0</v>
      </c>
      <c r="D15" s="22">
        <f>'Chemical Specific Inputs'!$G$15</f>
        <v>0</v>
      </c>
      <c r="E15" s="22">
        <f>'Chemical Specific Inputs'!$G$16</f>
        <v>0</v>
      </c>
      <c r="F15" s="22">
        <f>'Chemical Specific Inputs'!$G$17</f>
        <v>0</v>
      </c>
      <c r="G15" s="22">
        <f>'Chemical Specific Inputs'!$G$18</f>
        <v>0</v>
      </c>
      <c r="H15" s="22">
        <f>'Chemical Specific Inputs'!$G$19</f>
        <v>0</v>
      </c>
      <c r="I15" s="23">
        <f>'Chemical Specific Inputs'!$G$20</f>
        <v>0</v>
      </c>
      <c r="J15" s="1"/>
    </row>
    <row r="16" spans="1:10" ht="15.75">
      <c r="A16" s="1"/>
      <c r="B16" s="4" t="s">
        <v>14</v>
      </c>
      <c r="C16" s="22">
        <f>1-C17</f>
        <v>1</v>
      </c>
      <c r="D16" s="22">
        <f aca="true" t="shared" si="1" ref="D16:I16">1-D17</f>
        <v>1</v>
      </c>
      <c r="E16" s="22">
        <f>1-E17</f>
        <v>0.95</v>
      </c>
      <c r="F16" s="22">
        <f t="shared" si="1"/>
        <v>0.95</v>
      </c>
      <c r="G16" s="22">
        <f t="shared" si="1"/>
        <v>0.95</v>
      </c>
      <c r="H16" s="22">
        <f t="shared" si="1"/>
        <v>0.95</v>
      </c>
      <c r="I16" s="23">
        <f t="shared" si="1"/>
        <v>1</v>
      </c>
      <c r="J16" s="1"/>
    </row>
    <row r="17" spans="1:10" ht="15.75">
      <c r="A17" s="1"/>
      <c r="B17" s="4" t="s">
        <v>16</v>
      </c>
      <c r="C17" s="22">
        <f>IF('Ecosystem Inputs'!$G$15="no",0,IF('Ecosystem Inputs'!$G$15="yes",0.05))</f>
        <v>0</v>
      </c>
      <c r="D17" s="22">
        <f>IF('Ecosystem Inputs'!$G$16="no",0,IF('Ecosystem Inputs'!$G$16="yes",0.05))</f>
        <v>0</v>
      </c>
      <c r="E17" s="22">
        <f>IF('Ecosystem Inputs'!$G$17="no",0,IF('Ecosystem Inputs'!$G$17="yes",0.05))</f>
        <v>0.05</v>
      </c>
      <c r="F17" s="22">
        <f>IF('Ecosystem Inputs'!$G$18="no",0,IF('Ecosystem Inputs'!$G$18="yes",0.05))</f>
        <v>0.05</v>
      </c>
      <c r="G17" s="22">
        <f>IF('Ecosystem Inputs'!$G$19="no",0,IF('Ecosystem Inputs'!$G$19="yes",0.05))</f>
        <v>0.05</v>
      </c>
      <c r="H17" s="22">
        <f>IF('Ecosystem Inputs'!$G$20="no",0,IF('Ecosystem Inputs'!$G$20="yes",0.05))</f>
        <v>0.05</v>
      </c>
      <c r="I17" s="23">
        <f>IF('Ecosystem Inputs'!$G$21="no",0,IF('Ecosystem Inputs'!$G$21="yes",0.05))</f>
        <v>0</v>
      </c>
      <c r="J17" s="1"/>
    </row>
    <row r="18" spans="1:16" ht="15.75">
      <c r="A18" s="1"/>
      <c r="B18" s="4" t="s">
        <v>58</v>
      </c>
      <c r="C18" s="22">
        <v>0</v>
      </c>
      <c r="D18" s="22">
        <f>C7*'Ecosystem Inputs'!$C$28+C4*'Ecosystem Inputs'!$C$29</f>
        <v>0</v>
      </c>
      <c r="E18" s="22">
        <f>C7*'Ecosystem Inputs'!$D$28+C4*'Ecosystem Inputs'!$D$29+D4*'Ecosystem Inputs'!$D$30</f>
        <v>0</v>
      </c>
      <c r="F18" s="22">
        <f>C7*'Ecosystem Inputs'!$E$28+C4*'Ecosystem Inputs'!$E$29+D4*'Ecosystem Inputs'!$E$30+E4*'Ecosystem Inputs'!$E$31</f>
        <v>0</v>
      </c>
      <c r="G18" s="22">
        <f>C7*'Ecosystem Inputs'!$F$28+C4*'Ecosystem Inputs'!$F$29+D4*'Ecosystem Inputs'!$F$30+E4*'Ecosystem Inputs'!$F$31+F4*'Ecosystem Inputs'!$F$32</f>
        <v>0</v>
      </c>
      <c r="H18" s="22">
        <f>C7*'Ecosystem Inputs'!$G$28+C4*'Ecosystem Inputs'!$G$29+D4*'Ecosystem Inputs'!$G$30+E4*'Ecosystem Inputs'!$G$31+F4*'Ecosystem Inputs'!$G$32+G4*'Ecosystem Inputs'!$G$33</f>
        <v>0</v>
      </c>
      <c r="I18" s="23">
        <f>C7*'Ecosystem Inputs'!$H$28+C4*'Ecosystem Inputs'!$H$29+D4*'Ecosystem Inputs'!$H$30+E4*'Ecosystem Inputs'!$H$31+F4*'Ecosystem Inputs'!$H$32+G4*'Ecosystem Inputs'!$H$33+H4*'Ecosystem Inputs'!$H$34</f>
        <v>0</v>
      </c>
      <c r="J18" s="1"/>
      <c r="P18" s="122" t="s">
        <v>2</v>
      </c>
    </row>
    <row r="19" spans="1:10" ht="12.75">
      <c r="A19" s="1"/>
      <c r="B19" s="11" t="s">
        <v>5</v>
      </c>
      <c r="C19" s="421">
        <f>C24</f>
        <v>1</v>
      </c>
      <c r="D19" s="422"/>
      <c r="E19" s="422"/>
      <c r="F19" s="422"/>
      <c r="G19" s="422"/>
      <c r="H19" s="422"/>
      <c r="I19" s="423"/>
      <c r="J19" s="1"/>
    </row>
    <row r="20" spans="1:10" ht="12.75">
      <c r="A20" s="1"/>
      <c r="B20" s="405" t="s">
        <v>241</v>
      </c>
      <c r="C20" s="399"/>
      <c r="D20" s="399"/>
      <c r="E20" s="399"/>
      <c r="F20" s="399"/>
      <c r="G20" s="399"/>
      <c r="H20" s="399"/>
      <c r="I20" s="400"/>
      <c r="J20" s="1"/>
    </row>
    <row r="21" spans="1:10" ht="16.5">
      <c r="A21" s="1"/>
      <c r="B21" s="103" t="s">
        <v>108</v>
      </c>
      <c r="C21" s="414">
        <f>'Ecosystem Inputs'!$C$4</f>
        <v>0</v>
      </c>
      <c r="D21" s="415"/>
      <c r="E21" s="415"/>
      <c r="F21" s="415"/>
      <c r="G21" s="415"/>
      <c r="H21" s="415"/>
      <c r="I21" s="416"/>
      <c r="J21" s="15" t="s">
        <v>2</v>
      </c>
    </row>
    <row r="22" spans="1:12" ht="16.5">
      <c r="A22" s="1"/>
      <c r="B22" s="103" t="s">
        <v>109</v>
      </c>
      <c r="C22" s="424">
        <f>'Ecosystem Inputs'!$C$5</f>
        <v>0</v>
      </c>
      <c r="D22" s="407"/>
      <c r="E22" s="407"/>
      <c r="F22" s="407"/>
      <c r="G22" s="407"/>
      <c r="H22" s="407"/>
      <c r="I22" s="408"/>
      <c r="J22" s="15"/>
      <c r="L22" s="119"/>
    </row>
    <row r="23" spans="1:12" ht="16.5">
      <c r="A23" s="1"/>
      <c r="B23" s="4" t="s">
        <v>20</v>
      </c>
      <c r="C23" s="413">
        <f>'Chemical Specific Inputs'!$C$6</f>
        <v>1</v>
      </c>
      <c r="D23" s="407"/>
      <c r="E23" s="407"/>
      <c r="F23" s="407"/>
      <c r="G23" s="407"/>
      <c r="H23" s="407"/>
      <c r="I23" s="408"/>
      <c r="J23" s="15" t="s">
        <v>2</v>
      </c>
      <c r="L23" s="119"/>
    </row>
    <row r="24" spans="1:10" ht="15.75">
      <c r="A24" s="1"/>
      <c r="B24" s="11" t="s">
        <v>5</v>
      </c>
      <c r="C24" s="421">
        <f>1/(1+(C21*0.35*C23)+(C22*0.08*C23))</f>
        <v>1</v>
      </c>
      <c r="D24" s="428"/>
      <c r="E24" s="428"/>
      <c r="F24" s="428"/>
      <c r="G24" s="428"/>
      <c r="H24" s="428"/>
      <c r="I24" s="429"/>
      <c r="J24" s="15" t="s">
        <v>2</v>
      </c>
    </row>
    <row r="25" spans="1:10" ht="12.75">
      <c r="A25" s="1"/>
      <c r="B25" s="405" t="s">
        <v>242</v>
      </c>
      <c r="C25" s="399"/>
      <c r="D25" s="399"/>
      <c r="E25" s="399"/>
      <c r="F25" s="399"/>
      <c r="G25" s="399"/>
      <c r="H25" s="399"/>
      <c r="I25" s="400"/>
      <c r="J25" s="1" t="s">
        <v>2</v>
      </c>
    </row>
    <row r="26" spans="1:10" ht="16.5">
      <c r="A26" s="1"/>
      <c r="B26" s="4" t="s">
        <v>40</v>
      </c>
      <c r="C26" s="430">
        <f>C27*C30</f>
        <v>0</v>
      </c>
      <c r="D26" s="431"/>
      <c r="E26" s="431"/>
      <c r="F26" s="431"/>
      <c r="G26" s="431"/>
      <c r="H26" s="431"/>
      <c r="I26" s="432"/>
      <c r="J26" s="15" t="s">
        <v>2</v>
      </c>
    </row>
    <row r="27" spans="1:12" ht="16.5">
      <c r="A27" s="1"/>
      <c r="B27" s="4" t="s">
        <v>56</v>
      </c>
      <c r="C27" s="412">
        <f>C28*C29</f>
        <v>0</v>
      </c>
      <c r="D27" s="426"/>
      <c r="E27" s="426"/>
      <c r="F27" s="426"/>
      <c r="G27" s="426"/>
      <c r="H27" s="426"/>
      <c r="I27" s="427"/>
      <c r="J27" s="15"/>
      <c r="L27" s="119"/>
    </row>
    <row r="28" spans="1:10" ht="15.75">
      <c r="A28" s="1"/>
      <c r="B28" s="4" t="s">
        <v>55</v>
      </c>
      <c r="C28" s="435">
        <f>('Chemical Specific Inputs'!$C$9)/1000000</f>
        <v>0</v>
      </c>
      <c r="D28" s="436"/>
      <c r="E28" s="436"/>
      <c r="F28" s="436"/>
      <c r="G28" s="436"/>
      <c r="H28" s="436"/>
      <c r="I28" s="437"/>
      <c r="J28" s="36" t="s">
        <v>2</v>
      </c>
    </row>
    <row r="29" spans="1:10" ht="15.75">
      <c r="A29" s="1"/>
      <c r="B29" s="4" t="s">
        <v>105</v>
      </c>
      <c r="C29" s="413">
        <f>'Chemical Specific Inputs'!C7</f>
        <v>0</v>
      </c>
      <c r="D29" s="438"/>
      <c r="E29" s="438"/>
      <c r="F29" s="438"/>
      <c r="G29" s="438"/>
      <c r="H29" s="438"/>
      <c r="I29" s="439"/>
      <c r="J29" s="1"/>
    </row>
    <row r="30" spans="1:10" ht="12.75">
      <c r="A30" s="1"/>
      <c r="B30" s="8" t="s">
        <v>57</v>
      </c>
      <c r="C30" s="441">
        <f>'Ecosystem Inputs'!$C$9</f>
        <v>0.04</v>
      </c>
      <c r="D30" s="442"/>
      <c r="E30" s="442"/>
      <c r="F30" s="442"/>
      <c r="G30" s="442"/>
      <c r="H30" s="442"/>
      <c r="I30" s="443"/>
      <c r="J30" s="6" t="s">
        <v>2</v>
      </c>
    </row>
    <row r="31" spans="1:10" ht="15.75">
      <c r="A31" s="1"/>
      <c r="B31" s="434" t="s">
        <v>243</v>
      </c>
      <c r="C31" s="399"/>
      <c r="D31" s="399"/>
      <c r="E31" s="399"/>
      <c r="F31" s="399"/>
      <c r="G31" s="399"/>
      <c r="H31" s="399"/>
      <c r="I31" s="400"/>
      <c r="J31" s="13" t="s">
        <v>2</v>
      </c>
    </row>
    <row r="32" spans="1:10" ht="15.75">
      <c r="A32" s="1"/>
      <c r="B32" s="4" t="s">
        <v>21</v>
      </c>
      <c r="C32" s="28" t="s">
        <v>48</v>
      </c>
      <c r="D32" s="425">
        <f>'Ecosystem Inputs'!C6</f>
        <v>5</v>
      </c>
      <c r="E32" s="415"/>
      <c r="F32" s="415"/>
      <c r="G32" s="415"/>
      <c r="H32" s="415"/>
      <c r="I32" s="416"/>
      <c r="J32" s="5" t="s">
        <v>2</v>
      </c>
    </row>
    <row r="33" spans="1:10" ht="15.75">
      <c r="A33" s="1"/>
      <c r="B33" s="4" t="s">
        <v>24</v>
      </c>
      <c r="C33" s="28" t="s">
        <v>48</v>
      </c>
      <c r="D33" s="440">
        <f>1/(1.85+(155/C36))</f>
        <v>0.006375518010838381</v>
      </c>
      <c r="E33" s="407"/>
      <c r="F33" s="407"/>
      <c r="G33" s="407"/>
      <c r="H33" s="407"/>
      <c r="I33" s="408"/>
      <c r="J33" s="5"/>
    </row>
    <row r="34" spans="1:10" ht="15.75">
      <c r="A34" s="1"/>
      <c r="B34" s="4" t="s">
        <v>23</v>
      </c>
      <c r="C34" s="28" t="s">
        <v>48</v>
      </c>
      <c r="D34" s="28">
        <f>1400*(D37^0.65)/D32</f>
        <v>0.007891472207540464</v>
      </c>
      <c r="E34" s="28">
        <f>1400*(E37^0.65)/D32</f>
        <v>0.7033282008226823</v>
      </c>
      <c r="F34" s="28">
        <f>1400*(F37^0.65)/D32</f>
        <v>3.1416516720454974</v>
      </c>
      <c r="G34" s="28">
        <f>1400*(G37^0.65)/D32</f>
        <v>14.033242541563624</v>
      </c>
      <c r="H34" s="28">
        <f>1400*(H37^0.65)/D32</f>
        <v>62.68419187991351</v>
      </c>
      <c r="I34" s="31">
        <f>1400*(I37^0.65)/D32</f>
        <v>280</v>
      </c>
      <c r="J34" s="5"/>
    </row>
    <row r="35" spans="1:10" ht="15.75">
      <c r="A35" s="1"/>
      <c r="B35" s="4" t="s">
        <v>12</v>
      </c>
      <c r="C35" s="28">
        <f>1/(0.00006+(5.5/C36))</f>
        <v>0.18181619836874505</v>
      </c>
      <c r="D35" s="28">
        <f>D33*D34/D37</f>
        <v>503.1222319120475</v>
      </c>
      <c r="E35" s="28">
        <f>D33*E34/E37</f>
        <v>44.84081611875565</v>
      </c>
      <c r="F35" s="28">
        <f>D33*F34/F37</f>
        <v>20.02965681890658</v>
      </c>
      <c r="G35" s="28">
        <f>D33*G34/G37</f>
        <v>8.946919057420226</v>
      </c>
      <c r="H35" s="28">
        <f>D33*H34/H37</f>
        <v>3.9964419432523757</v>
      </c>
      <c r="I35" s="31">
        <f>D33*I34/I37</f>
        <v>1.7851450430347466</v>
      </c>
      <c r="J35" s="5"/>
    </row>
    <row r="36" spans="1:10" ht="15.75">
      <c r="A36" s="1"/>
      <c r="B36" s="4" t="s">
        <v>20</v>
      </c>
      <c r="C36" s="413">
        <f>'Chemical Specific Inputs'!$C$6</f>
        <v>1</v>
      </c>
      <c r="D36" s="407"/>
      <c r="E36" s="407"/>
      <c r="F36" s="407"/>
      <c r="G36" s="407"/>
      <c r="H36" s="407"/>
      <c r="I36" s="408"/>
      <c r="J36" s="10" t="s">
        <v>2</v>
      </c>
    </row>
    <row r="37" spans="1:10" ht="15.75">
      <c r="A37" s="1"/>
      <c r="B37" s="8" t="s">
        <v>22</v>
      </c>
      <c r="C37" s="32" t="str">
        <f>'Ecosystem Inputs'!$C$15</f>
        <v>N/A</v>
      </c>
      <c r="D37" s="32">
        <f>'Ecosystem Inputs'!$C$16</f>
        <v>1E-07</v>
      </c>
      <c r="E37" s="32">
        <f>'Ecosystem Inputs'!$C$17</f>
        <v>0.0001</v>
      </c>
      <c r="F37" s="32">
        <f>'Ecosystem Inputs'!$C$18</f>
        <v>0.001</v>
      </c>
      <c r="G37" s="32">
        <f>'Ecosystem Inputs'!$C$19</f>
        <v>0.01</v>
      </c>
      <c r="H37" s="32">
        <f>'Ecosystem Inputs'!$C$20</f>
        <v>0.1</v>
      </c>
      <c r="I37" s="33">
        <f>'Ecosystem Inputs'!$C$21</f>
        <v>1</v>
      </c>
      <c r="J37" s="1"/>
    </row>
    <row r="38" spans="1:10" ht="12.75">
      <c r="A38" s="1"/>
      <c r="B38" s="405" t="s">
        <v>244</v>
      </c>
      <c r="C38" s="399"/>
      <c r="D38" s="399"/>
      <c r="E38" s="399"/>
      <c r="F38" s="399"/>
      <c r="G38" s="399"/>
      <c r="H38" s="399"/>
      <c r="I38" s="400"/>
      <c r="J38" s="1"/>
    </row>
    <row r="39" spans="1:10" ht="15.75">
      <c r="A39" s="1"/>
      <c r="B39" s="9" t="s">
        <v>12</v>
      </c>
      <c r="C39" s="29">
        <f aca="true" t="shared" si="2" ref="C39:I39">C35</f>
        <v>0.18181619836874505</v>
      </c>
      <c r="D39" s="29">
        <f t="shared" si="2"/>
        <v>503.1222319120475</v>
      </c>
      <c r="E39" s="29">
        <f t="shared" si="2"/>
        <v>44.84081611875565</v>
      </c>
      <c r="F39" s="29">
        <f>F35</f>
        <v>20.02965681890658</v>
      </c>
      <c r="G39" s="29">
        <f t="shared" si="2"/>
        <v>8.946919057420226</v>
      </c>
      <c r="H39" s="29">
        <f t="shared" si="2"/>
        <v>3.9964419432523757</v>
      </c>
      <c r="I39" s="30">
        <f t="shared" si="2"/>
        <v>1.7851450430347466</v>
      </c>
      <c r="J39" s="1"/>
    </row>
    <row r="40" spans="1:10" ht="16.5">
      <c r="A40" s="1"/>
      <c r="B40" s="4" t="s">
        <v>13</v>
      </c>
      <c r="C40" s="28">
        <f aca="true" t="shared" si="3" ref="C40:I40">C39/C41</f>
        <v>0.19178923878559603</v>
      </c>
      <c r="D40" s="28">
        <f t="shared" si="3"/>
        <v>569.0140600679117</v>
      </c>
      <c r="E40" s="28">
        <f t="shared" si="3"/>
        <v>56.23730622531592</v>
      </c>
      <c r="F40" s="28">
        <f t="shared" si="3"/>
        <v>22.902814955012957</v>
      </c>
      <c r="G40" s="28">
        <f t="shared" si="3"/>
        <v>11.499156940325463</v>
      </c>
      <c r="H40" s="28">
        <f t="shared" si="3"/>
        <v>5.136484728812256</v>
      </c>
      <c r="I40" s="31">
        <f t="shared" si="3"/>
        <v>2.294383449694424</v>
      </c>
      <c r="J40" s="13" t="s">
        <v>2</v>
      </c>
    </row>
    <row r="41" spans="1:10" ht="15.75">
      <c r="A41" s="1"/>
      <c r="B41" s="4" t="s">
        <v>260</v>
      </c>
      <c r="C41" s="28">
        <f>C43*C42+C44*C46*C42+C45</f>
        <v>0.9480000000000001</v>
      </c>
      <c r="D41" s="28">
        <f>D43*C42+D44*D46*C42+D45</f>
        <v>0.8842</v>
      </c>
      <c r="E41" s="28">
        <f>E43*C42+E44*D46*C42+E45</f>
        <v>0.79735</v>
      </c>
      <c r="F41" s="28">
        <f>F43*C42+F44*D46*C42+F45</f>
        <v>0.8745499999999999</v>
      </c>
      <c r="G41" s="28">
        <f>G43*C42+G44*D46*C42+G45</f>
        <v>0.77805</v>
      </c>
      <c r="H41" s="28">
        <f>H43*C42+H44*D46*C42+H45</f>
        <v>0.77805</v>
      </c>
      <c r="I41" s="31">
        <f>I43*C42+I44*D46*C42+I45</f>
        <v>0.77805</v>
      </c>
      <c r="J41" s="5"/>
    </row>
    <row r="42" spans="1:10" ht="15.75">
      <c r="A42" s="1"/>
      <c r="B42" s="4" t="s">
        <v>20</v>
      </c>
      <c r="C42" s="413">
        <f>'Chemical Specific Inputs'!$C$6</f>
        <v>1</v>
      </c>
      <c r="D42" s="407"/>
      <c r="E42" s="407"/>
      <c r="F42" s="407"/>
      <c r="G42" s="407"/>
      <c r="H42" s="407"/>
      <c r="I42" s="408"/>
      <c r="J42" s="5" t="s">
        <v>2</v>
      </c>
    </row>
    <row r="43" spans="1:10" ht="15.75">
      <c r="A43" s="1"/>
      <c r="B43" s="4" t="s">
        <v>25</v>
      </c>
      <c r="C43" s="28">
        <f>'Ecosystem Inputs'!$D$15</f>
        <v>0.02</v>
      </c>
      <c r="D43" s="28">
        <f>'Ecosystem Inputs'!$D$16</f>
        <v>0.03</v>
      </c>
      <c r="E43" s="28">
        <f>'Ecosystem Inputs'!$D$17</f>
        <v>0.03</v>
      </c>
      <c r="F43" s="28">
        <f>'Ecosystem Inputs'!$D$18</f>
        <v>0.02</v>
      </c>
      <c r="G43" s="28">
        <f>'Ecosystem Inputs'!$D$19</f>
        <v>0.04</v>
      </c>
      <c r="H43" s="28">
        <f>'Ecosystem Inputs'!$D$20</f>
        <v>0.04</v>
      </c>
      <c r="I43" s="31">
        <f>'Ecosystem Inputs'!$D$21</f>
        <v>0.04</v>
      </c>
      <c r="J43" s="1"/>
    </row>
    <row r="44" spans="1:10" ht="15.75">
      <c r="A44" s="1"/>
      <c r="B44" s="4" t="s">
        <v>26</v>
      </c>
      <c r="C44" s="28">
        <f>'Ecosystem Inputs'!$E$15</f>
        <v>0.08</v>
      </c>
      <c r="D44" s="28">
        <f>'Ecosystem Inputs'!$E$16</f>
        <v>0.12</v>
      </c>
      <c r="E44" s="28">
        <f>'Ecosystem Inputs'!$E$17</f>
        <v>0.21</v>
      </c>
      <c r="F44" s="28">
        <f>'Ecosystem Inputs'!$E$18</f>
        <v>0.13</v>
      </c>
      <c r="G44" s="28">
        <f>'Ecosystem Inputs'!$E$19</f>
        <v>0.23</v>
      </c>
      <c r="H44" s="28">
        <f>'Ecosystem Inputs'!$E$20</f>
        <v>0.23</v>
      </c>
      <c r="I44" s="31">
        <f>'Ecosystem Inputs'!$E$21</f>
        <v>0.23</v>
      </c>
      <c r="J44" s="1"/>
    </row>
    <row r="45" spans="1:10" ht="15.75">
      <c r="A45" s="1"/>
      <c r="B45" s="4" t="s">
        <v>27</v>
      </c>
      <c r="C45" s="28">
        <f>'Ecosystem Inputs'!$F$15</f>
        <v>0.9</v>
      </c>
      <c r="D45" s="28">
        <f>'Ecosystem Inputs'!$F$16</f>
        <v>0.85</v>
      </c>
      <c r="E45" s="28">
        <f>'Ecosystem Inputs'!$F$17</f>
        <v>0.76</v>
      </c>
      <c r="F45" s="28">
        <f>'Ecosystem Inputs'!$F$18</f>
        <v>0.85</v>
      </c>
      <c r="G45" s="28">
        <f>'Ecosystem Inputs'!$F$19</f>
        <v>0.73</v>
      </c>
      <c r="H45" s="28">
        <f>'Ecosystem Inputs'!$F$20</f>
        <v>0.73</v>
      </c>
      <c r="I45" s="31">
        <f>'Ecosystem Inputs'!$F$21</f>
        <v>0.73</v>
      </c>
      <c r="J45" s="1"/>
    </row>
    <row r="46" spans="1:10" ht="12.75">
      <c r="A46" s="1"/>
      <c r="B46" s="11" t="s">
        <v>6</v>
      </c>
      <c r="C46" s="32">
        <v>0.35</v>
      </c>
      <c r="D46" s="433">
        <v>0.035</v>
      </c>
      <c r="E46" s="422"/>
      <c r="F46" s="422"/>
      <c r="G46" s="422"/>
      <c r="H46" s="422"/>
      <c r="I46" s="423"/>
      <c r="J46" s="1"/>
    </row>
    <row r="47" spans="1:10" ht="12.75">
      <c r="A47" s="1"/>
      <c r="B47" s="405" t="s">
        <v>245</v>
      </c>
      <c r="C47" s="399"/>
      <c r="D47" s="399"/>
      <c r="E47" s="399"/>
      <c r="F47" s="399"/>
      <c r="G47" s="399"/>
      <c r="H47" s="399"/>
      <c r="I47" s="400"/>
      <c r="J47" s="1"/>
    </row>
    <row r="48" spans="1:10" ht="16.5">
      <c r="A48" s="1"/>
      <c r="B48" s="9" t="s">
        <v>39</v>
      </c>
      <c r="C48" s="20">
        <v>0.1</v>
      </c>
      <c r="D48" s="20">
        <f>IF(C49&lt;17.5,0.0005*(D50^(-0.2)),0.00251*(D50^(-0.2)))</f>
        <v>0.012559432157547906</v>
      </c>
      <c r="E48" s="20">
        <f>IF(C49&lt;17.5,0.0005*(E50^(-0.2)),0.00251*(E50^(-0.2)))</f>
        <v>0.003154786722400966</v>
      </c>
      <c r="F48" s="20">
        <f>IF(C49&lt;17.5,0.0005*(F50^(-0.2)),0.00251*(F50^(-0.2)))</f>
        <v>0.0019905358527674863</v>
      </c>
      <c r="G48" s="20">
        <f>IF(C49&lt;17.5,0.0005*(G50^(-0.2)),0.00251*(G50^(-0.2)))</f>
        <v>0.0012559432157547902</v>
      </c>
      <c r="H48" s="20">
        <f>IF(C49&lt;17.5,0.0005*(H50^(-0.2)),0.00251*(H50^(-0.2)))</f>
        <v>0.0007924465962305567</v>
      </c>
      <c r="I48" s="21">
        <f>IF(C49&lt;17.5,0.0005*(I50^(-0.2)),0.00251*(I50^(-0.2)))</f>
        <v>0.0005</v>
      </c>
      <c r="J48" s="13" t="s">
        <v>2</v>
      </c>
    </row>
    <row r="49" spans="1:10" ht="15.75">
      <c r="A49" s="1"/>
      <c r="B49" s="4" t="s">
        <v>7</v>
      </c>
      <c r="C49" s="406">
        <f>'Ecosystem Inputs'!$C$7</f>
        <v>15</v>
      </c>
      <c r="D49" s="407"/>
      <c r="E49" s="407"/>
      <c r="F49" s="407"/>
      <c r="G49" s="407"/>
      <c r="H49" s="407"/>
      <c r="I49" s="408"/>
      <c r="J49" s="13" t="s">
        <v>2</v>
      </c>
    </row>
    <row r="50" spans="1:10" ht="15.75">
      <c r="A50" s="1"/>
      <c r="B50" s="11" t="s">
        <v>22</v>
      </c>
      <c r="C50" s="32" t="str">
        <f>'Ecosystem Inputs'!$C$15</f>
        <v>N/A</v>
      </c>
      <c r="D50" s="32">
        <f>'Ecosystem Inputs'!$C$16</f>
        <v>1E-07</v>
      </c>
      <c r="E50" s="32">
        <f>'Ecosystem Inputs'!$C$17</f>
        <v>0.0001</v>
      </c>
      <c r="F50" s="32">
        <f>'Ecosystem Inputs'!$C$18</f>
        <v>0.001</v>
      </c>
      <c r="G50" s="32">
        <f>'Ecosystem Inputs'!$C$19</f>
        <v>0.01</v>
      </c>
      <c r="H50" s="32">
        <f>'Ecosystem Inputs'!$C$20</f>
        <v>0.1</v>
      </c>
      <c r="I50" s="33">
        <f>'Ecosystem Inputs'!$C$21</f>
        <v>1</v>
      </c>
      <c r="J50" s="1"/>
    </row>
    <row r="51" spans="1:10" ht="12.75">
      <c r="A51" s="1"/>
      <c r="B51" s="405" t="s">
        <v>246</v>
      </c>
      <c r="C51" s="399"/>
      <c r="D51" s="399"/>
      <c r="E51" s="399"/>
      <c r="F51" s="399"/>
      <c r="G51" s="399"/>
      <c r="H51" s="399"/>
      <c r="I51" s="400"/>
      <c r="J51" s="1"/>
    </row>
    <row r="52" spans="1:10" ht="16.5">
      <c r="A52" s="1"/>
      <c r="B52" s="12" t="s">
        <v>21</v>
      </c>
      <c r="C52" s="20" t="s">
        <v>48</v>
      </c>
      <c r="D52" s="20" t="s">
        <v>48</v>
      </c>
      <c r="E52" s="20" t="s">
        <v>48</v>
      </c>
      <c r="F52" s="20">
        <f>'Ecosystem Inputs'!C6</f>
        <v>5</v>
      </c>
      <c r="G52" s="20" t="s">
        <v>48</v>
      </c>
      <c r="H52" s="20" t="s">
        <v>48</v>
      </c>
      <c r="I52" s="21" t="s">
        <v>48</v>
      </c>
      <c r="J52" s="13" t="s">
        <v>2</v>
      </c>
    </row>
    <row r="53" spans="1:10" ht="15.75">
      <c r="A53" s="1"/>
      <c r="B53" s="46" t="s">
        <v>77</v>
      </c>
      <c r="C53" s="22" t="s">
        <v>48</v>
      </c>
      <c r="D53" s="22" t="s">
        <v>48</v>
      </c>
      <c r="E53" s="22" t="s">
        <v>48</v>
      </c>
      <c r="F53" s="26">
        <f>'Ecosystem Inputs'!$C$8</f>
        <v>3E-05</v>
      </c>
      <c r="G53" s="22" t="s">
        <v>48</v>
      </c>
      <c r="H53" s="22" t="s">
        <v>48</v>
      </c>
      <c r="I53" s="23" t="s">
        <v>48</v>
      </c>
      <c r="J53" s="5"/>
    </row>
    <row r="54" spans="1:10" ht="15.75">
      <c r="A54" s="1"/>
      <c r="B54" s="4" t="s">
        <v>28</v>
      </c>
      <c r="C54" s="22" t="s">
        <v>48</v>
      </c>
      <c r="D54" s="406">
        <f>1/((0.0000003)*C58+2)</f>
        <v>0.4999999250000113</v>
      </c>
      <c r="E54" s="407"/>
      <c r="F54" s="407"/>
      <c r="G54" s="407"/>
      <c r="H54" s="407"/>
      <c r="I54" s="408"/>
      <c r="J54" s="5" t="s">
        <v>2</v>
      </c>
    </row>
    <row r="55" spans="1:10" ht="15.75">
      <c r="A55" s="1"/>
      <c r="B55" s="4" t="s">
        <v>29</v>
      </c>
      <c r="C55" s="22" t="s">
        <v>48</v>
      </c>
      <c r="D55" s="26">
        <f>0.022*(D60^0.85)*EXP(0.06*D59)</f>
        <v>6.071384178148566E-08</v>
      </c>
      <c r="E55" s="26">
        <f>0.022*(E60^0.85)*EXP(0.06*D59)</f>
        <v>2.1542083975880016E-05</v>
      </c>
      <c r="F55" s="26">
        <f>F56*F53*1</f>
        <v>9.424955016136492E-05</v>
      </c>
      <c r="G55" s="26">
        <f>0.022*(G60^0.85)*EXP(0.06*D59)</f>
        <v>0.0010796617474437688</v>
      </c>
      <c r="H55" s="26">
        <f>0.022*(H60^0.85)*EXP(0.06*D59)</f>
        <v>0.007643419826636276</v>
      </c>
      <c r="I55" s="27">
        <f>0.022*(I60^0.85)*EXP(0.06*D59)</f>
        <v>0.05411126844545289</v>
      </c>
      <c r="J55" s="5" t="s">
        <v>2</v>
      </c>
    </row>
    <row r="56" spans="1:10" ht="15.75">
      <c r="A56" s="1"/>
      <c r="B56" s="4" t="s">
        <v>76</v>
      </c>
      <c r="C56" s="22" t="s">
        <v>48</v>
      </c>
      <c r="D56" s="22" t="s">
        <v>48</v>
      </c>
      <c r="E56" s="22" t="s">
        <v>48</v>
      </c>
      <c r="F56" s="47">
        <f>1400*(F60^0.65)/F52</f>
        <v>3.1416516720454974</v>
      </c>
      <c r="G56" s="22" t="s">
        <v>48</v>
      </c>
      <c r="H56" s="22" t="s">
        <v>48</v>
      </c>
      <c r="I56" s="23" t="s">
        <v>48</v>
      </c>
      <c r="J56" s="5"/>
    </row>
    <row r="57" spans="1:10" ht="15.75">
      <c r="A57" s="1"/>
      <c r="B57" s="4" t="s">
        <v>52</v>
      </c>
      <c r="C57" s="22">
        <v>0</v>
      </c>
      <c r="D57" s="26">
        <f>D54*D55/D60</f>
        <v>0.30356916337205386</v>
      </c>
      <c r="E57" s="26">
        <f>D54*E55/E60</f>
        <v>0.10771040372283953</v>
      </c>
      <c r="F57" s="26">
        <f>D54*F55/F60</f>
        <v>0.04712476801196726</v>
      </c>
      <c r="G57" s="26">
        <f>D54*G55/G60</f>
        <v>0.05398307927472656</v>
      </c>
      <c r="H57" s="26">
        <f>D54*H55/H60</f>
        <v>0.03821709340061737</v>
      </c>
      <c r="I57" s="27">
        <f>D54*I55/I60</f>
        <v>0.027055630164381922</v>
      </c>
      <c r="J57" s="5" t="s">
        <v>2</v>
      </c>
    </row>
    <row r="58" spans="1:10" ht="15.75">
      <c r="A58" s="1"/>
      <c r="B58" s="4" t="s">
        <v>20</v>
      </c>
      <c r="C58" s="413">
        <f>'Chemical Specific Inputs'!$C$6</f>
        <v>1</v>
      </c>
      <c r="D58" s="407"/>
      <c r="E58" s="407"/>
      <c r="F58" s="407"/>
      <c r="G58" s="407"/>
      <c r="H58" s="407"/>
      <c r="I58" s="408"/>
      <c r="J58" s="5"/>
    </row>
    <row r="59" spans="1:10" ht="12.75">
      <c r="A59" s="1"/>
      <c r="B59" s="4" t="s">
        <v>7</v>
      </c>
      <c r="C59" s="22" t="s">
        <v>48</v>
      </c>
      <c r="D59" s="406">
        <f>'Ecosystem Inputs'!$C$7</f>
        <v>15</v>
      </c>
      <c r="E59" s="407"/>
      <c r="F59" s="407"/>
      <c r="G59" s="407"/>
      <c r="H59" s="407"/>
      <c r="I59" s="408"/>
      <c r="J59" s="1"/>
    </row>
    <row r="60" spans="1:10" ht="15.75">
      <c r="A60" s="1"/>
      <c r="B60" s="4" t="s">
        <v>22</v>
      </c>
      <c r="C60" s="22" t="s">
        <v>48</v>
      </c>
      <c r="D60" s="28">
        <f>'Ecosystem Inputs'!$C$16</f>
        <v>1E-07</v>
      </c>
      <c r="E60" s="28">
        <f>'Ecosystem Inputs'!$C$17</f>
        <v>0.0001</v>
      </c>
      <c r="F60" s="28">
        <f>'Ecosystem Inputs'!$C$18</f>
        <v>0.001</v>
      </c>
      <c r="G60" s="28">
        <f>'Ecosystem Inputs'!$C$19</f>
        <v>0.01</v>
      </c>
      <c r="H60" s="28">
        <f>'Ecosystem Inputs'!$C$20</f>
        <v>0.1</v>
      </c>
      <c r="I60" s="31">
        <f>'Ecosystem Inputs'!$C$21</f>
        <v>1</v>
      </c>
      <c r="J60" s="1"/>
    </row>
    <row r="61" spans="1:10" ht="12.75">
      <c r="A61" s="1"/>
      <c r="B61" s="405" t="s">
        <v>247</v>
      </c>
      <c r="C61" s="399"/>
      <c r="D61" s="399"/>
      <c r="E61" s="399"/>
      <c r="F61" s="399"/>
      <c r="G61" s="399"/>
      <c r="H61" s="399"/>
      <c r="I61" s="400"/>
      <c r="J61" s="1"/>
    </row>
    <row r="62" spans="1:10" ht="16.5">
      <c r="A62" s="1"/>
      <c r="B62" s="12" t="s">
        <v>21</v>
      </c>
      <c r="C62" s="29" t="s">
        <v>48</v>
      </c>
      <c r="D62" s="29" t="s">
        <v>48</v>
      </c>
      <c r="E62" s="29" t="s">
        <v>48</v>
      </c>
      <c r="F62" s="20">
        <f>'Ecosystem Inputs'!C6</f>
        <v>5</v>
      </c>
      <c r="G62" s="29" t="s">
        <v>48</v>
      </c>
      <c r="H62" s="29" t="s">
        <v>48</v>
      </c>
      <c r="I62" s="30" t="s">
        <v>48</v>
      </c>
      <c r="J62" s="13" t="s">
        <v>2</v>
      </c>
    </row>
    <row r="63" spans="1:10" ht="16.5">
      <c r="A63" s="1"/>
      <c r="B63" s="104" t="s">
        <v>77</v>
      </c>
      <c r="C63" s="105" t="s">
        <v>48</v>
      </c>
      <c r="D63" s="105" t="s">
        <v>48</v>
      </c>
      <c r="E63" s="105" t="s">
        <v>48</v>
      </c>
      <c r="F63" s="106">
        <f>'Ecosystem Inputs'!$C$8</f>
        <v>3E-05</v>
      </c>
      <c r="G63" s="105" t="s">
        <v>48</v>
      </c>
      <c r="H63" s="105" t="s">
        <v>48</v>
      </c>
      <c r="I63" s="107" t="s">
        <v>48</v>
      </c>
      <c r="J63" s="13"/>
    </row>
    <row r="64" spans="1:10" ht="16.5">
      <c r="A64" s="1"/>
      <c r="B64" s="4" t="s">
        <v>28</v>
      </c>
      <c r="C64" s="28" t="s">
        <v>48</v>
      </c>
      <c r="D64" s="412">
        <f>1/((0.0000003)*D70+2)</f>
        <v>0.4999999250000113</v>
      </c>
      <c r="E64" s="407"/>
      <c r="F64" s="407"/>
      <c r="G64" s="407"/>
      <c r="H64" s="407"/>
      <c r="I64" s="408"/>
      <c r="J64" s="13"/>
    </row>
    <row r="65" spans="1:10" ht="15.75">
      <c r="A65" s="1"/>
      <c r="B65" s="4" t="s">
        <v>29</v>
      </c>
      <c r="C65" s="28" t="s">
        <v>48</v>
      </c>
      <c r="D65" s="24">
        <f>0.022*(D81^0.85)*EXP(0.06*D71)</f>
        <v>6.071384178148566E-08</v>
      </c>
      <c r="E65" s="24">
        <f>0.022*(E81^0.85)*EXP(0.06*D71)</f>
        <v>2.1542083975880016E-05</v>
      </c>
      <c r="F65" s="48">
        <f>F67*F63*1</f>
        <v>9.424955016136492E-05</v>
      </c>
      <c r="G65" s="24">
        <f>0.022*(G81^0.85)*EXP(0.06*D71)</f>
        <v>0.0010796617474437688</v>
      </c>
      <c r="H65" s="24">
        <f>0.022*(H81^0.85)*EXP(0.06*D71)</f>
        <v>0.007643419826636276</v>
      </c>
      <c r="I65" s="25">
        <f>0.022*(I81^0.85)*EXP(0.06*D71)</f>
        <v>0.05411126844545289</v>
      </c>
      <c r="J65" s="2" t="s">
        <v>2</v>
      </c>
    </row>
    <row r="66" spans="1:10" ht="15.75">
      <c r="A66" s="1"/>
      <c r="B66" s="4" t="s">
        <v>30</v>
      </c>
      <c r="C66" s="28" t="s">
        <v>48</v>
      </c>
      <c r="D66" s="34">
        <f aca="true" t="shared" si="4" ref="D66:I66">((1-D83)*D73+(1-D84)*D76+(1-D85)*D79)*D65</f>
        <v>4.2681830772384427E-08</v>
      </c>
      <c r="E66" s="34">
        <f t="shared" si="4"/>
        <v>1.5121465846868979E-05</v>
      </c>
      <c r="F66" s="34">
        <f t="shared" si="4"/>
        <v>6.615847173577012E-05</v>
      </c>
      <c r="G66" s="34">
        <f t="shared" si="4"/>
        <v>0.0007256946435443292</v>
      </c>
      <c r="H66" s="34">
        <f t="shared" si="4"/>
        <v>0.004964783348391593</v>
      </c>
      <c r="I66" s="35">
        <f t="shared" si="4"/>
        <v>0.034777312229892575</v>
      </c>
      <c r="J66" s="3" t="s">
        <v>2</v>
      </c>
    </row>
    <row r="67" spans="1:10" ht="15.75">
      <c r="A67" s="1"/>
      <c r="B67" s="4" t="s">
        <v>76</v>
      </c>
      <c r="C67" s="28" t="s">
        <v>48</v>
      </c>
      <c r="D67" s="28" t="s">
        <v>48</v>
      </c>
      <c r="E67" s="28" t="s">
        <v>48</v>
      </c>
      <c r="F67" s="24">
        <f>1400*(F81^0.65)/F62</f>
        <v>3.1416516720454974</v>
      </c>
      <c r="G67" s="24" t="s">
        <v>48</v>
      </c>
      <c r="H67" s="24" t="s">
        <v>48</v>
      </c>
      <c r="I67" s="25" t="s">
        <v>48</v>
      </c>
      <c r="J67" s="2" t="s">
        <v>2</v>
      </c>
    </row>
    <row r="68" spans="1:10" ht="15.75">
      <c r="A68" s="1"/>
      <c r="B68" s="4" t="s">
        <v>18</v>
      </c>
      <c r="C68" s="28">
        <v>0</v>
      </c>
      <c r="D68" s="24">
        <f>D66*D64*D69/D81</f>
        <v>0.23393708529190632</v>
      </c>
      <c r="E68" s="24">
        <f>E66*D64*E69/E81</f>
        <v>0.09222913545539058</v>
      </c>
      <c r="F68" s="24">
        <f>F66*D64*F69/F81</f>
        <v>0.036789515091741595</v>
      </c>
      <c r="G68" s="24">
        <f>G66*D64*G69/G81</f>
        <v>0.04221649561789103</v>
      </c>
      <c r="H68" s="24">
        <f>H66*D64*H69/H81</f>
        <v>0.02773410121044995</v>
      </c>
      <c r="I68" s="25">
        <f>I66*D64*I69/I81</f>
        <v>0.019261814357244948</v>
      </c>
      <c r="J68" s="5"/>
    </row>
    <row r="69" spans="1:10" ht="15.75">
      <c r="A69" s="1"/>
      <c r="B69" s="4" t="s">
        <v>261</v>
      </c>
      <c r="C69" s="28" t="s">
        <v>48</v>
      </c>
      <c r="D69" s="24">
        <f>(D74*D70+D77*D82*D70+D80)/(D72*D70+D75*D82*D70+D78)</f>
        <v>1.0961906560663688</v>
      </c>
      <c r="E69" s="24">
        <f>(E74*D70+E77*E82*D70+E80)/(E72*D70+E75*E82*D70+E78)</f>
        <v>1.2198440313094074</v>
      </c>
      <c r="F69" s="24">
        <f>(F74*D70+F77*F82*D70+F80)/(F72*D70+F75*F82*D70+F78)</f>
        <v>1.112163556531423</v>
      </c>
      <c r="G69" s="24">
        <f>(G74*D70+G77*G82*D70+G80)/(G72*D70+G75*G82*D70+G78)</f>
        <v>1.1634783948294793</v>
      </c>
      <c r="H69" s="24">
        <f>(H74*D70+H77*H82*D70+H80)/(H72*D70+H75*H82*D70+H78)</f>
        <v>1.1172332577029755</v>
      </c>
      <c r="I69" s="25">
        <f>(I74*D70+I77*I82*D70+I80)/(I72*D70+I75*I82*D70+I78)</f>
        <v>1.1077231684374247</v>
      </c>
      <c r="J69" s="5"/>
    </row>
    <row r="70" spans="1:10" ht="15.75">
      <c r="A70" s="1"/>
      <c r="B70" s="4" t="s">
        <v>20</v>
      </c>
      <c r="C70" s="28" t="s">
        <v>48</v>
      </c>
      <c r="D70" s="413">
        <f>'Chemical Specific Inputs'!$C$6</f>
        <v>1</v>
      </c>
      <c r="E70" s="407"/>
      <c r="F70" s="407"/>
      <c r="G70" s="407"/>
      <c r="H70" s="407"/>
      <c r="I70" s="408"/>
      <c r="J70" s="5"/>
    </row>
    <row r="71" spans="1:10" ht="12.75">
      <c r="A71" s="1"/>
      <c r="B71" s="268" t="s">
        <v>7</v>
      </c>
      <c r="C71" s="269" t="s">
        <v>48</v>
      </c>
      <c r="D71" s="409">
        <f>'Ecosystem Inputs'!$C$7</f>
        <v>15</v>
      </c>
      <c r="E71" s="410"/>
      <c r="F71" s="410"/>
      <c r="G71" s="410"/>
      <c r="H71" s="410"/>
      <c r="I71" s="411"/>
      <c r="J71" s="5"/>
    </row>
    <row r="72" spans="1:10" ht="15.75">
      <c r="A72" s="1"/>
      <c r="B72" s="268" t="s">
        <v>25</v>
      </c>
      <c r="C72" s="269" t="s">
        <v>48</v>
      </c>
      <c r="D72" s="269">
        <f>'Ecosystem Inputs'!$D$16</f>
        <v>0.03</v>
      </c>
      <c r="E72" s="269">
        <f>'Ecosystem Inputs'!$D$17</f>
        <v>0.03</v>
      </c>
      <c r="F72" s="269">
        <f>'Ecosystem Inputs'!$D$18</f>
        <v>0.02</v>
      </c>
      <c r="G72" s="269">
        <f>'Ecosystem Inputs'!$D$19</f>
        <v>0.04</v>
      </c>
      <c r="H72" s="269">
        <f>'Ecosystem Inputs'!$D$20</f>
        <v>0.04</v>
      </c>
      <c r="I72" s="270">
        <f>'Ecosystem Inputs'!$D$21</f>
        <v>0.04</v>
      </c>
      <c r="J72" s="5"/>
    </row>
    <row r="73" spans="1:10" ht="15.75">
      <c r="A73" s="1"/>
      <c r="B73" s="268" t="s">
        <v>33</v>
      </c>
      <c r="C73" s="269" t="s">
        <v>48</v>
      </c>
      <c r="D73" s="269">
        <f>SUMPRODUCT('Ecosystem Inputs'!C28:C29,'Ecosystem Inputs'!D14:D15)</f>
        <v>0.02</v>
      </c>
      <c r="E73" s="271">
        <f>SUMPRODUCT('Ecosystem Inputs'!D28:D30,'Ecosystem Inputs'!D14:D16)</f>
        <v>0.0165</v>
      </c>
      <c r="F73" s="269">
        <f>SUMPRODUCT('Ecosystem Inputs'!E28:E31,'Ecosystem Inputs'!D14:D17)</f>
        <v>0.0165</v>
      </c>
      <c r="G73" s="269">
        <f>SUMPRODUCT('Ecosystem Inputs'!F28:F32,'Ecosystem Inputs'!D14:D18)</f>
        <v>0.03</v>
      </c>
      <c r="H73" s="269">
        <f>SUMPRODUCT('Ecosystem Inputs'!G28:G33,'Ecosystem Inputs'!D14:D19)</f>
        <v>0.035</v>
      </c>
      <c r="I73" s="270">
        <f>SUMPRODUCT('Ecosystem Inputs'!H28:H34,'Ecosystem Inputs'!D14:D20)</f>
        <v>0.04</v>
      </c>
      <c r="J73" s="5"/>
    </row>
    <row r="74" spans="1:10" ht="15.75">
      <c r="A74" s="1"/>
      <c r="B74" s="268" t="s">
        <v>36</v>
      </c>
      <c r="C74" s="269" t="s">
        <v>48</v>
      </c>
      <c r="D74" s="272">
        <f aca="true" t="shared" si="5" ref="D74:I74">(1-D83)*D73*D65/D66</f>
        <v>0.007965860597439544</v>
      </c>
      <c r="E74" s="272">
        <f t="shared" si="5"/>
        <v>0.005876486929268466</v>
      </c>
      <c r="F74" s="272">
        <f t="shared" si="5"/>
        <v>0.005876486929268466</v>
      </c>
      <c r="G74" s="272">
        <f t="shared" si="5"/>
        <v>0.0035706315554563696</v>
      </c>
      <c r="H74" s="272">
        <f t="shared" si="5"/>
        <v>0.0043106766222769585</v>
      </c>
      <c r="I74" s="273">
        <f t="shared" si="5"/>
        <v>0.004978994865411542</v>
      </c>
      <c r="J74" s="5"/>
    </row>
    <row r="75" spans="1:10" ht="15.75">
      <c r="A75" s="1"/>
      <c r="B75" s="268" t="s">
        <v>26</v>
      </c>
      <c r="C75" s="269" t="s">
        <v>48</v>
      </c>
      <c r="D75" s="269">
        <f>'Ecosystem Inputs'!$E$16</f>
        <v>0.12</v>
      </c>
      <c r="E75" s="269">
        <f>'Ecosystem Inputs'!$E$17</f>
        <v>0.21</v>
      </c>
      <c r="F75" s="269">
        <f>'Ecosystem Inputs'!$E$18</f>
        <v>0.13</v>
      </c>
      <c r="G75" s="269">
        <f>'Ecosystem Inputs'!$E$19</f>
        <v>0.23</v>
      </c>
      <c r="H75" s="269">
        <f>'Ecosystem Inputs'!$E$20</f>
        <v>0.23</v>
      </c>
      <c r="I75" s="270">
        <f>'Ecosystem Inputs'!$E$21</f>
        <v>0.23</v>
      </c>
      <c r="J75" s="5"/>
    </row>
    <row r="76" spans="1:10" ht="15.75">
      <c r="A76" s="1"/>
      <c r="B76" s="274" t="s">
        <v>34</v>
      </c>
      <c r="C76" s="269" t="s">
        <v>48</v>
      </c>
      <c r="D76" s="269">
        <f>SUMPRODUCT('Ecosystem Inputs'!C28:C29,'Ecosystem Inputs'!E14:E15)</f>
        <v>0.08</v>
      </c>
      <c r="E76" s="269">
        <f>SUMPRODUCT('Ecosystem Inputs'!D28:D30,'Ecosystem Inputs'!E14:E16)</f>
        <v>0.0796</v>
      </c>
      <c r="F76" s="269">
        <f>SUMPRODUCT('Ecosystem Inputs'!E28:E31,'Ecosystem Inputs'!E14:E17)</f>
        <v>0.0796</v>
      </c>
      <c r="G76" s="269">
        <f>SUMPRODUCT('Ecosystem Inputs'!F28:F32,'Ecosystem Inputs'!E14:E18)</f>
        <v>0.16499999999999998</v>
      </c>
      <c r="H76" s="269">
        <f>SUMPRODUCT('Ecosystem Inputs'!G28:G33,'Ecosystem Inputs'!E14:E19)</f>
        <v>0.22</v>
      </c>
      <c r="I76" s="270">
        <f>SUMPRODUCT('Ecosystem Inputs'!H28:H34,'Ecosystem Inputs'!E14:E20)</f>
        <v>0.23</v>
      </c>
      <c r="J76" s="5" t="s">
        <v>2</v>
      </c>
    </row>
    <row r="77" spans="1:10" ht="15.75">
      <c r="A77" s="1"/>
      <c r="B77" s="268" t="s">
        <v>37</v>
      </c>
      <c r="C77" s="269" t="s">
        <v>48</v>
      </c>
      <c r="D77" s="271">
        <f aca="true" t="shared" si="6" ref="D77:I77">(1-D84)*D76*D65/D66</f>
        <v>0.031863442389758176</v>
      </c>
      <c r="E77" s="271">
        <f t="shared" si="6"/>
        <v>0.028349597549683025</v>
      </c>
      <c r="F77" s="271">
        <f t="shared" si="6"/>
        <v>0.028349597549683025</v>
      </c>
      <c r="G77" s="271">
        <f t="shared" si="6"/>
        <v>0.09819236777505021</v>
      </c>
      <c r="H77" s="271">
        <f t="shared" si="6"/>
        <v>0.13547840812870451</v>
      </c>
      <c r="I77" s="275">
        <f t="shared" si="6"/>
        <v>0.14314610238058192</v>
      </c>
      <c r="J77" s="5"/>
    </row>
    <row r="78" spans="1:10" ht="15.75">
      <c r="A78" s="1"/>
      <c r="B78" s="268" t="s">
        <v>27</v>
      </c>
      <c r="C78" s="269" t="s">
        <v>48</v>
      </c>
      <c r="D78" s="269">
        <f>'Ecosystem Inputs'!$F$16</f>
        <v>0.85</v>
      </c>
      <c r="E78" s="269">
        <f>'Ecosystem Inputs'!$F$17</f>
        <v>0.76</v>
      </c>
      <c r="F78" s="269">
        <f>'Ecosystem Inputs'!$F$18</f>
        <v>0.85</v>
      </c>
      <c r="G78" s="269">
        <f>'Ecosystem Inputs'!$F$19</f>
        <v>0.73</v>
      </c>
      <c r="H78" s="269">
        <f>'Ecosystem Inputs'!$F$20</f>
        <v>0.73</v>
      </c>
      <c r="I78" s="270">
        <f>'Ecosystem Inputs'!$F$21</f>
        <v>0.73</v>
      </c>
      <c r="J78" s="5"/>
    </row>
    <row r="79" spans="1:10" ht="15.75">
      <c r="A79" s="1"/>
      <c r="B79" s="268" t="s">
        <v>35</v>
      </c>
      <c r="C79" s="269" t="s">
        <v>48</v>
      </c>
      <c r="D79" s="269">
        <f>SUMPRODUCT('Ecosystem Inputs'!C28:C29,'Ecosystem Inputs'!F14:F15)</f>
        <v>0.9</v>
      </c>
      <c r="E79" s="269">
        <f>SUMPRODUCT('Ecosystem Inputs'!D28:D30,'Ecosystem Inputs'!F14:F16)</f>
        <v>0.9039000000000001</v>
      </c>
      <c r="F79" s="269">
        <f>SUMPRODUCT('Ecosystem Inputs'!E28:E31,'Ecosystem Inputs'!F14:F17)</f>
        <v>0.9039000000000001</v>
      </c>
      <c r="G79" s="269">
        <f>SUMPRODUCT('Ecosystem Inputs'!F28:F32,'Ecosystem Inputs'!F14:F18)</f>
        <v>0.8049999999999999</v>
      </c>
      <c r="H79" s="269">
        <f>SUMPRODUCT('Ecosystem Inputs'!G28:G33,'Ecosystem Inputs'!F14:F19)</f>
        <v>0.745</v>
      </c>
      <c r="I79" s="270">
        <f>SUMPRODUCT('Ecosystem Inputs'!H28:H34,'Ecosystem Inputs'!F14:F20)</f>
        <v>0.73</v>
      </c>
      <c r="J79" s="5" t="s">
        <v>2</v>
      </c>
    </row>
    <row r="80" spans="1:10" ht="15.75">
      <c r="A80" s="1"/>
      <c r="B80" s="268" t="s">
        <v>38</v>
      </c>
      <c r="C80" s="269" t="s">
        <v>48</v>
      </c>
      <c r="D80" s="276">
        <f aca="true" t="shared" si="7" ref="D80:I80">(1-D85)*D79*D65/D66</f>
        <v>0.9601706970128021</v>
      </c>
      <c r="E80" s="276">
        <f t="shared" si="7"/>
        <v>0.9657739155210486</v>
      </c>
      <c r="F80" s="276">
        <f t="shared" si="7"/>
        <v>0.9657739155210485</v>
      </c>
      <c r="G80" s="276">
        <f t="shared" si="7"/>
        <v>0.8982370006694934</v>
      </c>
      <c r="H80" s="276">
        <f t="shared" si="7"/>
        <v>0.8602109152490185</v>
      </c>
      <c r="I80" s="277">
        <f t="shared" si="7"/>
        <v>0.8518749027540065</v>
      </c>
      <c r="J80" s="5"/>
    </row>
    <row r="81" spans="1:10" ht="15.75">
      <c r="A81" s="1"/>
      <c r="B81" s="4" t="s">
        <v>22</v>
      </c>
      <c r="C81" s="28" t="s">
        <v>48</v>
      </c>
      <c r="D81" s="28">
        <f>'Ecosystem Inputs'!$C$16</f>
        <v>1E-07</v>
      </c>
      <c r="E81" s="28">
        <f>'Ecosystem Inputs'!$C$17</f>
        <v>0.0001</v>
      </c>
      <c r="F81" s="28">
        <f>'Ecosystem Inputs'!$C$18</f>
        <v>0.001</v>
      </c>
      <c r="G81" s="28">
        <f>'Ecosystem Inputs'!$C$19</f>
        <v>0.01</v>
      </c>
      <c r="H81" s="28">
        <f>'Ecosystem Inputs'!$C$20</f>
        <v>0.1</v>
      </c>
      <c r="I81" s="31">
        <f>'Ecosystem Inputs'!$C$21</f>
        <v>1</v>
      </c>
      <c r="J81" s="5"/>
    </row>
    <row r="82" spans="1:10" ht="12.75">
      <c r="A82" s="1"/>
      <c r="B82" s="4" t="s">
        <v>6</v>
      </c>
      <c r="C82" s="28" t="s">
        <v>48</v>
      </c>
      <c r="D82" s="28">
        <v>0.035</v>
      </c>
      <c r="E82" s="28">
        <v>0.035</v>
      </c>
      <c r="F82" s="28">
        <v>0.035</v>
      </c>
      <c r="G82" s="28">
        <v>0.035</v>
      </c>
      <c r="H82" s="28">
        <v>0.035</v>
      </c>
      <c r="I82" s="31">
        <v>0.035</v>
      </c>
      <c r="J82" s="2" t="s">
        <v>2</v>
      </c>
    </row>
    <row r="83" spans="1:10" ht="15.75">
      <c r="A83" s="1"/>
      <c r="B83" s="4" t="s">
        <v>31</v>
      </c>
      <c r="C83" s="28" t="s">
        <v>48</v>
      </c>
      <c r="D83" s="144">
        <v>0.72</v>
      </c>
      <c r="E83" s="144">
        <v>0.75</v>
      </c>
      <c r="F83" s="144">
        <v>0.75</v>
      </c>
      <c r="G83" s="144">
        <v>0.92</v>
      </c>
      <c r="H83" s="144">
        <v>0.92</v>
      </c>
      <c r="I83" s="145">
        <v>0.92</v>
      </c>
      <c r="J83" s="1" t="s">
        <v>2</v>
      </c>
    </row>
    <row r="84" spans="1:10" ht="15.75">
      <c r="A84" s="1"/>
      <c r="B84" s="4" t="s">
        <v>32</v>
      </c>
      <c r="C84" s="28" t="s">
        <v>48</v>
      </c>
      <c r="D84" s="144">
        <v>0.72</v>
      </c>
      <c r="E84" s="144">
        <v>0.75</v>
      </c>
      <c r="F84" s="144">
        <v>0.75</v>
      </c>
      <c r="G84" s="144">
        <v>0.6</v>
      </c>
      <c r="H84" s="144">
        <v>0.6</v>
      </c>
      <c r="I84" s="145">
        <v>0.6</v>
      </c>
      <c r="J84" s="1" t="s">
        <v>2</v>
      </c>
    </row>
    <row r="85" spans="1:10" ht="15.75">
      <c r="A85" s="1"/>
      <c r="B85" s="262" t="s">
        <v>156</v>
      </c>
      <c r="C85" s="232" t="s">
        <v>48</v>
      </c>
      <c r="D85" s="232">
        <v>0.25</v>
      </c>
      <c r="E85" s="232">
        <v>0.25</v>
      </c>
      <c r="F85" s="232">
        <v>0.25</v>
      </c>
      <c r="G85" s="232">
        <v>0.25</v>
      </c>
      <c r="H85" s="232">
        <v>0.25</v>
      </c>
      <c r="I85" s="233">
        <v>0.25</v>
      </c>
      <c r="J85" s="1" t="s">
        <v>2</v>
      </c>
    </row>
    <row r="86" spans="1:10" ht="12.75">
      <c r="A86" s="1"/>
      <c r="B86" s="405" t="s">
        <v>155</v>
      </c>
      <c r="C86" s="399"/>
      <c r="D86" s="399"/>
      <c r="E86" s="399"/>
      <c r="F86" s="399"/>
      <c r="G86" s="399"/>
      <c r="H86" s="399"/>
      <c r="I86" s="400"/>
      <c r="J86" s="1"/>
    </row>
    <row r="87" spans="1:10" ht="16.5" thickBot="1">
      <c r="A87" s="1"/>
      <c r="B87" s="263" t="s">
        <v>157</v>
      </c>
      <c r="C87" s="234">
        <f>(C10*(C16*$C$19*$C$9+C17*$C$8))/C11</f>
        <v>0</v>
      </c>
      <c r="D87" s="234">
        <f aca="true" t="shared" si="8" ref="D87:I87">(D10*(D16*$C$19*$C$9+D17*$C$8))/D11</f>
        <v>0</v>
      </c>
      <c r="E87" s="234">
        <f t="shared" si="8"/>
        <v>0</v>
      </c>
      <c r="F87" s="234">
        <f t="shared" si="8"/>
        <v>0</v>
      </c>
      <c r="G87" s="234">
        <f t="shared" si="8"/>
        <v>0</v>
      </c>
      <c r="H87" s="234">
        <f t="shared" si="8"/>
        <v>0</v>
      </c>
      <c r="I87" s="235">
        <f t="shared" si="8"/>
        <v>0</v>
      </c>
      <c r="J87" s="1"/>
    </row>
    <row r="88" spans="1:10" ht="13.5" thickTop="1">
      <c r="A88" s="1"/>
      <c r="B88" s="1"/>
      <c r="C88" s="1"/>
      <c r="D88" s="1"/>
      <c r="E88" s="1"/>
      <c r="F88" s="1"/>
      <c r="G88" s="1"/>
      <c r="H88" s="1"/>
      <c r="I88" s="1"/>
      <c r="J88" s="1"/>
    </row>
    <row r="89" spans="1:10" ht="12.75">
      <c r="A89" s="1"/>
      <c r="B89" s="1" t="s">
        <v>248</v>
      </c>
      <c r="C89" s="1"/>
      <c r="D89" s="1"/>
      <c r="E89" s="1"/>
      <c r="F89" s="1"/>
      <c r="G89" s="1"/>
      <c r="H89" s="1"/>
      <c r="I89" s="1"/>
      <c r="J89" s="1"/>
    </row>
    <row r="90" spans="1:10" ht="12.75">
      <c r="A90" s="1"/>
      <c r="B90" s="1"/>
      <c r="C90" s="1"/>
      <c r="D90" s="1"/>
      <c r="E90" s="1"/>
      <c r="F90" s="1"/>
      <c r="G90" s="1"/>
      <c r="H90" s="1"/>
      <c r="I90" s="1"/>
      <c r="J90" s="1"/>
    </row>
  </sheetData>
  <sheetProtection password="CA7F" sheet="1" formatCells="0"/>
  <mergeCells count="35">
    <mergeCell ref="C49:I49"/>
    <mergeCell ref="D46:I46"/>
    <mergeCell ref="C23:I23"/>
    <mergeCell ref="B47:I47"/>
    <mergeCell ref="B31:I31"/>
    <mergeCell ref="C28:I28"/>
    <mergeCell ref="C29:I29"/>
    <mergeCell ref="D33:I33"/>
    <mergeCell ref="C30:I30"/>
    <mergeCell ref="C22:I22"/>
    <mergeCell ref="C42:I42"/>
    <mergeCell ref="C36:I36"/>
    <mergeCell ref="D32:I32"/>
    <mergeCell ref="C27:I27"/>
    <mergeCell ref="C24:I24"/>
    <mergeCell ref="B25:I25"/>
    <mergeCell ref="B38:I38"/>
    <mergeCell ref="C26:I26"/>
    <mergeCell ref="B1:I1"/>
    <mergeCell ref="B3:I3"/>
    <mergeCell ref="B20:I20"/>
    <mergeCell ref="C21:I21"/>
    <mergeCell ref="C7:I7"/>
    <mergeCell ref="C8:I8"/>
    <mergeCell ref="C9:I9"/>
    <mergeCell ref="C19:I19"/>
    <mergeCell ref="B51:I51"/>
    <mergeCell ref="B61:I61"/>
    <mergeCell ref="D54:I54"/>
    <mergeCell ref="B86:I86"/>
    <mergeCell ref="D71:I71"/>
    <mergeCell ref="D64:I64"/>
    <mergeCell ref="D70:I70"/>
    <mergeCell ref="C58:I58"/>
    <mergeCell ref="D59:I59"/>
  </mergeCells>
  <printOptions/>
  <pageMargins left="0.5" right="0.5" top="0.75" bottom="0.75" header="0.5" footer="0.5"/>
  <pageSetup horizontalDpi="600" verticalDpi="600" orientation="portrait" r:id="rId1"/>
  <headerFooter alignWithMargins="0">
    <oddFooter>&amp;CKABAM - Parameters &amp; Calculations, Page &amp;P of &amp;N</oddFooter>
  </headerFooter>
  <rowBreaks count="2" manualBreakCount="2">
    <brk id="37" max="255" man="1"/>
    <brk id="60" max="255" man="1"/>
  </rowBreaks>
  <colBreaks count="2" manualBreakCount="2">
    <brk id="9" max="65535" man="1"/>
    <brk id="10" max="65535" man="1"/>
  </colBreaks>
  <ignoredErrors>
    <ignoredError sqref="F55" formula="1"/>
    <ignoredError sqref="D76:I76 D73:I73" formulaRange="1"/>
  </ignoredErrors>
</worksheet>
</file>

<file path=xl/worksheets/sheet5.xml><?xml version="1.0" encoding="utf-8"?>
<worksheet xmlns="http://schemas.openxmlformats.org/spreadsheetml/2006/main" xmlns:r="http://schemas.openxmlformats.org/officeDocument/2006/relationships">
  <dimension ref="A1:N111"/>
  <sheetViews>
    <sheetView zoomScalePageLayoutView="0" workbookViewId="0" topLeftCell="A1">
      <selection activeCell="J4" sqref="J4"/>
    </sheetView>
  </sheetViews>
  <sheetFormatPr defaultColWidth="9.140625" defaultRowHeight="12.75"/>
  <cols>
    <col min="1" max="1" width="17.00390625" style="119" customWidth="1"/>
    <col min="2" max="2" width="11.00390625" style="119" customWidth="1"/>
    <col min="3" max="4" width="13.140625" style="119" customWidth="1"/>
    <col min="5" max="5" width="12.28125" style="119" customWidth="1"/>
    <col min="6" max="6" width="12.140625" style="119" customWidth="1"/>
    <col min="7" max="7" width="10.7109375" style="119" customWidth="1"/>
    <col min="8" max="8" width="3.28125" style="119" customWidth="1"/>
    <col min="9" max="9" width="10.140625" style="119" customWidth="1"/>
    <col min="10" max="10" width="10.57421875" style="119" customWidth="1"/>
    <col min="11" max="11" width="10.421875" style="119" customWidth="1"/>
    <col min="12" max="12" width="12.00390625" style="119" customWidth="1"/>
    <col min="13" max="14" width="11.140625" style="119" customWidth="1"/>
    <col min="15" max="16384" width="9.140625" style="119" customWidth="1"/>
  </cols>
  <sheetData>
    <row r="1" spans="1:9" ht="27" customHeight="1" thickTop="1">
      <c r="A1" s="359" t="str">
        <f>CONCATENATE("Table 11. Estimated concentrations of ",'Chemical Specific Inputs'!C4," in ecosystem components.")</f>
        <v>Table 11. Estimated concentrations of  in ecosystem components.</v>
      </c>
      <c r="B1" s="360"/>
      <c r="C1" s="360"/>
      <c r="D1" s="360"/>
      <c r="E1" s="360"/>
      <c r="F1" s="490"/>
      <c r="G1" s="7"/>
      <c r="H1" s="7"/>
      <c r="I1" s="123"/>
    </row>
    <row r="2" spans="1:8" ht="54.75" customHeight="1">
      <c r="A2" s="486" t="s">
        <v>59</v>
      </c>
      <c r="B2" s="487"/>
      <c r="C2" s="181" t="s">
        <v>122</v>
      </c>
      <c r="D2" s="178" t="s">
        <v>123</v>
      </c>
      <c r="E2" s="181" t="s">
        <v>258</v>
      </c>
      <c r="F2" s="182" t="s">
        <v>259</v>
      </c>
      <c r="G2" s="17"/>
      <c r="H2" s="17"/>
    </row>
    <row r="3" spans="1:8" ht="12.75">
      <c r="A3" s="488" t="s">
        <v>119</v>
      </c>
      <c r="B3" s="489"/>
      <c r="C3" s="183">
        <f>'Parameters &amp; Calculations'!C9:I9*1000000</f>
        <v>0</v>
      </c>
      <c r="D3" s="184" t="s">
        <v>48</v>
      </c>
      <c r="E3" s="184" t="s">
        <v>48</v>
      </c>
      <c r="F3" s="185" t="s">
        <v>48</v>
      </c>
      <c r="G3" s="17"/>
      <c r="H3" s="17"/>
    </row>
    <row r="4" spans="1:8" ht="12.75">
      <c r="A4" s="447" t="s">
        <v>62</v>
      </c>
      <c r="B4" s="448"/>
      <c r="C4" s="92">
        <f>('Parameters &amp; Calculations'!C9:I9*'Parameters &amp; Calculations'!C19:I19)*1000000</f>
        <v>0</v>
      </c>
      <c r="D4" s="83" t="s">
        <v>48</v>
      </c>
      <c r="E4" s="83" t="s">
        <v>48</v>
      </c>
      <c r="F4" s="179" t="s">
        <v>48</v>
      </c>
      <c r="G4" s="17"/>
      <c r="H4" s="17"/>
    </row>
    <row r="5" spans="1:8" ht="12.75">
      <c r="A5" s="447" t="s">
        <v>61</v>
      </c>
      <c r="B5" s="448"/>
      <c r="C5" s="92">
        <f>'Parameters &amp; Calculations'!C8:I8*1000000</f>
        <v>0</v>
      </c>
      <c r="D5" s="83" t="s">
        <v>48</v>
      </c>
      <c r="E5" s="83" t="s">
        <v>48</v>
      </c>
      <c r="F5" s="179" t="s">
        <v>48</v>
      </c>
      <c r="G5" s="17"/>
      <c r="H5" s="17"/>
    </row>
    <row r="6" spans="1:8" ht="12.75">
      <c r="A6" s="447" t="s">
        <v>116</v>
      </c>
      <c r="B6" s="448"/>
      <c r="C6" s="92">
        <f>'Parameters &amp; Calculations'!C7:I7*1000000</f>
        <v>0</v>
      </c>
      <c r="D6" s="83" t="s">
        <v>48</v>
      </c>
      <c r="E6" s="83" t="s">
        <v>48</v>
      </c>
      <c r="F6" s="179" t="s">
        <v>48</v>
      </c>
      <c r="G6" s="17"/>
      <c r="H6" s="17"/>
    </row>
    <row r="7" spans="1:8" ht="12.75">
      <c r="A7" s="447" t="s">
        <v>60</v>
      </c>
      <c r="B7" s="448"/>
      <c r="C7" s="92">
        <f>('Parameters &amp; Calculations'!C4)*1000000</f>
        <v>0</v>
      </c>
      <c r="D7" s="186">
        <f>C7/'Ecosystem Inputs'!D15</f>
        <v>0</v>
      </c>
      <c r="E7" s="83" t="s">
        <v>48</v>
      </c>
      <c r="F7" s="179">
        <f>('Parameters &amp; Calculations'!C6)*1000000</f>
        <v>0</v>
      </c>
      <c r="G7" s="17"/>
      <c r="H7" s="17"/>
    </row>
    <row r="8" spans="1:8" ht="12.75">
      <c r="A8" s="447" t="s">
        <v>53</v>
      </c>
      <c r="B8" s="448"/>
      <c r="C8" s="92">
        <f>('Parameters &amp; Calculations'!D4)*1000000</f>
        <v>0</v>
      </c>
      <c r="D8" s="186">
        <f>C8/'Ecosystem Inputs'!D16</f>
        <v>0</v>
      </c>
      <c r="E8" s="83">
        <f>('Parameters &amp; Calculations'!D$5)*1000000</f>
        <v>0</v>
      </c>
      <c r="F8" s="179">
        <f>('Parameters &amp; Calculations'!D$6)*1000000</f>
        <v>0</v>
      </c>
      <c r="G8" s="17"/>
      <c r="H8" s="17"/>
    </row>
    <row r="9" spans="1:8" ht="12.75">
      <c r="A9" s="447" t="s">
        <v>1</v>
      </c>
      <c r="B9" s="448"/>
      <c r="C9" s="92">
        <f>('Parameters &amp; Calculations'!E4)*1000000</f>
        <v>0</v>
      </c>
      <c r="D9" s="186">
        <f>C9/'Ecosystem Inputs'!D17</f>
        <v>0</v>
      </c>
      <c r="E9" s="83">
        <f>('Parameters &amp; Calculations'!E$5)*1000000</f>
        <v>0</v>
      </c>
      <c r="F9" s="179">
        <f>('Parameters &amp; Calculations'!E$6)*1000000</f>
        <v>0</v>
      </c>
      <c r="G9" s="17"/>
      <c r="H9" s="17"/>
    </row>
    <row r="10" spans="1:8" ht="12.75">
      <c r="A10" s="447" t="s">
        <v>75</v>
      </c>
      <c r="B10" s="448"/>
      <c r="C10" s="92">
        <f>('Parameters &amp; Calculations'!F4)*1000000</f>
        <v>0</v>
      </c>
      <c r="D10" s="186">
        <f>C10/'Ecosystem Inputs'!D18</f>
        <v>0</v>
      </c>
      <c r="E10" s="83">
        <f>('Parameters &amp; Calculations'!F$5)*1000000</f>
        <v>0</v>
      </c>
      <c r="F10" s="179">
        <f>('Parameters &amp; Calculations'!F$6)*1000000</f>
        <v>0</v>
      </c>
      <c r="G10" s="17"/>
      <c r="H10" s="17"/>
    </row>
    <row r="11" spans="1:8" ht="12.75">
      <c r="A11" s="447" t="s">
        <v>187</v>
      </c>
      <c r="B11" s="448"/>
      <c r="C11" s="92">
        <f>('Parameters &amp; Calculations'!G4)*1000000</f>
        <v>0</v>
      </c>
      <c r="D11" s="186">
        <f>C11/'Ecosystem Inputs'!D19</f>
        <v>0</v>
      </c>
      <c r="E11" s="83">
        <f>('Parameters &amp; Calculations'!G$5)*1000000</f>
        <v>0</v>
      </c>
      <c r="F11" s="179">
        <f>('Parameters &amp; Calculations'!G$6)*1000000</f>
        <v>0</v>
      </c>
      <c r="G11" s="17"/>
      <c r="H11" s="17"/>
    </row>
    <row r="12" spans="1:8" ht="12.75">
      <c r="A12" s="447" t="s">
        <v>188</v>
      </c>
      <c r="B12" s="448"/>
      <c r="C12" s="92">
        <f>('Parameters &amp; Calculations'!H4)*1000000</f>
        <v>0</v>
      </c>
      <c r="D12" s="186">
        <f>C12/'Ecosystem Inputs'!D20</f>
        <v>0</v>
      </c>
      <c r="E12" s="83">
        <f>('Parameters &amp; Calculations'!H$5)*1000000</f>
        <v>0</v>
      </c>
      <c r="F12" s="179">
        <f>('Parameters &amp; Calculations'!H$6)*1000000</f>
        <v>0</v>
      </c>
      <c r="G12" s="17"/>
      <c r="H12" s="17"/>
    </row>
    <row r="13" spans="1:8" ht="12.75">
      <c r="A13" s="484" t="s">
        <v>189</v>
      </c>
      <c r="B13" s="485"/>
      <c r="C13" s="166">
        <f>('Parameters &amp; Calculations'!I4)*1000000</f>
        <v>0</v>
      </c>
      <c r="D13" s="187">
        <f>C13/'Ecosystem Inputs'!D21</f>
        <v>0</v>
      </c>
      <c r="E13" s="89">
        <f>('Parameters &amp; Calculations'!I$5)*1000000</f>
        <v>0</v>
      </c>
      <c r="F13" s="180">
        <f>('Parameters &amp; Calculations'!I$6)*1000000</f>
        <v>0</v>
      </c>
      <c r="G13" s="17"/>
      <c r="H13" s="17"/>
    </row>
    <row r="14" spans="1:9" ht="13.5" thickBot="1">
      <c r="A14" s="491" t="s">
        <v>117</v>
      </c>
      <c r="B14" s="492"/>
      <c r="C14" s="492"/>
      <c r="D14" s="492"/>
      <c r="E14" s="492"/>
      <c r="F14" s="493"/>
      <c r="G14" s="7"/>
      <c r="H14" s="7"/>
      <c r="I14" s="123"/>
    </row>
    <row r="15" spans="1:8" ht="13.5" thickTop="1">
      <c r="A15" s="17"/>
      <c r="B15" s="17"/>
      <c r="C15" s="17"/>
      <c r="D15" s="37"/>
      <c r="E15" s="37"/>
      <c r="F15" s="37"/>
      <c r="G15" s="37"/>
      <c r="H15" s="37"/>
    </row>
    <row r="16" spans="1:8" ht="12.75">
      <c r="A16" s="37"/>
      <c r="B16" s="37"/>
      <c r="C16" s="37"/>
      <c r="D16" s="37"/>
      <c r="E16" s="37"/>
      <c r="F16" s="37"/>
      <c r="G16" s="37"/>
      <c r="H16" s="37"/>
    </row>
    <row r="17" spans="1:8" s="118" customFormat="1" ht="13.5" customHeight="1">
      <c r="A17" s="42"/>
      <c r="B17" s="42"/>
      <c r="C17" s="42"/>
      <c r="D17" s="42"/>
      <c r="E17" s="42"/>
      <c r="F17" s="42"/>
      <c r="G17" s="42"/>
      <c r="H17" s="42"/>
    </row>
    <row r="18" spans="1:8" s="118" customFormat="1" ht="12.75" customHeight="1">
      <c r="A18" s="42"/>
      <c r="B18" s="42"/>
      <c r="C18" s="42"/>
      <c r="D18" s="42"/>
      <c r="E18" s="42"/>
      <c r="F18" s="42"/>
      <c r="G18" s="42"/>
      <c r="H18" s="42"/>
    </row>
    <row r="19" spans="1:8" s="118" customFormat="1" ht="12.75">
      <c r="A19" s="42"/>
      <c r="B19" s="42"/>
      <c r="C19" s="42"/>
      <c r="D19" s="42"/>
      <c r="E19" s="42"/>
      <c r="F19" s="42"/>
      <c r="G19" s="42"/>
      <c r="H19" s="42"/>
    </row>
    <row r="20" spans="1:8" ht="12.75">
      <c r="A20" s="37"/>
      <c r="B20" s="37"/>
      <c r="C20" s="37"/>
      <c r="D20" s="37"/>
      <c r="E20" s="37"/>
      <c r="F20" s="37"/>
      <c r="G20" s="37"/>
      <c r="H20" s="37"/>
    </row>
    <row r="21" spans="1:8" ht="12.75">
      <c r="A21" s="37"/>
      <c r="B21" s="37"/>
      <c r="C21" s="37"/>
      <c r="D21" s="37"/>
      <c r="E21" s="37"/>
      <c r="F21" s="37"/>
      <c r="G21" s="37"/>
      <c r="H21" s="37"/>
    </row>
    <row r="22" spans="1:8" ht="12.75">
      <c r="A22" s="37"/>
      <c r="B22" s="37"/>
      <c r="C22" s="37"/>
      <c r="D22" s="37"/>
      <c r="E22" s="37"/>
      <c r="F22" s="37"/>
      <c r="G22" s="37"/>
      <c r="H22" s="37"/>
    </row>
    <row r="23" spans="1:8" ht="12.75">
      <c r="A23" s="37"/>
      <c r="B23" s="37"/>
      <c r="C23" s="37"/>
      <c r="D23" s="37"/>
      <c r="E23" s="37"/>
      <c r="F23" s="37"/>
      <c r="G23" s="37"/>
      <c r="H23" s="37"/>
    </row>
    <row r="24" spans="1:12" ht="12.75">
      <c r="A24" s="37"/>
      <c r="B24" s="37"/>
      <c r="C24" s="37"/>
      <c r="D24" s="37"/>
      <c r="E24" s="37"/>
      <c r="F24" s="37"/>
      <c r="G24" s="37"/>
      <c r="H24" s="37"/>
      <c r="L24" s="119" t="s">
        <v>2</v>
      </c>
    </row>
    <row r="25" spans="1:12" ht="12.75">
      <c r="A25" s="37"/>
      <c r="B25" s="37"/>
      <c r="C25" s="37"/>
      <c r="D25" s="37"/>
      <c r="E25" s="37"/>
      <c r="F25" s="37"/>
      <c r="G25" s="37"/>
      <c r="H25" s="37"/>
      <c r="L25" s="119" t="s">
        <v>2</v>
      </c>
    </row>
    <row r="26" spans="1:8" ht="12.75">
      <c r="A26" s="37"/>
      <c r="B26" s="37"/>
      <c r="C26" s="37"/>
      <c r="D26" s="37"/>
      <c r="E26" s="37"/>
      <c r="F26" s="37"/>
      <c r="G26" s="37"/>
      <c r="H26" s="37"/>
    </row>
    <row r="27" spans="1:8" ht="12.75">
      <c r="A27" s="37"/>
      <c r="B27" s="37"/>
      <c r="C27" s="37"/>
      <c r="D27" s="37"/>
      <c r="E27" s="37"/>
      <c r="F27" s="37"/>
      <c r="G27" s="37"/>
      <c r="H27" s="37"/>
    </row>
    <row r="28" spans="1:12" ht="12.75">
      <c r="A28" s="37"/>
      <c r="B28" s="37"/>
      <c r="C28" s="37"/>
      <c r="D28" s="37"/>
      <c r="E28" s="37"/>
      <c r="F28" s="37"/>
      <c r="G28" s="37"/>
      <c r="H28" s="37"/>
      <c r="L28" s="119" t="s">
        <v>2</v>
      </c>
    </row>
    <row r="29" spans="1:8" ht="12.75">
      <c r="A29" s="37"/>
      <c r="B29" s="37"/>
      <c r="C29" s="37"/>
      <c r="D29" s="37"/>
      <c r="E29" s="37"/>
      <c r="F29" s="37"/>
      <c r="G29" s="37"/>
      <c r="H29" s="37"/>
    </row>
    <row r="30" spans="1:8" ht="45" customHeight="1">
      <c r="A30" s="37"/>
      <c r="B30" s="37"/>
      <c r="C30" s="37"/>
      <c r="D30" s="37"/>
      <c r="E30" s="37"/>
      <c r="F30" s="37"/>
      <c r="G30" s="37"/>
      <c r="H30" s="37"/>
    </row>
    <row r="31" spans="1:8" ht="12.75">
      <c r="A31" s="37"/>
      <c r="B31" s="37"/>
      <c r="C31" s="37"/>
      <c r="D31" s="37"/>
      <c r="E31" s="37"/>
      <c r="F31" s="37"/>
      <c r="G31" s="37"/>
      <c r="H31" s="37"/>
    </row>
    <row r="32" spans="1:8" ht="24.75" customHeight="1">
      <c r="A32" s="37"/>
      <c r="B32" s="37"/>
      <c r="C32" s="37"/>
      <c r="D32" s="37"/>
      <c r="E32" s="37"/>
      <c r="F32" s="37"/>
      <c r="G32" s="37"/>
      <c r="H32" s="37"/>
    </row>
    <row r="33" spans="1:8" ht="24.75" customHeight="1">
      <c r="A33" s="37"/>
      <c r="B33" s="37"/>
      <c r="C33" s="37"/>
      <c r="D33" s="37"/>
      <c r="E33" s="37"/>
      <c r="F33" s="37"/>
      <c r="G33" s="37"/>
      <c r="H33" s="37"/>
    </row>
    <row r="34" spans="1:8" ht="30" customHeight="1">
      <c r="A34" s="37"/>
      <c r="B34" s="37"/>
      <c r="C34" s="37"/>
      <c r="D34" s="37"/>
      <c r="E34" s="37"/>
      <c r="F34" s="37"/>
      <c r="G34" s="37"/>
      <c r="H34" s="37"/>
    </row>
    <row r="35" spans="1:8" ht="12.75" customHeight="1" thickBot="1">
      <c r="A35" s="37"/>
      <c r="B35" s="37"/>
      <c r="C35" s="37"/>
      <c r="D35" s="37"/>
      <c r="E35" s="37"/>
      <c r="F35" s="37"/>
      <c r="G35" s="37"/>
      <c r="H35" s="37"/>
    </row>
    <row r="36" spans="1:8" ht="34.5" customHeight="1" thickTop="1">
      <c r="A36" s="359" t="str">
        <f>CONCATENATE("Table 12. Total BCFand BAF values of ",'Chemical Specific Inputs'!C4," in aquatic trophic levels.")</f>
        <v>Table 12. Total BCFand BAF values of  in aquatic trophic levels.</v>
      </c>
      <c r="B36" s="494"/>
      <c r="C36" s="494"/>
      <c r="D36" s="494"/>
      <c r="E36" s="192"/>
      <c r="F36" s="7"/>
      <c r="G36" s="7"/>
      <c r="H36" s="7"/>
    </row>
    <row r="37" spans="1:8" ht="54.75" customHeight="1">
      <c r="A37" s="481" t="s">
        <v>208</v>
      </c>
      <c r="B37" s="482"/>
      <c r="C37" s="134" t="s">
        <v>120</v>
      </c>
      <c r="D37" s="135" t="s">
        <v>121</v>
      </c>
      <c r="E37" s="193"/>
      <c r="F37" s="236"/>
      <c r="G37" s="17"/>
      <c r="H37" s="17"/>
    </row>
    <row r="38" spans="1:8" ht="12.75" customHeight="1">
      <c r="A38" s="447" t="s">
        <v>60</v>
      </c>
      <c r="B38" s="448"/>
      <c r="C38" s="143" t="e">
        <f>('Parameters &amp; Calculations'!C87*1000000)/$C$3</f>
        <v>#DIV/0!</v>
      </c>
      <c r="D38" s="188" t="e">
        <f aca="true" t="shared" si="0" ref="D38:D44">C7/$C$3</f>
        <v>#DIV/0!</v>
      </c>
      <c r="E38" s="190"/>
      <c r="F38" s="177"/>
      <c r="G38" s="17"/>
      <c r="H38" s="17"/>
    </row>
    <row r="39" spans="1:8" ht="12.75" customHeight="1">
      <c r="A39" s="447" t="s">
        <v>53</v>
      </c>
      <c r="B39" s="448"/>
      <c r="C39" s="143" t="e">
        <f>('Parameters &amp; Calculations'!D87*1000000)/$C$3</f>
        <v>#DIV/0!</v>
      </c>
      <c r="D39" s="188" t="e">
        <f t="shared" si="0"/>
        <v>#DIV/0!</v>
      </c>
      <c r="E39" s="191"/>
      <c r="F39" s="177"/>
      <c r="G39" s="17"/>
      <c r="H39" s="17"/>
    </row>
    <row r="40" spans="1:8" ht="12.75" customHeight="1">
      <c r="A40" s="447" t="s">
        <v>1</v>
      </c>
      <c r="B40" s="448"/>
      <c r="C40" s="143" t="e">
        <f>('Parameters &amp; Calculations'!E87*1000000)/$C$3</f>
        <v>#DIV/0!</v>
      </c>
      <c r="D40" s="188" t="e">
        <f t="shared" si="0"/>
        <v>#DIV/0!</v>
      </c>
      <c r="E40" s="191"/>
      <c r="F40" s="177"/>
      <c r="G40" s="17"/>
      <c r="H40" s="17"/>
    </row>
    <row r="41" spans="1:8" ht="12.75" customHeight="1">
      <c r="A41" s="447" t="s">
        <v>75</v>
      </c>
      <c r="B41" s="448"/>
      <c r="C41" s="143" t="e">
        <f>('Parameters &amp; Calculations'!F87*1000000)/$C$3</f>
        <v>#DIV/0!</v>
      </c>
      <c r="D41" s="188" t="e">
        <f t="shared" si="0"/>
        <v>#DIV/0!</v>
      </c>
      <c r="E41" s="191"/>
      <c r="F41" s="177"/>
      <c r="G41" s="17"/>
      <c r="H41" s="17"/>
    </row>
    <row r="42" spans="1:8" ht="12.75" customHeight="1">
      <c r="A42" s="447" t="s">
        <v>187</v>
      </c>
      <c r="B42" s="448"/>
      <c r="C42" s="143" t="e">
        <f>('Parameters &amp; Calculations'!G87*1000000)/$C$3</f>
        <v>#DIV/0!</v>
      </c>
      <c r="D42" s="188" t="e">
        <f t="shared" si="0"/>
        <v>#DIV/0!</v>
      </c>
      <c r="E42" s="191"/>
      <c r="F42" s="177"/>
      <c r="G42" s="17"/>
      <c r="H42" s="17"/>
    </row>
    <row r="43" spans="1:8" ht="12.75" customHeight="1">
      <c r="A43" s="447" t="s">
        <v>188</v>
      </c>
      <c r="B43" s="448"/>
      <c r="C43" s="143" t="e">
        <f>('Parameters &amp; Calculations'!H87*1000000)/$C$3</f>
        <v>#DIV/0!</v>
      </c>
      <c r="D43" s="188" t="e">
        <f t="shared" si="0"/>
        <v>#DIV/0!</v>
      </c>
      <c r="E43" s="191"/>
      <c r="F43" s="177"/>
      <c r="G43" s="17"/>
      <c r="H43" s="17"/>
    </row>
    <row r="44" spans="1:8" ht="12.75" customHeight="1" thickBot="1">
      <c r="A44" s="477" t="s">
        <v>189</v>
      </c>
      <c r="B44" s="478"/>
      <c r="C44" s="171" t="e">
        <f>('Parameters &amp; Calculations'!I87*1000000)/$C$3</f>
        <v>#DIV/0!</v>
      </c>
      <c r="D44" s="189" t="e">
        <f t="shared" si="0"/>
        <v>#DIV/0!</v>
      </c>
      <c r="E44" s="191"/>
      <c r="F44" s="177"/>
      <c r="G44" s="17"/>
      <c r="H44" s="17"/>
    </row>
    <row r="45" spans="1:8" ht="12.75" customHeight="1" thickBot="1" thickTop="1">
      <c r="A45" s="174"/>
      <c r="B45" s="95"/>
      <c r="C45" s="175"/>
      <c r="D45" s="175"/>
      <c r="E45" s="176"/>
      <c r="F45" s="177"/>
      <c r="G45" s="17"/>
      <c r="H45" s="17"/>
    </row>
    <row r="46" spans="1:8" ht="25.5" customHeight="1" thickTop="1">
      <c r="A46" s="359" t="str">
        <f>CONCATENATE("Table 13. Lipid-normalized BCF, BAF, BMF and BSAF values of ",'Chemical Specific Inputs'!C4," in aquatic trophic levels.")</f>
        <v>Table 13. Lipid-normalized BCF, BAF, BMF and BSAF values of  in aquatic trophic levels.</v>
      </c>
      <c r="B46" s="360"/>
      <c r="C46" s="360"/>
      <c r="D46" s="360"/>
      <c r="E46" s="360"/>
      <c r="F46" s="483"/>
      <c r="G46" s="17"/>
      <c r="H46" s="17"/>
    </row>
    <row r="47" spans="1:8" ht="52.5" customHeight="1">
      <c r="A47" s="481" t="s">
        <v>208</v>
      </c>
      <c r="B47" s="482"/>
      <c r="C47" s="134" t="s">
        <v>124</v>
      </c>
      <c r="D47" s="134" t="s">
        <v>125</v>
      </c>
      <c r="E47" s="134" t="s">
        <v>118</v>
      </c>
      <c r="F47" s="136" t="s">
        <v>115</v>
      </c>
      <c r="G47" s="17"/>
      <c r="H47" s="17"/>
    </row>
    <row r="48" spans="1:8" ht="12.75" customHeight="1">
      <c r="A48" s="447" t="s">
        <v>60</v>
      </c>
      <c r="B48" s="448"/>
      <c r="C48" s="143" t="e">
        <f>(('Parameters &amp; Calculations'!C87*1000000)/'Ecosystem Inputs'!D15)/$C$4</f>
        <v>#DIV/0!</v>
      </c>
      <c r="D48" s="143" t="e">
        <f>D7/$C$4</f>
        <v>#DIV/0!</v>
      </c>
      <c r="E48" s="93" t="s">
        <v>48</v>
      </c>
      <c r="F48" s="161" t="e">
        <f>(C7/'Ecosystem Inputs'!D15)/($C$6/'Ecosystem Inputs'!$C$9)</f>
        <v>#DIV/0!</v>
      </c>
      <c r="G48" s="17"/>
      <c r="H48" s="17"/>
    </row>
    <row r="49" spans="1:8" ht="12.75" customHeight="1">
      <c r="A49" s="447" t="s">
        <v>53</v>
      </c>
      <c r="B49" s="448"/>
      <c r="C49" s="143" t="e">
        <f>(('Parameters &amp; Calculations'!D87*1000000)/'Ecosystem Inputs'!D16)/$C$4</f>
        <v>#DIV/0!</v>
      </c>
      <c r="D49" s="143" t="e">
        <f aca="true" t="shared" si="1" ref="D49:D54">D8/$C$4</f>
        <v>#DIV/0!</v>
      </c>
      <c r="E49" s="170" t="e">
        <f>(C8/'Ecosystem Inputs'!D16)/((Results!C7*'Ecosystem Inputs'!C29)/'Ecosystem Inputs'!D15)</f>
        <v>#DIV/0!</v>
      </c>
      <c r="F49" s="161" t="e">
        <f>(C8/'Ecosystem Inputs'!D16)/($C$6/'Ecosystem Inputs'!$C$9)</f>
        <v>#DIV/0!</v>
      </c>
      <c r="G49" s="17"/>
      <c r="H49" s="17"/>
    </row>
    <row r="50" spans="1:8" ht="12.75" customHeight="1">
      <c r="A50" s="447" t="s">
        <v>1</v>
      </c>
      <c r="B50" s="448"/>
      <c r="C50" s="143" t="e">
        <f>(('Parameters &amp; Calculations'!E87*1000000)/'Ecosystem Inputs'!D17)/$C$4</f>
        <v>#DIV/0!</v>
      </c>
      <c r="D50" s="143" t="e">
        <f t="shared" si="1"/>
        <v>#DIV/0!</v>
      </c>
      <c r="E50" s="170">
        <f>IF(((C8*'Ecosystem Inputs'!D30/'Ecosystem Inputs'!D16)+(C7*'Ecosystem Inputs'!D29/'Ecosystem Inputs'!D15))=0,0,((C9/'Ecosystem Inputs'!D17)/((C8*'Ecosystem Inputs'!D30/'Ecosystem Inputs'!D16)+(C7*'Ecosystem Inputs'!D29/'Ecosystem Inputs'!D15))))</f>
        <v>0</v>
      </c>
      <c r="F50" s="161" t="e">
        <f>(C9/'Ecosystem Inputs'!D17)/($C$6/'Ecosystem Inputs'!$C$9)</f>
        <v>#DIV/0!</v>
      </c>
      <c r="G50" s="17"/>
      <c r="H50" s="17"/>
    </row>
    <row r="51" spans="1:8" ht="12.75" customHeight="1">
      <c r="A51" s="447" t="s">
        <v>75</v>
      </c>
      <c r="B51" s="448"/>
      <c r="C51" s="143" t="e">
        <f>(('Parameters &amp; Calculations'!F87*1000000)/'Ecosystem Inputs'!D18)/$C$4</f>
        <v>#DIV/0!</v>
      </c>
      <c r="D51" s="143" t="e">
        <f t="shared" si="1"/>
        <v>#DIV/0!</v>
      </c>
      <c r="E51" s="170" t="e">
        <f>(C10/'Ecosystem Inputs'!D18)/((C9*'Ecosystem Inputs'!E31/'Ecosystem Inputs'!D17)+(C8*'Ecosystem Inputs'!E30/'Ecosystem Inputs'!D16)+(C7*'Ecosystem Inputs'!E29/'Ecosystem Inputs'!D15))</f>
        <v>#DIV/0!</v>
      </c>
      <c r="F51" s="161" t="e">
        <f>(C10/'Ecosystem Inputs'!D18)/($C$6/'Ecosystem Inputs'!$C$9)</f>
        <v>#DIV/0!</v>
      </c>
      <c r="G51" s="17"/>
      <c r="H51" s="17"/>
    </row>
    <row r="52" spans="1:8" ht="12.75" customHeight="1">
      <c r="A52" s="447" t="s">
        <v>187</v>
      </c>
      <c r="B52" s="448"/>
      <c r="C52" s="143" t="e">
        <f>(('Parameters &amp; Calculations'!G87*1000000)/'Ecosystem Inputs'!D19)/$C$4</f>
        <v>#DIV/0!</v>
      </c>
      <c r="D52" s="143" t="e">
        <f t="shared" si="1"/>
        <v>#DIV/0!</v>
      </c>
      <c r="E52" s="170" t="e">
        <f>(C11/'Ecosystem Inputs'!D19)/((C10*'Ecosystem Inputs'!F32/'Ecosystem Inputs'!D18)+(C9*'Ecosystem Inputs'!F31/'Ecosystem Inputs'!D17)+(C8*'Ecosystem Inputs'!F30/'Ecosystem Inputs'!D16)+(C7*'Ecosystem Inputs'!F29/'Ecosystem Inputs'!D15))</f>
        <v>#DIV/0!</v>
      </c>
      <c r="F52" s="161" t="e">
        <f>(C11/'Ecosystem Inputs'!D19)/($C$6/'Ecosystem Inputs'!$C$9)</f>
        <v>#DIV/0!</v>
      </c>
      <c r="G52" s="17"/>
      <c r="H52" s="17"/>
    </row>
    <row r="53" spans="1:8" ht="12.75" customHeight="1">
      <c r="A53" s="447" t="s">
        <v>188</v>
      </c>
      <c r="B53" s="448"/>
      <c r="C53" s="143" t="e">
        <f>(('Parameters &amp; Calculations'!H87*1000000)/'Ecosystem Inputs'!D20)/$C$4</f>
        <v>#DIV/0!</v>
      </c>
      <c r="D53" s="143" t="e">
        <f t="shared" si="1"/>
        <v>#DIV/0!</v>
      </c>
      <c r="E53" s="170" t="e">
        <f>(C12/'Ecosystem Inputs'!D20)/((C10*'Ecosystem Inputs'!G32/'Ecosystem Inputs'!D18)+(C9*'Ecosystem Inputs'!G31/'Ecosystem Inputs'!D17)+(C8*'Ecosystem Inputs'!G30/'Ecosystem Inputs'!D16)+(C7*'Ecosystem Inputs'!G29/'Ecosystem Inputs'!D15)+C11*'Ecosystem Inputs'!G33/'Ecosystem Inputs'!D19)</f>
        <v>#DIV/0!</v>
      </c>
      <c r="F53" s="161" t="e">
        <f>(C12/'Ecosystem Inputs'!D20)/($C$6/'Ecosystem Inputs'!$C$9)</f>
        <v>#DIV/0!</v>
      </c>
      <c r="G53" s="17"/>
      <c r="H53" s="17"/>
    </row>
    <row r="54" spans="1:8" ht="12.75" customHeight="1" thickBot="1">
      <c r="A54" s="477" t="s">
        <v>189</v>
      </c>
      <c r="B54" s="478"/>
      <c r="C54" s="171" t="e">
        <f>(('Parameters &amp; Calculations'!I87*1000000)/'Ecosystem Inputs'!D21)/$C$4</f>
        <v>#DIV/0!</v>
      </c>
      <c r="D54" s="171" t="e">
        <f t="shared" si="1"/>
        <v>#DIV/0!</v>
      </c>
      <c r="E54" s="172" t="e">
        <f>(C13/'Ecosystem Inputs'!D21)/((C12*'Ecosystem Inputs'!H34/'Ecosystem Inputs'!D20)+(C11*'Ecosystem Inputs'!H33/'Ecosystem Inputs'!D19)+(C10*'Ecosystem Inputs'!H32/'Ecosystem Inputs'!D18)+(C9*'Ecosystem Inputs'!H31/'Ecosystem Inputs'!D17)+(C8*'Ecosystem Inputs'!H30/'Ecosystem Inputs'!D16)+(C7*'Ecosystem Inputs'!H29/'Ecosystem Inputs'!D15))</f>
        <v>#DIV/0!</v>
      </c>
      <c r="F54" s="173" t="e">
        <f>(C13/'Ecosystem Inputs'!D21)/($C$6/'Ecosystem Inputs'!$C$9)</f>
        <v>#DIV/0!</v>
      </c>
      <c r="G54" s="17"/>
      <c r="H54" s="17"/>
    </row>
    <row r="55" spans="1:14" ht="15" customHeight="1" thickBot="1" thickTop="1">
      <c r="A55" s="37"/>
      <c r="B55" s="37"/>
      <c r="C55" s="37"/>
      <c r="D55" s="37"/>
      <c r="E55" s="37" t="s">
        <v>2</v>
      </c>
      <c r="F55" s="37"/>
      <c r="G55" s="37"/>
      <c r="H55" s="37"/>
      <c r="J55" s="121"/>
      <c r="K55" s="121"/>
      <c r="L55" s="121"/>
      <c r="M55" s="121"/>
      <c r="N55" s="121"/>
    </row>
    <row r="56" spans="1:14" ht="27.75" customHeight="1" thickBot="1" thickTop="1">
      <c r="A56" s="461" t="str">
        <f>CONCATENATE("Table 14. Calculation of EECs for mammals and birds consuming fish contaminated by ",'Chemical Specific Inputs'!C4,".")</f>
        <v>Table 14. Calculation of EECs for mammals and birds consuming fish contaminated by .</v>
      </c>
      <c r="B56" s="462"/>
      <c r="C56" s="462"/>
      <c r="D56" s="462"/>
      <c r="E56" s="462"/>
      <c r="F56" s="462"/>
      <c r="G56" s="463"/>
      <c r="H56" s="37"/>
      <c r="J56" s="121"/>
      <c r="K56" s="121"/>
      <c r="L56" s="121"/>
      <c r="M56" s="121"/>
      <c r="N56" s="121"/>
    </row>
    <row r="57" spans="1:14" ht="13.5" customHeight="1" thickTop="1">
      <c r="A57" s="475" t="s">
        <v>93</v>
      </c>
      <c r="B57" s="479" t="s">
        <v>73</v>
      </c>
      <c r="C57" s="479"/>
      <c r="D57" s="479"/>
      <c r="E57" s="480"/>
      <c r="F57" s="479" t="s">
        <v>85</v>
      </c>
      <c r="G57" s="387"/>
      <c r="H57" s="37"/>
      <c r="J57" s="121"/>
      <c r="K57" s="162"/>
      <c r="L57" s="162"/>
      <c r="M57" s="162"/>
      <c r="N57" s="162"/>
    </row>
    <row r="58" spans="1:14" ht="12.75" customHeight="1">
      <c r="A58" s="476"/>
      <c r="B58" s="467" t="s">
        <v>69</v>
      </c>
      <c r="C58" s="467" t="s">
        <v>153</v>
      </c>
      <c r="D58" s="467" t="s">
        <v>154</v>
      </c>
      <c r="E58" s="467" t="s">
        <v>152</v>
      </c>
      <c r="F58" s="467" t="s">
        <v>84</v>
      </c>
      <c r="G58" s="500" t="s">
        <v>86</v>
      </c>
      <c r="H58" s="37"/>
      <c r="K58" s="162"/>
      <c r="L58" s="162"/>
      <c r="M58" s="162"/>
      <c r="N58" s="162"/>
    </row>
    <row r="59" spans="1:14" ht="54" customHeight="1">
      <c r="A59" s="476"/>
      <c r="B59" s="468"/>
      <c r="C59" s="467"/>
      <c r="D59" s="468"/>
      <c r="E59" s="468"/>
      <c r="F59" s="467"/>
      <c r="G59" s="501"/>
      <c r="H59" s="37"/>
      <c r="I59" s="495"/>
      <c r="J59" s="495"/>
      <c r="K59" s="498"/>
      <c r="L59" s="162"/>
      <c r="M59" s="162"/>
      <c r="N59" s="162"/>
    </row>
    <row r="60" spans="1:14" ht="12.75">
      <c r="A60" s="464" t="s">
        <v>70</v>
      </c>
      <c r="B60" s="465"/>
      <c r="C60" s="465"/>
      <c r="D60" s="465"/>
      <c r="E60" s="465"/>
      <c r="F60" s="465"/>
      <c r="G60" s="466"/>
      <c r="H60" s="37"/>
      <c r="I60" s="496"/>
      <c r="J60" s="497"/>
      <c r="K60" s="499"/>
      <c r="L60" s="162"/>
      <c r="M60" s="162"/>
      <c r="N60" s="162"/>
    </row>
    <row r="61" spans="1:14" ht="24.75" customHeight="1">
      <c r="A61" s="237" t="str">
        <f>'Ecosystem Inputs'!C46</f>
        <v>fog/water shrew</v>
      </c>
      <c r="B61" s="253">
        <f>'Ecosystem Inputs'!E46</f>
        <v>0.018</v>
      </c>
      <c r="C61" s="239">
        <f aca="true" t="shared" si="2" ref="C61:C66">(0.0687*(B61^0.822))/B61</f>
        <v>0.140448864105577</v>
      </c>
      <c r="D61" s="240">
        <f>C61/(1-SUMPRODUCT('Ecosystem Inputs'!C62:C68,'Ecosystem Inputs'!$F$15:$F$21))</f>
        <v>0.5852036004399042</v>
      </c>
      <c r="E61" s="239">
        <f aca="true" t="shared" si="3" ref="E61:E66">0.099*B61^(0.9)</f>
        <v>0.0026630569204369086</v>
      </c>
      <c r="F61" s="239">
        <f>(SUMPRODUCT('Ecosystem Inputs'!C62:C68,C7:C13)/1000)*D61+(((C3/1000)*E61)/B61)</f>
        <v>0</v>
      </c>
      <c r="G61" s="241">
        <f>(SUMPRODUCT('Ecosystem Inputs'!C62:C68,C7:C13)/1000)</f>
        <v>0</v>
      </c>
      <c r="H61" s="37"/>
      <c r="K61" s="121"/>
      <c r="L61" s="121"/>
      <c r="M61" s="121"/>
      <c r="N61" s="121"/>
    </row>
    <row r="62" spans="1:14" ht="24.75" customHeight="1">
      <c r="A62" s="237" t="str">
        <f>'Ecosystem Inputs'!C47</f>
        <v>rice rat/star-nosed mole</v>
      </c>
      <c r="B62" s="238">
        <f>'Ecosystem Inputs'!E47</f>
        <v>0.085</v>
      </c>
      <c r="C62" s="239">
        <f t="shared" si="2"/>
        <v>0.10654183396796332</v>
      </c>
      <c r="D62" s="240">
        <f>C62/(1-SUMPRODUCT('Ecosystem Inputs'!D62:D68,'Ecosystem Inputs'!$F$15:$F$21))</f>
        <v>0.483841207847245</v>
      </c>
      <c r="E62" s="239">
        <f t="shared" si="3"/>
        <v>0.010767434231727506</v>
      </c>
      <c r="F62" s="239">
        <f>(SUMPRODUCT('Ecosystem Inputs'!D62:D68,C7:C13)/1000)*D62+(((C3/1000)*E62)/B62)</f>
        <v>0</v>
      </c>
      <c r="G62" s="241">
        <f>(SUMPRODUCT('Ecosystem Inputs'!D62:D68,C7:C13)/1000)</f>
        <v>0</v>
      </c>
      <c r="H62" s="37"/>
      <c r="K62" s="121"/>
      <c r="L62" s="121"/>
      <c r="M62" s="121"/>
      <c r="N62" s="121"/>
    </row>
    <row r="63" spans="1:14" ht="24.75" customHeight="1">
      <c r="A63" s="237" t="str">
        <f>'Ecosystem Inputs'!C48</f>
        <v>small mink</v>
      </c>
      <c r="B63" s="238">
        <f>'Ecosystem Inputs'!E48</f>
        <v>0.45</v>
      </c>
      <c r="C63" s="239">
        <f t="shared" si="2"/>
        <v>0.07919265615100879</v>
      </c>
      <c r="D63" s="240">
        <f>C63/(1-SUMPRODUCT('Ecosystem Inputs'!E62:E68,'Ecosystem Inputs'!$F$15:$F$21))</f>
        <v>0.2933061338926251</v>
      </c>
      <c r="E63" s="239">
        <f t="shared" si="3"/>
        <v>0.048253237478720554</v>
      </c>
      <c r="F63" s="239">
        <f>(SUMPRODUCT('Ecosystem Inputs'!E62:E68,C7:C13)/1000)*D63+(((C3/1000)*E63)/B63)</f>
        <v>0</v>
      </c>
      <c r="G63" s="241">
        <f>(SUMPRODUCT('Ecosystem Inputs'!E62:E68,C7:C13)/1000)</f>
        <v>0</v>
      </c>
      <c r="H63" s="37"/>
      <c r="K63" s="121"/>
      <c r="L63" s="121"/>
      <c r="M63" s="121"/>
      <c r="N63" s="121"/>
    </row>
    <row r="64" spans="1:14" ht="24.75" customHeight="1">
      <c r="A64" s="237" t="str">
        <f>'Ecosystem Inputs'!C49</f>
        <v>large mink</v>
      </c>
      <c r="B64" s="238">
        <f>'Ecosystem Inputs'!E49</f>
        <v>1.8</v>
      </c>
      <c r="C64" s="239">
        <f t="shared" si="2"/>
        <v>0.06187543015568293</v>
      </c>
      <c r="D64" s="240">
        <f>C64/(1-SUMPRODUCT('Ecosystem Inputs'!F62:F68,'Ecosystem Inputs'!$F$15:$F$21))</f>
        <v>0.22916825983586267</v>
      </c>
      <c r="E64" s="239">
        <f t="shared" si="3"/>
        <v>0.1680275322718473</v>
      </c>
      <c r="F64" s="239">
        <f>(SUMPRODUCT('Ecosystem Inputs'!F62:F68,C7:C13)/1000)*D64+(((C3/1000)*E64)/B64)</f>
        <v>0</v>
      </c>
      <c r="G64" s="241">
        <f>(SUMPRODUCT('Ecosystem Inputs'!F62:F68,C7:C13)/1000)</f>
        <v>0</v>
      </c>
      <c r="H64" s="37"/>
      <c r="K64" s="121"/>
      <c r="L64" s="121"/>
      <c r="M64" s="121"/>
      <c r="N64" s="121"/>
    </row>
    <row r="65" spans="1:14" ht="24.75" customHeight="1">
      <c r="A65" s="237" t="str">
        <f>'Ecosystem Inputs'!C50</f>
        <v>small river otter</v>
      </c>
      <c r="B65" s="238">
        <f>'Ecosystem Inputs'!E50</f>
        <v>5</v>
      </c>
      <c r="C65" s="239">
        <f t="shared" si="2"/>
        <v>0.05158697668545244</v>
      </c>
      <c r="D65" s="240">
        <f>C65/(1-SUMPRODUCT('Ecosystem Inputs'!G62:G68,'Ecosystem Inputs'!$F$15:$F$21))</f>
        <v>0.1910628766127868</v>
      </c>
      <c r="E65" s="239">
        <f t="shared" si="3"/>
        <v>0.4214132616477884</v>
      </c>
      <c r="F65" s="239">
        <f>(SUMPRODUCT('Ecosystem Inputs'!G62:G68,C7:C13)/1000)*D65+(((C3/1000)*E65)/B65)</f>
        <v>0</v>
      </c>
      <c r="G65" s="241">
        <f>(SUMPRODUCT('Ecosystem Inputs'!G62:G68,C7:C13)/1000)</f>
        <v>0</v>
      </c>
      <c r="H65" s="37"/>
      <c r="K65" s="121"/>
      <c r="L65" s="121"/>
      <c r="M65" s="121"/>
      <c r="N65" s="121"/>
    </row>
    <row r="66" spans="1:14" ht="24.75" customHeight="1">
      <c r="A66" s="237" t="str">
        <f>'Ecosystem Inputs'!C51</f>
        <v>large river otter</v>
      </c>
      <c r="B66" s="238">
        <f>'Ecosystem Inputs'!E51</f>
        <v>15</v>
      </c>
      <c r="C66" s="239">
        <f t="shared" si="2"/>
        <v>0.042424085849177916</v>
      </c>
      <c r="D66" s="240">
        <f>C66/(1-SUMPRODUCT('Ecosystem Inputs'!H62:H68,'Ecosystem Inputs'!$F$15:$F$21))</f>
        <v>0.15712624388584412</v>
      </c>
      <c r="E66" s="239">
        <f t="shared" si="3"/>
        <v>1.1327063305872742</v>
      </c>
      <c r="F66" s="239">
        <f>(SUMPRODUCT('Ecosystem Inputs'!H62:H68,C7:C13)/1000)*D66+(((C3/1000)*E66)/B66)</f>
        <v>0</v>
      </c>
      <c r="G66" s="241">
        <f>(SUMPRODUCT('Ecosystem Inputs'!H62:H68,C7:C13)/1000)</f>
        <v>0</v>
      </c>
      <c r="H66" s="37"/>
      <c r="K66" s="121"/>
      <c r="L66" s="121"/>
      <c r="M66" s="121"/>
      <c r="N66" s="121"/>
    </row>
    <row r="67" spans="1:14" ht="12.75">
      <c r="A67" s="464" t="s">
        <v>71</v>
      </c>
      <c r="B67" s="465"/>
      <c r="C67" s="465"/>
      <c r="D67" s="465"/>
      <c r="E67" s="465"/>
      <c r="F67" s="465"/>
      <c r="G67" s="466"/>
      <c r="H67" s="37"/>
      <c r="K67" s="162"/>
      <c r="L67" s="162"/>
      <c r="M67" s="162"/>
      <c r="N67" s="162"/>
    </row>
    <row r="68" spans="1:14" ht="24.75" customHeight="1">
      <c r="A68" s="45" t="str">
        <f>'Ecosystem Inputs'!C52</f>
        <v>sandpipers</v>
      </c>
      <c r="B68" s="238">
        <f>'Ecosystem Inputs'!E52</f>
        <v>0.02</v>
      </c>
      <c r="C68" s="239">
        <f aca="true" t="shared" si="4" ref="C68:C73">(0.0582*(B68^0.651))/B68</f>
        <v>0.2279625551415969</v>
      </c>
      <c r="D68" s="240">
        <f>C68/(1-SUMPRODUCT('Ecosystem Inputs'!C78:C84,'Ecosystem Inputs'!$F$15:$F$21))</f>
        <v>1.0338437874902358</v>
      </c>
      <c r="E68" s="239">
        <f aca="true" t="shared" si="5" ref="E68:E73">0.059*B68^0.67</f>
        <v>0.004290837907359007</v>
      </c>
      <c r="F68" s="242">
        <f>(SUMPRODUCT('Ecosystem Inputs'!C78:C84,C7:C13)/1000)*D68+(((C3/1000)*E68)/B68)</f>
        <v>0</v>
      </c>
      <c r="G68" s="241">
        <f>(SUMPRODUCT('Ecosystem Inputs'!C78:C84,C7:C13)/1000)</f>
        <v>0</v>
      </c>
      <c r="H68" s="37"/>
      <c r="K68" s="121"/>
      <c r="L68" s="121"/>
      <c r="M68" s="121"/>
      <c r="N68" s="121"/>
    </row>
    <row r="69" spans="1:14" ht="24.75" customHeight="1">
      <c r="A69" s="45" t="str">
        <f>'Ecosystem Inputs'!C53</f>
        <v>cranes</v>
      </c>
      <c r="B69" s="238">
        <f>'Ecosystem Inputs'!E53</f>
        <v>6.7</v>
      </c>
      <c r="C69" s="239">
        <f t="shared" si="4"/>
        <v>0.02996559313651783</v>
      </c>
      <c r="D69" s="240">
        <f>C69/(1-SUMPRODUCT('Ecosystem Inputs'!D78:D84,'Ecosystem Inputs'!$F$15:$F$21))</f>
        <v>0.1358983815715095</v>
      </c>
      <c r="E69" s="239">
        <f t="shared" si="5"/>
        <v>0.2110192763878551</v>
      </c>
      <c r="F69" s="242">
        <f>(SUMPRODUCT('Ecosystem Inputs'!D78:D84,C7:C13)/1000)*D69+(((C3/1000)*E69)/B69)</f>
        <v>0</v>
      </c>
      <c r="G69" s="241">
        <f>(SUMPRODUCT('Ecosystem Inputs'!D78:D84,C7:C13)/1000)</f>
        <v>0</v>
      </c>
      <c r="H69" s="37"/>
      <c r="K69" s="121"/>
      <c r="L69" s="121"/>
      <c r="M69" s="121"/>
      <c r="N69" s="121"/>
    </row>
    <row r="70" spans="1:14" ht="24.75" customHeight="1">
      <c r="A70" s="45" t="str">
        <f>'Ecosystem Inputs'!C54</f>
        <v>rails</v>
      </c>
      <c r="B70" s="238">
        <f>'Ecosystem Inputs'!E54</f>
        <v>0.07</v>
      </c>
      <c r="C70" s="239">
        <f t="shared" si="4"/>
        <v>0.14722574772768365</v>
      </c>
      <c r="D70" s="240">
        <f>C70/(1-SUMPRODUCT('Ecosystem Inputs'!E78:E84,'Ecosystem Inputs'!$F$15:$F$21))</f>
        <v>0.5773558734418966</v>
      </c>
      <c r="E70" s="239">
        <f t="shared" si="5"/>
        <v>0.00993270868852807</v>
      </c>
      <c r="F70" s="242">
        <f>(SUMPRODUCT('Ecosystem Inputs'!E78:E84,C7:C13)/1000)*D70+(((C3/1000)*E70)/B70)</f>
        <v>0</v>
      </c>
      <c r="G70" s="241">
        <f>(SUMPRODUCT('Ecosystem Inputs'!E78:E84,C7:C13)/1000)</f>
        <v>0</v>
      </c>
      <c r="H70" s="37"/>
      <c r="K70" s="121"/>
      <c r="L70" s="121"/>
      <c r="M70" s="121"/>
      <c r="N70" s="121"/>
    </row>
    <row r="71" spans="1:14" ht="24.75" customHeight="1">
      <c r="A71" s="45" t="str">
        <f>'Ecosystem Inputs'!C55</f>
        <v>herons</v>
      </c>
      <c r="B71" s="238">
        <f>'Ecosystem Inputs'!E55</f>
        <v>2.9</v>
      </c>
      <c r="C71" s="239">
        <f t="shared" si="4"/>
        <v>0.04013710858547993</v>
      </c>
      <c r="D71" s="240">
        <f>C71/(1-SUMPRODUCT('Ecosystem Inputs'!F78:F84,'Ecosystem Inputs'!$F$15:$F$21))</f>
        <v>0.1574004258254115</v>
      </c>
      <c r="E71" s="239">
        <f t="shared" si="5"/>
        <v>0.12040892255043535</v>
      </c>
      <c r="F71" s="243">
        <f>(SUMPRODUCT('Ecosystem Inputs'!F78:F84,C7:C13)/1000)*D71+(((C3/1000)*E71)/B71)</f>
        <v>0</v>
      </c>
      <c r="G71" s="244">
        <f>(SUMPRODUCT('Ecosystem Inputs'!F78:F84,C7:C13)/1000)</f>
        <v>0</v>
      </c>
      <c r="H71" s="37"/>
      <c r="K71" s="121"/>
      <c r="L71" s="121"/>
      <c r="M71" s="121"/>
      <c r="N71" s="121"/>
    </row>
    <row r="72" spans="1:14" ht="24.75" customHeight="1">
      <c r="A72" s="45" t="str">
        <f>'Ecosystem Inputs'!C56</f>
        <v>small osprey</v>
      </c>
      <c r="B72" s="238">
        <f>'Ecosystem Inputs'!E56</f>
        <v>1.25</v>
      </c>
      <c r="C72" s="239">
        <f t="shared" si="4"/>
        <v>0.05383954613029638</v>
      </c>
      <c r="D72" s="240">
        <f>C72/(1-SUMPRODUCT('Ecosystem Inputs'!G78:G84,'Ecosystem Inputs'!$F$15:$F$21))</f>
        <v>0.1994057264085051</v>
      </c>
      <c r="E72" s="239">
        <f t="shared" si="5"/>
        <v>0.06851437815301349</v>
      </c>
      <c r="F72" s="242">
        <f>(SUMPRODUCT('Ecosystem Inputs'!G78:G84,C7:C13)/1000)*D72+(((C3/1000)*E72)/B72)</f>
        <v>0</v>
      </c>
      <c r="G72" s="241">
        <f>(SUMPRODUCT('Ecosystem Inputs'!G78:G84,C7:C13)/1000)</f>
        <v>0</v>
      </c>
      <c r="H72" s="37"/>
      <c r="K72" s="121"/>
      <c r="L72" s="121"/>
      <c r="M72" s="121"/>
      <c r="N72" s="121"/>
    </row>
    <row r="73" spans="1:14" ht="24.75" customHeight="1" thickBot="1">
      <c r="A73" s="63" t="str">
        <f>'Ecosystem Inputs'!C57</f>
        <v>white pelican</v>
      </c>
      <c r="B73" s="245">
        <f>'Ecosystem Inputs'!E57</f>
        <v>7.5</v>
      </c>
      <c r="C73" s="246">
        <f t="shared" si="4"/>
        <v>0.028808895200083673</v>
      </c>
      <c r="D73" s="247">
        <f>C73/(1-SUMPRODUCT('Ecosystem Inputs'!H78:H84,'Ecosystem Inputs'!$F$15:$F$21))</f>
        <v>0.10669961185216174</v>
      </c>
      <c r="E73" s="246">
        <f t="shared" si="5"/>
        <v>0.22758469792329766</v>
      </c>
      <c r="F73" s="248">
        <f>(SUMPRODUCT('Ecosystem Inputs'!H78:H84,C7:C13)/1000)*D73+(((C3/1000)*E73)/B73)</f>
        <v>0</v>
      </c>
      <c r="G73" s="249">
        <f>(SUMPRODUCT('Ecosystem Inputs'!H78:H84,C7:C13)/1000)</f>
        <v>0</v>
      </c>
      <c r="H73" s="37"/>
      <c r="K73" s="121"/>
      <c r="L73" s="121"/>
      <c r="M73" s="121"/>
      <c r="N73" s="121"/>
    </row>
    <row r="74" spans="1:14" ht="14.25" thickBot="1" thickTop="1">
      <c r="A74" s="156"/>
      <c r="B74" s="157"/>
      <c r="C74" s="158"/>
      <c r="D74" s="159"/>
      <c r="E74" s="159"/>
      <c r="F74" s="160"/>
      <c r="G74" s="160"/>
      <c r="H74" s="160"/>
      <c r="I74" s="163"/>
      <c r="J74" s="164"/>
      <c r="K74" s="121"/>
      <c r="L74" s="121"/>
      <c r="M74" s="121"/>
      <c r="N74" s="121"/>
    </row>
    <row r="75" spans="1:14" ht="26.25" customHeight="1" thickBot="1" thickTop="1">
      <c r="A75" s="461" t="str">
        <f>CONCATENATE("Table 15. Calculation of  toxicity values for mammals and birds consuming fish contaminated by ",'Chemical Specific Inputs'!C4,".")</f>
        <v>Table 15. Calculation of  toxicity values for mammals and birds consuming fish contaminated by .</v>
      </c>
      <c r="B75" s="462"/>
      <c r="C75" s="462"/>
      <c r="D75" s="462"/>
      <c r="E75" s="469"/>
      <c r="F75" s="160"/>
      <c r="G75" s="160"/>
      <c r="H75" s="160"/>
      <c r="I75" s="163"/>
      <c r="J75" s="164"/>
      <c r="K75" s="121"/>
      <c r="L75" s="121"/>
      <c r="M75" s="121"/>
      <c r="N75" s="121"/>
    </row>
    <row r="76" spans="1:14" ht="12.75" customHeight="1" thickTop="1">
      <c r="A76" s="444" t="s">
        <v>93</v>
      </c>
      <c r="B76" s="472" t="s">
        <v>72</v>
      </c>
      <c r="C76" s="473"/>
      <c r="D76" s="473"/>
      <c r="E76" s="474"/>
      <c r="F76" s="160"/>
      <c r="G76" s="160"/>
      <c r="H76" s="160"/>
      <c r="I76" s="163"/>
      <c r="J76" s="164"/>
      <c r="K76" s="121"/>
      <c r="L76" s="121"/>
      <c r="M76" s="121"/>
      <c r="N76" s="121"/>
    </row>
    <row r="77" spans="1:14" ht="12.75" customHeight="1">
      <c r="A77" s="445"/>
      <c r="B77" s="459" t="s">
        <v>87</v>
      </c>
      <c r="C77" s="460"/>
      <c r="D77" s="470" t="s">
        <v>90</v>
      </c>
      <c r="E77" s="471"/>
      <c r="F77" s="160"/>
      <c r="G77" s="160"/>
      <c r="H77" s="160"/>
      <c r="I77" s="163"/>
      <c r="J77" s="164"/>
      <c r="K77" s="121"/>
      <c r="L77" s="121"/>
      <c r="M77" s="121"/>
      <c r="N77" s="121"/>
    </row>
    <row r="78" spans="1:14" ht="45" customHeight="1">
      <c r="A78" s="446"/>
      <c r="B78" s="168" t="s">
        <v>219</v>
      </c>
      <c r="C78" s="168" t="s">
        <v>221</v>
      </c>
      <c r="D78" s="168" t="s">
        <v>219</v>
      </c>
      <c r="E78" s="169" t="s">
        <v>220</v>
      </c>
      <c r="F78" s="160"/>
      <c r="G78" s="160"/>
      <c r="H78" s="160"/>
      <c r="I78" s="163"/>
      <c r="J78" s="164"/>
      <c r="K78" s="121"/>
      <c r="L78" s="121"/>
      <c r="M78" s="121"/>
      <c r="N78" s="121"/>
    </row>
    <row r="79" spans="1:14" ht="12.75" customHeight="1">
      <c r="A79" s="449" t="s">
        <v>70</v>
      </c>
      <c r="B79" s="450"/>
      <c r="C79" s="450"/>
      <c r="D79" s="450"/>
      <c r="E79" s="451"/>
      <c r="F79" s="160"/>
      <c r="G79" s="160"/>
      <c r="H79" s="160"/>
      <c r="I79" s="163"/>
      <c r="J79" s="164"/>
      <c r="K79" s="121"/>
      <c r="L79" s="121"/>
      <c r="M79" s="121"/>
      <c r="N79" s="121"/>
    </row>
    <row r="80" spans="1:14" ht="24.75" customHeight="1">
      <c r="A80" s="45" t="str">
        <f>'Ecosystem Inputs'!C46</f>
        <v>fog/water shrew</v>
      </c>
      <c r="B80" s="250">
        <f>IF('Chemical Specific Inputs'!$E$32="laboratory rat",('Chemical Specific Inputs'!$D$32*((0.35/B61)^0.25)),IF('Chemical Specific Inputs'!$E$32="other",('Chemical Specific Inputs'!$D$32*(('Chemical Specific Inputs'!$G$32/B61)^0.25))))</f>
        <v>0</v>
      </c>
      <c r="C80" s="250" t="str">
        <f>'Chemical Specific Inputs'!D33</f>
        <v>N/A</v>
      </c>
      <c r="D80" s="250">
        <f>(IF('Chemical Specific Inputs'!$D$35="mg/kg-bw",('Chemical Specific Inputs'!$D$34)*((0.35/B61)^0.25),IF('Chemical Specific Inputs'!$D$35="ppm",(('Chemical Specific Inputs'!$D$34/20)*(0.35/B61)^0.25))))</f>
        <v>0</v>
      </c>
      <c r="E80" s="251">
        <f>IF('Chemical Specific Inputs'!D35="ppm",'Chemical Specific Inputs'!D34,IF('Chemical Specific Inputs'!D35="mg/kg-bw",'Chemical Specific Inputs'!D34*20))</f>
        <v>0</v>
      </c>
      <c r="F80" s="160"/>
      <c r="G80" s="160"/>
      <c r="H80" s="160"/>
      <c r="I80" s="163"/>
      <c r="J80" s="164"/>
      <c r="K80" s="121"/>
      <c r="L80" s="121"/>
      <c r="M80" s="121"/>
      <c r="N80" s="121"/>
    </row>
    <row r="81" spans="1:14" ht="24.75" customHeight="1">
      <c r="A81" s="45" t="str">
        <f>'Ecosystem Inputs'!C47</f>
        <v>rice rat/star-nosed mole</v>
      </c>
      <c r="B81" s="250">
        <f>IF('Chemical Specific Inputs'!$E$32="laboratory rat",('Chemical Specific Inputs'!$D$32*((0.35/B62)^0.25)),IF('Chemical Specific Inputs'!$E$32="other",('Chemical Specific Inputs'!$D$32*(('Chemical Specific Inputs'!$G$32/B62)^0.25))))</f>
        <v>0</v>
      </c>
      <c r="C81" s="250" t="str">
        <f>'Chemical Specific Inputs'!D33</f>
        <v>N/A</v>
      </c>
      <c r="D81" s="250">
        <f>(IF('Chemical Specific Inputs'!$D$35="mg/kg-bw",('Chemical Specific Inputs'!$D$34)*((0.35/B62)^0.25),IF('Chemical Specific Inputs'!$D$35="ppm",(('Chemical Specific Inputs'!$D$34/20)*(0.35/B62)^0.25))))</f>
        <v>0</v>
      </c>
      <c r="E81" s="251">
        <f>IF('Chemical Specific Inputs'!D35="ppm",'Chemical Specific Inputs'!D34,IF('Chemical Specific Inputs'!D35="mg/kg-bw",'Chemical Specific Inputs'!D34*20))</f>
        <v>0</v>
      </c>
      <c r="F81" s="160"/>
      <c r="G81" s="160"/>
      <c r="H81" s="160"/>
      <c r="I81" s="163"/>
      <c r="J81" s="164"/>
      <c r="K81" s="121"/>
      <c r="L81" s="121"/>
      <c r="M81" s="121"/>
      <c r="N81" s="121"/>
    </row>
    <row r="82" spans="1:14" ht="24.75" customHeight="1">
      <c r="A82" s="45" t="str">
        <f>'Ecosystem Inputs'!C48</f>
        <v>small mink</v>
      </c>
      <c r="B82" s="250">
        <f>IF('Chemical Specific Inputs'!$E$32="laboratory rat",('Chemical Specific Inputs'!$D$32*((0.35/B63)^0.25)),IF('Chemical Specific Inputs'!$E$32="other",('Chemical Specific Inputs'!$D$32*(('Chemical Specific Inputs'!$G$32/B63)^0.25))))</f>
        <v>0</v>
      </c>
      <c r="C82" s="250" t="str">
        <f>'Chemical Specific Inputs'!D33</f>
        <v>N/A</v>
      </c>
      <c r="D82" s="250">
        <f>(IF('Chemical Specific Inputs'!$D$35="mg/kg-bw",('Chemical Specific Inputs'!$D$34)*((0.35/B63)^0.25),IF('Chemical Specific Inputs'!$D$35="ppm",(('Chemical Specific Inputs'!$D$34/20)*(0.35/B63)^0.25))))</f>
        <v>0</v>
      </c>
      <c r="E82" s="251">
        <f>IF('Chemical Specific Inputs'!D35="ppm",'Chemical Specific Inputs'!D34,IF('Chemical Specific Inputs'!D35="mg/kg-bw",'Chemical Specific Inputs'!D34*20))</f>
        <v>0</v>
      </c>
      <c r="F82" s="160"/>
      <c r="G82" s="160"/>
      <c r="H82" s="160"/>
      <c r="I82" s="163"/>
      <c r="J82" s="164"/>
      <c r="K82" s="121"/>
      <c r="L82" s="121"/>
      <c r="M82" s="121"/>
      <c r="N82" s="121"/>
    </row>
    <row r="83" spans="1:14" ht="24.75" customHeight="1">
      <c r="A83" s="45" t="str">
        <f>'Ecosystem Inputs'!C49</f>
        <v>large mink</v>
      </c>
      <c r="B83" s="250">
        <f>IF('Chemical Specific Inputs'!$E$32="laboratory rat",('Chemical Specific Inputs'!$D$32*((0.35/B64)^0.25)),IF('Chemical Specific Inputs'!$E$32="other",('Chemical Specific Inputs'!$D$32*(('Chemical Specific Inputs'!$G$32/B64)^0.25))))</f>
        <v>0</v>
      </c>
      <c r="C83" s="250" t="str">
        <f>'Chemical Specific Inputs'!D33</f>
        <v>N/A</v>
      </c>
      <c r="D83" s="250">
        <f>(IF('Chemical Specific Inputs'!$D$35="mg/kg-bw",('Chemical Specific Inputs'!$D$34)*((0.35/B64)^0.25),IF('Chemical Specific Inputs'!$D$35="ppm",(('Chemical Specific Inputs'!$D$34/20)*(0.35/B64)^0.25))))</f>
        <v>0</v>
      </c>
      <c r="E83" s="251">
        <f>IF('Chemical Specific Inputs'!D35="ppm",'Chemical Specific Inputs'!D34,IF('Chemical Specific Inputs'!D35="mg/kg-bw",'Chemical Specific Inputs'!D34*20))</f>
        <v>0</v>
      </c>
      <c r="F83" s="160"/>
      <c r="G83" s="160"/>
      <c r="H83" s="160"/>
      <c r="I83" s="163"/>
      <c r="J83" s="164"/>
      <c r="K83" s="121"/>
      <c r="L83" s="121"/>
      <c r="M83" s="121"/>
      <c r="N83" s="121"/>
    </row>
    <row r="84" spans="1:14" ht="24.75" customHeight="1">
      <c r="A84" s="45" t="str">
        <f>'Ecosystem Inputs'!C50</f>
        <v>small river otter</v>
      </c>
      <c r="B84" s="250">
        <f>IF('Chemical Specific Inputs'!$E$32="laboratory rat",('Chemical Specific Inputs'!$D$32*((0.35/B65)^0.25)),IF('Chemical Specific Inputs'!$E$32="other",('Chemical Specific Inputs'!$D$32*(('Chemical Specific Inputs'!$G$32/B65)^0.25))))</f>
        <v>0</v>
      </c>
      <c r="C84" s="250" t="str">
        <f>'Chemical Specific Inputs'!D33</f>
        <v>N/A</v>
      </c>
      <c r="D84" s="250">
        <f>(IF('Chemical Specific Inputs'!$D$35="mg/kg-bw",('Chemical Specific Inputs'!$D$34)*((0.35/B65)^0.25),IF('Chemical Specific Inputs'!$D$35="ppm",(('Chemical Specific Inputs'!$D$34/20)*(0.35/B65)^0.25))))</f>
        <v>0</v>
      </c>
      <c r="E84" s="251">
        <f>IF('Chemical Specific Inputs'!D35="ppm",'Chemical Specific Inputs'!D34,IF('Chemical Specific Inputs'!D35="mg/kg-bw",'Chemical Specific Inputs'!D34*20))</f>
        <v>0</v>
      </c>
      <c r="F84" s="160"/>
      <c r="G84" s="160"/>
      <c r="H84" s="160"/>
      <c r="I84" s="163"/>
      <c r="J84" s="164"/>
      <c r="K84" s="121"/>
      <c r="L84" s="121"/>
      <c r="M84" s="121"/>
      <c r="N84" s="121"/>
    </row>
    <row r="85" spans="1:14" ht="24.75" customHeight="1">
      <c r="A85" s="45" t="str">
        <f>'Ecosystem Inputs'!C51</f>
        <v>large river otter</v>
      </c>
      <c r="B85" s="250">
        <f>IF('Chemical Specific Inputs'!$E$32="laboratory rat",('Chemical Specific Inputs'!$D$32*((0.35/B66)^0.25)),IF('Chemical Specific Inputs'!$E$32="other",('Chemical Specific Inputs'!$D$32*(('Chemical Specific Inputs'!$G$32/B66)^0.25))))</f>
        <v>0</v>
      </c>
      <c r="C85" s="250" t="str">
        <f>'Chemical Specific Inputs'!D33</f>
        <v>N/A</v>
      </c>
      <c r="D85" s="250">
        <f>(IF('Chemical Specific Inputs'!$D$35="mg/kg-bw",('Chemical Specific Inputs'!$D$34)*((0.35/B66)^0.25),IF('Chemical Specific Inputs'!$D$35="ppm",(('Chemical Specific Inputs'!$D$34/20)*(0.35/B66)^0.25))))</f>
        <v>0</v>
      </c>
      <c r="E85" s="251">
        <f>IF('Chemical Specific Inputs'!D35="ppm",'Chemical Specific Inputs'!D34,IF('Chemical Specific Inputs'!D35="mg/kg-bw",'Chemical Specific Inputs'!D34*20))</f>
        <v>0</v>
      </c>
      <c r="F85" s="160"/>
      <c r="G85" s="160"/>
      <c r="H85" s="160"/>
      <c r="I85" s="163"/>
      <c r="J85" s="164"/>
      <c r="K85" s="121"/>
      <c r="L85" s="121"/>
      <c r="M85" s="121"/>
      <c r="N85" s="121"/>
    </row>
    <row r="86" spans="1:14" ht="12.75" customHeight="1">
      <c r="A86" s="449" t="s">
        <v>71</v>
      </c>
      <c r="B86" s="450"/>
      <c r="C86" s="450"/>
      <c r="D86" s="450"/>
      <c r="E86" s="451"/>
      <c r="F86" s="160"/>
      <c r="G86" s="160"/>
      <c r="H86" s="160"/>
      <c r="I86" s="163"/>
      <c r="J86" s="164"/>
      <c r="K86" s="121"/>
      <c r="L86" s="121"/>
      <c r="M86" s="121"/>
      <c r="N86" s="121"/>
    </row>
    <row r="87" spans="1:14" ht="24.75" customHeight="1">
      <c r="A87" s="45" t="str">
        <f>'Ecosystem Inputs'!C52</f>
        <v>sandpipers</v>
      </c>
      <c r="B87" s="250">
        <f>IF('Chemical Specific Inputs'!$E$28="Northern bobwhite quail",('Chemical Specific Inputs'!$D$28*(B68/0.178)^('Chemical Specific Inputs'!$D$31-1)),IF('Chemical Specific Inputs'!$E$28="mallard duck",('Chemical Specific Inputs'!$D$28*(B68/1.58)^('Chemical Specific Inputs'!$D$31-1)),IF('Chemical Specific Inputs'!$E$28="other",('Chemical Specific Inputs'!$D$28*(B68/'Chemical Specific Inputs'!$G$28)^('Chemical Specific Inputs'!$D$31-1)))))</f>
        <v>0</v>
      </c>
      <c r="C87" s="250">
        <f>'Chemical Specific Inputs'!D29</f>
        <v>0</v>
      </c>
      <c r="D87" s="252" t="s">
        <v>48</v>
      </c>
      <c r="E87" s="251">
        <f>'Chemical Specific Inputs'!$D$30</f>
        <v>0</v>
      </c>
      <c r="F87" s="160"/>
      <c r="G87" s="160"/>
      <c r="H87" s="160"/>
      <c r="I87" s="163"/>
      <c r="J87" s="164"/>
      <c r="K87" s="121"/>
      <c r="L87" s="121"/>
      <c r="M87" s="121"/>
      <c r="N87" s="121"/>
    </row>
    <row r="88" spans="1:14" ht="24.75" customHeight="1">
      <c r="A88" s="45" t="str">
        <f>'Ecosystem Inputs'!C53</f>
        <v>cranes</v>
      </c>
      <c r="B88" s="250">
        <f>IF('Chemical Specific Inputs'!$E$28="Northern bobwhite quail",('Chemical Specific Inputs'!$D$28*(B69/0.178)^('Chemical Specific Inputs'!$D$31-1)),IF('Chemical Specific Inputs'!$E$28="mallard duck",('Chemical Specific Inputs'!$D$28*(B69/1.58)^('Chemical Specific Inputs'!$D$31-1)),IF('Chemical Specific Inputs'!$E$28="other",('Chemical Specific Inputs'!$D$28*(B69/'Chemical Specific Inputs'!$G$28)^('Chemical Specific Inputs'!$D$31-1)))))</f>
        <v>0</v>
      </c>
      <c r="C88" s="250">
        <f>'Chemical Specific Inputs'!D29</f>
        <v>0</v>
      </c>
      <c r="D88" s="252" t="s">
        <v>48</v>
      </c>
      <c r="E88" s="251">
        <f>'Chemical Specific Inputs'!$D$30</f>
        <v>0</v>
      </c>
      <c r="F88" s="160"/>
      <c r="G88" s="160"/>
      <c r="H88" s="160"/>
      <c r="I88" s="163"/>
      <c r="J88" s="164"/>
      <c r="K88" s="121"/>
      <c r="L88" s="121"/>
      <c r="M88" s="121"/>
      <c r="N88" s="121"/>
    </row>
    <row r="89" spans="1:14" ht="24.75" customHeight="1">
      <c r="A89" s="45" t="str">
        <f>'Ecosystem Inputs'!C54</f>
        <v>rails</v>
      </c>
      <c r="B89" s="250">
        <f>IF('Chemical Specific Inputs'!$E$28="Northern bobwhite quail",('Chemical Specific Inputs'!$D$28*(B70/0.178)^('Chemical Specific Inputs'!$D$31-1)),IF('Chemical Specific Inputs'!$E$28="mallard duck",('Chemical Specific Inputs'!$D$28*(B70/1.58)^('Chemical Specific Inputs'!$D$31-1)),IF('Chemical Specific Inputs'!$E$28="other",('Chemical Specific Inputs'!$D$28*(B70/'Chemical Specific Inputs'!$G$28)^('Chemical Specific Inputs'!$D$31-1)))))</f>
        <v>0</v>
      </c>
      <c r="C89" s="250">
        <f>'Chemical Specific Inputs'!D29</f>
        <v>0</v>
      </c>
      <c r="D89" s="252" t="s">
        <v>48</v>
      </c>
      <c r="E89" s="251">
        <f>'Chemical Specific Inputs'!$D$30</f>
        <v>0</v>
      </c>
      <c r="F89" s="160"/>
      <c r="G89" s="160"/>
      <c r="H89" s="160"/>
      <c r="I89" s="163"/>
      <c r="J89" s="164"/>
      <c r="K89" s="121"/>
      <c r="L89" s="121"/>
      <c r="M89" s="121"/>
      <c r="N89" s="121"/>
    </row>
    <row r="90" spans="1:14" ht="24.75" customHeight="1">
      <c r="A90" s="45" t="str">
        <f>'Ecosystem Inputs'!C55</f>
        <v>herons</v>
      </c>
      <c r="B90" s="250">
        <f>IF('Chemical Specific Inputs'!$E$28="Northern bobwhite quail",('Chemical Specific Inputs'!$D$28*(B71/0.178)^('Chemical Specific Inputs'!$D$31-1)),IF('Chemical Specific Inputs'!$E$28="mallard duck",('Chemical Specific Inputs'!$D$28*(B71/1.58)^('Chemical Specific Inputs'!$D$31-1)),IF('Chemical Specific Inputs'!$E$28="other",('Chemical Specific Inputs'!$D$28*(B71/'Chemical Specific Inputs'!$G$28)^('Chemical Specific Inputs'!$D$31-1)))))</f>
        <v>0</v>
      </c>
      <c r="C90" s="253">
        <f>'Chemical Specific Inputs'!D29</f>
        <v>0</v>
      </c>
      <c r="D90" s="254" t="s">
        <v>48</v>
      </c>
      <c r="E90" s="255">
        <f>'Chemical Specific Inputs'!$D$30</f>
        <v>0</v>
      </c>
      <c r="F90" s="160"/>
      <c r="G90" s="160"/>
      <c r="H90" s="160"/>
      <c r="I90" s="163"/>
      <c r="J90" s="164"/>
      <c r="K90" s="121"/>
      <c r="L90" s="121"/>
      <c r="M90" s="121"/>
      <c r="N90" s="121"/>
    </row>
    <row r="91" spans="1:14" ht="24.75" customHeight="1">
      <c r="A91" s="45" t="str">
        <f>'Ecosystem Inputs'!C56</f>
        <v>small osprey</v>
      </c>
      <c r="B91" s="250">
        <f>IF('Chemical Specific Inputs'!$E$28="Northern bobwhite quail",('Chemical Specific Inputs'!$D$28*(B72/0.178)^('Chemical Specific Inputs'!$D$31-1)),IF('Chemical Specific Inputs'!$E$28="mallard duck",('Chemical Specific Inputs'!$D$28*(B72/1.58)^('Chemical Specific Inputs'!$D$31-1)),IF('Chemical Specific Inputs'!$E$28="other",('Chemical Specific Inputs'!$D$28*(B72/'Chemical Specific Inputs'!$G$28)^('Chemical Specific Inputs'!$D$31-1)))))</f>
        <v>0</v>
      </c>
      <c r="C91" s="250">
        <f>'Chemical Specific Inputs'!D29</f>
        <v>0</v>
      </c>
      <c r="D91" s="252" t="s">
        <v>48</v>
      </c>
      <c r="E91" s="251">
        <f>'Chemical Specific Inputs'!$D$30</f>
        <v>0</v>
      </c>
      <c r="F91" s="160"/>
      <c r="G91" s="160"/>
      <c r="H91" s="160"/>
      <c r="I91" s="163"/>
      <c r="J91" s="164"/>
      <c r="K91" s="121"/>
      <c r="L91" s="121"/>
      <c r="M91" s="121"/>
      <c r="N91" s="121"/>
    </row>
    <row r="92" spans="1:14" ht="24.75" customHeight="1" thickBot="1">
      <c r="A92" s="63" t="str">
        <f>'Ecosystem Inputs'!C57</f>
        <v>white pelican</v>
      </c>
      <c r="B92" s="256">
        <f>IF('Chemical Specific Inputs'!$E$28="Northern bobwhite quail",('Chemical Specific Inputs'!$D$28*(B73/0.178)^('Chemical Specific Inputs'!$D$31-1)),IF('Chemical Specific Inputs'!$E$28="mallard duck",('Chemical Specific Inputs'!$D$28*(B73/1.58)^('Chemical Specific Inputs'!$D$31-1)),IF('Chemical Specific Inputs'!$E$28="other",('Chemical Specific Inputs'!$D$28*(B73/'Chemical Specific Inputs'!$G$28)^('Chemical Specific Inputs'!$D$31-1)))))</f>
        <v>0</v>
      </c>
      <c r="C92" s="256">
        <f>'Chemical Specific Inputs'!D29</f>
        <v>0</v>
      </c>
      <c r="D92" s="257" t="s">
        <v>48</v>
      </c>
      <c r="E92" s="258">
        <f>'Chemical Specific Inputs'!$D$30</f>
        <v>0</v>
      </c>
      <c r="F92" s="160"/>
      <c r="G92" s="160"/>
      <c r="H92" s="160"/>
      <c r="I92" s="163"/>
      <c r="J92" s="164"/>
      <c r="K92" s="121"/>
      <c r="L92" s="121"/>
      <c r="M92" s="121"/>
      <c r="N92" s="121"/>
    </row>
    <row r="93" spans="1:14" ht="14.25" thickBot="1" thickTop="1">
      <c r="A93" s="37"/>
      <c r="B93" s="157"/>
      <c r="C93" s="158"/>
      <c r="D93" s="159"/>
      <c r="E93" s="159"/>
      <c r="F93" s="160"/>
      <c r="G93" s="160"/>
      <c r="H93" s="160"/>
      <c r="I93" s="163"/>
      <c r="J93" s="164"/>
      <c r="K93" s="121"/>
      <c r="L93" s="121"/>
      <c r="M93" s="121"/>
      <c r="N93" s="121"/>
    </row>
    <row r="94" spans="1:8" ht="25.5" customHeight="1" thickTop="1">
      <c r="A94" s="454" t="str">
        <f>CONCATENATE("Table 16. Calculation of RQ values for mammals and birds consuming fish contaminated by ",'Chemical Specific Inputs'!C4,".")</f>
        <v>Table 16. Calculation of RQ values for mammals and birds consuming fish contaminated by .</v>
      </c>
      <c r="B94" s="455"/>
      <c r="C94" s="455"/>
      <c r="D94" s="455"/>
      <c r="E94" s="456"/>
      <c r="F94" s="37"/>
      <c r="G94" s="37"/>
      <c r="H94" s="37"/>
    </row>
    <row r="95" spans="1:8" ht="12.75">
      <c r="A95" s="457" t="s">
        <v>93</v>
      </c>
      <c r="B95" s="452" t="s">
        <v>87</v>
      </c>
      <c r="C95" s="452"/>
      <c r="D95" s="452" t="s">
        <v>90</v>
      </c>
      <c r="E95" s="453"/>
      <c r="F95" s="37"/>
      <c r="G95" s="37"/>
      <c r="H95" s="37"/>
    </row>
    <row r="96" spans="1:14" ht="25.5">
      <c r="A96" s="458"/>
      <c r="B96" s="167" t="s">
        <v>88</v>
      </c>
      <c r="C96" s="167" t="s">
        <v>89</v>
      </c>
      <c r="D96" s="167" t="s">
        <v>88</v>
      </c>
      <c r="E96" s="169" t="s">
        <v>89</v>
      </c>
      <c r="F96" s="17"/>
      <c r="G96" s="17" t="s">
        <v>2</v>
      </c>
      <c r="H96" s="17"/>
      <c r="I96" s="121"/>
      <c r="J96" s="121"/>
      <c r="K96" s="121"/>
      <c r="L96" s="121"/>
      <c r="M96" s="121"/>
      <c r="N96" s="121"/>
    </row>
    <row r="97" spans="1:14" ht="12.75">
      <c r="A97" s="449" t="s">
        <v>70</v>
      </c>
      <c r="B97" s="450"/>
      <c r="C97" s="450"/>
      <c r="D97" s="450"/>
      <c r="E97" s="451"/>
      <c r="F97" s="94"/>
      <c r="G97" s="101" t="s">
        <v>2</v>
      </c>
      <c r="H97" s="94"/>
      <c r="I97" s="165"/>
      <c r="J97" s="165"/>
      <c r="K97" s="162"/>
      <c r="L97" s="162"/>
      <c r="M97" s="162"/>
      <c r="N97" s="162"/>
    </row>
    <row r="98" spans="1:14" ht="24.75" customHeight="1">
      <c r="A98" s="45" t="str">
        <f>'Ecosystem Inputs'!C46</f>
        <v>fog/water shrew</v>
      </c>
      <c r="B98" s="239" t="e">
        <f aca="true" t="shared" si="6" ref="B98:B103">F61/B80</f>
        <v>#DIV/0!</v>
      </c>
      <c r="C98" s="253" t="str">
        <f aca="true" t="shared" si="7" ref="C98:C103">IF(C80="N/A","N/A",G61/C80)</f>
        <v>N/A</v>
      </c>
      <c r="D98" s="240" t="e">
        <f aca="true" t="shared" si="8" ref="D98:E103">F61/D80</f>
        <v>#DIV/0!</v>
      </c>
      <c r="E98" s="259" t="e">
        <f t="shared" si="8"/>
        <v>#DIV/0!</v>
      </c>
      <c r="F98" s="17"/>
      <c r="G98" s="17"/>
      <c r="H98" s="17"/>
      <c r="I98" s="121"/>
      <c r="J98" s="121"/>
      <c r="K98" s="121"/>
      <c r="L98" s="121"/>
      <c r="M98" s="121"/>
      <c r="N98" s="121"/>
    </row>
    <row r="99" spans="1:14" ht="24.75" customHeight="1">
      <c r="A99" s="45" t="str">
        <f>'Ecosystem Inputs'!C47</f>
        <v>rice rat/star-nosed mole</v>
      </c>
      <c r="B99" s="239" t="e">
        <f t="shared" si="6"/>
        <v>#DIV/0!</v>
      </c>
      <c r="C99" s="253" t="str">
        <f t="shared" si="7"/>
        <v>N/A</v>
      </c>
      <c r="D99" s="240" t="e">
        <f t="shared" si="8"/>
        <v>#DIV/0!</v>
      </c>
      <c r="E99" s="259" t="e">
        <f t="shared" si="8"/>
        <v>#DIV/0!</v>
      </c>
      <c r="F99" s="17"/>
      <c r="G99" s="17"/>
      <c r="H99" s="17"/>
      <c r="I99" s="121"/>
      <c r="J99" s="121"/>
      <c r="K99" s="121"/>
      <c r="L99" s="121"/>
      <c r="M99" s="121"/>
      <c r="N99" s="121"/>
    </row>
    <row r="100" spans="1:14" ht="24.75" customHeight="1">
      <c r="A100" s="45" t="str">
        <f>'Ecosystem Inputs'!C48</f>
        <v>small mink</v>
      </c>
      <c r="B100" s="239" t="e">
        <f t="shared" si="6"/>
        <v>#DIV/0!</v>
      </c>
      <c r="C100" s="253" t="str">
        <f t="shared" si="7"/>
        <v>N/A</v>
      </c>
      <c r="D100" s="240" t="e">
        <f t="shared" si="8"/>
        <v>#DIV/0!</v>
      </c>
      <c r="E100" s="259" t="e">
        <f t="shared" si="8"/>
        <v>#DIV/0!</v>
      </c>
      <c r="F100" s="17"/>
      <c r="G100" s="17"/>
      <c r="H100" s="17"/>
      <c r="I100" s="121"/>
      <c r="J100" s="121"/>
      <c r="K100" s="121"/>
      <c r="L100" s="121"/>
      <c r="M100" s="121"/>
      <c r="N100" s="121"/>
    </row>
    <row r="101" spans="1:14" ht="24.75" customHeight="1">
      <c r="A101" s="45" t="str">
        <f>'Ecosystem Inputs'!C49</f>
        <v>large mink</v>
      </c>
      <c r="B101" s="239" t="e">
        <f t="shared" si="6"/>
        <v>#DIV/0!</v>
      </c>
      <c r="C101" s="253" t="str">
        <f t="shared" si="7"/>
        <v>N/A</v>
      </c>
      <c r="D101" s="240" t="e">
        <f t="shared" si="8"/>
        <v>#DIV/0!</v>
      </c>
      <c r="E101" s="259" t="e">
        <f t="shared" si="8"/>
        <v>#DIV/0!</v>
      </c>
      <c r="F101" s="17"/>
      <c r="G101" s="17"/>
      <c r="H101" s="17"/>
      <c r="I101" s="121"/>
      <c r="J101" s="121"/>
      <c r="K101" s="121"/>
      <c r="L101" s="121"/>
      <c r="M101" s="121"/>
      <c r="N101" s="121"/>
    </row>
    <row r="102" spans="1:14" ht="24.75" customHeight="1">
      <c r="A102" s="45" t="str">
        <f>'Ecosystem Inputs'!C50</f>
        <v>small river otter</v>
      </c>
      <c r="B102" s="239" t="e">
        <f>F65/B84</f>
        <v>#DIV/0!</v>
      </c>
      <c r="C102" s="253" t="str">
        <f t="shared" si="7"/>
        <v>N/A</v>
      </c>
      <c r="D102" s="240" t="e">
        <f t="shared" si="8"/>
        <v>#DIV/0!</v>
      </c>
      <c r="E102" s="259" t="e">
        <f t="shared" si="8"/>
        <v>#DIV/0!</v>
      </c>
      <c r="F102" s="17"/>
      <c r="G102" s="17"/>
      <c r="H102" s="17"/>
      <c r="I102" s="121"/>
      <c r="J102" s="121"/>
      <c r="K102" s="121"/>
      <c r="L102" s="121"/>
      <c r="M102" s="121"/>
      <c r="N102" s="121"/>
    </row>
    <row r="103" spans="1:14" ht="24.75" customHeight="1">
      <c r="A103" s="45" t="str">
        <f>'Ecosystem Inputs'!C51</f>
        <v>large river otter</v>
      </c>
      <c r="B103" s="239" t="e">
        <f t="shared" si="6"/>
        <v>#DIV/0!</v>
      </c>
      <c r="C103" s="253" t="str">
        <f t="shared" si="7"/>
        <v>N/A</v>
      </c>
      <c r="D103" s="240" t="e">
        <f t="shared" si="8"/>
        <v>#DIV/0!</v>
      </c>
      <c r="E103" s="259" t="e">
        <f t="shared" si="8"/>
        <v>#DIV/0!</v>
      </c>
      <c r="F103" s="17"/>
      <c r="G103" s="17"/>
      <c r="H103" s="17"/>
      <c r="I103" s="121"/>
      <c r="J103" s="121"/>
      <c r="K103" s="121"/>
      <c r="L103" s="121"/>
      <c r="M103" s="121"/>
      <c r="N103" s="121"/>
    </row>
    <row r="104" spans="1:14" ht="12.75">
      <c r="A104" s="449" t="s">
        <v>71</v>
      </c>
      <c r="B104" s="450"/>
      <c r="C104" s="450"/>
      <c r="D104" s="450"/>
      <c r="E104" s="451"/>
      <c r="F104" s="94"/>
      <c r="G104" s="94"/>
      <c r="H104" s="94"/>
      <c r="I104" s="165"/>
      <c r="J104" s="165"/>
      <c r="K104" s="162"/>
      <c r="L104" s="162"/>
      <c r="M104" s="162"/>
      <c r="N104" s="162"/>
    </row>
    <row r="105" spans="1:14" ht="24.75" customHeight="1">
      <c r="A105" s="45" t="str">
        <f>'Ecosystem Inputs'!C52</f>
        <v>sandpipers</v>
      </c>
      <c r="B105" s="239" t="e">
        <f aca="true" t="shared" si="9" ref="B105:C110">F68/B87</f>
        <v>#DIV/0!</v>
      </c>
      <c r="C105" s="240" t="e">
        <f t="shared" si="9"/>
        <v>#DIV/0!</v>
      </c>
      <c r="D105" s="254" t="s">
        <v>48</v>
      </c>
      <c r="E105" s="259" t="e">
        <f aca="true" t="shared" si="10" ref="E105:E110">G68/E87</f>
        <v>#DIV/0!</v>
      </c>
      <c r="F105" s="17"/>
      <c r="G105" s="17"/>
      <c r="H105" s="17"/>
      <c r="I105" s="121"/>
      <c r="J105" s="121"/>
      <c r="K105" s="121"/>
      <c r="L105" s="121"/>
      <c r="M105" s="121"/>
      <c r="N105" s="121"/>
    </row>
    <row r="106" spans="1:8" ht="24.75" customHeight="1">
      <c r="A106" s="45" t="str">
        <f>'Ecosystem Inputs'!C53</f>
        <v>cranes</v>
      </c>
      <c r="B106" s="239" t="e">
        <f t="shared" si="9"/>
        <v>#DIV/0!</v>
      </c>
      <c r="C106" s="240" t="e">
        <f t="shared" si="9"/>
        <v>#DIV/0!</v>
      </c>
      <c r="D106" s="254" t="s">
        <v>48</v>
      </c>
      <c r="E106" s="259" t="e">
        <f t="shared" si="10"/>
        <v>#DIV/0!</v>
      </c>
      <c r="F106" s="37"/>
      <c r="G106" s="37"/>
      <c r="H106" s="37"/>
    </row>
    <row r="107" spans="1:8" ht="24.75" customHeight="1">
      <c r="A107" s="45" t="str">
        <f>'Ecosystem Inputs'!C54</f>
        <v>rails</v>
      </c>
      <c r="B107" s="239" t="e">
        <f t="shared" si="9"/>
        <v>#DIV/0!</v>
      </c>
      <c r="C107" s="240" t="e">
        <f t="shared" si="9"/>
        <v>#DIV/0!</v>
      </c>
      <c r="D107" s="254" t="s">
        <v>48</v>
      </c>
      <c r="E107" s="259" t="e">
        <f t="shared" si="10"/>
        <v>#DIV/0!</v>
      </c>
      <c r="F107" s="37"/>
      <c r="G107" s="37"/>
      <c r="H107" s="37"/>
    </row>
    <row r="108" spans="1:8" ht="24.75" customHeight="1">
      <c r="A108" s="45" t="str">
        <f>'Ecosystem Inputs'!C55</f>
        <v>herons</v>
      </c>
      <c r="B108" s="239" t="e">
        <f t="shared" si="9"/>
        <v>#DIV/0!</v>
      </c>
      <c r="C108" s="240" t="e">
        <f t="shared" si="9"/>
        <v>#DIV/0!</v>
      </c>
      <c r="D108" s="254" t="s">
        <v>48</v>
      </c>
      <c r="E108" s="259" t="e">
        <f t="shared" si="10"/>
        <v>#DIV/0!</v>
      </c>
      <c r="F108" s="37"/>
      <c r="G108" s="37"/>
      <c r="H108" s="37"/>
    </row>
    <row r="109" spans="1:8" ht="24.75" customHeight="1">
      <c r="A109" s="45" t="str">
        <f>'Ecosystem Inputs'!C56</f>
        <v>small osprey</v>
      </c>
      <c r="B109" s="239" t="e">
        <f t="shared" si="9"/>
        <v>#DIV/0!</v>
      </c>
      <c r="C109" s="240" t="e">
        <f t="shared" si="9"/>
        <v>#DIV/0!</v>
      </c>
      <c r="D109" s="254" t="s">
        <v>48</v>
      </c>
      <c r="E109" s="259" t="e">
        <f t="shared" si="10"/>
        <v>#DIV/0!</v>
      </c>
      <c r="F109" s="37"/>
      <c r="G109" s="37"/>
      <c r="H109" s="37"/>
    </row>
    <row r="110" spans="1:8" ht="24.75" customHeight="1" thickBot="1">
      <c r="A110" s="63" t="str">
        <f>'Ecosystem Inputs'!C57</f>
        <v>white pelican</v>
      </c>
      <c r="B110" s="246" t="e">
        <f t="shared" si="9"/>
        <v>#DIV/0!</v>
      </c>
      <c r="C110" s="247" t="e">
        <f t="shared" si="9"/>
        <v>#DIV/0!</v>
      </c>
      <c r="D110" s="260" t="s">
        <v>48</v>
      </c>
      <c r="E110" s="261" t="e">
        <f t="shared" si="10"/>
        <v>#DIV/0!</v>
      </c>
      <c r="F110" s="37"/>
      <c r="G110" s="37"/>
      <c r="H110" s="37"/>
    </row>
    <row r="111" spans="1:8" ht="13.5" thickTop="1">
      <c r="A111" s="37"/>
      <c r="B111" s="37"/>
      <c r="C111" s="37"/>
      <c r="D111" s="37"/>
      <c r="E111" s="37"/>
      <c r="F111" s="37"/>
      <c r="G111" s="37"/>
      <c r="H111" s="37"/>
    </row>
  </sheetData>
  <sheetProtection password="C9BF" sheet="1" formatCells="0" formatColumns="0" formatRows="0"/>
  <mergeCells count="60">
    <mergeCell ref="I59:I60"/>
    <mergeCell ref="J59:J60"/>
    <mergeCell ref="K59:K60"/>
    <mergeCell ref="G58:G59"/>
    <mergeCell ref="A60:G60"/>
    <mergeCell ref="A1:F1"/>
    <mergeCell ref="A14:F14"/>
    <mergeCell ref="A36:D36"/>
    <mergeCell ref="A41:B41"/>
    <mergeCell ref="A42:B42"/>
    <mergeCell ref="A38:B38"/>
    <mergeCell ref="A39:B39"/>
    <mergeCell ref="A2:B2"/>
    <mergeCell ref="A3:B3"/>
    <mergeCell ref="A10:B10"/>
    <mergeCell ref="A5:B5"/>
    <mergeCell ref="A6:B6"/>
    <mergeCell ref="A4:B4"/>
    <mergeCell ref="A46:F46"/>
    <mergeCell ref="A7:B7"/>
    <mergeCell ref="A12:B12"/>
    <mergeCell ref="A11:B11"/>
    <mergeCell ref="A44:B44"/>
    <mergeCell ref="A40:B40"/>
    <mergeCell ref="A37:B37"/>
    <mergeCell ref="A13:B13"/>
    <mergeCell ref="A8:B8"/>
    <mergeCell ref="A9:B9"/>
    <mergeCell ref="A47:B47"/>
    <mergeCell ref="A48:B48"/>
    <mergeCell ref="A49:B49"/>
    <mergeCell ref="A50:B50"/>
    <mergeCell ref="A51:B51"/>
    <mergeCell ref="A52:B52"/>
    <mergeCell ref="A53:B53"/>
    <mergeCell ref="F58:F59"/>
    <mergeCell ref="A57:A59"/>
    <mergeCell ref="A54:B54"/>
    <mergeCell ref="F57:G57"/>
    <mergeCell ref="B57:E57"/>
    <mergeCell ref="B77:C77"/>
    <mergeCell ref="A56:G56"/>
    <mergeCell ref="A67:G67"/>
    <mergeCell ref="B58:B59"/>
    <mergeCell ref="E58:E59"/>
    <mergeCell ref="A75:E75"/>
    <mergeCell ref="D77:E77"/>
    <mergeCell ref="B76:E76"/>
    <mergeCell ref="D58:D59"/>
    <mergeCell ref="C58:C59"/>
    <mergeCell ref="A76:A78"/>
    <mergeCell ref="A43:B43"/>
    <mergeCell ref="A104:E104"/>
    <mergeCell ref="B95:C95"/>
    <mergeCell ref="D95:E95"/>
    <mergeCell ref="A94:E94"/>
    <mergeCell ref="A95:A96"/>
    <mergeCell ref="A79:E79"/>
    <mergeCell ref="A86:E86"/>
    <mergeCell ref="A97:E97"/>
  </mergeCells>
  <conditionalFormatting sqref="E105:E110 D98:E103">
    <cfRule type="cellIs" priority="3" dxfId="0" operator="greaterThan" stopIfTrue="1">
      <formula>1</formula>
    </cfRule>
  </conditionalFormatting>
  <conditionalFormatting sqref="B98:B103 B105:C110">
    <cfRule type="cellIs" priority="2" dxfId="0" operator="greaterThan" stopIfTrue="1">
      <formula>0.1</formula>
    </cfRule>
  </conditionalFormatting>
  <conditionalFormatting sqref="C98:C103">
    <cfRule type="cellIs" priority="3" dxfId="1" operator="equal" stopIfTrue="1">
      <formula>"N/A"</formula>
    </cfRule>
    <cfRule type="cellIs" priority="4" dxfId="0" operator="greaterThan" stopIfTrue="1">
      <formula>0.1</formula>
    </cfRule>
  </conditionalFormatting>
  <printOptions/>
  <pageMargins left="0.75" right="0.75" top="0.75" bottom="0.75" header="0.5" footer="0.5"/>
  <pageSetup horizontalDpi="600" verticalDpi="600" orientation="portrait" r:id="rId2"/>
  <headerFooter alignWithMargins="0">
    <oddFooter>&amp;CKABAM - Results, Page &amp;P of &amp;N</oddFooter>
  </headerFooter>
  <rowBreaks count="4" manualBreakCount="4">
    <brk id="34" max="255" man="1"/>
    <brk id="54" max="255" man="1"/>
    <brk id="74" max="6" man="1"/>
    <brk id="9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KABAM v. 1.1</dc:title>
  <dc:subject/>
  <dc:creator>EPA</dc:creator>
  <cp:keywords/>
  <dc:description/>
  <cp:lastModifiedBy>kgarber</cp:lastModifiedBy>
  <cp:lastPrinted>2009-02-09T14:06:08Z</cp:lastPrinted>
  <dcterms:created xsi:type="dcterms:W3CDTF">2005-04-20T14:48:30Z</dcterms:created>
  <dcterms:modified xsi:type="dcterms:W3CDTF">2009-04-07T11:53:18Z</dcterms:modified>
  <cp:category/>
  <cp:version/>
  <cp:contentType/>
  <cp:contentStatus/>
</cp:coreProperties>
</file>