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65371" windowWidth="12120" windowHeight="6780" activeTab="4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<sst xmlns="http://schemas.openxmlformats.org/spreadsheetml/2006/main" count="1083" uniqueCount="174">
  <si>
    <t>EPA ID No.</t>
  </si>
  <si>
    <t>OHD005108477</t>
  </si>
  <si>
    <t>Facility Name</t>
  </si>
  <si>
    <t>Facility Location</t>
  </si>
  <si>
    <t xml:space="preserve">    City</t>
  </si>
  <si>
    <t>Haverhill</t>
  </si>
  <si>
    <t xml:space="preserve">    State</t>
  </si>
  <si>
    <t>OH</t>
  </si>
  <si>
    <t>Unit ID Name/No.</t>
  </si>
  <si>
    <t>Other Sister Facilities</t>
  </si>
  <si>
    <t>Soot Blowing</t>
  </si>
  <si>
    <t>Yes</t>
  </si>
  <si>
    <t>None</t>
  </si>
  <si>
    <t>APCS Characteristics</t>
  </si>
  <si>
    <t>NA</t>
  </si>
  <si>
    <t>Stack Characteristics</t>
  </si>
  <si>
    <t xml:space="preserve">    Diameter (ft)</t>
  </si>
  <si>
    <t xml:space="preserve">    Height (ft)</t>
  </si>
  <si>
    <t>Permitting Status</t>
  </si>
  <si>
    <t xml:space="preserve">    Report Name/Date</t>
  </si>
  <si>
    <t>Revised Certification of Compliance, November 1996</t>
  </si>
  <si>
    <t xml:space="preserve">    Report Prepare</t>
  </si>
  <si>
    <t>Radian International LLC</t>
  </si>
  <si>
    <t xml:space="preserve">    Testing Firm</t>
  </si>
  <si>
    <t>ENSR Consulting and Engineering</t>
  </si>
  <si>
    <t xml:space="preserve">    Condition Descr</t>
  </si>
  <si>
    <t xml:space="preserve">    Content</t>
  </si>
  <si>
    <t>PM, CO, HCl/Cl2, Cr/Cr+6</t>
  </si>
  <si>
    <t>Units</t>
  </si>
  <si>
    <t>PM</t>
  </si>
  <si>
    <t>gr/dscf</t>
  </si>
  <si>
    <t>y</t>
  </si>
  <si>
    <t>ppmv</t>
  </si>
  <si>
    <t>HCl</t>
  </si>
  <si>
    <t>g/hr</t>
  </si>
  <si>
    <t>n</t>
  </si>
  <si>
    <t>Cl2</t>
  </si>
  <si>
    <t>nd</t>
  </si>
  <si>
    <t>dscfm</t>
  </si>
  <si>
    <t>%</t>
  </si>
  <si>
    <t>°F</t>
  </si>
  <si>
    <t>Cond Avg</t>
  </si>
  <si>
    <t>Feedstream Description</t>
  </si>
  <si>
    <t>LHC waste</t>
  </si>
  <si>
    <t>Natural Gas</t>
  </si>
  <si>
    <t>Spike</t>
  </si>
  <si>
    <t>lb/hr</t>
  </si>
  <si>
    <t>Heating Value</t>
  </si>
  <si>
    <t>Btu/lb</t>
  </si>
  <si>
    <t>Density</t>
  </si>
  <si>
    <t>g/cc</t>
  </si>
  <si>
    <t>Ash</t>
  </si>
  <si>
    <t>Chlorine</t>
  </si>
  <si>
    <t>ppmw</t>
  </si>
  <si>
    <t>Cr</t>
  </si>
  <si>
    <t xml:space="preserve"> </t>
  </si>
  <si>
    <t>912C1</t>
  </si>
  <si>
    <t>Unit 2001-UE</t>
  </si>
  <si>
    <t xml:space="preserve">    Testing Dates</t>
  </si>
  <si>
    <t>ft3/hr</t>
  </si>
  <si>
    <t>ug/dscm</t>
  </si>
  <si>
    <t>Stack Gas Flowrate</t>
  </si>
  <si>
    <t>Oxygen</t>
  </si>
  <si>
    <t>MMBtu/hr</t>
  </si>
  <si>
    <t>Total</t>
  </si>
  <si>
    <t>mg/dscm</t>
  </si>
  <si>
    <t>SVM</t>
  </si>
  <si>
    <t>LVM</t>
  </si>
  <si>
    <t>Stack Gas Emissions</t>
  </si>
  <si>
    <t>HW</t>
  </si>
  <si>
    <t>µg/dscm</t>
  </si>
  <si>
    <t>Combustor Characteristics</t>
  </si>
  <si>
    <t>Liq</t>
  </si>
  <si>
    <t>Hazardous Wastes</t>
  </si>
  <si>
    <t>Haz Waste Description</t>
  </si>
  <si>
    <t>Supplemental Fuel</t>
  </si>
  <si>
    <t xml:space="preserve">    Gas Velocity (ft/sec)</t>
  </si>
  <si>
    <t xml:space="preserve">    Gas Temperature (°F)</t>
  </si>
  <si>
    <t>Feedstreams</t>
  </si>
  <si>
    <t>CoC; LHC waste fuel</t>
  </si>
  <si>
    <t>Capacity (MMBtu/hr)</t>
  </si>
  <si>
    <t>Feedrate MTEC Calculations</t>
  </si>
  <si>
    <t>Cr (+6)</t>
  </si>
  <si>
    <t>Phase II ID No.</t>
  </si>
  <si>
    <t>7% O2</t>
  </si>
  <si>
    <t>BIF Feedrate Limits</t>
  </si>
  <si>
    <t>HHC Feed</t>
  </si>
  <si>
    <t>LLC Feed</t>
  </si>
  <si>
    <t>Units No. 911 and 912 separately</t>
  </si>
  <si>
    <t>Source Description</t>
  </si>
  <si>
    <t xml:space="preserve">   Temperature</t>
  </si>
  <si>
    <t xml:space="preserve">   Stack Gas Flowrate</t>
  </si>
  <si>
    <t>Comments</t>
  </si>
  <si>
    <t>PM, HCl/Cl2</t>
  </si>
  <si>
    <t xml:space="preserve">   O2</t>
  </si>
  <si>
    <t xml:space="preserve">   Moisture</t>
  </si>
  <si>
    <t>Total Chlorine</t>
  </si>
  <si>
    <t>CO (RA)</t>
  </si>
  <si>
    <t>CO (MHRA)</t>
  </si>
  <si>
    <t>Chromium</t>
  </si>
  <si>
    <t>Sampling Train</t>
  </si>
  <si>
    <t>Arsenic</t>
  </si>
  <si>
    <t>Barium</t>
  </si>
  <si>
    <t>Beryllium</t>
  </si>
  <si>
    <t>Thallium</t>
  </si>
  <si>
    <t>Antimony</t>
  </si>
  <si>
    <t>Lead</t>
  </si>
  <si>
    <t>Cadmium</t>
  </si>
  <si>
    <t>Silver</t>
  </si>
  <si>
    <t>*</t>
  </si>
  <si>
    <t>Thermal Feedrate</t>
  </si>
  <si>
    <t>Mercury</t>
  </si>
  <si>
    <t>Feed Rate</t>
  </si>
  <si>
    <t>HWC Burn Status (Date if Terminated)</t>
  </si>
  <si>
    <t>R1</t>
  </si>
  <si>
    <t>R2</t>
  </si>
  <si>
    <t>R3</t>
  </si>
  <si>
    <t xml:space="preserve">    Cond Dates</t>
  </si>
  <si>
    <t>Cond Description</t>
  </si>
  <si>
    <t>Liquid-fired boiler</t>
  </si>
  <si>
    <t>Number of Sister Facilities</t>
  </si>
  <si>
    <t>Combustor Class</t>
  </si>
  <si>
    <t>APCS Detailed Acronym</t>
  </si>
  <si>
    <t>APCS General Class</t>
  </si>
  <si>
    <t>E1</t>
  </si>
  <si>
    <t>E2</t>
  </si>
  <si>
    <t>E3</t>
  </si>
  <si>
    <t>Feedstream Number</t>
  </si>
  <si>
    <t>Feed Class</t>
  </si>
  <si>
    <t>Liq HW</t>
  </si>
  <si>
    <t>NG</t>
  </si>
  <si>
    <t>Chromium (Hex)</t>
  </si>
  <si>
    <t>Combustor Type</t>
  </si>
  <si>
    <t>source</t>
  </si>
  <si>
    <t>cond</t>
  </si>
  <si>
    <t>emiss</t>
  </si>
  <si>
    <t>feed</t>
  </si>
  <si>
    <t>Liquid-fired</t>
  </si>
  <si>
    <t>F1</t>
  </si>
  <si>
    <t>F2</t>
  </si>
  <si>
    <t>F3</t>
  </si>
  <si>
    <t>F4</t>
  </si>
  <si>
    <t>Natural gas, oil</t>
  </si>
  <si>
    <t>Feed Class 2</t>
  </si>
  <si>
    <t>MF</t>
  </si>
  <si>
    <t>Estimated Firing Rate</t>
  </si>
  <si>
    <t>Sunoco Inc. (R&amp;M) Haverhill Plant</t>
  </si>
  <si>
    <t>Watertube boiler. Babcock and Wilcox Model FM-117-97C, 150,000 lb/hr steam, 183 MMBtu/hr</t>
  </si>
  <si>
    <t>Liquid organic wastes (benzene, waste lubricating oil, phenol waste water, AMS distillation bottoms, etc.) D001, D018 and D035</t>
  </si>
  <si>
    <t>fuel oil</t>
  </si>
  <si>
    <t>Adjusted tier I for metals and chlorine</t>
  </si>
  <si>
    <t>May 20-21, 1995</t>
  </si>
  <si>
    <t>Cr only</t>
  </si>
  <si>
    <t xml:space="preserve">CO, DRE </t>
  </si>
  <si>
    <t>CoC; LHC waste fuel low range</t>
  </si>
  <si>
    <t>11/3-4/2001</t>
  </si>
  <si>
    <t>URS Corp.</t>
  </si>
  <si>
    <t>Trial Burn Report, February 2002</t>
  </si>
  <si>
    <t>912C6</t>
  </si>
  <si>
    <t>CoC; LHC waste fuel high range</t>
  </si>
  <si>
    <t>10/31-11/1/2001</t>
  </si>
  <si>
    <t>912C5</t>
  </si>
  <si>
    <t xml:space="preserve">PM, metals, Cr+6, CO </t>
  </si>
  <si>
    <t>10/30-31/2001</t>
  </si>
  <si>
    <t>912C4</t>
  </si>
  <si>
    <t xml:space="preserve">CO </t>
  </si>
  <si>
    <t>Revised Certification of Compliance, January 1999</t>
  </si>
  <si>
    <t>912C3</t>
  </si>
  <si>
    <t>PM, CO</t>
  </si>
  <si>
    <t>912C2</t>
  </si>
  <si>
    <t>Metals</t>
  </si>
  <si>
    <t>sootblow</t>
  </si>
  <si>
    <t>75,4</t>
  </si>
  <si>
    <t>LHC Feed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</si>
</sst>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0.00000"/>
    <numFmt numFmtId="169" formatCode="0.000000000"/>
    <numFmt numFmtId="170" formatCode="0.0000000000"/>
    <numFmt numFmtId="171" formatCode="0.00000000000"/>
    <numFmt numFmtId="172" formatCode="0.00000000"/>
    <numFmt numFmtId="173" formatCode="0.0000000"/>
    <numFmt numFmtId="174" formatCode="0.000000"/>
    <numFmt numFmtId="175" formatCode="mmmm\-yy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vertical="top" wrapText="1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175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B9" sqref="B9"/>
    </sheetView>
  </sheetViews>
  <sheetFormatPr defaultColWidth="9.140625" defaultRowHeight="12.75"/>
  <sheetData>
    <row r="1" ht="12.75">
      <c r="A1" t="s">
        <v>133</v>
      </c>
    </row>
    <row r="2" ht="12.75">
      <c r="A2" t="s">
        <v>134</v>
      </c>
    </row>
    <row r="3" ht="12.75">
      <c r="A3" t="s">
        <v>135</v>
      </c>
    </row>
    <row r="4" ht="12.75">
      <c r="A4" t="s">
        <v>136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51"/>
  <sheetViews>
    <sheetView workbookViewId="0" topLeftCell="B1">
      <selection activeCell="C25" sqref="C25"/>
    </sheetView>
  </sheetViews>
  <sheetFormatPr defaultColWidth="9.140625" defaultRowHeight="12.75"/>
  <cols>
    <col min="1" max="1" width="9.140625" style="13" hidden="1" customWidth="1"/>
    <col min="2" max="2" width="23.8515625" style="13" customWidth="1"/>
    <col min="3" max="3" width="57.8515625" style="13" customWidth="1"/>
    <col min="4" max="16384" width="8.8515625" style="13" customWidth="1"/>
  </cols>
  <sheetData>
    <row r="1" ht="12.75">
      <c r="B1" s="22" t="s">
        <v>89</v>
      </c>
    </row>
    <row r="3" spans="2:3" ht="12.75">
      <c r="B3" s="13" t="s">
        <v>83</v>
      </c>
      <c r="C3" s="23">
        <v>912</v>
      </c>
    </row>
    <row r="4" spans="2:3" ht="12.75">
      <c r="B4" s="13" t="s">
        <v>0</v>
      </c>
      <c r="C4" s="13" t="s">
        <v>1</v>
      </c>
    </row>
    <row r="5" spans="2:3" ht="12.75">
      <c r="B5" s="13" t="s">
        <v>2</v>
      </c>
      <c r="C5" s="13" t="s">
        <v>146</v>
      </c>
    </row>
    <row r="6" ht="12.75">
      <c r="B6" s="13" t="s">
        <v>3</v>
      </c>
    </row>
    <row r="7" spans="2:3" ht="12.75">
      <c r="B7" s="13" t="s">
        <v>4</v>
      </c>
      <c r="C7" s="13" t="s">
        <v>5</v>
      </c>
    </row>
    <row r="8" spans="2:3" ht="12.75">
      <c r="B8" s="13" t="s">
        <v>6</v>
      </c>
      <c r="C8" s="13" t="s">
        <v>7</v>
      </c>
    </row>
    <row r="9" spans="2:3" ht="12.75">
      <c r="B9" s="13" t="s">
        <v>8</v>
      </c>
      <c r="C9" s="13" t="s">
        <v>57</v>
      </c>
    </row>
    <row r="10" spans="2:3" ht="12.75">
      <c r="B10" s="13" t="s">
        <v>9</v>
      </c>
      <c r="C10" s="13" t="s">
        <v>12</v>
      </c>
    </row>
    <row r="11" spans="2:3" ht="12.75">
      <c r="B11" s="13" t="s">
        <v>120</v>
      </c>
      <c r="C11" s="23">
        <v>0</v>
      </c>
    </row>
    <row r="12" spans="2:3" ht="12.75">
      <c r="B12" s="13" t="s">
        <v>121</v>
      </c>
      <c r="C12" s="13" t="s">
        <v>119</v>
      </c>
    </row>
    <row r="13" spans="2:3" ht="12.75">
      <c r="B13" s="13" t="s">
        <v>132</v>
      </c>
      <c r="C13" s="13" t="s">
        <v>137</v>
      </c>
    </row>
    <row r="14" spans="2:3" s="28" customFormat="1" ht="25.5">
      <c r="B14" s="28" t="s">
        <v>71</v>
      </c>
      <c r="C14" s="28" t="s">
        <v>147</v>
      </c>
    </row>
    <row r="15" spans="2:3" s="28" customFormat="1" ht="12.75">
      <c r="B15" s="28" t="s">
        <v>80</v>
      </c>
      <c r="C15" s="29">
        <v>183</v>
      </c>
    </row>
    <row r="16" spans="2:3" ht="12.75">
      <c r="B16" s="13" t="s">
        <v>10</v>
      </c>
      <c r="C16" s="13" t="s">
        <v>11</v>
      </c>
    </row>
    <row r="17" spans="2:3" ht="12.75">
      <c r="B17" s="13" t="s">
        <v>122</v>
      </c>
      <c r="C17" s="13" t="s">
        <v>12</v>
      </c>
    </row>
    <row r="18" ht="12.75">
      <c r="B18" s="13" t="s">
        <v>123</v>
      </c>
    </row>
    <row r="19" spans="2:3" ht="12.75">
      <c r="B19" s="13" t="s">
        <v>13</v>
      </c>
      <c r="C19" s="13" t="s">
        <v>14</v>
      </c>
    </row>
    <row r="20" spans="2:3" ht="12.75">
      <c r="B20" s="13" t="s">
        <v>73</v>
      </c>
      <c r="C20" s="13" t="s">
        <v>72</v>
      </c>
    </row>
    <row r="21" spans="2:3" s="28" customFormat="1" ht="25.5">
      <c r="B21" s="28" t="s">
        <v>74</v>
      </c>
      <c r="C21" s="28" t="s">
        <v>148</v>
      </c>
    </row>
    <row r="22" spans="2:3" ht="12.75">
      <c r="B22" s="13" t="s">
        <v>75</v>
      </c>
      <c r="C22" s="13" t="s">
        <v>142</v>
      </c>
    </row>
    <row r="23" ht="12.75" customHeight="1">
      <c r="C23" s="13" t="s">
        <v>149</v>
      </c>
    </row>
    <row r="24" ht="12.75" customHeight="1"/>
    <row r="25" ht="12.75">
      <c r="B25" s="13" t="s">
        <v>15</v>
      </c>
    </row>
    <row r="26" spans="2:3" ht="12.75">
      <c r="B26" s="13" t="s">
        <v>16</v>
      </c>
      <c r="C26" s="24">
        <v>6.3</v>
      </c>
    </row>
    <row r="27" spans="2:3" ht="12.75">
      <c r="B27" s="13" t="s">
        <v>17</v>
      </c>
      <c r="C27" s="24">
        <v>50</v>
      </c>
    </row>
    <row r="28" spans="2:3" ht="12.75">
      <c r="B28" s="13" t="s">
        <v>76</v>
      </c>
      <c r="C28" s="25">
        <f>12.6/0.3048</f>
        <v>41.33858267716535</v>
      </c>
    </row>
    <row r="29" spans="2:3" ht="12.75">
      <c r="B29" s="13" t="s">
        <v>77</v>
      </c>
      <c r="C29" s="23">
        <f>480</f>
        <v>480</v>
      </c>
    </row>
    <row r="30" ht="12.75" customHeight="1"/>
    <row r="31" spans="2:3" ht="12.75">
      <c r="B31" s="13" t="s">
        <v>18</v>
      </c>
      <c r="C31" s="13" t="s">
        <v>150</v>
      </c>
    </row>
    <row r="32" s="35" customFormat="1" ht="25.5">
      <c r="B32" s="35" t="s">
        <v>113</v>
      </c>
    </row>
    <row r="33" ht="12.75" customHeight="1"/>
    <row r="43" ht="12.75">
      <c r="C43" s="27"/>
    </row>
    <row r="47" ht="12.75">
      <c r="C47" s="27"/>
    </row>
    <row r="51" ht="12.75">
      <c r="C51" s="27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61"/>
  <sheetViews>
    <sheetView workbookViewId="0" topLeftCell="B1">
      <selection activeCell="B18" sqref="B18"/>
    </sheetView>
  </sheetViews>
  <sheetFormatPr defaultColWidth="9.140625" defaultRowHeight="12.75"/>
  <cols>
    <col min="1" max="1" width="9.140625" style="0" hidden="1" customWidth="1"/>
    <col min="2" max="2" width="23.00390625" style="0" customWidth="1"/>
    <col min="3" max="3" width="48.57421875" style="0" customWidth="1"/>
  </cols>
  <sheetData>
    <row r="1" ht="12.75">
      <c r="B1" s="32" t="s">
        <v>118</v>
      </c>
    </row>
    <row r="3" ht="12.75">
      <c r="B3" s="33" t="s">
        <v>56</v>
      </c>
    </row>
    <row r="4" s="13" customFormat="1" ht="12.75"/>
    <row r="5" spans="2:3" s="13" customFormat="1" ht="12.75">
      <c r="B5" s="13" t="s">
        <v>19</v>
      </c>
      <c r="C5" s="26" t="s">
        <v>20</v>
      </c>
    </row>
    <row r="6" spans="2:3" s="13" customFormat="1" ht="12.75">
      <c r="B6" s="13" t="s">
        <v>21</v>
      </c>
      <c r="C6" s="13" t="s">
        <v>22</v>
      </c>
    </row>
    <row r="7" spans="2:3" s="13" customFormat="1" ht="12.75">
      <c r="B7" s="13" t="s">
        <v>23</v>
      </c>
      <c r="C7" s="13" t="s">
        <v>24</v>
      </c>
    </row>
    <row r="8" spans="2:3" s="13" customFormat="1" ht="12.75">
      <c r="B8" s="13" t="s">
        <v>58</v>
      </c>
      <c r="C8" s="27" t="s">
        <v>151</v>
      </c>
    </row>
    <row r="9" spans="2:3" s="13" customFormat="1" ht="12.75">
      <c r="B9" s="13" t="s">
        <v>117</v>
      </c>
      <c r="C9" s="36">
        <v>34820</v>
      </c>
    </row>
    <row r="10" spans="2:3" s="13" customFormat="1" ht="12.75">
      <c r="B10" s="13" t="s">
        <v>25</v>
      </c>
      <c r="C10" s="13" t="s">
        <v>79</v>
      </c>
    </row>
    <row r="11" spans="2:3" s="13" customFormat="1" ht="12.75">
      <c r="B11" s="13" t="s">
        <v>26</v>
      </c>
      <c r="C11" s="13" t="s">
        <v>27</v>
      </c>
    </row>
    <row r="13" ht="12.75">
      <c r="B13" s="33" t="s">
        <v>169</v>
      </c>
    </row>
    <row r="14" spans="2:3" ht="12.75">
      <c r="B14" s="13"/>
      <c r="C14" s="13"/>
    </row>
    <row r="15" spans="2:3" ht="12.75">
      <c r="B15" s="13" t="s">
        <v>19</v>
      </c>
      <c r="C15" s="26" t="s">
        <v>166</v>
      </c>
    </row>
    <row r="16" spans="2:3" ht="12.75">
      <c r="B16" s="13" t="s">
        <v>21</v>
      </c>
      <c r="C16" s="13" t="s">
        <v>22</v>
      </c>
    </row>
    <row r="17" spans="2:3" ht="12.75">
      <c r="B17" s="13" t="s">
        <v>23</v>
      </c>
      <c r="C17" s="13" t="s">
        <v>24</v>
      </c>
    </row>
    <row r="18" spans="2:3" ht="12.75">
      <c r="B18" s="13" t="s">
        <v>58</v>
      </c>
      <c r="C18" s="27">
        <v>35985</v>
      </c>
    </row>
    <row r="19" spans="2:3" ht="12.75">
      <c r="B19" s="13" t="s">
        <v>117</v>
      </c>
      <c r="C19" s="36">
        <v>35977</v>
      </c>
    </row>
    <row r="20" spans="2:3" ht="12.75">
      <c r="B20" s="13" t="s">
        <v>25</v>
      </c>
      <c r="C20" s="13" t="s">
        <v>79</v>
      </c>
    </row>
    <row r="21" spans="2:3" ht="12.75">
      <c r="B21" s="13" t="s">
        <v>26</v>
      </c>
      <c r="C21" s="13" t="s">
        <v>168</v>
      </c>
    </row>
    <row r="23" ht="12.75">
      <c r="B23" s="33" t="s">
        <v>167</v>
      </c>
    </row>
    <row r="24" spans="2:3" ht="12.75">
      <c r="B24" s="13"/>
      <c r="C24" s="13"/>
    </row>
    <row r="25" spans="2:3" ht="12.75">
      <c r="B25" s="13" t="s">
        <v>19</v>
      </c>
      <c r="C25" s="26" t="s">
        <v>166</v>
      </c>
    </row>
    <row r="26" spans="2:3" ht="12.75">
      <c r="B26" s="13" t="s">
        <v>21</v>
      </c>
      <c r="C26" s="13" t="s">
        <v>22</v>
      </c>
    </row>
    <row r="27" spans="2:3" ht="12.75">
      <c r="B27" s="13" t="s">
        <v>23</v>
      </c>
      <c r="C27" s="13" t="s">
        <v>24</v>
      </c>
    </row>
    <row r="28" spans="2:3" ht="12.75">
      <c r="B28" s="13" t="s">
        <v>58</v>
      </c>
      <c r="C28" s="27">
        <v>36076</v>
      </c>
    </row>
    <row r="29" spans="2:3" ht="12.75">
      <c r="B29" s="13" t="s">
        <v>117</v>
      </c>
      <c r="C29" s="36">
        <v>36069</v>
      </c>
    </row>
    <row r="30" spans="2:3" ht="12.75">
      <c r="B30" s="13" t="s">
        <v>25</v>
      </c>
      <c r="C30" s="13" t="s">
        <v>79</v>
      </c>
    </row>
    <row r="31" spans="2:3" ht="12.75">
      <c r="B31" s="13" t="s">
        <v>26</v>
      </c>
      <c r="C31" s="13" t="s">
        <v>165</v>
      </c>
    </row>
    <row r="33" ht="12.75">
      <c r="B33" s="33" t="s">
        <v>164</v>
      </c>
    </row>
    <row r="34" spans="2:3" ht="12.75">
      <c r="B34" s="13"/>
      <c r="C34" s="13"/>
    </row>
    <row r="35" spans="2:3" ht="12.75">
      <c r="B35" s="13" t="s">
        <v>19</v>
      </c>
      <c r="C35" s="26" t="s">
        <v>157</v>
      </c>
    </row>
    <row r="36" spans="2:3" ht="12.75">
      <c r="B36" s="13" t="s">
        <v>21</v>
      </c>
      <c r="C36" s="13" t="s">
        <v>156</v>
      </c>
    </row>
    <row r="37" spans="2:3" ht="12.75">
      <c r="B37" s="13" t="s">
        <v>23</v>
      </c>
      <c r="C37" s="13" t="s">
        <v>156</v>
      </c>
    </row>
    <row r="38" spans="2:3" ht="12.75">
      <c r="B38" s="13" t="s">
        <v>58</v>
      </c>
      <c r="C38" s="27" t="s">
        <v>163</v>
      </c>
    </row>
    <row r="39" spans="2:3" ht="12.75">
      <c r="B39" s="13" t="s">
        <v>117</v>
      </c>
      <c r="C39" s="36">
        <v>37165</v>
      </c>
    </row>
    <row r="40" spans="2:3" ht="12.75">
      <c r="B40" s="13" t="s">
        <v>25</v>
      </c>
      <c r="C40" s="13" t="s">
        <v>159</v>
      </c>
    </row>
    <row r="41" spans="2:3" ht="12.75">
      <c r="B41" s="13" t="s">
        <v>26</v>
      </c>
      <c r="C41" s="13" t="s">
        <v>162</v>
      </c>
    </row>
    <row r="43" ht="12.75">
      <c r="B43" s="33" t="s">
        <v>161</v>
      </c>
    </row>
    <row r="44" spans="2:3" ht="12.75">
      <c r="B44" s="13"/>
      <c r="C44" s="13"/>
    </row>
    <row r="45" spans="2:3" ht="12.75">
      <c r="B45" s="13" t="s">
        <v>19</v>
      </c>
      <c r="C45" s="26" t="s">
        <v>157</v>
      </c>
    </row>
    <row r="46" spans="2:3" ht="12.75">
      <c r="B46" s="13" t="s">
        <v>21</v>
      </c>
      <c r="C46" s="13" t="s">
        <v>156</v>
      </c>
    </row>
    <row r="47" spans="2:3" ht="12.75">
      <c r="B47" s="13" t="s">
        <v>23</v>
      </c>
      <c r="C47" s="13" t="s">
        <v>156</v>
      </c>
    </row>
    <row r="48" spans="2:3" ht="12.75">
      <c r="B48" s="13" t="s">
        <v>58</v>
      </c>
      <c r="C48" s="27" t="s">
        <v>160</v>
      </c>
    </row>
    <row r="49" spans="2:3" ht="12.75">
      <c r="B49" s="13" t="s">
        <v>117</v>
      </c>
      <c r="C49" s="36">
        <v>37165</v>
      </c>
    </row>
    <row r="50" spans="2:3" ht="12.75">
      <c r="B50" s="13" t="s">
        <v>25</v>
      </c>
      <c r="C50" s="13" t="s">
        <v>159</v>
      </c>
    </row>
    <row r="51" spans="2:3" ht="12.75">
      <c r="B51" s="13" t="s">
        <v>26</v>
      </c>
      <c r="C51" s="13" t="s">
        <v>153</v>
      </c>
    </row>
    <row r="53" ht="12.75">
      <c r="B53" s="33" t="s">
        <v>158</v>
      </c>
    </row>
    <row r="54" spans="2:3" ht="12.75">
      <c r="B54" s="13"/>
      <c r="C54" s="13"/>
    </row>
    <row r="55" spans="2:3" ht="12.75">
      <c r="B55" s="13" t="s">
        <v>19</v>
      </c>
      <c r="C55" s="26" t="s">
        <v>157</v>
      </c>
    </row>
    <row r="56" spans="2:3" ht="12.75">
      <c r="B56" s="13" t="s">
        <v>21</v>
      </c>
      <c r="C56" s="13" t="s">
        <v>156</v>
      </c>
    </row>
    <row r="57" spans="2:3" ht="12.75">
      <c r="B57" s="13" t="s">
        <v>23</v>
      </c>
      <c r="C57" s="13" t="s">
        <v>156</v>
      </c>
    </row>
    <row r="58" spans="2:3" ht="12.75">
      <c r="B58" s="13" t="s">
        <v>58</v>
      </c>
      <c r="C58" s="27" t="s">
        <v>155</v>
      </c>
    </row>
    <row r="59" spans="2:3" ht="12.75">
      <c r="B59" s="13" t="s">
        <v>117</v>
      </c>
      <c r="C59" s="36">
        <v>37196</v>
      </c>
    </row>
    <row r="60" spans="2:3" ht="12.75">
      <c r="B60" s="13" t="s">
        <v>25</v>
      </c>
      <c r="C60" s="13" t="s">
        <v>154</v>
      </c>
    </row>
    <row r="61" spans="2:3" ht="12.75">
      <c r="B61" s="13" t="s">
        <v>26</v>
      </c>
      <c r="C61" s="13" t="s">
        <v>153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96"/>
  <sheetViews>
    <sheetView zoomScale="75" zoomScaleNormal="75" workbookViewId="0" topLeftCell="B1">
      <selection activeCell="B58" sqref="B58"/>
    </sheetView>
  </sheetViews>
  <sheetFormatPr defaultColWidth="9.140625" defaultRowHeight="12.75"/>
  <cols>
    <col min="1" max="1" width="9.140625" style="11" hidden="1" customWidth="1"/>
    <col min="2" max="3" width="21.140625" style="11" customWidth="1"/>
    <col min="4" max="4" width="8.8515625" style="10" customWidth="1"/>
    <col min="5" max="5" width="6.00390625" style="10" customWidth="1"/>
    <col min="6" max="6" width="3.00390625" style="10" customWidth="1"/>
    <col min="7" max="7" width="8.8515625" style="11" customWidth="1"/>
    <col min="8" max="8" width="2.57421875" style="11" customWidth="1"/>
    <col min="9" max="9" width="8.8515625" style="11" customWidth="1"/>
    <col min="10" max="10" width="2.8515625" style="11" customWidth="1"/>
    <col min="11" max="11" width="10.140625" style="11" customWidth="1"/>
    <col min="12" max="12" width="3.00390625" style="11" customWidth="1"/>
    <col min="13" max="13" width="8.8515625" style="11" customWidth="1"/>
    <col min="14" max="14" width="3.00390625" style="11" customWidth="1"/>
    <col min="15" max="16384" width="8.8515625" style="11" customWidth="1"/>
  </cols>
  <sheetData>
    <row r="1" spans="2:3" ht="12.75">
      <c r="B1" s="9" t="s">
        <v>68</v>
      </c>
      <c r="C1" s="9"/>
    </row>
    <row r="2" spans="2:12" ht="12.75">
      <c r="B2" s="12"/>
      <c r="C2" s="12"/>
      <c r="G2" s="12"/>
      <c r="H2" s="12"/>
      <c r="I2" s="12"/>
      <c r="J2" s="12"/>
      <c r="K2" s="12"/>
      <c r="L2" s="12"/>
    </row>
    <row r="3" spans="2:13" ht="12.75">
      <c r="B3" s="13"/>
      <c r="C3" s="13" t="s">
        <v>92</v>
      </c>
      <c r="D3" s="10" t="s">
        <v>28</v>
      </c>
      <c r="E3" s="10" t="s">
        <v>84</v>
      </c>
      <c r="G3" s="12"/>
      <c r="H3" s="12"/>
      <c r="I3" s="12"/>
      <c r="J3" s="12"/>
      <c r="K3" s="12"/>
      <c r="L3" s="14"/>
      <c r="M3" s="14"/>
    </row>
    <row r="4" spans="2:13" ht="12.75">
      <c r="B4" s="13"/>
      <c r="C4" s="13"/>
      <c r="G4" s="12"/>
      <c r="H4" s="12"/>
      <c r="I4" s="12"/>
      <c r="J4" s="12"/>
      <c r="K4" s="12"/>
      <c r="L4" s="14"/>
      <c r="M4" s="14"/>
    </row>
    <row r="5" spans="2:13" ht="12.75">
      <c r="B5" s="13"/>
      <c r="C5" s="13"/>
      <c r="G5" s="12"/>
      <c r="H5" s="12"/>
      <c r="I5" s="12"/>
      <c r="J5" s="12"/>
      <c r="K5" s="12"/>
      <c r="L5" s="14"/>
      <c r="M5" s="14"/>
    </row>
    <row r="6" spans="1:13" ht="12.75">
      <c r="A6" s="11">
        <v>1</v>
      </c>
      <c r="B6" s="15" t="s">
        <v>56</v>
      </c>
      <c r="C6" s="15"/>
      <c r="G6" s="12" t="s">
        <v>114</v>
      </c>
      <c r="H6" s="12"/>
      <c r="I6" s="12" t="s">
        <v>115</v>
      </c>
      <c r="J6" s="12"/>
      <c r="K6" s="12" t="s">
        <v>116</v>
      </c>
      <c r="L6" s="14"/>
      <c r="M6" s="14" t="s">
        <v>41</v>
      </c>
    </row>
    <row r="7" spans="2:13" ht="12.75">
      <c r="B7" s="10"/>
      <c r="C7" s="10"/>
      <c r="D7" s="13"/>
      <c r="E7" s="13"/>
      <c r="F7" s="13"/>
      <c r="G7" s="13"/>
      <c r="H7" s="13"/>
      <c r="I7" s="13"/>
      <c r="J7" s="13"/>
      <c r="K7" s="13"/>
      <c r="L7" s="14"/>
      <c r="M7" s="14"/>
    </row>
    <row r="8" spans="2:13" ht="12.75">
      <c r="B8" s="10" t="s">
        <v>29</v>
      </c>
      <c r="C8" s="10" t="s">
        <v>124</v>
      </c>
      <c r="D8" s="10" t="s">
        <v>30</v>
      </c>
      <c r="E8" s="10" t="s">
        <v>31</v>
      </c>
      <c r="G8" s="14">
        <v>0.0195</v>
      </c>
      <c r="H8" s="14"/>
      <c r="I8" s="14">
        <v>0.0194</v>
      </c>
      <c r="J8" s="14"/>
      <c r="K8" s="14">
        <v>0.0303</v>
      </c>
      <c r="L8" s="14"/>
      <c r="M8" s="14">
        <v>0.0222</v>
      </c>
    </row>
    <row r="9" spans="2:13" ht="12.75">
      <c r="B9" s="10" t="s">
        <v>97</v>
      </c>
      <c r="C9" s="10" t="s">
        <v>124</v>
      </c>
      <c r="D9" s="10" t="s">
        <v>32</v>
      </c>
      <c r="E9" s="10" t="s">
        <v>31</v>
      </c>
      <c r="G9" s="14">
        <v>32.5</v>
      </c>
      <c r="H9" s="14"/>
      <c r="I9" s="14">
        <v>35.9</v>
      </c>
      <c r="J9" s="14"/>
      <c r="K9" s="14">
        <v>27.7</v>
      </c>
      <c r="L9" s="14"/>
      <c r="M9" s="16">
        <f>AVERAGE(K9,I9,G9)</f>
        <v>32.03333333333333</v>
      </c>
    </row>
    <row r="10" spans="2:13" ht="12.75">
      <c r="B10" s="10" t="s">
        <v>98</v>
      </c>
      <c r="C10" s="10" t="s">
        <v>124</v>
      </c>
      <c r="D10" s="10" t="s">
        <v>32</v>
      </c>
      <c r="E10" s="10" t="s">
        <v>31</v>
      </c>
      <c r="G10" s="14">
        <v>37.8</v>
      </c>
      <c r="H10" s="14"/>
      <c r="I10" s="14">
        <v>31.7</v>
      </c>
      <c r="J10" s="14"/>
      <c r="K10" s="14">
        <v>36.6</v>
      </c>
      <c r="L10" s="14"/>
      <c r="M10" s="16">
        <f>AVERAGE(K10,I10,G10)</f>
        <v>35.36666666666667</v>
      </c>
    </row>
    <row r="11" spans="2:13" ht="12.75">
      <c r="B11" s="10" t="s">
        <v>33</v>
      </c>
      <c r="C11" s="10"/>
      <c r="D11" s="10" t="s">
        <v>34</v>
      </c>
      <c r="E11" s="10" t="s">
        <v>35</v>
      </c>
      <c r="G11" s="14">
        <v>912</v>
      </c>
      <c r="H11" s="14"/>
      <c r="I11" s="14">
        <v>980.1</v>
      </c>
      <c r="J11" s="14"/>
      <c r="K11" s="14">
        <v>972.8</v>
      </c>
      <c r="L11" s="14"/>
      <c r="M11" s="14">
        <v>952.8</v>
      </c>
    </row>
    <row r="12" spans="2:13" ht="12.75">
      <c r="B12" s="10" t="s">
        <v>36</v>
      </c>
      <c r="C12" s="10"/>
      <c r="D12" s="10" t="s">
        <v>34</v>
      </c>
      <c r="E12" s="10" t="s">
        <v>35</v>
      </c>
      <c r="G12" s="14">
        <v>11.2</v>
      </c>
      <c r="H12" s="14" t="s">
        <v>37</v>
      </c>
      <c r="I12" s="14">
        <v>8.1</v>
      </c>
      <c r="J12" s="14"/>
      <c r="K12" s="14">
        <v>8.9</v>
      </c>
      <c r="L12" s="14"/>
      <c r="M12" s="14">
        <v>9.4</v>
      </c>
    </row>
    <row r="13" spans="2:13" ht="12.75">
      <c r="B13" s="10" t="s">
        <v>131</v>
      </c>
      <c r="C13" s="10"/>
      <c r="D13" s="10" t="s">
        <v>34</v>
      </c>
      <c r="E13" s="10" t="s">
        <v>35</v>
      </c>
      <c r="G13" s="14">
        <v>2.11</v>
      </c>
      <c r="H13" s="14"/>
      <c r="I13" s="14">
        <v>0.17</v>
      </c>
      <c r="J13" s="14"/>
      <c r="K13" s="14">
        <v>0.12</v>
      </c>
      <c r="L13" s="14"/>
      <c r="M13" s="11">
        <v>0.16</v>
      </c>
    </row>
    <row r="14" spans="2:13" ht="12.75">
      <c r="B14" s="10" t="s">
        <v>99</v>
      </c>
      <c r="C14" s="10"/>
      <c r="D14" s="10" t="s">
        <v>34</v>
      </c>
      <c r="E14" s="10" t="s">
        <v>35</v>
      </c>
      <c r="G14" s="14">
        <v>0.42</v>
      </c>
      <c r="H14" s="14"/>
      <c r="I14" s="14">
        <v>0.24</v>
      </c>
      <c r="J14" s="14"/>
      <c r="K14" s="14">
        <v>0.46</v>
      </c>
      <c r="L14" s="14"/>
      <c r="M14" s="11">
        <v>0.3</v>
      </c>
    </row>
    <row r="15" spans="2:12" ht="12.75">
      <c r="B15" s="10"/>
      <c r="C15" s="10"/>
      <c r="G15" s="14"/>
      <c r="H15" s="14"/>
      <c r="I15" s="14"/>
      <c r="J15" s="14"/>
      <c r="K15" s="14"/>
      <c r="L15" s="14"/>
    </row>
    <row r="16" spans="2:12" ht="12.75">
      <c r="B16" s="10"/>
      <c r="C16" s="10"/>
      <c r="G16" s="14"/>
      <c r="H16" s="14"/>
      <c r="I16" s="14"/>
      <c r="J16" s="14"/>
      <c r="K16" s="14"/>
      <c r="L16" s="14"/>
    </row>
    <row r="17" spans="2:12" ht="12.75">
      <c r="B17" s="10" t="s">
        <v>100</v>
      </c>
      <c r="C17" s="10" t="s">
        <v>93</v>
      </c>
      <c r="D17" s="10" t="s">
        <v>124</v>
      </c>
      <c r="G17" s="14"/>
      <c r="H17" s="14"/>
      <c r="I17" s="14"/>
      <c r="J17" s="14"/>
      <c r="K17" s="14"/>
      <c r="L17" s="14"/>
    </row>
    <row r="18" spans="2:13" ht="12.75">
      <c r="B18" s="10" t="s">
        <v>91</v>
      </c>
      <c r="C18" s="10"/>
      <c r="D18" s="10" t="s">
        <v>38</v>
      </c>
      <c r="G18" s="14">
        <v>32628</v>
      </c>
      <c r="H18" s="14"/>
      <c r="I18" s="17">
        <v>32386</v>
      </c>
      <c r="J18" s="17"/>
      <c r="K18" s="14">
        <v>32339</v>
      </c>
      <c r="L18" s="14"/>
      <c r="M18" s="16">
        <f>AVERAGE(K18,I18,G18)</f>
        <v>32451</v>
      </c>
    </row>
    <row r="19" spans="2:13" ht="12.75">
      <c r="B19" s="10" t="s">
        <v>94</v>
      </c>
      <c r="C19" s="10"/>
      <c r="D19" s="10" t="s">
        <v>39</v>
      </c>
      <c r="G19" s="14">
        <v>3.2</v>
      </c>
      <c r="H19" s="14"/>
      <c r="I19" s="14">
        <v>3.57</v>
      </c>
      <c r="J19" s="14"/>
      <c r="K19" s="14">
        <v>3.43</v>
      </c>
      <c r="L19" s="14"/>
      <c r="M19" s="16">
        <f>AVERAGE(K19,I19,G19)</f>
        <v>3.4</v>
      </c>
    </row>
    <row r="20" spans="2:13" ht="12.75">
      <c r="B20" s="10" t="s">
        <v>95</v>
      </c>
      <c r="C20" s="10"/>
      <c r="D20" s="10" t="s">
        <v>39</v>
      </c>
      <c r="G20" s="14">
        <v>11.7</v>
      </c>
      <c r="H20" s="14"/>
      <c r="I20" s="14">
        <v>12.4</v>
      </c>
      <c r="J20" s="14"/>
      <c r="K20" s="14">
        <v>12.5</v>
      </c>
      <c r="L20" s="14"/>
      <c r="M20" s="16">
        <f>AVERAGE(K20,I20,G20)</f>
        <v>12.199999999999998</v>
      </c>
    </row>
    <row r="21" spans="2:13" ht="12.75">
      <c r="B21" s="10" t="s">
        <v>90</v>
      </c>
      <c r="C21" s="10"/>
      <c r="D21" s="10" t="s">
        <v>40</v>
      </c>
      <c r="G21" s="14">
        <v>466</v>
      </c>
      <c r="H21" s="14"/>
      <c r="I21" s="14">
        <v>471</v>
      </c>
      <c r="J21" s="14"/>
      <c r="K21" s="14">
        <v>472</v>
      </c>
      <c r="L21" s="14"/>
      <c r="M21" s="16">
        <f>AVERAGE(K21,I21,G21)</f>
        <v>469.6666666666667</v>
      </c>
    </row>
    <row r="22" spans="2:12" ht="12.75">
      <c r="B22" s="10"/>
      <c r="C22" s="10"/>
      <c r="G22" s="14"/>
      <c r="H22" s="14"/>
      <c r="I22" s="14"/>
      <c r="J22" s="14"/>
      <c r="K22" s="14"/>
      <c r="L22" s="14"/>
    </row>
    <row r="23" spans="2:12" ht="12.75">
      <c r="B23" s="10" t="s">
        <v>100</v>
      </c>
      <c r="C23" s="10" t="s">
        <v>82</v>
      </c>
      <c r="D23" s="10" t="s">
        <v>125</v>
      </c>
      <c r="G23" s="14"/>
      <c r="H23" s="14"/>
      <c r="I23" s="14"/>
      <c r="J23" s="14"/>
      <c r="K23" s="14"/>
      <c r="L23" s="14"/>
    </row>
    <row r="24" spans="2:13" ht="12.75">
      <c r="B24" s="10" t="s">
        <v>91</v>
      </c>
      <c r="C24" s="10"/>
      <c r="D24" s="10" t="s">
        <v>38</v>
      </c>
      <c r="G24" s="18">
        <v>30209</v>
      </c>
      <c r="H24" s="18"/>
      <c r="I24" s="19">
        <v>32612</v>
      </c>
      <c r="J24" s="19"/>
      <c r="K24" s="18">
        <v>34050</v>
      </c>
      <c r="L24" s="14"/>
      <c r="M24" s="16">
        <f>AVERAGE(K24,I24,G24)</f>
        <v>32290.333333333332</v>
      </c>
    </row>
    <row r="25" spans="2:13" ht="12.75">
      <c r="B25" s="10" t="s">
        <v>94</v>
      </c>
      <c r="C25" s="10"/>
      <c r="D25" s="10" t="s">
        <v>39</v>
      </c>
      <c r="G25" s="18">
        <v>3.2</v>
      </c>
      <c r="H25" s="18"/>
      <c r="I25" s="18">
        <v>3.57</v>
      </c>
      <c r="J25" s="18"/>
      <c r="K25" s="18">
        <v>3.43</v>
      </c>
      <c r="L25" s="14"/>
      <c r="M25" s="16">
        <f>AVERAGE(K25,I25,G25)</f>
        <v>3.4</v>
      </c>
    </row>
    <row r="26" spans="2:13" ht="12.75">
      <c r="B26" s="10" t="s">
        <v>95</v>
      </c>
      <c r="C26" s="10"/>
      <c r="D26" s="10" t="s">
        <v>39</v>
      </c>
      <c r="G26" s="18">
        <v>10.1</v>
      </c>
      <c r="H26" s="18"/>
      <c r="I26" s="18">
        <v>10</v>
      </c>
      <c r="J26" s="18"/>
      <c r="K26" s="18">
        <v>8</v>
      </c>
      <c r="L26" s="14"/>
      <c r="M26" s="16">
        <f>AVERAGE(K26,I26,G26)</f>
        <v>9.366666666666667</v>
      </c>
    </row>
    <row r="27" spans="2:13" ht="12.75">
      <c r="B27" s="10" t="s">
        <v>90</v>
      </c>
      <c r="C27" s="10"/>
      <c r="D27" s="10" t="s">
        <v>40</v>
      </c>
      <c r="G27" s="18">
        <v>469</v>
      </c>
      <c r="H27" s="18"/>
      <c r="I27" s="18">
        <v>473</v>
      </c>
      <c r="J27" s="18"/>
      <c r="K27" s="18">
        <v>472</v>
      </c>
      <c r="L27" s="14"/>
      <c r="M27" s="16">
        <f>AVERAGE(K27,I27,G27)</f>
        <v>471.3333333333333</v>
      </c>
    </row>
    <row r="28" spans="7:13" ht="12.75">
      <c r="G28" s="12"/>
      <c r="H28" s="12"/>
      <c r="I28" s="12"/>
      <c r="J28" s="12"/>
      <c r="K28" s="12"/>
      <c r="L28" s="14"/>
      <c r="M28" s="14"/>
    </row>
    <row r="29" spans="2:13" ht="12.75">
      <c r="B29" s="10" t="s">
        <v>100</v>
      </c>
      <c r="C29" s="10" t="s">
        <v>54</v>
      </c>
      <c r="D29" s="10" t="s">
        <v>126</v>
      </c>
      <c r="G29" s="14"/>
      <c r="H29" s="14"/>
      <c r="I29" s="14"/>
      <c r="J29" s="14"/>
      <c r="K29" s="14"/>
      <c r="L29" s="14"/>
      <c r="M29" s="14"/>
    </row>
    <row r="30" spans="2:13" ht="12.75">
      <c r="B30" s="10" t="s">
        <v>91</v>
      </c>
      <c r="C30" s="10"/>
      <c r="D30" s="10" t="s">
        <v>38</v>
      </c>
      <c r="G30" s="18">
        <v>32628</v>
      </c>
      <c r="H30" s="18"/>
      <c r="I30" s="19">
        <v>32386</v>
      </c>
      <c r="J30" s="19"/>
      <c r="K30" s="18">
        <v>32339</v>
      </c>
      <c r="L30" s="14"/>
      <c r="M30" s="16">
        <f>AVERAGE(K30,I30,G30)</f>
        <v>32451</v>
      </c>
    </row>
    <row r="31" spans="2:13" ht="12.75">
      <c r="B31" s="10" t="s">
        <v>94</v>
      </c>
      <c r="C31" s="10"/>
      <c r="D31" s="10" t="s">
        <v>39</v>
      </c>
      <c r="G31" s="18">
        <v>3.2</v>
      </c>
      <c r="H31" s="18"/>
      <c r="I31" s="18">
        <v>3.57</v>
      </c>
      <c r="J31" s="18"/>
      <c r="K31" s="18">
        <v>3.43</v>
      </c>
      <c r="L31" s="14"/>
      <c r="M31" s="16">
        <f>AVERAGE(K31,I31,G31)</f>
        <v>3.4</v>
      </c>
    </row>
    <row r="32" spans="2:13" ht="12.75">
      <c r="B32" s="10" t="s">
        <v>95</v>
      </c>
      <c r="C32" s="10"/>
      <c r="D32" s="10" t="s">
        <v>39</v>
      </c>
      <c r="G32" s="18">
        <v>11.7</v>
      </c>
      <c r="H32" s="18"/>
      <c r="I32" s="18">
        <v>12.4</v>
      </c>
      <c r="J32" s="18"/>
      <c r="K32" s="18">
        <v>12.5</v>
      </c>
      <c r="L32" s="14"/>
      <c r="M32" s="16">
        <f>AVERAGE(K32,I32,G32)</f>
        <v>12.199999999999998</v>
      </c>
    </row>
    <row r="33" spans="2:13" ht="12.75">
      <c r="B33" s="10" t="s">
        <v>90</v>
      </c>
      <c r="C33" s="10"/>
      <c r="D33" s="10" t="s">
        <v>40</v>
      </c>
      <c r="G33" s="18">
        <v>466</v>
      </c>
      <c r="H33" s="18"/>
      <c r="I33" s="18">
        <v>471</v>
      </c>
      <c r="J33" s="18"/>
      <c r="K33" s="18">
        <v>472</v>
      </c>
      <c r="M33" s="16">
        <f>AVERAGE(K33,I33,G33)</f>
        <v>469.6666666666667</v>
      </c>
    </row>
    <row r="35" spans="2:13" ht="12.75">
      <c r="B35" s="11" t="s">
        <v>33</v>
      </c>
      <c r="C35" s="11" t="s">
        <v>124</v>
      </c>
      <c r="D35" s="10" t="s">
        <v>32</v>
      </c>
      <c r="E35" s="10" t="s">
        <v>31</v>
      </c>
      <c r="G35" s="20">
        <f>G11/60/G18/0.0283*(21-7)/(21-G19)*667.8</f>
        <v>8.646117770959941</v>
      </c>
      <c r="I35" s="20">
        <f>I11/60/I18/0.0283*(21-7)/(21-I19)*667.8</f>
        <v>9.559880312246447</v>
      </c>
      <c r="K35" s="20">
        <f>K11/60/K18/0.0283*(21-7)/(21-K19)*667.8</f>
        <v>9.426749760222203</v>
      </c>
      <c r="M35" s="20">
        <f>M11/60/M18/0.0283*(21-7)/(21-M19)*667.8</f>
        <v>9.185393386057761</v>
      </c>
    </row>
    <row r="36" spans="2:13" ht="12.75">
      <c r="B36" s="11" t="s">
        <v>36</v>
      </c>
      <c r="C36" s="11" t="s">
        <v>124</v>
      </c>
      <c r="D36" s="10" t="s">
        <v>32</v>
      </c>
      <c r="E36" s="10" t="s">
        <v>31</v>
      </c>
      <c r="G36" s="20">
        <f>G12/60/G18/0.0283*(21-7)/(21-G19)*343.4</f>
        <v>0.054600699594461816</v>
      </c>
      <c r="H36" s="10" t="s">
        <v>37</v>
      </c>
      <c r="I36" s="20">
        <f>I12/60/I18/0.0283*(21-7)/(21-I19)*343.4</f>
        <v>0.040627580623998245</v>
      </c>
      <c r="K36" s="20">
        <f>K12/60/K18/0.0283*(21-7)/(21-K19)*343.4</f>
        <v>0.044348843533904656</v>
      </c>
      <c r="L36" s="11">
        <f>I36/M36*100/3</f>
        <v>29.061763494437496</v>
      </c>
      <c r="M36" s="20">
        <f>M12/60/M18/0.0283*(21-7)/(21-M19)*343.4</f>
        <v>0.04659912285521889</v>
      </c>
    </row>
    <row r="37" spans="2:13" ht="12.75">
      <c r="B37" s="11" t="s">
        <v>96</v>
      </c>
      <c r="C37" s="11" t="s">
        <v>124</v>
      </c>
      <c r="D37" s="10" t="s">
        <v>32</v>
      </c>
      <c r="E37" s="10" t="s">
        <v>31</v>
      </c>
      <c r="G37" s="20">
        <f>2*G36+G35</f>
        <v>8.755319170148866</v>
      </c>
      <c r="I37" s="20">
        <f>2*I36+I35</f>
        <v>9.641135473494444</v>
      </c>
      <c r="K37" s="20">
        <f>2*K36+K35</f>
        <v>9.515447447290011</v>
      </c>
      <c r="M37" s="20">
        <f>2*M36+M35</f>
        <v>9.2785916317682</v>
      </c>
    </row>
    <row r="38" spans="2:13" ht="12.75">
      <c r="B38" s="10" t="s">
        <v>131</v>
      </c>
      <c r="C38" s="11" t="s">
        <v>125</v>
      </c>
      <c r="D38" s="10" t="s">
        <v>70</v>
      </c>
      <c r="E38" s="10" t="s">
        <v>31</v>
      </c>
      <c r="G38" s="21">
        <f>G13/G24/60/0.0283*1000000*(21-7)/(21-G25)</f>
        <v>32.3531412314732</v>
      </c>
      <c r="I38" s="21">
        <f>I13/I24/60/0.0283*1000000*(21-7)/(21-I25)</f>
        <v>2.465837485355457</v>
      </c>
      <c r="K38" s="21">
        <f>K13/K24/60/0.0283*1000000*(21-7)/(21-K25)</f>
        <v>1.6537989736647603</v>
      </c>
      <c r="M38" s="21">
        <f>M13/M24/60/0.0283*1000000*(21-7)/(21-M25)</f>
        <v>2.321267208420146</v>
      </c>
    </row>
    <row r="39" spans="2:13" ht="12.75">
      <c r="B39" s="11" t="s">
        <v>99</v>
      </c>
      <c r="C39" s="11" t="s">
        <v>126</v>
      </c>
      <c r="D39" s="10" t="s">
        <v>70</v>
      </c>
      <c r="E39" s="10" t="s">
        <v>31</v>
      </c>
      <c r="G39" s="21">
        <f>G14/G30/60/0.0283*1000000*(21-7)/(21-G31)</f>
        <v>5.962510875924047</v>
      </c>
      <c r="I39" s="21">
        <f>I14/I30/60/0.0283*1000000*(21-7)/(21-I31)</f>
        <v>3.5054751503697883</v>
      </c>
      <c r="K39" s="21">
        <f>K14/K30/60/0.0283*1000000*(21-7)/(21-K31)</f>
        <v>6.674977922557682</v>
      </c>
      <c r="M39" s="21">
        <f>M14/M30/60/0.0283*1000000*(21-7)/(21-M31)</f>
        <v>4.330827165319788</v>
      </c>
    </row>
    <row r="40" spans="2:15" ht="12.75">
      <c r="B40" s="11" t="s">
        <v>67</v>
      </c>
      <c r="C40" s="11" t="s">
        <v>126</v>
      </c>
      <c r="D40" s="10" t="s">
        <v>70</v>
      </c>
      <c r="E40" s="10" t="s">
        <v>31</v>
      </c>
      <c r="G40" s="21">
        <f>G39</f>
        <v>5.962510875924047</v>
      </c>
      <c r="I40" s="21">
        <f>I39</f>
        <v>3.5054751503697883</v>
      </c>
      <c r="K40" s="21">
        <f>K39</f>
        <v>6.674977922557682</v>
      </c>
      <c r="M40" s="21">
        <f>M39</f>
        <v>4.330827165319788</v>
      </c>
      <c r="O40" s="11" t="s">
        <v>152</v>
      </c>
    </row>
    <row r="41" spans="2:11" ht="12.75">
      <c r="B41" s="15"/>
      <c r="C41" s="15"/>
      <c r="G41" s="12"/>
      <c r="H41" s="12"/>
      <c r="I41" s="12"/>
      <c r="J41" s="12"/>
      <c r="K41" s="12"/>
    </row>
    <row r="42" spans="2:13" ht="12.75">
      <c r="B42" s="15" t="s">
        <v>169</v>
      </c>
      <c r="C42" s="15"/>
      <c r="G42" s="12" t="s">
        <v>114</v>
      </c>
      <c r="H42" s="12"/>
      <c r="I42" s="12" t="s">
        <v>115</v>
      </c>
      <c r="J42" s="12"/>
      <c r="K42" s="12" t="s">
        <v>116</v>
      </c>
      <c r="L42" s="14"/>
      <c r="M42" s="14" t="s">
        <v>41</v>
      </c>
    </row>
    <row r="43" spans="2:13" ht="12.75">
      <c r="B43" s="10"/>
      <c r="C43" s="10"/>
      <c r="D43" s="13"/>
      <c r="E43" s="13"/>
      <c r="F43" s="13"/>
      <c r="G43" s="13"/>
      <c r="H43" s="13"/>
      <c r="I43" s="13"/>
      <c r="J43" s="13"/>
      <c r="K43" s="13" t="s">
        <v>171</v>
      </c>
      <c r="L43" s="14"/>
      <c r="M43" s="14"/>
    </row>
    <row r="44" spans="2:13" ht="12.75">
      <c r="B44" s="10" t="s">
        <v>29</v>
      </c>
      <c r="C44" s="10" t="s">
        <v>124</v>
      </c>
      <c r="D44" s="10" t="s">
        <v>30</v>
      </c>
      <c r="E44" s="10" t="s">
        <v>31</v>
      </c>
      <c r="G44" s="14">
        <v>0.0042</v>
      </c>
      <c r="H44" s="14"/>
      <c r="I44" s="14">
        <v>0.004</v>
      </c>
      <c r="J44" s="14"/>
      <c r="K44" s="14">
        <v>0.01</v>
      </c>
      <c r="L44" s="14"/>
      <c r="M44" s="14">
        <v>0.0063</v>
      </c>
    </row>
    <row r="45" spans="2:13" ht="12.75">
      <c r="B45" s="10" t="s">
        <v>97</v>
      </c>
      <c r="C45" s="10" t="s">
        <v>124</v>
      </c>
      <c r="D45" s="10" t="s">
        <v>32</v>
      </c>
      <c r="E45" s="10" t="s">
        <v>31</v>
      </c>
      <c r="G45" s="14">
        <v>3</v>
      </c>
      <c r="H45" s="14"/>
      <c r="I45" s="14">
        <v>2</v>
      </c>
      <c r="J45" s="14"/>
      <c r="K45" s="14">
        <v>2</v>
      </c>
      <c r="L45" s="14"/>
      <c r="M45" s="16">
        <f>AVERAGE(K45,I45,G45)</f>
        <v>2.3333333333333335</v>
      </c>
    </row>
    <row r="46" spans="2:13" ht="12.75">
      <c r="B46" s="10" t="s">
        <v>98</v>
      </c>
      <c r="C46" s="10" t="s">
        <v>124</v>
      </c>
      <c r="D46" s="10" t="s">
        <v>32</v>
      </c>
      <c r="E46" s="10" t="s">
        <v>31</v>
      </c>
      <c r="G46" s="14">
        <v>3</v>
      </c>
      <c r="H46" s="14"/>
      <c r="I46" s="14">
        <v>2</v>
      </c>
      <c r="J46" s="14"/>
      <c r="K46" s="14">
        <v>3</v>
      </c>
      <c r="L46" s="14"/>
      <c r="M46" s="16">
        <f>AVERAGE(K46,I46,G46)</f>
        <v>2.6666666666666665</v>
      </c>
    </row>
    <row r="47" spans="2:13" ht="12.75">
      <c r="B47" s="10"/>
      <c r="C47" s="10"/>
      <c r="G47" s="14"/>
      <c r="H47" s="14"/>
      <c r="I47" s="14"/>
      <c r="J47" s="14"/>
      <c r="K47" s="14"/>
      <c r="L47" s="14"/>
      <c r="M47" s="14"/>
    </row>
    <row r="48" spans="2:12" ht="12.75">
      <c r="B48" s="10" t="s">
        <v>100</v>
      </c>
      <c r="C48" s="10" t="s">
        <v>29</v>
      </c>
      <c r="D48" s="10" t="s">
        <v>124</v>
      </c>
      <c r="G48" s="14"/>
      <c r="H48" s="14"/>
      <c r="I48" s="14"/>
      <c r="J48" s="14"/>
      <c r="K48" s="14"/>
      <c r="L48" s="14"/>
    </row>
    <row r="49" spans="2:13" ht="12.75">
      <c r="B49" s="10" t="s">
        <v>91</v>
      </c>
      <c r="C49" s="10"/>
      <c r="D49" s="10" t="s">
        <v>38</v>
      </c>
      <c r="G49" s="14">
        <v>34031</v>
      </c>
      <c r="H49" s="14"/>
      <c r="I49" s="17">
        <v>33423</v>
      </c>
      <c r="J49" s="17"/>
      <c r="K49" s="14">
        <v>34701</v>
      </c>
      <c r="L49" s="14"/>
      <c r="M49" s="16">
        <f>AVERAGE(K49,I49,G49)</f>
        <v>34051.666666666664</v>
      </c>
    </row>
    <row r="50" spans="2:13" ht="12.75">
      <c r="B50" s="10" t="s">
        <v>94</v>
      </c>
      <c r="C50" s="10"/>
      <c r="D50" s="10" t="s">
        <v>39</v>
      </c>
      <c r="G50" s="14">
        <v>4.7</v>
      </c>
      <c r="H50" s="14"/>
      <c r="I50" s="14">
        <v>4.76</v>
      </c>
      <c r="J50" s="14"/>
      <c r="K50" s="14">
        <v>4.67</v>
      </c>
      <c r="L50" s="14"/>
      <c r="M50" s="16">
        <f>AVERAGE(K50,I50,G50)</f>
        <v>4.71</v>
      </c>
    </row>
    <row r="51" spans="2:13" ht="12.75">
      <c r="B51" s="10" t="s">
        <v>95</v>
      </c>
      <c r="C51" s="10"/>
      <c r="D51" s="10" t="s">
        <v>39</v>
      </c>
      <c r="G51" s="14">
        <v>14.2</v>
      </c>
      <c r="H51" s="14"/>
      <c r="I51" s="14">
        <v>13.9</v>
      </c>
      <c r="J51" s="14"/>
      <c r="K51" s="14">
        <v>14.3</v>
      </c>
      <c r="L51" s="14"/>
      <c r="M51" s="16">
        <f>AVERAGE(K51,I51,G51)</f>
        <v>14.133333333333335</v>
      </c>
    </row>
    <row r="52" spans="2:13" ht="12.75">
      <c r="B52" s="10" t="s">
        <v>90</v>
      </c>
      <c r="C52" s="10"/>
      <c r="D52" s="10" t="s">
        <v>40</v>
      </c>
      <c r="G52" s="14">
        <v>447</v>
      </c>
      <c r="H52" s="14"/>
      <c r="I52" s="14">
        <v>444</v>
      </c>
      <c r="J52" s="14"/>
      <c r="K52" s="14">
        <v>442</v>
      </c>
      <c r="L52" s="14"/>
      <c r="M52" s="16">
        <f>AVERAGE(K52,I52,G52)</f>
        <v>444.3333333333333</v>
      </c>
    </row>
    <row r="55" spans="2:13" ht="12.75">
      <c r="B55" s="15" t="s">
        <v>167</v>
      </c>
      <c r="C55" s="15"/>
      <c r="G55" s="12" t="s">
        <v>114</v>
      </c>
      <c r="H55" s="12"/>
      <c r="I55" s="12" t="s">
        <v>115</v>
      </c>
      <c r="J55" s="12"/>
      <c r="K55" s="12" t="s">
        <v>116</v>
      </c>
      <c r="L55" s="14"/>
      <c r="M55" s="14" t="s">
        <v>41</v>
      </c>
    </row>
    <row r="56" spans="2:13" ht="12.75">
      <c r="B56" s="10"/>
      <c r="C56" s="10"/>
      <c r="D56" s="13"/>
      <c r="E56" s="13"/>
      <c r="F56" s="13"/>
      <c r="G56" s="13"/>
      <c r="H56" s="13"/>
      <c r="I56" s="13"/>
      <c r="J56" s="13"/>
      <c r="K56" s="13"/>
      <c r="L56" s="14"/>
      <c r="M56" s="14"/>
    </row>
    <row r="57" spans="2:13" ht="12.75">
      <c r="B57" s="10" t="s">
        <v>97</v>
      </c>
      <c r="C57" s="10"/>
      <c r="D57" s="10" t="s">
        <v>32</v>
      </c>
      <c r="E57" s="10" t="s">
        <v>31</v>
      </c>
      <c r="G57" s="14">
        <v>10.5</v>
      </c>
      <c r="H57" s="14"/>
      <c r="I57" s="14">
        <v>9.2</v>
      </c>
      <c r="J57" s="14"/>
      <c r="K57" s="14">
        <v>9.2</v>
      </c>
      <c r="L57" s="14"/>
      <c r="M57" s="16">
        <f>AVERAGE(K57,I57,G57)</f>
        <v>9.633333333333333</v>
      </c>
    </row>
    <row r="58" spans="2:13" ht="12.75">
      <c r="B58" s="10" t="s">
        <v>98</v>
      </c>
      <c r="C58" s="10"/>
      <c r="D58" s="10" t="s">
        <v>32</v>
      </c>
      <c r="E58" s="10" t="s">
        <v>31</v>
      </c>
      <c r="G58" s="14">
        <v>11</v>
      </c>
      <c r="H58" s="14"/>
      <c r="I58" s="14">
        <v>9.8</v>
      </c>
      <c r="J58" s="14"/>
      <c r="K58" s="14">
        <v>10</v>
      </c>
      <c r="L58" s="14"/>
      <c r="M58" s="16">
        <f>AVERAGE(K58,I58,G58)</f>
        <v>10.266666666666667</v>
      </c>
    </row>
    <row r="59" spans="2:13" ht="12.75">
      <c r="B59" s="10"/>
      <c r="C59" s="10"/>
      <c r="G59" s="14"/>
      <c r="H59" s="14"/>
      <c r="I59" s="14"/>
      <c r="J59" s="14"/>
      <c r="K59" s="14"/>
      <c r="L59" s="14"/>
      <c r="M59" s="14"/>
    </row>
    <row r="60" spans="2:12" ht="12.75">
      <c r="B60" s="10"/>
      <c r="C60" s="10"/>
      <c r="G60" s="14"/>
      <c r="H60" s="14"/>
      <c r="I60" s="14"/>
      <c r="J60" s="14"/>
      <c r="K60" s="14"/>
      <c r="L60" s="14"/>
    </row>
    <row r="61" spans="2:13" ht="12.75">
      <c r="B61" s="15" t="s">
        <v>164</v>
      </c>
      <c r="C61" s="15"/>
      <c r="G61" s="12" t="s">
        <v>114</v>
      </c>
      <c r="H61" s="12"/>
      <c r="I61" s="12" t="s">
        <v>115</v>
      </c>
      <c r="J61" s="12"/>
      <c r="K61" s="12" t="s">
        <v>116</v>
      </c>
      <c r="L61" s="14"/>
      <c r="M61" s="14" t="s">
        <v>41</v>
      </c>
    </row>
    <row r="62" spans="2:13" ht="12.75">
      <c r="B62" s="10"/>
      <c r="C62" s="10"/>
      <c r="D62" s="13"/>
      <c r="E62" s="13"/>
      <c r="F62" s="13"/>
      <c r="G62" s="13"/>
      <c r="H62" s="13"/>
      <c r="I62" s="13"/>
      <c r="J62" s="13"/>
      <c r="K62" s="13"/>
      <c r="L62" s="14"/>
      <c r="M62" s="14"/>
    </row>
    <row r="63" spans="2:13" ht="12.75">
      <c r="B63" s="10" t="s">
        <v>29</v>
      </c>
      <c r="C63" s="10" t="s">
        <v>124</v>
      </c>
      <c r="D63" s="10" t="s">
        <v>30</v>
      </c>
      <c r="E63" s="10" t="s">
        <v>31</v>
      </c>
      <c r="G63" s="14">
        <v>0.0014</v>
      </c>
      <c r="H63" s="14"/>
      <c r="I63" s="14">
        <v>0.0018</v>
      </c>
      <c r="J63" s="14"/>
      <c r="K63" s="14">
        <v>0.0014</v>
      </c>
      <c r="L63" s="14"/>
      <c r="M63" s="39">
        <f>(AVERAGE(G63,I63)-K63)*(0.0125*0.1+2.9875*0.1)/(0.0125*24)+K63</f>
        <v>0.0015999999999999999</v>
      </c>
    </row>
    <row r="64" spans="2:13" ht="12.75">
      <c r="B64" s="10" t="s">
        <v>97</v>
      </c>
      <c r="C64" s="10" t="s">
        <v>124</v>
      </c>
      <c r="D64" s="10" t="s">
        <v>32</v>
      </c>
      <c r="E64" s="10" t="s">
        <v>31</v>
      </c>
      <c r="G64" s="14">
        <v>4.9</v>
      </c>
      <c r="H64" s="14"/>
      <c r="I64" s="14">
        <v>3.7</v>
      </c>
      <c r="J64" s="14"/>
      <c r="K64" s="14">
        <v>11.2</v>
      </c>
      <c r="L64" s="14"/>
      <c r="M64" s="16">
        <f>AVERAGE(K64,I64,G64)</f>
        <v>6.599999999999999</v>
      </c>
    </row>
    <row r="65" spans="2:12" ht="12.75">
      <c r="B65" s="10"/>
      <c r="C65" s="10"/>
      <c r="G65" s="14"/>
      <c r="H65" s="14"/>
      <c r="I65" s="14"/>
      <c r="J65" s="14"/>
      <c r="K65" s="14"/>
      <c r="L65" s="14"/>
    </row>
    <row r="66" spans="2:12" ht="12.75">
      <c r="B66" s="10" t="s">
        <v>100</v>
      </c>
      <c r="C66" s="10" t="s">
        <v>29</v>
      </c>
      <c r="D66" s="10" t="s">
        <v>124</v>
      </c>
      <c r="G66" s="14"/>
      <c r="H66" s="14"/>
      <c r="I66" s="14"/>
      <c r="J66" s="14"/>
      <c r="K66" s="14"/>
      <c r="L66" s="14"/>
    </row>
    <row r="67" spans="2:13" ht="12.75">
      <c r="B67" s="10" t="s">
        <v>91</v>
      </c>
      <c r="C67" s="10"/>
      <c r="D67" s="10" t="s">
        <v>38</v>
      </c>
      <c r="G67" s="14">
        <v>33887</v>
      </c>
      <c r="H67" s="14"/>
      <c r="I67" s="17">
        <v>32990</v>
      </c>
      <c r="J67" s="17"/>
      <c r="K67" s="14">
        <v>30394</v>
      </c>
      <c r="L67" s="14"/>
      <c r="M67" s="38">
        <f>AVERAGE(K67,I67,G67)</f>
        <v>32423.666666666668</v>
      </c>
    </row>
    <row r="68" spans="2:13" ht="12.75">
      <c r="B68" s="10" t="s">
        <v>94</v>
      </c>
      <c r="C68" s="10"/>
      <c r="D68" s="10" t="s">
        <v>39</v>
      </c>
      <c r="G68" s="14">
        <v>5.6</v>
      </c>
      <c r="H68" s="14"/>
      <c r="I68" s="14">
        <v>9.2</v>
      </c>
      <c r="J68" s="14"/>
      <c r="K68" s="14">
        <v>6.8</v>
      </c>
      <c r="L68" s="14"/>
      <c r="M68" s="21">
        <f>AVERAGE(K68,I68,G68)</f>
        <v>7.2</v>
      </c>
    </row>
    <row r="69" spans="2:13" ht="12.75">
      <c r="B69" s="10" t="s">
        <v>95</v>
      </c>
      <c r="C69" s="10"/>
      <c r="D69" s="10" t="s">
        <v>39</v>
      </c>
      <c r="G69" s="14">
        <v>12.2</v>
      </c>
      <c r="H69" s="14"/>
      <c r="I69" s="14">
        <v>12.8</v>
      </c>
      <c r="J69" s="14"/>
      <c r="K69" s="14">
        <v>13.2</v>
      </c>
      <c r="L69" s="14"/>
      <c r="M69" s="21">
        <f>AVERAGE(K69,I69,G69)</f>
        <v>12.733333333333334</v>
      </c>
    </row>
    <row r="70" spans="2:13" ht="12.75">
      <c r="B70" s="10" t="s">
        <v>90</v>
      </c>
      <c r="C70" s="10"/>
      <c r="D70" s="10" t="s">
        <v>40</v>
      </c>
      <c r="G70" s="14">
        <v>421</v>
      </c>
      <c r="H70" s="14"/>
      <c r="I70" s="14">
        <v>420</v>
      </c>
      <c r="J70" s="14"/>
      <c r="K70" s="14">
        <v>406</v>
      </c>
      <c r="L70" s="14"/>
      <c r="M70" s="38">
        <f>AVERAGE(K70,I70,G70)</f>
        <v>415.6666666666667</v>
      </c>
    </row>
    <row r="71" spans="2:13" ht="12.75">
      <c r="B71" s="10"/>
      <c r="C71" s="10"/>
      <c r="G71" s="14"/>
      <c r="H71" s="14"/>
      <c r="I71" s="14"/>
      <c r="J71" s="14"/>
      <c r="K71" s="14"/>
      <c r="L71" s="14"/>
      <c r="M71" s="21"/>
    </row>
    <row r="72" spans="2:13" ht="12.75">
      <c r="B72" s="10" t="s">
        <v>100</v>
      </c>
      <c r="C72" s="10" t="s">
        <v>170</v>
      </c>
      <c r="D72" s="10" t="s">
        <v>125</v>
      </c>
      <c r="G72" s="14"/>
      <c r="H72" s="14"/>
      <c r="I72" s="14"/>
      <c r="J72" s="14"/>
      <c r="K72" s="14"/>
      <c r="L72" s="14"/>
      <c r="M72" s="21"/>
    </row>
    <row r="73" spans="2:13" ht="12.75">
      <c r="B73" s="10" t="s">
        <v>91</v>
      </c>
      <c r="C73" s="10"/>
      <c r="D73" s="10" t="s">
        <v>38</v>
      </c>
      <c r="G73" s="18">
        <v>33655</v>
      </c>
      <c r="H73" s="18"/>
      <c r="I73" s="19">
        <v>33480</v>
      </c>
      <c r="J73" s="19"/>
      <c r="K73" s="18">
        <v>33801</v>
      </c>
      <c r="L73" s="14"/>
      <c r="M73" s="21">
        <f>AVERAGE(K73,I73,G73)</f>
        <v>33645.333333333336</v>
      </c>
    </row>
    <row r="74" spans="2:13" ht="12.75">
      <c r="B74" s="10" t="s">
        <v>94</v>
      </c>
      <c r="C74" s="10"/>
      <c r="D74" s="10" t="s">
        <v>39</v>
      </c>
      <c r="G74" s="18">
        <v>3.8</v>
      </c>
      <c r="H74" s="18"/>
      <c r="I74" s="18">
        <v>4.17</v>
      </c>
      <c r="J74" s="18"/>
      <c r="K74" s="18">
        <v>3.3</v>
      </c>
      <c r="L74" s="14"/>
      <c r="M74" s="21">
        <f>AVERAGE(K74,I74,G74)</f>
        <v>3.7566666666666664</v>
      </c>
    </row>
    <row r="75" spans="2:13" ht="12.75">
      <c r="B75" s="10" t="s">
        <v>95</v>
      </c>
      <c r="C75" s="10"/>
      <c r="D75" s="10" t="s">
        <v>39</v>
      </c>
      <c r="G75" s="18">
        <v>13.7</v>
      </c>
      <c r="H75" s="18"/>
      <c r="I75" s="18">
        <v>14.4</v>
      </c>
      <c r="J75" s="18"/>
      <c r="K75" s="18">
        <v>13.1</v>
      </c>
      <c r="L75" s="14"/>
      <c r="M75" s="21">
        <f>AVERAGE(K75,I75,G75)</f>
        <v>13.733333333333334</v>
      </c>
    </row>
    <row r="76" spans="2:13" ht="12.75">
      <c r="B76" s="10" t="s">
        <v>90</v>
      </c>
      <c r="C76" s="10"/>
      <c r="D76" s="10" t="s">
        <v>40</v>
      </c>
      <c r="G76" s="18">
        <v>507</v>
      </c>
      <c r="H76" s="18"/>
      <c r="I76" s="18">
        <v>502</v>
      </c>
      <c r="J76" s="18"/>
      <c r="K76" s="18">
        <v>505</v>
      </c>
      <c r="L76" s="14"/>
      <c r="M76" s="21">
        <f>AVERAGE(K76,I76,G76)</f>
        <v>504.6666666666667</v>
      </c>
    </row>
    <row r="77" spans="2:13" ht="12.75">
      <c r="B77" s="10"/>
      <c r="C77" s="10"/>
      <c r="G77" s="18"/>
      <c r="H77" s="18"/>
      <c r="I77" s="18"/>
      <c r="J77" s="18"/>
      <c r="K77" s="18"/>
      <c r="L77" s="14"/>
      <c r="M77" s="21"/>
    </row>
    <row r="78" spans="2:13" ht="12.75">
      <c r="B78" s="2" t="s">
        <v>105</v>
      </c>
      <c r="C78" s="10" t="s">
        <v>125</v>
      </c>
      <c r="D78" s="10" t="s">
        <v>60</v>
      </c>
      <c r="E78" s="10" t="s">
        <v>31</v>
      </c>
      <c r="F78" s="10" t="s">
        <v>37</v>
      </c>
      <c r="G78" s="18">
        <v>0.91</v>
      </c>
      <c r="H78" s="10" t="s">
        <v>37</v>
      </c>
      <c r="I78" s="18">
        <v>1.17</v>
      </c>
      <c r="J78" s="10" t="s">
        <v>37</v>
      </c>
      <c r="K78" s="18">
        <v>1.82</v>
      </c>
      <c r="M78" s="21">
        <f>AVERAGE(K78,I78,G78)/2</f>
        <v>0.65</v>
      </c>
    </row>
    <row r="79" spans="2:13" ht="12.75">
      <c r="B79" s="2" t="s">
        <v>101</v>
      </c>
      <c r="C79" s="10" t="s">
        <v>125</v>
      </c>
      <c r="D79" s="10" t="s">
        <v>60</v>
      </c>
      <c r="E79" s="10" t="s">
        <v>31</v>
      </c>
      <c r="F79" s="10" t="s">
        <v>37</v>
      </c>
      <c r="G79" s="18">
        <v>2.36</v>
      </c>
      <c r="H79" s="10" t="s">
        <v>37</v>
      </c>
      <c r="I79" s="18">
        <v>1.72</v>
      </c>
      <c r="J79" s="10" t="s">
        <v>37</v>
      </c>
      <c r="K79" s="18">
        <v>2.39</v>
      </c>
      <c r="M79" s="21">
        <f>AVERAGE(K79,I79,G79)/2</f>
        <v>1.0783333333333334</v>
      </c>
    </row>
    <row r="80" spans="2:13" ht="12.75">
      <c r="B80" s="2" t="s">
        <v>102</v>
      </c>
      <c r="C80" s="10" t="s">
        <v>125</v>
      </c>
      <c r="D80" s="10" t="s">
        <v>60</v>
      </c>
      <c r="E80" s="10" t="s">
        <v>31</v>
      </c>
      <c r="G80" s="18">
        <v>55.3</v>
      </c>
      <c r="H80" s="10"/>
      <c r="I80" s="18">
        <v>78.22</v>
      </c>
      <c r="J80" s="10"/>
      <c r="K80" s="18">
        <v>75.19</v>
      </c>
      <c r="M80" s="21">
        <f>AVERAGE(K80,I80,G80)</f>
        <v>69.57</v>
      </c>
    </row>
    <row r="81" spans="2:13" ht="12.75">
      <c r="B81" s="2" t="s">
        <v>103</v>
      </c>
      <c r="C81" s="10" t="s">
        <v>125</v>
      </c>
      <c r="D81" s="10" t="s">
        <v>60</v>
      </c>
      <c r="E81" s="10" t="s">
        <v>31</v>
      </c>
      <c r="F81" s="10" t="s">
        <v>37</v>
      </c>
      <c r="G81" s="18">
        <v>0.08</v>
      </c>
      <c r="H81" s="10" t="s">
        <v>37</v>
      </c>
      <c r="I81" s="18">
        <v>0.11</v>
      </c>
      <c r="J81" s="10" t="s">
        <v>37</v>
      </c>
      <c r="K81" s="18">
        <v>0.08</v>
      </c>
      <c r="M81" s="21">
        <f>AVERAGE(K81,I81,G81)/2</f>
        <v>0.045000000000000005</v>
      </c>
    </row>
    <row r="82" spans="2:13" ht="12.75">
      <c r="B82" s="2" t="s">
        <v>107</v>
      </c>
      <c r="C82" s="10" t="s">
        <v>125</v>
      </c>
      <c r="D82" s="10" t="s">
        <v>60</v>
      </c>
      <c r="E82" s="10" t="s">
        <v>31</v>
      </c>
      <c r="F82" s="10" t="s">
        <v>37</v>
      </c>
      <c r="G82" s="18">
        <v>0.42</v>
      </c>
      <c r="I82" s="18">
        <v>0.51</v>
      </c>
      <c r="J82" s="10" t="s">
        <v>37</v>
      </c>
      <c r="K82" s="18">
        <v>0.12</v>
      </c>
      <c r="M82" s="21">
        <f>AVERAGE(K82/2,I82,G82/2)</f>
        <v>0.26</v>
      </c>
    </row>
    <row r="83" spans="2:13" ht="12.75">
      <c r="B83" s="2" t="s">
        <v>99</v>
      </c>
      <c r="C83" s="10" t="s">
        <v>125</v>
      </c>
      <c r="D83" s="10" t="s">
        <v>60</v>
      </c>
      <c r="E83" s="10" t="s">
        <v>31</v>
      </c>
      <c r="G83" s="18">
        <v>2.2</v>
      </c>
      <c r="I83" s="18">
        <v>3.02</v>
      </c>
      <c r="J83" s="10"/>
      <c r="K83" s="18">
        <v>2.61</v>
      </c>
      <c r="M83" s="21">
        <f>AVERAGE(K83,I83,G83)</f>
        <v>2.61</v>
      </c>
    </row>
    <row r="84" spans="2:13" ht="12.75">
      <c r="B84" s="2" t="s">
        <v>106</v>
      </c>
      <c r="C84" s="10" t="s">
        <v>125</v>
      </c>
      <c r="D84" s="10" t="s">
        <v>60</v>
      </c>
      <c r="E84" s="10" t="s">
        <v>31</v>
      </c>
      <c r="F84" s="10" t="s">
        <v>37</v>
      </c>
      <c r="G84" s="18">
        <v>26.02</v>
      </c>
      <c r="I84" s="18">
        <v>28.31</v>
      </c>
      <c r="J84" s="10" t="s">
        <v>37</v>
      </c>
      <c r="K84" s="18">
        <v>38.79</v>
      </c>
      <c r="M84" s="21">
        <f>AVERAGE(K84,I84,G84)/2</f>
        <v>15.519999999999998</v>
      </c>
    </row>
    <row r="85" spans="2:13" ht="12.75">
      <c r="B85" t="s">
        <v>111</v>
      </c>
      <c r="C85" s="10" t="s">
        <v>125</v>
      </c>
      <c r="D85" s="10" t="s">
        <v>60</v>
      </c>
      <c r="E85" s="10" t="s">
        <v>31</v>
      </c>
      <c r="F85" s="10" t="s">
        <v>37</v>
      </c>
      <c r="G85" s="18">
        <v>0.31</v>
      </c>
      <c r="H85" s="10" t="s">
        <v>37</v>
      </c>
      <c r="I85" s="18">
        <v>0.39</v>
      </c>
      <c r="J85" s="10" t="s">
        <v>37</v>
      </c>
      <c r="K85" s="18">
        <v>0.42</v>
      </c>
      <c r="M85" s="21">
        <f>AVERAGE(K85,I85,G85)/2</f>
        <v>0.18666666666666668</v>
      </c>
    </row>
    <row r="86" spans="2:13" ht="12.75">
      <c r="B86" t="s">
        <v>108</v>
      </c>
      <c r="C86" s="10" t="s">
        <v>125</v>
      </c>
      <c r="D86" s="10" t="s">
        <v>60</v>
      </c>
      <c r="E86" s="10" t="s">
        <v>31</v>
      </c>
      <c r="F86" s="10" t="s">
        <v>37</v>
      </c>
      <c r="G86" s="18">
        <v>0.32</v>
      </c>
      <c r="H86" s="10" t="s">
        <v>37</v>
      </c>
      <c r="I86" s="18">
        <v>0.45</v>
      </c>
      <c r="J86" s="10" t="s">
        <v>37</v>
      </c>
      <c r="K86" s="18">
        <v>0.69</v>
      </c>
      <c r="M86" s="21">
        <f>AVERAGE(K86,I86,G86)/2</f>
        <v>0.24333333333333332</v>
      </c>
    </row>
    <row r="87" spans="2:13" ht="12.75">
      <c r="B87" t="s">
        <v>104</v>
      </c>
      <c r="C87" s="10" t="s">
        <v>125</v>
      </c>
      <c r="D87" s="10" t="s">
        <v>60</v>
      </c>
      <c r="E87" s="10" t="s">
        <v>31</v>
      </c>
      <c r="F87" s="10" t="s">
        <v>37</v>
      </c>
      <c r="G87" s="18">
        <v>1.82</v>
      </c>
      <c r="H87" s="10" t="s">
        <v>37</v>
      </c>
      <c r="I87" s="18">
        <v>0.78</v>
      </c>
      <c r="J87" s="10" t="s">
        <v>37</v>
      </c>
      <c r="K87" s="18">
        <v>1.24</v>
      </c>
      <c r="M87" s="21">
        <f>AVERAGE(K87,I87,G87)/2</f>
        <v>0.64</v>
      </c>
    </row>
    <row r="88" spans="2:13" ht="12.75">
      <c r="B88" s="2" t="s">
        <v>66</v>
      </c>
      <c r="C88" s="10" t="s">
        <v>125</v>
      </c>
      <c r="D88" s="2" t="s">
        <v>60</v>
      </c>
      <c r="E88" s="10" t="s">
        <v>31</v>
      </c>
      <c r="G88" s="21">
        <f>G82+G84</f>
        <v>26.44</v>
      </c>
      <c r="H88" s="21"/>
      <c r="I88" s="21">
        <f>I82+I84</f>
        <v>28.82</v>
      </c>
      <c r="J88" s="21"/>
      <c r="K88" s="21">
        <f>K82+K84</f>
        <v>38.91</v>
      </c>
      <c r="M88" s="21">
        <f>AVERAGE(K88,I88,G88)</f>
        <v>31.389999999999997</v>
      </c>
    </row>
    <row r="89" spans="2:13" ht="12.75">
      <c r="B89" s="2" t="s">
        <v>67</v>
      </c>
      <c r="C89" s="10" t="s">
        <v>125</v>
      </c>
      <c r="D89" s="2" t="s">
        <v>60</v>
      </c>
      <c r="E89" s="10" t="s">
        <v>31</v>
      </c>
      <c r="G89" s="21">
        <f>G79+G81+G83</f>
        <v>4.640000000000001</v>
      </c>
      <c r="H89" s="21"/>
      <c r="I89" s="21">
        <f>I79+I81+I83</f>
        <v>4.85</v>
      </c>
      <c r="J89" s="21"/>
      <c r="K89" s="21">
        <f>K79+K81+K83</f>
        <v>5.08</v>
      </c>
      <c r="M89" s="21">
        <f>AVERAGE(K89,I89,G89)</f>
        <v>4.8566666666666665</v>
      </c>
    </row>
    <row r="90" spans="2:13" ht="12.75">
      <c r="B90" s="10"/>
      <c r="C90" s="10"/>
      <c r="D90" s="2"/>
      <c r="M90" s="21"/>
    </row>
    <row r="91" spans="2:13" ht="12.75">
      <c r="B91" s="10" t="s">
        <v>131</v>
      </c>
      <c r="C91" s="10" t="s">
        <v>126</v>
      </c>
      <c r="D91" s="2" t="s">
        <v>60</v>
      </c>
      <c r="E91" s="10" t="s">
        <v>31</v>
      </c>
      <c r="G91" s="11">
        <v>0.98</v>
      </c>
      <c r="I91" s="11">
        <v>1.45</v>
      </c>
      <c r="K91" s="11">
        <v>1.04</v>
      </c>
      <c r="M91" s="21">
        <f>AVERAGE(K91,I91,G91)</f>
        <v>1.1566666666666667</v>
      </c>
    </row>
    <row r="94" spans="2:3" ht="12.75">
      <c r="B94" s="15" t="s">
        <v>161</v>
      </c>
      <c r="C94" s="15"/>
    </row>
    <row r="95" spans="2:5" ht="12.75">
      <c r="B95" s="10"/>
      <c r="C95" s="10"/>
      <c r="D95" s="13"/>
      <c r="E95" s="13"/>
    </row>
    <row r="96" spans="2:13" ht="12.75">
      <c r="B96" s="10" t="s">
        <v>97</v>
      </c>
      <c r="C96" s="10" t="s">
        <v>124</v>
      </c>
      <c r="D96" s="10" t="s">
        <v>32</v>
      </c>
      <c r="E96" s="10" t="s">
        <v>31</v>
      </c>
      <c r="G96" s="11">
        <v>25.5</v>
      </c>
      <c r="I96" s="11">
        <v>56.5</v>
      </c>
      <c r="K96" s="11">
        <v>20.3</v>
      </c>
      <c r="M96" s="38">
        <f>AVERAGE(K96,I96,G96)</f>
        <v>34.1</v>
      </c>
    </row>
    <row r="97" spans="2:13" ht="12.75">
      <c r="B97" s="10"/>
      <c r="C97" s="10"/>
      <c r="M97" s="38"/>
    </row>
    <row r="98" spans="2:13" ht="12.75">
      <c r="B98" s="10" t="s">
        <v>91</v>
      </c>
      <c r="C98" s="10" t="s">
        <v>124</v>
      </c>
      <c r="D98" s="10" t="s">
        <v>38</v>
      </c>
      <c r="G98" s="18">
        <v>33950</v>
      </c>
      <c r="H98" s="18"/>
      <c r="I98" s="19">
        <v>33574</v>
      </c>
      <c r="J98" s="19"/>
      <c r="K98" s="18">
        <v>33454</v>
      </c>
      <c r="L98" s="14"/>
      <c r="M98" s="38">
        <f>AVERAGE(K98,I98,G98)</f>
        <v>33659.333333333336</v>
      </c>
    </row>
    <row r="99" spans="2:13" ht="12.75">
      <c r="B99" s="10" t="s">
        <v>94</v>
      </c>
      <c r="C99" s="10"/>
      <c r="D99" s="10" t="s">
        <v>39</v>
      </c>
      <c r="G99" s="18">
        <v>4</v>
      </c>
      <c r="H99" s="18"/>
      <c r="I99" s="18">
        <v>4.5</v>
      </c>
      <c r="J99" s="18"/>
      <c r="K99" s="18">
        <v>4</v>
      </c>
      <c r="L99" s="14"/>
      <c r="M99" s="21">
        <f>AVERAGE(K99,I99,G99)</f>
        <v>4.166666666666667</v>
      </c>
    </row>
    <row r="100" spans="2:13" ht="12.75">
      <c r="B100" s="10" t="s">
        <v>95</v>
      </c>
      <c r="C100" s="10"/>
      <c r="D100" s="10" t="s">
        <v>39</v>
      </c>
      <c r="G100" s="18">
        <v>12.3</v>
      </c>
      <c r="H100" s="18"/>
      <c r="I100" s="18">
        <v>12.1</v>
      </c>
      <c r="J100" s="18"/>
      <c r="K100" s="18">
        <v>12.7</v>
      </c>
      <c r="L100" s="14"/>
      <c r="M100" s="21">
        <f>AVERAGE(K100,I100,G100)</f>
        <v>12.366666666666665</v>
      </c>
    </row>
    <row r="101" spans="2:13" ht="12.75">
      <c r="B101" s="10" t="s">
        <v>90</v>
      </c>
      <c r="C101" s="10"/>
      <c r="D101" s="10" t="s">
        <v>40</v>
      </c>
      <c r="G101" s="18">
        <v>423</v>
      </c>
      <c r="H101" s="18"/>
      <c r="I101" s="18">
        <v>416</v>
      </c>
      <c r="J101" s="18"/>
      <c r="K101" s="18">
        <v>415</v>
      </c>
      <c r="L101" s="14"/>
      <c r="M101" s="38">
        <f>AVERAGE(K101,I101,G101)</f>
        <v>418</v>
      </c>
    </row>
    <row r="102" spans="2:3" ht="12.75">
      <c r="B102" s="10"/>
      <c r="C102" s="10"/>
    </row>
    <row r="103" spans="2:3" ht="12.75">
      <c r="B103" s="10"/>
      <c r="C103" s="10"/>
    </row>
    <row r="104" spans="2:3" ht="12.75">
      <c r="B104" s="15" t="s">
        <v>158</v>
      </c>
      <c r="C104" s="15"/>
    </row>
    <row r="105" spans="2:5" ht="12.75">
      <c r="B105" s="10"/>
      <c r="C105" s="10"/>
      <c r="D105" s="13"/>
      <c r="E105" s="13"/>
    </row>
    <row r="106" spans="2:13" ht="12.75">
      <c r="B106" s="10" t="s">
        <v>97</v>
      </c>
      <c r="C106" s="10" t="s">
        <v>124</v>
      </c>
      <c r="D106" s="10" t="s">
        <v>32</v>
      </c>
      <c r="E106" s="10" t="s">
        <v>31</v>
      </c>
      <c r="G106" s="11">
        <v>0.1</v>
      </c>
      <c r="I106" s="11">
        <v>0.1</v>
      </c>
      <c r="K106" s="11">
        <v>0.7</v>
      </c>
      <c r="M106" s="21">
        <f>AVERAGE(K106,I106,G106)</f>
        <v>0.3</v>
      </c>
    </row>
    <row r="107" spans="2:13" ht="12.75">
      <c r="B107" s="10"/>
      <c r="C107" s="10"/>
      <c r="M107" s="38"/>
    </row>
    <row r="108" spans="2:13" ht="12.75">
      <c r="B108" s="10" t="s">
        <v>91</v>
      </c>
      <c r="C108" s="10" t="s">
        <v>124</v>
      </c>
      <c r="D108" s="10" t="s">
        <v>38</v>
      </c>
      <c r="G108" s="18">
        <v>23997</v>
      </c>
      <c r="H108" s="18"/>
      <c r="I108" s="19">
        <v>26520</v>
      </c>
      <c r="J108" s="19"/>
      <c r="K108" s="18">
        <v>23191</v>
      </c>
      <c r="L108" s="14"/>
      <c r="M108" s="38">
        <f>AVERAGE(K108,I108,G108)</f>
        <v>24569.333333333332</v>
      </c>
    </row>
    <row r="109" spans="2:13" ht="12.75">
      <c r="B109" s="10" t="s">
        <v>94</v>
      </c>
      <c r="C109" s="10"/>
      <c r="D109" s="10" t="s">
        <v>39</v>
      </c>
      <c r="G109" s="18">
        <v>7.7</v>
      </c>
      <c r="H109" s="18"/>
      <c r="I109" s="18">
        <v>7.7</v>
      </c>
      <c r="J109" s="18"/>
      <c r="K109" s="18">
        <v>10</v>
      </c>
      <c r="L109" s="14"/>
      <c r="M109" s="21">
        <f>AVERAGE(K109,I109,G109)</f>
        <v>8.466666666666667</v>
      </c>
    </row>
    <row r="110" spans="2:13" ht="12.75">
      <c r="B110" s="10" t="s">
        <v>95</v>
      </c>
      <c r="C110" s="10"/>
      <c r="D110" s="10" t="s">
        <v>39</v>
      </c>
      <c r="G110" s="18">
        <v>9.1</v>
      </c>
      <c r="H110" s="18"/>
      <c r="I110" s="18">
        <v>8.7</v>
      </c>
      <c r="J110" s="18"/>
      <c r="K110" s="18">
        <v>8.9</v>
      </c>
      <c r="L110" s="14"/>
      <c r="M110" s="21">
        <f>AVERAGE(K110,I110,G110)</f>
        <v>8.9</v>
      </c>
    </row>
    <row r="111" spans="2:13" ht="12.75">
      <c r="B111" s="10" t="s">
        <v>90</v>
      </c>
      <c r="C111" s="10"/>
      <c r="D111" s="10" t="s">
        <v>40</v>
      </c>
      <c r="G111" s="18">
        <v>364</v>
      </c>
      <c r="H111" s="18"/>
      <c r="I111" s="18">
        <v>362</v>
      </c>
      <c r="J111" s="18"/>
      <c r="K111" s="18">
        <v>359</v>
      </c>
      <c r="L111" s="14"/>
      <c r="M111" s="38">
        <f>AVERAGE(K111,I111,G111)</f>
        <v>361.6666666666667</v>
      </c>
    </row>
    <row r="112" spans="2:3" ht="12.75">
      <c r="B112" s="10"/>
      <c r="C112" s="10"/>
    </row>
    <row r="113" spans="2:12" ht="12.75">
      <c r="B113" s="10"/>
      <c r="C113" s="10"/>
      <c r="D113" s="13"/>
      <c r="E113" s="13"/>
      <c r="F113" s="13"/>
      <c r="G113" s="13"/>
      <c r="H113" s="13"/>
      <c r="I113" s="13"/>
      <c r="J113" s="13"/>
      <c r="K113" s="13"/>
      <c r="L113" s="14"/>
    </row>
    <row r="114" spans="2:12" ht="12.75">
      <c r="B114" s="10"/>
      <c r="C114" s="10"/>
      <c r="G114" s="14"/>
      <c r="H114" s="14"/>
      <c r="I114" s="14"/>
      <c r="J114" s="14"/>
      <c r="K114" s="14"/>
      <c r="L114" s="14"/>
    </row>
    <row r="115" spans="2:12" ht="12.75">
      <c r="B115" s="10"/>
      <c r="C115" s="10"/>
      <c r="G115" s="14"/>
      <c r="H115" s="14"/>
      <c r="I115" s="14"/>
      <c r="J115" s="14"/>
      <c r="K115" s="14"/>
      <c r="L115" s="14"/>
    </row>
    <row r="116" spans="2:12" ht="12.75">
      <c r="B116" s="10"/>
      <c r="C116" s="10"/>
      <c r="G116" s="14"/>
      <c r="H116" s="14"/>
      <c r="I116" s="14"/>
      <c r="J116" s="14"/>
      <c r="K116" s="14"/>
      <c r="L116" s="14"/>
    </row>
    <row r="117" spans="2:12" ht="12.75">
      <c r="B117" s="10"/>
      <c r="C117" s="10"/>
      <c r="G117" s="14"/>
      <c r="H117" s="14"/>
      <c r="I117" s="14"/>
      <c r="J117" s="14"/>
      <c r="K117" s="14"/>
      <c r="L117" s="14"/>
    </row>
    <row r="118" spans="2:12" ht="12.75">
      <c r="B118" s="10"/>
      <c r="C118" s="10"/>
      <c r="G118" s="14"/>
      <c r="H118" s="14"/>
      <c r="I118" s="14"/>
      <c r="J118" s="14"/>
      <c r="K118" s="14"/>
      <c r="L118" s="14"/>
    </row>
    <row r="119" spans="2:12" ht="12.75">
      <c r="B119" s="10"/>
      <c r="C119" s="10"/>
      <c r="G119" s="14"/>
      <c r="H119" s="14"/>
      <c r="I119" s="14"/>
      <c r="J119" s="14"/>
      <c r="K119" s="14"/>
      <c r="L119" s="14"/>
    </row>
    <row r="120" spans="2:12" ht="12.75">
      <c r="B120" s="10"/>
      <c r="C120" s="10"/>
      <c r="G120" s="14"/>
      <c r="H120" s="14"/>
      <c r="I120" s="14"/>
      <c r="J120" s="14"/>
      <c r="K120" s="14"/>
      <c r="L120" s="14"/>
    </row>
    <row r="121" spans="2:12" ht="12.75">
      <c r="B121" s="10"/>
      <c r="C121" s="10"/>
      <c r="G121" s="14"/>
      <c r="H121" s="14"/>
      <c r="I121" s="14"/>
      <c r="J121" s="14"/>
      <c r="K121" s="14"/>
      <c r="L121" s="14"/>
    </row>
    <row r="122" spans="2:12" ht="12.75">
      <c r="B122" s="10"/>
      <c r="C122" s="10"/>
      <c r="G122" s="14"/>
      <c r="H122" s="14"/>
      <c r="I122" s="14"/>
      <c r="J122" s="14"/>
      <c r="K122" s="14"/>
      <c r="L122" s="14"/>
    </row>
    <row r="123" spans="2:11" ht="12.75">
      <c r="B123" s="10"/>
      <c r="C123" s="10"/>
      <c r="G123" s="14"/>
      <c r="H123" s="14"/>
      <c r="I123" s="17"/>
      <c r="J123" s="17"/>
      <c r="K123" s="14"/>
    </row>
    <row r="124" spans="2:11" ht="12.75">
      <c r="B124" s="10"/>
      <c r="C124" s="10"/>
      <c r="G124" s="14"/>
      <c r="H124" s="14"/>
      <c r="I124" s="14"/>
      <c r="J124" s="14"/>
      <c r="K124" s="14"/>
    </row>
    <row r="125" spans="2:11" ht="12.75">
      <c r="B125" s="10"/>
      <c r="C125" s="10"/>
      <c r="G125" s="14"/>
      <c r="H125" s="14"/>
      <c r="I125" s="14"/>
      <c r="J125" s="14"/>
      <c r="K125" s="14"/>
    </row>
    <row r="126" spans="2:11" ht="12.75">
      <c r="B126" s="10"/>
      <c r="C126" s="10"/>
      <c r="G126" s="14"/>
      <c r="H126" s="14"/>
      <c r="I126" s="14"/>
      <c r="J126" s="14"/>
      <c r="K126" s="14"/>
    </row>
    <row r="127" spans="2:11" ht="12.75">
      <c r="B127" s="10"/>
      <c r="C127" s="10"/>
      <c r="G127" s="14"/>
      <c r="H127" s="14"/>
      <c r="I127" s="14"/>
      <c r="J127" s="14"/>
      <c r="K127" s="14"/>
    </row>
    <row r="128" spans="2:11" ht="12.75">
      <c r="B128" s="10"/>
      <c r="C128" s="10"/>
      <c r="G128" s="14"/>
      <c r="H128" s="14"/>
      <c r="I128" s="14"/>
      <c r="J128" s="14"/>
      <c r="K128" s="14"/>
    </row>
    <row r="129" spans="2:11" ht="12.75">
      <c r="B129" s="10"/>
      <c r="C129" s="10"/>
      <c r="G129" s="14"/>
      <c r="H129" s="14"/>
      <c r="I129" s="14"/>
      <c r="J129" s="14"/>
      <c r="K129" s="14"/>
    </row>
    <row r="130" spans="2:11" ht="12.75">
      <c r="B130" s="10"/>
      <c r="C130" s="10"/>
      <c r="G130" s="18"/>
      <c r="H130" s="18"/>
      <c r="I130" s="18"/>
      <c r="J130" s="18"/>
      <c r="K130" s="18"/>
    </row>
    <row r="131" spans="2:11" ht="12.75">
      <c r="B131" s="10"/>
      <c r="C131" s="10"/>
      <c r="G131" s="18"/>
      <c r="H131" s="18"/>
      <c r="I131" s="18"/>
      <c r="J131" s="18"/>
      <c r="K131" s="18"/>
    </row>
    <row r="132" spans="2:11" ht="12.75">
      <c r="B132" s="10"/>
      <c r="C132" s="10"/>
      <c r="G132" s="18"/>
      <c r="H132" s="18"/>
      <c r="I132" s="18"/>
      <c r="J132" s="18"/>
      <c r="K132" s="18"/>
    </row>
    <row r="133" spans="7:11" ht="12.75">
      <c r="G133" s="12"/>
      <c r="H133" s="12"/>
      <c r="I133" s="12"/>
      <c r="J133" s="12"/>
      <c r="K133" s="12"/>
    </row>
    <row r="134" spans="2:11" ht="12.75">
      <c r="B134" s="10"/>
      <c r="C134" s="10"/>
      <c r="G134" s="14"/>
      <c r="H134" s="14"/>
      <c r="I134" s="14"/>
      <c r="J134" s="14"/>
      <c r="K134" s="14"/>
    </row>
    <row r="135" spans="2:11" ht="12.75">
      <c r="B135" s="10"/>
      <c r="C135" s="10"/>
      <c r="G135" s="10"/>
      <c r="H135" s="10"/>
      <c r="I135" s="18"/>
      <c r="J135" s="18"/>
      <c r="K135" s="19"/>
    </row>
    <row r="136" spans="2:11" ht="12.75">
      <c r="B136" s="10"/>
      <c r="C136" s="10"/>
      <c r="G136" s="10"/>
      <c r="H136" s="10"/>
      <c r="I136" s="18"/>
      <c r="J136" s="18"/>
      <c r="K136" s="18"/>
    </row>
    <row r="137" spans="2:11" ht="12.75">
      <c r="B137" s="10"/>
      <c r="C137" s="10"/>
      <c r="G137" s="10"/>
      <c r="H137" s="10"/>
      <c r="I137" s="18"/>
      <c r="J137" s="18"/>
      <c r="K137" s="18"/>
    </row>
    <row r="138" spans="2:11" ht="12.75">
      <c r="B138" s="10"/>
      <c r="C138" s="10"/>
      <c r="G138" s="10"/>
      <c r="H138" s="10"/>
      <c r="I138" s="18"/>
      <c r="J138" s="18"/>
      <c r="K138" s="18"/>
    </row>
    <row r="141" spans="2:3" ht="12.75">
      <c r="B141" s="15"/>
      <c r="C141" s="15"/>
    </row>
    <row r="142" spans="2:5" ht="12.75">
      <c r="B142" s="10"/>
      <c r="C142" s="10"/>
      <c r="D142" s="13"/>
      <c r="E142" s="13"/>
    </row>
    <row r="143" spans="2:3" ht="12.75">
      <c r="B143" s="10"/>
      <c r="C143" s="10"/>
    </row>
    <row r="144" spans="2:3" ht="12.75">
      <c r="B144" s="10"/>
      <c r="C144" s="10"/>
    </row>
    <row r="145" spans="2:3" ht="12.75">
      <c r="B145" s="10"/>
      <c r="C145" s="10"/>
    </row>
    <row r="146" spans="2:3" ht="12.75">
      <c r="B146" s="10"/>
      <c r="C146" s="10"/>
    </row>
    <row r="147" spans="2:3" ht="12.75">
      <c r="B147" s="10"/>
      <c r="C147" s="10"/>
    </row>
    <row r="148" spans="2:3" ht="12.75">
      <c r="B148" s="10"/>
      <c r="C148" s="10"/>
    </row>
    <row r="149" spans="2:3" ht="12.75">
      <c r="B149" s="10"/>
      <c r="C149" s="10"/>
    </row>
    <row r="150" spans="2:3" ht="12.75">
      <c r="B150" s="10"/>
      <c r="C150" s="10"/>
    </row>
    <row r="151" spans="2:3" ht="12.75">
      <c r="B151" s="10"/>
      <c r="C151" s="10"/>
    </row>
    <row r="152" spans="2:3" ht="12.75">
      <c r="B152" s="10"/>
      <c r="C152" s="10"/>
    </row>
    <row r="153" spans="2:3" ht="12.75">
      <c r="B153" s="10"/>
      <c r="C153" s="10"/>
    </row>
    <row r="154" spans="2:3" ht="12.75">
      <c r="B154" s="10"/>
      <c r="C154" s="10"/>
    </row>
    <row r="155" spans="2:3" ht="12.75">
      <c r="B155" s="10"/>
      <c r="C155" s="10"/>
    </row>
    <row r="156" spans="2:3" ht="12.75">
      <c r="B156" s="10"/>
      <c r="C156" s="10"/>
    </row>
    <row r="157" spans="2:3" ht="12.75">
      <c r="B157" s="10"/>
      <c r="C157" s="10"/>
    </row>
    <row r="158" spans="2:3" ht="12.75">
      <c r="B158" s="10"/>
      <c r="C158" s="10"/>
    </row>
    <row r="159" spans="2:3" ht="12.75">
      <c r="B159" s="10"/>
      <c r="C159" s="10"/>
    </row>
    <row r="160" spans="2:3" ht="12.75">
      <c r="B160" s="10"/>
      <c r="C160" s="10"/>
    </row>
    <row r="161" spans="2:3" ht="12.75">
      <c r="B161" s="10"/>
      <c r="C161" s="10"/>
    </row>
    <row r="163" spans="2:3" ht="12.75">
      <c r="B163" s="10"/>
      <c r="C163" s="10"/>
    </row>
    <row r="164" spans="2:3" ht="12.75">
      <c r="B164" s="10"/>
      <c r="C164" s="10"/>
    </row>
    <row r="165" spans="2:3" ht="12.75">
      <c r="B165" s="10"/>
      <c r="C165" s="10"/>
    </row>
    <row r="166" spans="2:3" ht="12.75">
      <c r="B166" s="10"/>
      <c r="C166" s="10"/>
    </row>
    <row r="167" spans="2:3" ht="12.75">
      <c r="B167" s="10"/>
      <c r="C167" s="10"/>
    </row>
    <row r="170" spans="2:3" ht="12.75">
      <c r="B170" s="15"/>
      <c r="C170" s="15"/>
    </row>
    <row r="171" spans="2:5" ht="12.75">
      <c r="B171" s="10"/>
      <c r="C171" s="10"/>
      <c r="D171" s="13"/>
      <c r="E171" s="13"/>
    </row>
    <row r="172" spans="2:3" ht="12.75">
      <c r="B172" s="10"/>
      <c r="C172" s="10"/>
    </row>
    <row r="173" spans="2:3" ht="12.75">
      <c r="B173" s="10"/>
      <c r="C173" s="10"/>
    </row>
    <row r="174" spans="2:3" ht="12.75">
      <c r="B174" s="10"/>
      <c r="C174" s="10"/>
    </row>
    <row r="175" spans="2:3" ht="12.75">
      <c r="B175" s="10"/>
      <c r="C175" s="10"/>
    </row>
    <row r="176" spans="2:3" ht="12.75">
      <c r="B176" s="10"/>
      <c r="C176" s="10"/>
    </row>
    <row r="177" spans="2:3" ht="12.75">
      <c r="B177" s="10"/>
      <c r="C177" s="10"/>
    </row>
    <row r="178" spans="2:3" ht="12.75">
      <c r="B178" s="10"/>
      <c r="C178" s="10"/>
    </row>
    <row r="179" spans="2:3" ht="12.75">
      <c r="B179" s="10"/>
      <c r="C179" s="10"/>
    </row>
    <row r="180" spans="2:3" ht="12.75">
      <c r="B180" s="10"/>
      <c r="C180" s="10"/>
    </row>
    <row r="181" spans="2:3" ht="12.75">
      <c r="B181" s="10"/>
      <c r="C181" s="10"/>
    </row>
    <row r="182" spans="2:3" ht="12.75">
      <c r="B182" s="10"/>
      <c r="C182" s="10"/>
    </row>
    <row r="183" spans="2:3" ht="12.75">
      <c r="B183" s="10"/>
      <c r="C183" s="10"/>
    </row>
    <row r="184" spans="2:3" ht="12.75">
      <c r="B184" s="10"/>
      <c r="C184" s="10"/>
    </row>
    <row r="185" spans="2:3" ht="12.75">
      <c r="B185" s="10"/>
      <c r="C185" s="10"/>
    </row>
    <row r="186" spans="2:3" ht="12.75">
      <c r="B186" s="10"/>
      <c r="C186" s="10"/>
    </row>
    <row r="187" spans="2:3" ht="12.75">
      <c r="B187" s="10"/>
      <c r="C187" s="10"/>
    </row>
    <row r="188" spans="2:3" ht="12.75">
      <c r="B188" s="10"/>
      <c r="C188" s="10"/>
    </row>
    <row r="189" spans="2:3" ht="12.75">
      <c r="B189" s="10"/>
      <c r="C189" s="10"/>
    </row>
    <row r="190" spans="2:3" ht="12.75">
      <c r="B190" s="10"/>
      <c r="C190" s="10"/>
    </row>
    <row r="192" spans="2:3" ht="12.75">
      <c r="B192" s="10"/>
      <c r="C192" s="10"/>
    </row>
    <row r="193" spans="2:3" ht="12.75">
      <c r="B193" s="10"/>
      <c r="C193" s="10"/>
    </row>
    <row r="194" spans="2:3" ht="12.75">
      <c r="B194" s="10"/>
      <c r="C194" s="10"/>
    </row>
    <row r="195" spans="2:3" ht="12.75">
      <c r="B195" s="10"/>
      <c r="C195" s="10"/>
    </row>
    <row r="196" spans="2:3" ht="12.75">
      <c r="B196" s="10"/>
      <c r="C196" s="10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U232"/>
  <sheetViews>
    <sheetView tabSelected="1" zoomScale="75" zoomScaleNormal="75" workbookViewId="0" topLeftCell="B161">
      <selection activeCell="B120" sqref="B120"/>
    </sheetView>
  </sheetViews>
  <sheetFormatPr defaultColWidth="9.140625" defaultRowHeight="12.75"/>
  <cols>
    <col min="1" max="1" width="9.140625" style="3" hidden="1" customWidth="1"/>
    <col min="2" max="2" width="21.28125" style="2" customWidth="1"/>
    <col min="3" max="3" width="8.421875" style="2" customWidth="1"/>
    <col min="4" max="4" width="9.8515625" style="2" customWidth="1"/>
    <col min="5" max="5" width="4.28125" style="3" customWidth="1"/>
    <col min="6" max="6" width="9.28125" style="3" customWidth="1"/>
    <col min="7" max="7" width="4.421875" style="3" customWidth="1"/>
    <col min="8" max="8" width="8.421875" style="3" customWidth="1"/>
    <col min="9" max="9" width="4.140625" style="3" customWidth="1"/>
    <col min="10" max="10" width="10.7109375" style="3" customWidth="1"/>
    <col min="11" max="11" width="4.28125" style="3" customWidth="1"/>
    <col min="12" max="12" width="10.57421875" style="4" customWidth="1"/>
    <col min="13" max="13" width="3.28125" style="4" customWidth="1"/>
    <col min="14" max="14" width="8.57421875" style="4" customWidth="1"/>
    <col min="15" max="15" width="3.28125" style="4" customWidth="1"/>
    <col min="16" max="16" width="10.8515625" style="4" customWidth="1"/>
    <col min="17" max="17" width="3.28125" style="4" customWidth="1"/>
    <col min="18" max="18" width="10.421875" style="4" customWidth="1"/>
    <col min="19" max="19" width="3.28125" style="4" customWidth="1"/>
    <col min="20" max="20" width="8.140625" style="3" customWidth="1"/>
    <col min="21" max="21" width="2.28125" style="3" customWidth="1"/>
    <col min="22" max="22" width="9.421875" style="3" customWidth="1"/>
    <col min="23" max="23" width="2.28125" style="3" customWidth="1"/>
    <col min="24" max="24" width="10.421875" style="3" customWidth="1"/>
    <col min="25" max="25" width="2.28125" style="3" customWidth="1"/>
    <col min="26" max="26" width="12.140625" style="3" customWidth="1"/>
    <col min="27" max="27" width="2.28125" style="3" customWidth="1"/>
    <col min="28" max="28" width="10.8515625" style="3" customWidth="1"/>
    <col min="29" max="29" width="4.140625" style="3" customWidth="1"/>
    <col min="30" max="30" width="9.140625" style="3" customWidth="1"/>
    <col min="31" max="31" width="4.28125" style="3" customWidth="1"/>
    <col min="32" max="32" width="11.140625" style="3" customWidth="1"/>
    <col min="33" max="33" width="4.57421875" style="3" customWidth="1"/>
    <col min="34" max="34" width="12.57421875" style="3" customWidth="1"/>
    <col min="35" max="35" width="4.7109375" style="3" customWidth="1"/>
    <col min="36" max="36" width="9.57421875" style="3" customWidth="1"/>
    <col min="37" max="37" width="11.00390625" style="3" customWidth="1"/>
    <col min="38" max="16384" width="8.8515625" style="3" customWidth="1"/>
  </cols>
  <sheetData>
    <row r="1" spans="2:3" ht="12.75">
      <c r="B1" s="1" t="s">
        <v>78</v>
      </c>
      <c r="C1" s="1"/>
    </row>
    <row r="2" spans="2:3" ht="12.75">
      <c r="B2" s="1"/>
      <c r="C2" s="1"/>
    </row>
    <row r="3" spans="38:47" ht="12.75">
      <c r="AL3"/>
      <c r="AM3"/>
      <c r="AN3"/>
      <c r="AO3"/>
      <c r="AP3"/>
      <c r="AQ3"/>
      <c r="AR3"/>
      <c r="AS3"/>
      <c r="AT3"/>
      <c r="AU3"/>
    </row>
    <row r="4" spans="1:47" ht="12.75">
      <c r="A4" s="3" t="s">
        <v>109</v>
      </c>
      <c r="B4" s="1" t="s">
        <v>56</v>
      </c>
      <c r="C4" s="1"/>
      <c r="F4" s="6" t="s">
        <v>114</v>
      </c>
      <c r="G4" s="6"/>
      <c r="H4" s="6" t="s">
        <v>115</v>
      </c>
      <c r="I4" s="6"/>
      <c r="J4" s="6" t="s">
        <v>116</v>
      </c>
      <c r="K4" s="6"/>
      <c r="L4" s="6" t="s">
        <v>41</v>
      </c>
      <c r="M4" s="6"/>
      <c r="N4" s="6" t="s">
        <v>114</v>
      </c>
      <c r="O4" s="6"/>
      <c r="P4" s="6" t="s">
        <v>115</v>
      </c>
      <c r="Q4" s="6"/>
      <c r="R4" s="6" t="s">
        <v>116</v>
      </c>
      <c r="S4" s="6"/>
      <c r="T4" s="6" t="s">
        <v>41</v>
      </c>
      <c r="U4" s="6"/>
      <c r="V4" s="6" t="s">
        <v>114</v>
      </c>
      <c r="W4" s="6"/>
      <c r="X4" s="6" t="s">
        <v>115</v>
      </c>
      <c r="Y4" s="6"/>
      <c r="Z4" s="6" t="s">
        <v>116</v>
      </c>
      <c r="AA4" s="6"/>
      <c r="AB4" s="6" t="s">
        <v>41</v>
      </c>
      <c r="AC4" s="6"/>
      <c r="AD4" s="6" t="s">
        <v>114</v>
      </c>
      <c r="AE4" s="6"/>
      <c r="AF4" s="6" t="s">
        <v>115</v>
      </c>
      <c r="AG4" s="6"/>
      <c r="AH4" s="6" t="s">
        <v>116</v>
      </c>
      <c r="AI4" s="6"/>
      <c r="AJ4" s="6" t="s">
        <v>41</v>
      </c>
      <c r="AL4"/>
      <c r="AM4"/>
      <c r="AN4"/>
      <c r="AO4"/>
      <c r="AP4"/>
      <c r="AQ4"/>
      <c r="AR4"/>
      <c r="AS4"/>
      <c r="AT4"/>
      <c r="AU4"/>
    </row>
    <row r="5" spans="2:47" ht="12.75">
      <c r="B5" s="1"/>
      <c r="C5" s="1"/>
      <c r="N5" s="3"/>
      <c r="O5" s="3"/>
      <c r="P5" s="3"/>
      <c r="Q5" s="3"/>
      <c r="R5" s="3"/>
      <c r="S5" s="3"/>
      <c r="T5" s="4"/>
      <c r="AB5" s="4"/>
      <c r="AJ5" s="4"/>
      <c r="AL5"/>
      <c r="AM5"/>
      <c r="AN5"/>
      <c r="AO5"/>
      <c r="AP5"/>
      <c r="AQ5"/>
      <c r="AR5"/>
      <c r="AS5"/>
      <c r="AT5"/>
      <c r="AU5"/>
    </row>
    <row r="6" spans="2:47" ht="12.75">
      <c r="B6" s="2" t="s">
        <v>127</v>
      </c>
      <c r="C6" s="1"/>
      <c r="F6" s="6" t="s">
        <v>138</v>
      </c>
      <c r="H6" s="6" t="s">
        <v>138</v>
      </c>
      <c r="J6" s="6" t="s">
        <v>138</v>
      </c>
      <c r="L6" s="6" t="s">
        <v>138</v>
      </c>
      <c r="N6" s="6" t="s">
        <v>139</v>
      </c>
      <c r="O6" s="3"/>
      <c r="P6" s="6" t="s">
        <v>139</v>
      </c>
      <c r="Q6" s="3"/>
      <c r="R6" s="6" t="s">
        <v>139</v>
      </c>
      <c r="S6" s="3"/>
      <c r="T6" s="6" t="s">
        <v>139</v>
      </c>
      <c r="V6" s="6" t="s">
        <v>140</v>
      </c>
      <c r="X6" s="6" t="s">
        <v>140</v>
      </c>
      <c r="Z6" s="6" t="s">
        <v>140</v>
      </c>
      <c r="AB6" s="6" t="s">
        <v>140</v>
      </c>
      <c r="AD6" s="6" t="s">
        <v>141</v>
      </c>
      <c r="AF6" s="6" t="s">
        <v>141</v>
      </c>
      <c r="AH6" s="6" t="s">
        <v>141</v>
      </c>
      <c r="AJ6" s="6" t="s">
        <v>141</v>
      </c>
      <c r="AL6"/>
      <c r="AM6"/>
      <c r="AN6"/>
      <c r="AO6"/>
      <c r="AP6"/>
      <c r="AQ6"/>
      <c r="AR6"/>
      <c r="AS6"/>
      <c r="AT6"/>
      <c r="AU6"/>
    </row>
    <row r="7" spans="2:47" ht="12.75">
      <c r="B7" s="2" t="s">
        <v>128</v>
      </c>
      <c r="F7" s="6" t="s">
        <v>129</v>
      </c>
      <c r="H7" s="6" t="s">
        <v>129</v>
      </c>
      <c r="J7" s="6" t="s">
        <v>129</v>
      </c>
      <c r="L7" s="6" t="s">
        <v>129</v>
      </c>
      <c r="N7" s="4" t="s">
        <v>45</v>
      </c>
      <c r="P7" s="4" t="s">
        <v>45</v>
      </c>
      <c r="R7" s="4" t="s">
        <v>45</v>
      </c>
      <c r="T7" s="4" t="s">
        <v>45</v>
      </c>
      <c r="V7" s="6" t="s">
        <v>130</v>
      </c>
      <c r="X7" s="6" t="s">
        <v>130</v>
      </c>
      <c r="Z7" s="6" t="s">
        <v>130</v>
      </c>
      <c r="AB7" s="6" t="s">
        <v>130</v>
      </c>
      <c r="AD7" s="6" t="s">
        <v>64</v>
      </c>
      <c r="AF7" s="6" t="s">
        <v>64</v>
      </c>
      <c r="AH7" s="6" t="s">
        <v>64</v>
      </c>
      <c r="AJ7" s="6" t="s">
        <v>64</v>
      </c>
      <c r="AL7"/>
      <c r="AM7"/>
      <c r="AN7"/>
      <c r="AO7"/>
      <c r="AP7"/>
      <c r="AQ7"/>
      <c r="AR7"/>
      <c r="AS7"/>
      <c r="AT7"/>
      <c r="AU7"/>
    </row>
    <row r="8" spans="2:47" ht="12.75">
      <c r="B8" s="2" t="s">
        <v>143</v>
      </c>
      <c r="F8" s="6" t="s">
        <v>69</v>
      </c>
      <c r="H8" s="6" t="s">
        <v>69</v>
      </c>
      <c r="J8" s="6" t="s">
        <v>69</v>
      </c>
      <c r="L8" s="6" t="s">
        <v>69</v>
      </c>
      <c r="N8" s="4" t="s">
        <v>45</v>
      </c>
      <c r="P8" s="4" t="s">
        <v>45</v>
      </c>
      <c r="R8" s="4" t="s">
        <v>45</v>
      </c>
      <c r="T8" s="4" t="s">
        <v>45</v>
      </c>
      <c r="V8" s="6" t="s">
        <v>144</v>
      </c>
      <c r="X8" s="6" t="s">
        <v>144</v>
      </c>
      <c r="Z8" s="6" t="s">
        <v>144</v>
      </c>
      <c r="AB8" s="6" t="s">
        <v>144</v>
      </c>
      <c r="AD8" s="6" t="s">
        <v>64</v>
      </c>
      <c r="AF8" s="6" t="s">
        <v>64</v>
      </c>
      <c r="AH8" s="6" t="s">
        <v>64</v>
      </c>
      <c r="AJ8" s="6" t="s">
        <v>64</v>
      </c>
      <c r="AL8"/>
      <c r="AM8"/>
      <c r="AN8"/>
      <c r="AO8"/>
      <c r="AP8"/>
      <c r="AQ8"/>
      <c r="AR8"/>
      <c r="AS8"/>
      <c r="AT8"/>
      <c r="AU8"/>
    </row>
    <row r="9" spans="2:47" ht="12.75">
      <c r="B9" s="2" t="s">
        <v>42</v>
      </c>
      <c r="F9" s="4" t="s">
        <v>43</v>
      </c>
      <c r="H9" s="4" t="s">
        <v>43</v>
      </c>
      <c r="J9" s="4" t="s">
        <v>43</v>
      </c>
      <c r="L9" s="4" t="s">
        <v>43</v>
      </c>
      <c r="N9" s="4" t="s">
        <v>45</v>
      </c>
      <c r="P9" s="4" t="s">
        <v>45</v>
      </c>
      <c r="R9" s="4" t="s">
        <v>45</v>
      </c>
      <c r="T9" s="4" t="s">
        <v>45</v>
      </c>
      <c r="U9" s="4"/>
      <c r="V9" s="4" t="s">
        <v>44</v>
      </c>
      <c r="W9" s="4"/>
      <c r="X9" s="4" t="s">
        <v>44</v>
      </c>
      <c r="Y9" s="4"/>
      <c r="Z9" s="4" t="s">
        <v>44</v>
      </c>
      <c r="AA9" s="4"/>
      <c r="AB9" s="4" t="s">
        <v>44</v>
      </c>
      <c r="AC9" s="4"/>
      <c r="AD9" s="4" t="s">
        <v>64</v>
      </c>
      <c r="AE9" s="4"/>
      <c r="AF9" s="4" t="s">
        <v>64</v>
      </c>
      <c r="AG9" s="4"/>
      <c r="AH9" s="4" t="s">
        <v>64</v>
      </c>
      <c r="AI9" s="4"/>
      <c r="AJ9" s="4" t="s">
        <v>64</v>
      </c>
      <c r="AL9"/>
      <c r="AM9"/>
      <c r="AN9"/>
      <c r="AO9"/>
      <c r="AP9"/>
      <c r="AQ9"/>
      <c r="AR9"/>
      <c r="AS9"/>
      <c r="AT9"/>
      <c r="AU9"/>
    </row>
    <row r="10" spans="2:47" ht="12.75">
      <c r="B10" s="2" t="s">
        <v>112</v>
      </c>
      <c r="D10" s="2" t="s">
        <v>46</v>
      </c>
      <c r="F10" s="3">
        <v>8134</v>
      </c>
      <c r="H10" s="3">
        <v>8106</v>
      </c>
      <c r="J10" s="3">
        <v>8097</v>
      </c>
      <c r="L10" s="5">
        <v>8112</v>
      </c>
      <c r="M10" s="5"/>
      <c r="N10" s="5"/>
      <c r="O10" s="5"/>
      <c r="P10" s="5"/>
      <c r="Q10" s="5"/>
      <c r="R10" s="5"/>
      <c r="S10" s="5"/>
      <c r="AL10"/>
      <c r="AM10"/>
      <c r="AN10"/>
      <c r="AO10"/>
      <c r="AP10"/>
      <c r="AQ10"/>
      <c r="AR10"/>
      <c r="AS10"/>
      <c r="AT10"/>
      <c r="AU10"/>
    </row>
    <row r="11" spans="2:47" ht="12.75">
      <c r="B11" s="2" t="s">
        <v>112</v>
      </c>
      <c r="D11" s="2" t="s">
        <v>59</v>
      </c>
      <c r="L11" s="5"/>
      <c r="M11" s="5"/>
      <c r="N11" s="5"/>
      <c r="O11" s="5"/>
      <c r="P11" s="5"/>
      <c r="Q11" s="5"/>
      <c r="R11" s="5"/>
      <c r="S11" s="5"/>
      <c r="V11" s="3">
        <v>29800</v>
      </c>
      <c r="X11" s="3">
        <v>32400</v>
      </c>
      <c r="Z11" s="3">
        <v>32800</v>
      </c>
      <c r="AB11" s="3">
        <v>31700</v>
      </c>
      <c r="AL11"/>
      <c r="AM11"/>
      <c r="AN11"/>
      <c r="AO11"/>
      <c r="AP11"/>
      <c r="AQ11"/>
      <c r="AR11"/>
      <c r="AS11"/>
      <c r="AT11"/>
      <c r="AU11"/>
    </row>
    <row r="12" spans="2:47" ht="12.75">
      <c r="B12" s="2" t="s">
        <v>47</v>
      </c>
      <c r="D12" s="2" t="s">
        <v>48</v>
      </c>
      <c r="F12" s="3">
        <v>16664</v>
      </c>
      <c r="H12" s="3">
        <v>16507</v>
      </c>
      <c r="J12" s="3">
        <v>16625</v>
      </c>
      <c r="L12" s="5">
        <v>16599</v>
      </c>
      <c r="M12" s="5"/>
      <c r="N12" s="5"/>
      <c r="O12" s="5"/>
      <c r="P12" s="5"/>
      <c r="Q12" s="5"/>
      <c r="R12" s="5"/>
      <c r="S12" s="5"/>
      <c r="AL12"/>
      <c r="AM12"/>
      <c r="AN12"/>
      <c r="AO12"/>
      <c r="AP12"/>
      <c r="AQ12"/>
      <c r="AR12"/>
      <c r="AS12"/>
      <c r="AT12"/>
      <c r="AU12"/>
    </row>
    <row r="13" spans="2:47" ht="12.75">
      <c r="B13" s="2" t="s">
        <v>49</v>
      </c>
      <c r="D13" s="2" t="s">
        <v>50</v>
      </c>
      <c r="F13" s="3">
        <v>0.903</v>
      </c>
      <c r="H13" s="3">
        <v>0.9</v>
      </c>
      <c r="J13" s="3">
        <v>0.899</v>
      </c>
      <c r="L13" s="5">
        <v>0.901</v>
      </c>
      <c r="M13" s="5"/>
      <c r="N13" s="5"/>
      <c r="O13" s="5"/>
      <c r="P13" s="5"/>
      <c r="Q13" s="5"/>
      <c r="R13" s="5"/>
      <c r="S13" s="5"/>
      <c r="T13" s="4"/>
      <c r="U13" s="4"/>
      <c r="W13" s="4"/>
      <c r="Y13" s="4"/>
      <c r="AA13" s="4"/>
      <c r="AL13"/>
      <c r="AM13"/>
      <c r="AN13"/>
      <c r="AO13"/>
      <c r="AP13"/>
      <c r="AQ13"/>
      <c r="AR13"/>
      <c r="AS13"/>
      <c r="AT13"/>
      <c r="AU13"/>
    </row>
    <row r="14" spans="2:47" ht="12.75">
      <c r="B14" s="2" t="s">
        <v>51</v>
      </c>
      <c r="D14" s="2" t="s">
        <v>34</v>
      </c>
      <c r="E14" s="6"/>
      <c r="F14" s="6"/>
      <c r="G14" s="6"/>
      <c r="H14" s="6"/>
      <c r="I14" s="6"/>
      <c r="J14" s="6"/>
      <c r="K14" s="6"/>
      <c r="L14" s="5">
        <v>0</v>
      </c>
      <c r="M14" s="5"/>
      <c r="N14" s="5">
        <v>9634</v>
      </c>
      <c r="O14" s="5"/>
      <c r="P14" s="5">
        <v>9634</v>
      </c>
      <c r="Q14" s="5"/>
      <c r="R14" s="5">
        <v>9634</v>
      </c>
      <c r="S14" s="5"/>
      <c r="T14" s="4">
        <v>9634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6"/>
      <c r="AL14"/>
      <c r="AM14"/>
      <c r="AN14"/>
      <c r="AO14"/>
      <c r="AP14"/>
      <c r="AQ14"/>
      <c r="AR14"/>
      <c r="AS14"/>
      <c r="AT14"/>
      <c r="AU14"/>
    </row>
    <row r="15" spans="2:47" ht="12.75">
      <c r="B15" s="2" t="s">
        <v>52</v>
      </c>
      <c r="D15" s="2" t="s">
        <v>34</v>
      </c>
      <c r="E15" s="6"/>
      <c r="F15" s="4">
        <v>443</v>
      </c>
      <c r="G15" s="4"/>
      <c r="H15" s="4">
        <v>1177</v>
      </c>
      <c r="I15" s="4"/>
      <c r="J15" s="4">
        <v>882</v>
      </c>
      <c r="K15" s="4"/>
      <c r="L15" s="5">
        <v>834</v>
      </c>
      <c r="M15" s="5"/>
      <c r="N15" s="5">
        <v>1102</v>
      </c>
      <c r="O15" s="5"/>
      <c r="P15" s="5">
        <v>1102</v>
      </c>
      <c r="Q15" s="5"/>
      <c r="R15" s="5">
        <v>1102</v>
      </c>
      <c r="S15" s="5"/>
      <c r="T15" s="4">
        <v>1102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6"/>
      <c r="AL15"/>
      <c r="AM15"/>
      <c r="AN15"/>
      <c r="AO15"/>
      <c r="AP15"/>
      <c r="AQ15"/>
      <c r="AR15"/>
      <c r="AS15"/>
      <c r="AT15"/>
      <c r="AU15"/>
    </row>
    <row r="16" spans="2:47" ht="12.75">
      <c r="B16" s="2" t="s">
        <v>105</v>
      </c>
      <c r="D16" s="2" t="s">
        <v>53</v>
      </c>
      <c r="E16" s="6" t="s">
        <v>37</v>
      </c>
      <c r="F16" s="5">
        <v>1</v>
      </c>
      <c r="G16" s="6" t="s">
        <v>37</v>
      </c>
      <c r="H16" s="5">
        <v>1</v>
      </c>
      <c r="I16" s="6" t="s">
        <v>37</v>
      </c>
      <c r="J16" s="5">
        <v>1</v>
      </c>
      <c r="K16" s="6"/>
      <c r="L16" s="5">
        <v>1</v>
      </c>
      <c r="M16" s="5"/>
      <c r="N16" s="5"/>
      <c r="O16" s="5"/>
      <c r="P16" s="5"/>
      <c r="Q16" s="5"/>
      <c r="R16" s="5"/>
      <c r="S16" s="5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6"/>
      <c r="AL16"/>
      <c r="AM16"/>
      <c r="AN16"/>
      <c r="AO16"/>
      <c r="AP16"/>
      <c r="AQ16"/>
      <c r="AR16"/>
      <c r="AS16"/>
      <c r="AT16"/>
      <c r="AU16"/>
    </row>
    <row r="17" spans="2:47" ht="12.75">
      <c r="B17" s="2" t="s">
        <v>101</v>
      </c>
      <c r="D17" s="2" t="s">
        <v>53</v>
      </c>
      <c r="E17" s="6" t="s">
        <v>37</v>
      </c>
      <c r="F17" s="5">
        <v>0.5</v>
      </c>
      <c r="G17" s="6" t="s">
        <v>37</v>
      </c>
      <c r="H17" s="5">
        <v>0.5</v>
      </c>
      <c r="I17" s="6" t="s">
        <v>37</v>
      </c>
      <c r="J17" s="5">
        <v>0.5</v>
      </c>
      <c r="K17" s="6"/>
      <c r="L17" s="5">
        <v>0.5</v>
      </c>
      <c r="M17" s="5"/>
      <c r="N17" s="5"/>
      <c r="O17" s="5"/>
      <c r="P17" s="5"/>
      <c r="Q17" s="5"/>
      <c r="R17" s="5"/>
      <c r="S17" s="5"/>
      <c r="T17" s="6"/>
      <c r="U17" s="6"/>
      <c r="V17" s="4"/>
      <c r="W17" s="6"/>
      <c r="X17" s="4"/>
      <c r="Y17" s="6"/>
      <c r="Z17" s="4"/>
      <c r="AA17" s="6"/>
      <c r="AB17" s="4"/>
      <c r="AC17" s="4"/>
      <c r="AD17" s="4"/>
      <c r="AE17" s="4"/>
      <c r="AF17" s="4"/>
      <c r="AG17" s="4"/>
      <c r="AH17" s="4"/>
      <c r="AI17" s="4"/>
      <c r="AJ17" s="6"/>
      <c r="AL17"/>
      <c r="AM17"/>
      <c r="AN17"/>
      <c r="AO17"/>
      <c r="AP17"/>
      <c r="AQ17"/>
      <c r="AR17"/>
      <c r="AS17"/>
      <c r="AT17"/>
      <c r="AU17"/>
    </row>
    <row r="18" spans="2:47" ht="12.75">
      <c r="B18" s="2" t="s">
        <v>102</v>
      </c>
      <c r="D18" s="2" t="s">
        <v>53</v>
      </c>
      <c r="E18" s="6" t="s">
        <v>37</v>
      </c>
      <c r="F18" s="5">
        <v>1</v>
      </c>
      <c r="G18" s="6" t="s">
        <v>37</v>
      </c>
      <c r="H18" s="5">
        <v>1</v>
      </c>
      <c r="I18" s="6" t="s">
        <v>37</v>
      </c>
      <c r="J18" s="5">
        <v>1</v>
      </c>
      <c r="K18" s="6"/>
      <c r="L18" s="5">
        <v>1</v>
      </c>
      <c r="M18" s="5"/>
      <c r="N18" s="5"/>
      <c r="O18" s="5"/>
      <c r="P18" s="5"/>
      <c r="Q18" s="5"/>
      <c r="R18" s="5"/>
      <c r="S18" s="5"/>
      <c r="T18" s="6"/>
      <c r="U18" s="6"/>
      <c r="V18" s="4"/>
      <c r="W18" s="6"/>
      <c r="X18" s="4"/>
      <c r="Y18" s="6"/>
      <c r="Z18" s="4"/>
      <c r="AA18" s="6"/>
      <c r="AB18" s="4"/>
      <c r="AC18" s="4"/>
      <c r="AD18" s="4"/>
      <c r="AE18" s="4"/>
      <c r="AF18" s="4"/>
      <c r="AG18" s="4"/>
      <c r="AH18" s="4"/>
      <c r="AI18" s="4"/>
      <c r="AJ18" s="6"/>
      <c r="AL18"/>
      <c r="AM18"/>
      <c r="AN18"/>
      <c r="AO18"/>
      <c r="AP18"/>
      <c r="AQ18"/>
      <c r="AR18"/>
      <c r="AS18"/>
      <c r="AT18"/>
      <c r="AU18"/>
    </row>
    <row r="19" spans="2:47" ht="12.75">
      <c r="B19" s="2" t="s">
        <v>103</v>
      </c>
      <c r="D19" s="2" t="s">
        <v>53</v>
      </c>
      <c r="E19" s="6" t="s">
        <v>37</v>
      </c>
      <c r="F19" s="5">
        <v>0.3</v>
      </c>
      <c r="G19" s="6" t="s">
        <v>37</v>
      </c>
      <c r="H19" s="5">
        <v>0.3</v>
      </c>
      <c r="I19" s="6" t="s">
        <v>37</v>
      </c>
      <c r="J19" s="5">
        <v>0.3</v>
      </c>
      <c r="K19" s="6"/>
      <c r="L19" s="5">
        <v>0.3</v>
      </c>
      <c r="M19" s="5"/>
      <c r="N19" s="5"/>
      <c r="O19" s="5"/>
      <c r="P19" s="5"/>
      <c r="Q19" s="5"/>
      <c r="R19" s="5"/>
      <c r="S19" s="5"/>
      <c r="T19" s="6"/>
      <c r="U19" s="6"/>
      <c r="V19" s="4"/>
      <c r="W19" s="6"/>
      <c r="X19" s="4"/>
      <c r="Y19" s="6"/>
      <c r="Z19" s="4"/>
      <c r="AA19" s="6"/>
      <c r="AB19" s="4"/>
      <c r="AC19" s="4"/>
      <c r="AD19" s="4"/>
      <c r="AE19" s="4"/>
      <c r="AF19" s="4"/>
      <c r="AG19" s="4"/>
      <c r="AH19" s="4"/>
      <c r="AI19" s="4"/>
      <c r="AJ19" s="6"/>
      <c r="AL19"/>
      <c r="AM19"/>
      <c r="AN19"/>
      <c r="AO19"/>
      <c r="AP19"/>
      <c r="AQ19"/>
      <c r="AR19"/>
      <c r="AS19"/>
      <c r="AT19"/>
      <c r="AU19"/>
    </row>
    <row r="20" spans="2:47" ht="12.75">
      <c r="B20" s="2" t="s">
        <v>107</v>
      </c>
      <c r="D20" s="2" t="s">
        <v>53</v>
      </c>
      <c r="E20" s="6" t="s">
        <v>37</v>
      </c>
      <c r="F20" s="5">
        <v>0.1</v>
      </c>
      <c r="G20" s="6" t="s">
        <v>37</v>
      </c>
      <c r="H20" s="5">
        <v>0.1</v>
      </c>
      <c r="I20" s="6" t="s">
        <v>37</v>
      </c>
      <c r="J20" s="5">
        <v>0.1</v>
      </c>
      <c r="K20" s="6"/>
      <c r="L20" s="5">
        <v>0.1</v>
      </c>
      <c r="M20" s="5"/>
      <c r="N20" s="5"/>
      <c r="O20" s="5"/>
      <c r="P20" s="5"/>
      <c r="Q20" s="5"/>
      <c r="R20" s="5"/>
      <c r="S20" s="5"/>
      <c r="T20" s="6"/>
      <c r="U20" s="6"/>
      <c r="V20" s="4"/>
      <c r="W20" s="6"/>
      <c r="X20" s="4"/>
      <c r="Y20" s="6"/>
      <c r="Z20" s="4"/>
      <c r="AA20" s="6"/>
      <c r="AB20" s="4"/>
      <c r="AC20" s="4"/>
      <c r="AD20" s="4"/>
      <c r="AE20" s="4"/>
      <c r="AF20" s="4"/>
      <c r="AG20" s="4"/>
      <c r="AH20" s="4"/>
      <c r="AI20" s="4"/>
      <c r="AJ20" s="6"/>
      <c r="AL20"/>
      <c r="AM20"/>
      <c r="AN20"/>
      <c r="AO20"/>
      <c r="AP20"/>
      <c r="AQ20"/>
      <c r="AR20"/>
      <c r="AS20"/>
      <c r="AT20"/>
      <c r="AU20"/>
    </row>
    <row r="21" spans="2:47" ht="12.75">
      <c r="B21" s="2" t="s">
        <v>99</v>
      </c>
      <c r="D21" s="2" t="s">
        <v>53</v>
      </c>
      <c r="E21" s="6" t="s">
        <v>55</v>
      </c>
      <c r="F21" s="5">
        <v>0.1</v>
      </c>
      <c r="G21" s="6" t="s">
        <v>55</v>
      </c>
      <c r="H21" s="5">
        <v>0.1</v>
      </c>
      <c r="I21" s="6" t="s">
        <v>55</v>
      </c>
      <c r="J21" s="5">
        <v>0.1</v>
      </c>
      <c r="K21" s="6"/>
      <c r="L21" s="5">
        <v>0.1</v>
      </c>
      <c r="M21" s="5"/>
      <c r="N21" s="5"/>
      <c r="O21" s="5"/>
      <c r="P21" s="5"/>
      <c r="Q21" s="5"/>
      <c r="R21" s="5"/>
      <c r="S21" s="5"/>
      <c r="T21" s="6"/>
      <c r="U21" s="6"/>
      <c r="V21" s="4"/>
      <c r="W21" s="6"/>
      <c r="X21" s="4"/>
      <c r="Y21" s="6"/>
      <c r="Z21" s="4"/>
      <c r="AA21" s="6"/>
      <c r="AB21" s="4"/>
      <c r="AC21" s="4"/>
      <c r="AD21" s="4"/>
      <c r="AE21" s="4"/>
      <c r="AF21" s="4"/>
      <c r="AG21" s="4"/>
      <c r="AH21" s="4"/>
      <c r="AI21" s="4"/>
      <c r="AJ21" s="6"/>
      <c r="AL21"/>
      <c r="AM21"/>
      <c r="AN21"/>
      <c r="AO21"/>
      <c r="AP21"/>
      <c r="AQ21"/>
      <c r="AR21"/>
      <c r="AS21"/>
      <c r="AT21"/>
      <c r="AU21"/>
    </row>
    <row r="22" spans="2:47" ht="12.75">
      <c r="B22" s="2" t="s">
        <v>106</v>
      </c>
      <c r="D22" s="2" t="s">
        <v>53</v>
      </c>
      <c r="E22" s="6" t="s">
        <v>37</v>
      </c>
      <c r="F22" s="5">
        <v>1</v>
      </c>
      <c r="G22" s="6" t="s">
        <v>37</v>
      </c>
      <c r="H22" s="5">
        <v>1</v>
      </c>
      <c r="I22" s="6" t="s">
        <v>37</v>
      </c>
      <c r="J22" s="5">
        <v>1</v>
      </c>
      <c r="K22" s="6"/>
      <c r="L22" s="5">
        <v>1</v>
      </c>
      <c r="M22" s="5"/>
      <c r="N22" s="5"/>
      <c r="O22" s="5"/>
      <c r="P22" s="5"/>
      <c r="Q22" s="5"/>
      <c r="R22" s="5"/>
      <c r="S22" s="5"/>
      <c r="T22" s="6"/>
      <c r="U22" s="6"/>
      <c r="V22" s="4"/>
      <c r="W22" s="6"/>
      <c r="X22" s="4"/>
      <c r="Y22" s="6"/>
      <c r="Z22" s="4"/>
      <c r="AA22" s="6"/>
      <c r="AB22" s="4"/>
      <c r="AC22" s="4"/>
      <c r="AD22" s="4"/>
      <c r="AE22" s="4"/>
      <c r="AF22" s="4"/>
      <c r="AG22" s="4"/>
      <c r="AH22" s="4"/>
      <c r="AI22" s="4"/>
      <c r="AJ22" s="6"/>
      <c r="AL22"/>
      <c r="AM22"/>
      <c r="AN22"/>
      <c r="AO22"/>
      <c r="AP22"/>
      <c r="AQ22"/>
      <c r="AR22"/>
      <c r="AS22"/>
      <c r="AT22"/>
      <c r="AU22"/>
    </row>
    <row r="23" spans="2:47" ht="12.75">
      <c r="B23" s="2" t="s">
        <v>111</v>
      </c>
      <c r="D23" s="2" t="s">
        <v>53</v>
      </c>
      <c r="E23" s="6" t="s">
        <v>37</v>
      </c>
      <c r="F23" s="5">
        <v>0.1</v>
      </c>
      <c r="G23" s="6" t="s">
        <v>37</v>
      </c>
      <c r="H23" s="5">
        <v>0.1</v>
      </c>
      <c r="I23" s="6" t="s">
        <v>37</v>
      </c>
      <c r="J23" s="5">
        <v>0.1</v>
      </c>
      <c r="K23" s="6"/>
      <c r="L23" s="5">
        <v>0.1</v>
      </c>
      <c r="M23" s="5"/>
      <c r="N23" s="5"/>
      <c r="O23" s="5"/>
      <c r="P23" s="5"/>
      <c r="Q23" s="5"/>
      <c r="R23" s="5"/>
      <c r="S23" s="5"/>
      <c r="T23" s="6"/>
      <c r="U23" s="6"/>
      <c r="V23" s="4"/>
      <c r="W23" s="6"/>
      <c r="X23" s="4"/>
      <c r="Y23" s="6"/>
      <c r="Z23" s="4"/>
      <c r="AA23" s="6"/>
      <c r="AB23" s="4"/>
      <c r="AC23" s="4"/>
      <c r="AD23" s="4"/>
      <c r="AE23" s="4"/>
      <c r="AF23" s="4"/>
      <c r="AG23" s="4"/>
      <c r="AH23" s="4"/>
      <c r="AI23" s="4"/>
      <c r="AJ23" s="6"/>
      <c r="AL23"/>
      <c r="AM23"/>
      <c r="AN23"/>
      <c r="AO23"/>
      <c r="AP23"/>
      <c r="AQ23"/>
      <c r="AR23"/>
      <c r="AS23"/>
      <c r="AT23"/>
      <c r="AU23"/>
    </row>
    <row r="24" spans="2:47" ht="12.75">
      <c r="B24" s="2" t="s">
        <v>108</v>
      </c>
      <c r="D24" s="2" t="s">
        <v>53</v>
      </c>
      <c r="E24" s="6" t="s">
        <v>37</v>
      </c>
      <c r="F24" s="5">
        <v>1</v>
      </c>
      <c r="G24" s="6" t="s">
        <v>37</v>
      </c>
      <c r="H24" s="5">
        <v>1</v>
      </c>
      <c r="I24" s="6" t="s">
        <v>37</v>
      </c>
      <c r="J24" s="5">
        <v>1</v>
      </c>
      <c r="K24" s="6"/>
      <c r="L24" s="5">
        <v>1</v>
      </c>
      <c r="M24" s="5"/>
      <c r="N24" s="5"/>
      <c r="O24" s="5"/>
      <c r="P24" s="5"/>
      <c r="Q24" s="5"/>
      <c r="R24" s="5"/>
      <c r="S24" s="5"/>
      <c r="T24" s="6"/>
      <c r="U24" s="6"/>
      <c r="V24" s="4"/>
      <c r="W24" s="6"/>
      <c r="X24" s="4"/>
      <c r="Y24" s="6"/>
      <c r="Z24" s="4"/>
      <c r="AA24" s="6"/>
      <c r="AB24" s="4"/>
      <c r="AC24" s="4"/>
      <c r="AD24" s="4"/>
      <c r="AE24" s="4"/>
      <c r="AF24" s="4"/>
      <c r="AG24" s="4"/>
      <c r="AH24" s="4"/>
      <c r="AI24" s="4"/>
      <c r="AJ24" s="6"/>
      <c r="AL24"/>
      <c r="AM24"/>
      <c r="AN24"/>
      <c r="AO24"/>
      <c r="AP24"/>
      <c r="AQ24"/>
      <c r="AR24"/>
      <c r="AS24"/>
      <c r="AT24"/>
      <c r="AU24"/>
    </row>
    <row r="25" spans="2:47" ht="12.75">
      <c r="B25" s="2" t="s">
        <v>104</v>
      </c>
      <c r="D25" s="2" t="s">
        <v>53</v>
      </c>
      <c r="E25" s="6" t="s">
        <v>37</v>
      </c>
      <c r="F25" s="5">
        <v>1</v>
      </c>
      <c r="G25" s="6" t="s">
        <v>37</v>
      </c>
      <c r="H25" s="5">
        <v>1</v>
      </c>
      <c r="I25" s="6" t="s">
        <v>37</v>
      </c>
      <c r="J25" s="5">
        <v>1</v>
      </c>
      <c r="K25" s="6"/>
      <c r="L25" s="5">
        <v>1</v>
      </c>
      <c r="M25" s="5"/>
      <c r="N25" s="5"/>
      <c r="O25" s="5"/>
      <c r="P25" s="5"/>
      <c r="Q25" s="5"/>
      <c r="R25" s="5"/>
      <c r="S25" s="5"/>
      <c r="T25" s="6"/>
      <c r="U25" s="6"/>
      <c r="V25" s="4"/>
      <c r="W25" s="6"/>
      <c r="X25" s="4"/>
      <c r="Y25" s="6"/>
      <c r="Z25" s="4"/>
      <c r="AA25" s="6"/>
      <c r="AB25" s="4"/>
      <c r="AC25" s="4"/>
      <c r="AD25" s="4"/>
      <c r="AE25" s="4"/>
      <c r="AF25" s="4"/>
      <c r="AG25" s="4"/>
      <c r="AH25" s="4"/>
      <c r="AI25" s="4"/>
      <c r="AJ25" s="6"/>
      <c r="AL25"/>
      <c r="AM25"/>
      <c r="AN25"/>
      <c r="AO25"/>
      <c r="AP25"/>
      <c r="AQ25"/>
      <c r="AR25"/>
      <c r="AS25"/>
      <c r="AT25"/>
      <c r="AU25"/>
    </row>
    <row r="26" spans="5:47" ht="12.75">
      <c r="E26" s="6"/>
      <c r="F26" s="6"/>
      <c r="G26" s="6"/>
      <c r="H26" s="6"/>
      <c r="I26" s="6"/>
      <c r="J26" s="6"/>
      <c r="K26" s="6"/>
      <c r="T26" s="6"/>
      <c r="U26" s="6"/>
      <c r="V26" s="4"/>
      <c r="W26" s="6"/>
      <c r="X26" s="4"/>
      <c r="Y26" s="6"/>
      <c r="Z26" s="4"/>
      <c r="AA26" s="6"/>
      <c r="AB26" s="4"/>
      <c r="AC26" s="4"/>
      <c r="AD26" s="4"/>
      <c r="AE26" s="4"/>
      <c r="AF26" s="4"/>
      <c r="AG26" s="4"/>
      <c r="AH26" s="4"/>
      <c r="AI26" s="4"/>
      <c r="AJ26" s="6"/>
      <c r="AL26"/>
      <c r="AM26"/>
      <c r="AN26"/>
      <c r="AO26"/>
      <c r="AP26"/>
      <c r="AQ26"/>
      <c r="AR26"/>
      <c r="AS26"/>
      <c r="AT26"/>
      <c r="AU26"/>
    </row>
    <row r="27" spans="2:47" ht="12.75">
      <c r="B27" s="2" t="s">
        <v>61</v>
      </c>
      <c r="D27" s="2" t="s">
        <v>38</v>
      </c>
      <c r="E27" s="6"/>
      <c r="F27" s="4">
        <f>emiss!$G$18</f>
        <v>32628</v>
      </c>
      <c r="G27" s="6"/>
      <c r="H27" s="31">
        <f>emiss!$I$18</f>
        <v>32386</v>
      </c>
      <c r="I27" s="6"/>
      <c r="J27" s="4">
        <f>emiss!$K$18</f>
        <v>32339</v>
      </c>
      <c r="K27" s="6"/>
      <c r="L27" s="4">
        <f>emiss!$M$18</f>
        <v>32451</v>
      </c>
      <c r="N27" s="4">
        <f>emiss!$G$18</f>
        <v>32628</v>
      </c>
      <c r="O27" s="6"/>
      <c r="P27" s="31">
        <f>emiss!$I$18</f>
        <v>32386</v>
      </c>
      <c r="Q27" s="6"/>
      <c r="R27" s="4">
        <f>emiss!$K$18</f>
        <v>32339</v>
      </c>
      <c r="S27" s="6"/>
      <c r="T27" s="4">
        <f>emiss!$M$18</f>
        <v>32451</v>
      </c>
      <c r="U27" s="4"/>
      <c r="V27" s="6"/>
      <c r="W27" s="4"/>
      <c r="X27" s="6"/>
      <c r="Y27" s="4"/>
      <c r="Z27" s="6"/>
      <c r="AA27" s="4"/>
      <c r="AB27" s="6"/>
      <c r="AC27" s="6"/>
      <c r="AD27" s="4">
        <f>emiss!$G$18</f>
        <v>32628</v>
      </c>
      <c r="AE27" s="6"/>
      <c r="AF27" s="31">
        <f>emiss!$I$18</f>
        <v>32386</v>
      </c>
      <c r="AG27" s="6"/>
      <c r="AH27" s="4">
        <f>emiss!$K$18</f>
        <v>32339</v>
      </c>
      <c r="AI27" s="6"/>
      <c r="AJ27" s="4">
        <f>emiss!$M$18</f>
        <v>32451</v>
      </c>
      <c r="AL27"/>
      <c r="AM27"/>
      <c r="AN27"/>
      <c r="AO27"/>
      <c r="AP27"/>
      <c r="AQ27"/>
      <c r="AR27"/>
      <c r="AS27"/>
      <c r="AT27"/>
      <c r="AU27"/>
    </row>
    <row r="28" spans="2:47" ht="12.75">
      <c r="B28" s="2" t="s">
        <v>62</v>
      </c>
      <c r="D28" s="2" t="s">
        <v>39</v>
      </c>
      <c r="F28" s="4">
        <f>emiss!$G$19</f>
        <v>3.2</v>
      </c>
      <c r="H28" s="4">
        <f>emiss!$I$19</f>
        <v>3.57</v>
      </c>
      <c r="J28" s="4">
        <f>emiss!$K$19</f>
        <v>3.43</v>
      </c>
      <c r="L28" s="4">
        <f>emiss!$M$19</f>
        <v>3.4</v>
      </c>
      <c r="N28" s="4">
        <f>emiss!$G$19</f>
        <v>3.2</v>
      </c>
      <c r="O28" s="3"/>
      <c r="P28" s="4">
        <f>emiss!$I$19</f>
        <v>3.57</v>
      </c>
      <c r="Q28" s="3"/>
      <c r="R28" s="4">
        <f>emiss!$K$19</f>
        <v>3.43</v>
      </c>
      <c r="S28" s="3"/>
      <c r="T28" s="4">
        <f>emiss!$M$19</f>
        <v>3.4</v>
      </c>
      <c r="U28" s="4"/>
      <c r="W28" s="4"/>
      <c r="Y28" s="4"/>
      <c r="AA28" s="4"/>
      <c r="AD28" s="4">
        <f>emiss!$G$19</f>
        <v>3.2</v>
      </c>
      <c r="AF28" s="4">
        <f>emiss!$I$19</f>
        <v>3.57</v>
      </c>
      <c r="AH28" s="4">
        <f>emiss!$K$19</f>
        <v>3.43</v>
      </c>
      <c r="AJ28" s="4">
        <f>emiss!$M$19</f>
        <v>3.4</v>
      </c>
      <c r="AL28"/>
      <c r="AM28"/>
      <c r="AN28"/>
      <c r="AO28"/>
      <c r="AP28"/>
      <c r="AQ28"/>
      <c r="AR28"/>
      <c r="AS28"/>
      <c r="AT28"/>
      <c r="AU28"/>
    </row>
    <row r="29" spans="38:47" ht="12.75">
      <c r="AL29"/>
      <c r="AM29"/>
      <c r="AN29"/>
      <c r="AO29"/>
      <c r="AP29"/>
      <c r="AQ29"/>
      <c r="AR29"/>
      <c r="AS29"/>
      <c r="AT29"/>
      <c r="AU29"/>
    </row>
    <row r="30" spans="2:47" ht="12.75">
      <c r="B30" s="2" t="s">
        <v>110</v>
      </c>
      <c r="D30" s="2" t="s">
        <v>63</v>
      </c>
      <c r="F30" s="7">
        <f>F10*F12/1000000</f>
        <v>135.544976</v>
      </c>
      <c r="H30" s="7">
        <f>H10*H12/1000000</f>
        <v>133.805742</v>
      </c>
      <c r="J30" s="7">
        <f>J10*J12/1000000</f>
        <v>134.612625</v>
      </c>
      <c r="L30" s="7">
        <f>L10*L12/1000000</f>
        <v>134.651088</v>
      </c>
      <c r="M30" s="7"/>
      <c r="N30" s="7"/>
      <c r="O30" s="7"/>
      <c r="P30" s="7"/>
      <c r="Q30" s="7"/>
      <c r="R30" s="7"/>
      <c r="S30" s="7"/>
      <c r="V30" s="3">
        <f>V11*1000/1000000</f>
        <v>29.8</v>
      </c>
      <c r="X30" s="3">
        <f>X11*1000/1000000</f>
        <v>32.4</v>
      </c>
      <c r="Z30" s="3">
        <f>Z11*1000/1000000</f>
        <v>32.8</v>
      </c>
      <c r="AB30" s="3">
        <f>AB11*1000/1000000</f>
        <v>31.7</v>
      </c>
      <c r="AD30" s="8">
        <f>V30+F30+N30</f>
        <v>165.344976</v>
      </c>
      <c r="AF30" s="8">
        <f>X30+H30+P30</f>
        <v>166.20574200000001</v>
      </c>
      <c r="AH30" s="8">
        <f>Z30+J30+R30</f>
        <v>167.412625</v>
      </c>
      <c r="AJ30" s="8">
        <f>AB30+L30+T30</f>
        <v>166.35108799999998</v>
      </c>
      <c r="AL30"/>
      <c r="AM30"/>
      <c r="AN30"/>
      <c r="AO30"/>
      <c r="AP30"/>
      <c r="AQ30"/>
      <c r="AR30"/>
      <c r="AS30"/>
      <c r="AT30"/>
      <c r="AU30"/>
    </row>
    <row r="31" spans="2:47" ht="12.75">
      <c r="B31" s="2" t="s">
        <v>145</v>
      </c>
      <c r="D31" s="2" t="s">
        <v>63</v>
      </c>
      <c r="F31" s="5"/>
      <c r="H31" s="5"/>
      <c r="J31" s="5"/>
      <c r="L31" s="5"/>
      <c r="M31" s="5"/>
      <c r="N31" s="5"/>
      <c r="O31" s="5"/>
      <c r="P31" s="5"/>
      <c r="Q31" s="5"/>
      <c r="R31" s="5"/>
      <c r="S31" s="5"/>
      <c r="AD31" s="8">
        <f>AD27/9000*(21-AD28)/21*60</f>
        <v>184.37409523809526</v>
      </c>
      <c r="AF31" s="8">
        <f>AF27/9000*(21-AF28)/21*60</f>
        <v>179.20253333333332</v>
      </c>
      <c r="AH31" s="8">
        <f>AH27/9000*(21-AH28)/21*60</f>
        <v>180.37975555555556</v>
      </c>
      <c r="AJ31" s="8">
        <f>AJ27/9000*(21-AJ28)/21*60</f>
        <v>181.31352380952384</v>
      </c>
      <c r="AL31"/>
      <c r="AM31"/>
      <c r="AN31"/>
      <c r="AO31"/>
      <c r="AP31"/>
      <c r="AQ31"/>
      <c r="AR31"/>
      <c r="AS31"/>
      <c r="AT31"/>
      <c r="AU31"/>
    </row>
    <row r="32" spans="6:47" ht="12.75">
      <c r="F32" s="5"/>
      <c r="H32" s="5"/>
      <c r="J32" s="5"/>
      <c r="L32" s="5"/>
      <c r="M32" s="5"/>
      <c r="N32" s="5"/>
      <c r="O32" s="5"/>
      <c r="P32" s="5"/>
      <c r="Q32" s="5"/>
      <c r="R32" s="5"/>
      <c r="S32" s="5"/>
      <c r="AJ32" s="8"/>
      <c r="AL32"/>
      <c r="AM32"/>
      <c r="AN32"/>
      <c r="AO32"/>
      <c r="AP32"/>
      <c r="AQ32"/>
      <c r="AR32"/>
      <c r="AS32"/>
      <c r="AT32"/>
      <c r="AU32"/>
    </row>
    <row r="33" spans="2:47" ht="12.75">
      <c r="B33" s="30" t="s">
        <v>81</v>
      </c>
      <c r="C33" s="30"/>
      <c r="F33" s="5"/>
      <c r="H33" s="5"/>
      <c r="J33" s="5"/>
      <c r="L33" s="5"/>
      <c r="M33" s="5"/>
      <c r="N33" s="5"/>
      <c r="O33" s="5"/>
      <c r="P33" s="5"/>
      <c r="Q33" s="5"/>
      <c r="R33" s="5"/>
      <c r="S33" s="5"/>
      <c r="AJ33" s="8"/>
      <c r="AL33"/>
      <c r="AM33"/>
      <c r="AN33"/>
      <c r="AO33"/>
      <c r="AP33"/>
      <c r="AQ33"/>
      <c r="AR33"/>
      <c r="AS33"/>
      <c r="AT33"/>
      <c r="AU33"/>
    </row>
    <row r="34" spans="2:47" ht="12.75">
      <c r="B34" s="2" t="s">
        <v>51</v>
      </c>
      <c r="D34" s="2" t="s">
        <v>65</v>
      </c>
      <c r="F34" s="7">
        <f>F14/F27/60/0.0283*1000*(21-7)/(21-F28)</f>
        <v>0</v>
      </c>
      <c r="H34" s="7">
        <f>H14/H27/60/0.0283*1000*(21-7)/(21-H28)</f>
        <v>0</v>
      </c>
      <c r="J34" s="7">
        <f>J14/J27/60/0.0283*1000*(21-7)/(21-J28)</f>
        <v>0</v>
      </c>
      <c r="L34" s="7">
        <f>AVERAGE(F34,H34,J34)</f>
        <v>0</v>
      </c>
      <c r="M34" s="7"/>
      <c r="N34" s="7">
        <f>N14/N27/60/0.0283*1000*(21-7)/(21-N28)</f>
        <v>136.76864233012444</v>
      </c>
      <c r="O34" s="7"/>
      <c r="P34" s="7">
        <f>P14/P27/60/0.0283*1000*(21-7)/(21-P28)</f>
        <v>140.71561499442726</v>
      </c>
      <c r="Q34" s="7"/>
      <c r="R34" s="7">
        <f>R14/R27/60/0.0283*1000*(21-7)/(21-R28)</f>
        <v>139.7972550128711</v>
      </c>
      <c r="S34" s="7"/>
      <c r="T34" s="7">
        <f>T14/T27/60/0.0283*1000*(21-7)/(21-T28)</f>
        <v>139.07729636896954</v>
      </c>
      <c r="U34" s="7"/>
      <c r="V34" s="7"/>
      <c r="W34" s="7"/>
      <c r="X34" s="7"/>
      <c r="Y34" s="7"/>
      <c r="Z34" s="7"/>
      <c r="AA34" s="7"/>
      <c r="AC34" s="3">
        <v>0</v>
      </c>
      <c r="AD34" s="8">
        <f>V34+F34+N34</f>
        <v>136.76864233012444</v>
      </c>
      <c r="AE34" s="3">
        <v>0</v>
      </c>
      <c r="AF34" s="8">
        <f>X34+H34+P34</f>
        <v>140.71561499442726</v>
      </c>
      <c r="AG34" s="3">
        <v>0</v>
      </c>
      <c r="AH34" s="8">
        <f>Z34+J34+R34</f>
        <v>139.7972550128711</v>
      </c>
      <c r="AI34" s="3">
        <v>0</v>
      </c>
      <c r="AJ34" s="8">
        <f>AB34+L34+T34</f>
        <v>139.07729636896954</v>
      </c>
      <c r="AL34"/>
      <c r="AM34"/>
      <c r="AN34"/>
      <c r="AO34"/>
      <c r="AP34"/>
      <c r="AQ34"/>
      <c r="AR34"/>
      <c r="AS34"/>
      <c r="AT34"/>
      <c r="AU34"/>
    </row>
    <row r="35" spans="2:47" ht="12.75">
      <c r="B35" s="2" t="s">
        <v>52</v>
      </c>
      <c r="D35" s="2" t="s">
        <v>60</v>
      </c>
      <c r="F35" s="7">
        <f>F15/F27/60/0.0283*1000000*(21-7)/(21-F28)</f>
        <v>6289.0293286532215</v>
      </c>
      <c r="G35" s="8"/>
      <c r="H35" s="7">
        <f>H15/H27/60/0.0283*1000000*(21-7)/(21-H28)</f>
        <v>17191.434383271837</v>
      </c>
      <c r="I35" s="8"/>
      <c r="J35" s="7">
        <f>J15/J27/60/0.0283*1000000*(21-7)/(21-J28)</f>
        <v>12798.544625425815</v>
      </c>
      <c r="K35" s="8"/>
      <c r="L35" s="7">
        <f>AVERAGE(F35,H35,J35)</f>
        <v>12093.002779116958</v>
      </c>
      <c r="M35" s="7"/>
      <c r="N35" s="7">
        <f>N15/N27/60/0.0283*1000000*(21-7)/(21-N28)</f>
        <v>15644.492822067381</v>
      </c>
      <c r="O35" s="7"/>
      <c r="P35" s="7">
        <f>P15/P27/60/0.0283*1000000*(21-7)/(21-P28)</f>
        <v>16095.97339878128</v>
      </c>
      <c r="Q35" s="7"/>
      <c r="R35" s="7">
        <f>R15/R27/60/0.0283*1000000*(21-7)/(21-R28)</f>
        <v>15990.92537099688</v>
      </c>
      <c r="S35" s="7"/>
      <c r="T35" s="7">
        <f>T15/T27/60/0.0283*1000000*(21-7)/(21-T28)</f>
        <v>15908.571787274694</v>
      </c>
      <c r="U35" s="7"/>
      <c r="V35" s="7"/>
      <c r="W35" s="7"/>
      <c r="X35" s="7"/>
      <c r="Y35" s="7"/>
      <c r="Z35" s="7"/>
      <c r="AA35" s="7"/>
      <c r="AB35" s="8"/>
      <c r="AC35" s="37">
        <v>0</v>
      </c>
      <c r="AD35" s="8">
        <f aca="true" t="shared" si="0" ref="AD35:AH45">V35+F35+N35</f>
        <v>21933.5221507206</v>
      </c>
      <c r="AE35" s="37">
        <v>0</v>
      </c>
      <c r="AF35" s="8">
        <f t="shared" si="0"/>
        <v>33287.40778205312</v>
      </c>
      <c r="AG35" s="37">
        <v>0</v>
      </c>
      <c r="AH35" s="8">
        <f t="shared" si="0"/>
        <v>28789.469996422697</v>
      </c>
      <c r="AI35" s="37">
        <v>0</v>
      </c>
      <c r="AJ35" s="8">
        <f>AB35+L35+T35</f>
        <v>28001.574566391653</v>
      </c>
      <c r="AL35"/>
      <c r="AM35"/>
      <c r="AN35"/>
      <c r="AO35"/>
      <c r="AP35"/>
      <c r="AQ35"/>
      <c r="AR35"/>
      <c r="AS35"/>
      <c r="AT35"/>
      <c r="AU35"/>
    </row>
    <row r="36" spans="2:47" ht="12.75">
      <c r="B36" s="2" t="s">
        <v>105</v>
      </c>
      <c r="D36" s="2" t="s">
        <v>60</v>
      </c>
      <c r="E36" s="6">
        <v>100</v>
      </c>
      <c r="F36" s="7">
        <f>F16*F$10*454/1000000/F$27/60/0.0283*1000000*(21-7)/(21-F$28)</f>
        <v>52.42517812619965</v>
      </c>
      <c r="G36" s="6">
        <v>100</v>
      </c>
      <c r="H36" s="7">
        <f>H16*H$10*454/1000000/H$27/60/0.0283*1000000*(21-7)/(21-H$28)</f>
        <v>53.752430134497786</v>
      </c>
      <c r="I36" s="6">
        <v>100</v>
      </c>
      <c r="J36" s="7">
        <f aca="true" t="shared" si="1" ref="J36:J45">J16*J$10*454/1000000/J$27/60/0.0283*1000000*(21-7)/(21-J$28)</f>
        <v>53.342331505398036</v>
      </c>
      <c r="K36" s="6">
        <v>100</v>
      </c>
      <c r="L36" s="7">
        <f>AVERAGE(F36,H36,J36)</f>
        <v>53.173313255365166</v>
      </c>
      <c r="M36" s="7"/>
      <c r="N36" s="7"/>
      <c r="O36" s="7"/>
      <c r="P36" s="7"/>
      <c r="Q36" s="7"/>
      <c r="R36" s="7"/>
      <c r="S36" s="7"/>
      <c r="T36" s="8"/>
      <c r="U36" s="8"/>
      <c r="V36" s="8"/>
      <c r="W36" s="8"/>
      <c r="X36" s="8"/>
      <c r="Y36" s="8"/>
      <c r="Z36" s="8"/>
      <c r="AA36" s="8"/>
      <c r="AB36" s="8"/>
      <c r="AC36" s="37">
        <f>E36</f>
        <v>100</v>
      </c>
      <c r="AD36" s="8">
        <f t="shared" si="0"/>
        <v>52.42517812619965</v>
      </c>
      <c r="AE36" s="37">
        <f>G36</f>
        <v>100</v>
      </c>
      <c r="AF36" s="8">
        <f t="shared" si="0"/>
        <v>53.752430134497786</v>
      </c>
      <c r="AG36" s="37">
        <f>I36</f>
        <v>100</v>
      </c>
      <c r="AH36" s="8">
        <f t="shared" si="0"/>
        <v>53.342331505398036</v>
      </c>
      <c r="AI36" s="37">
        <f>K36</f>
        <v>100</v>
      </c>
      <c r="AJ36" s="8">
        <f aca="true" t="shared" si="2" ref="AJ36:AJ48">AB36+L36+T36</f>
        <v>53.173313255365166</v>
      </c>
      <c r="AL36"/>
      <c r="AM36"/>
      <c r="AN36"/>
      <c r="AO36"/>
      <c r="AP36"/>
      <c r="AQ36"/>
      <c r="AR36"/>
      <c r="AS36"/>
      <c r="AT36"/>
      <c r="AU36"/>
    </row>
    <row r="37" spans="2:47" ht="12.75">
      <c r="B37" s="2" t="s">
        <v>101</v>
      </c>
      <c r="D37" s="2" t="s">
        <v>60</v>
      </c>
      <c r="E37" s="6">
        <v>100</v>
      </c>
      <c r="F37" s="7">
        <f aca="true" t="shared" si="3" ref="F37:H45">F17*F$10*454/1000000/F$27/60/0.0283*1000000*(21-7)/(21-F$28)</f>
        <v>26.212589063099824</v>
      </c>
      <c r="G37" s="6">
        <v>100</v>
      </c>
      <c r="H37" s="7">
        <f t="shared" si="3"/>
        <v>26.876215067248893</v>
      </c>
      <c r="I37" s="6">
        <v>100</v>
      </c>
      <c r="J37" s="7">
        <f t="shared" si="1"/>
        <v>26.671165752699018</v>
      </c>
      <c r="K37" s="6">
        <v>100</v>
      </c>
      <c r="L37" s="7">
        <f aca="true" t="shared" si="4" ref="L37:L45">AVERAGE(F37,H37,J37)</f>
        <v>26.586656627682583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37">
        <f aca="true" t="shared" si="5" ref="AC37:AI48">E37</f>
        <v>100</v>
      </c>
      <c r="AD37" s="8">
        <f t="shared" si="0"/>
        <v>26.212589063099824</v>
      </c>
      <c r="AE37" s="37">
        <f t="shared" si="5"/>
        <v>100</v>
      </c>
      <c r="AF37" s="8">
        <f t="shared" si="0"/>
        <v>26.876215067248893</v>
      </c>
      <c r="AG37" s="37">
        <f t="shared" si="5"/>
        <v>100</v>
      </c>
      <c r="AH37" s="8">
        <f t="shared" si="0"/>
        <v>26.671165752699018</v>
      </c>
      <c r="AI37" s="37">
        <f t="shared" si="5"/>
        <v>100</v>
      </c>
      <c r="AJ37" s="8">
        <f t="shared" si="2"/>
        <v>26.586656627682583</v>
      </c>
      <c r="AL37"/>
      <c r="AM37"/>
      <c r="AN37"/>
      <c r="AO37"/>
      <c r="AP37"/>
      <c r="AQ37"/>
      <c r="AR37"/>
      <c r="AS37"/>
      <c r="AT37"/>
      <c r="AU37"/>
    </row>
    <row r="38" spans="2:47" ht="12.75">
      <c r="B38" s="2" t="s">
        <v>102</v>
      </c>
      <c r="D38" s="2" t="s">
        <v>60</v>
      </c>
      <c r="E38" s="6">
        <v>100</v>
      </c>
      <c r="F38" s="7">
        <f t="shared" si="3"/>
        <v>52.42517812619965</v>
      </c>
      <c r="G38" s="6">
        <v>100</v>
      </c>
      <c r="H38" s="7">
        <f t="shared" si="3"/>
        <v>53.752430134497786</v>
      </c>
      <c r="I38" s="6">
        <v>100</v>
      </c>
      <c r="J38" s="7">
        <f t="shared" si="1"/>
        <v>53.342331505398036</v>
      </c>
      <c r="K38" s="6">
        <v>100</v>
      </c>
      <c r="L38" s="7">
        <f t="shared" si="4"/>
        <v>53.173313255365166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37">
        <f t="shared" si="5"/>
        <v>100</v>
      </c>
      <c r="AD38" s="8">
        <f t="shared" si="0"/>
        <v>52.42517812619965</v>
      </c>
      <c r="AE38" s="37">
        <f t="shared" si="5"/>
        <v>100</v>
      </c>
      <c r="AF38" s="8">
        <f t="shared" si="0"/>
        <v>53.752430134497786</v>
      </c>
      <c r="AG38" s="37">
        <f t="shared" si="5"/>
        <v>100</v>
      </c>
      <c r="AH38" s="8">
        <f t="shared" si="0"/>
        <v>53.342331505398036</v>
      </c>
      <c r="AI38" s="37">
        <f t="shared" si="5"/>
        <v>100</v>
      </c>
      <c r="AJ38" s="8">
        <f t="shared" si="2"/>
        <v>53.173313255365166</v>
      </c>
      <c r="AL38"/>
      <c r="AM38"/>
      <c r="AN38"/>
      <c r="AO38"/>
      <c r="AP38"/>
      <c r="AQ38"/>
      <c r="AR38"/>
      <c r="AS38"/>
      <c r="AT38"/>
      <c r="AU38"/>
    </row>
    <row r="39" spans="2:47" ht="12.75">
      <c r="B39" s="2" t="s">
        <v>103</v>
      </c>
      <c r="D39" s="2" t="s">
        <v>60</v>
      </c>
      <c r="E39" s="6">
        <v>100</v>
      </c>
      <c r="F39" s="7">
        <f t="shared" si="3"/>
        <v>15.727553437859894</v>
      </c>
      <c r="G39" s="6">
        <v>100</v>
      </c>
      <c r="H39" s="7">
        <f t="shared" si="3"/>
        <v>16.125729040349334</v>
      </c>
      <c r="I39" s="6">
        <v>100</v>
      </c>
      <c r="J39" s="7">
        <f t="shared" si="1"/>
        <v>16.002699451619407</v>
      </c>
      <c r="K39" s="6">
        <v>100</v>
      </c>
      <c r="L39" s="7">
        <f t="shared" si="4"/>
        <v>15.951993976609545</v>
      </c>
      <c r="M39" s="7"/>
      <c r="N39" s="7"/>
      <c r="O39" s="7"/>
      <c r="P39" s="7"/>
      <c r="Q39" s="7"/>
      <c r="R39" s="7"/>
      <c r="S39" s="7"/>
      <c r="T39" s="34"/>
      <c r="U39" s="34"/>
      <c r="V39" s="34"/>
      <c r="W39" s="34"/>
      <c r="X39" s="34"/>
      <c r="Y39" s="34"/>
      <c r="Z39" s="34"/>
      <c r="AA39" s="34"/>
      <c r="AB39" s="7"/>
      <c r="AC39" s="37">
        <f t="shared" si="5"/>
        <v>100</v>
      </c>
      <c r="AD39" s="8">
        <f t="shared" si="0"/>
        <v>15.727553437859894</v>
      </c>
      <c r="AE39" s="37">
        <f t="shared" si="5"/>
        <v>100</v>
      </c>
      <c r="AF39" s="8">
        <f t="shared" si="0"/>
        <v>16.125729040349334</v>
      </c>
      <c r="AG39" s="37">
        <f t="shared" si="5"/>
        <v>100</v>
      </c>
      <c r="AH39" s="8">
        <f t="shared" si="0"/>
        <v>16.002699451619407</v>
      </c>
      <c r="AI39" s="37">
        <f t="shared" si="5"/>
        <v>100</v>
      </c>
      <c r="AJ39" s="8">
        <f t="shared" si="2"/>
        <v>15.951993976609545</v>
      </c>
      <c r="AL39"/>
      <c r="AM39"/>
      <c r="AN39"/>
      <c r="AO39"/>
      <c r="AP39"/>
      <c r="AQ39"/>
      <c r="AR39"/>
      <c r="AS39"/>
      <c r="AT39"/>
      <c r="AU39"/>
    </row>
    <row r="40" spans="2:47" ht="12.75">
      <c r="B40" s="2" t="s">
        <v>107</v>
      </c>
      <c r="D40" s="2" t="s">
        <v>60</v>
      </c>
      <c r="E40" s="6">
        <v>100</v>
      </c>
      <c r="F40" s="7">
        <f t="shared" si="3"/>
        <v>5.242517812619966</v>
      </c>
      <c r="G40" s="6">
        <v>100</v>
      </c>
      <c r="H40" s="7">
        <f t="shared" si="3"/>
        <v>5.375243013449778</v>
      </c>
      <c r="I40" s="6">
        <v>100</v>
      </c>
      <c r="J40" s="7">
        <f t="shared" si="1"/>
        <v>5.334233150539803</v>
      </c>
      <c r="K40" s="6">
        <v>100</v>
      </c>
      <c r="L40" s="7">
        <f t="shared" si="4"/>
        <v>5.317331325536515</v>
      </c>
      <c r="M40" s="7"/>
      <c r="N40" s="7"/>
      <c r="O40" s="7"/>
      <c r="P40" s="7"/>
      <c r="Q40" s="7"/>
      <c r="R40" s="7"/>
      <c r="S40" s="7"/>
      <c r="T40" s="34"/>
      <c r="U40" s="34"/>
      <c r="V40" s="34"/>
      <c r="W40" s="34"/>
      <c r="X40" s="34"/>
      <c r="Y40" s="34"/>
      <c r="Z40" s="34"/>
      <c r="AA40" s="34"/>
      <c r="AB40" s="7"/>
      <c r="AC40" s="37">
        <f t="shared" si="5"/>
        <v>100</v>
      </c>
      <c r="AD40" s="8">
        <f t="shared" si="0"/>
        <v>5.242517812619966</v>
      </c>
      <c r="AE40" s="37">
        <f t="shared" si="5"/>
        <v>100</v>
      </c>
      <c r="AF40" s="8">
        <f t="shared" si="0"/>
        <v>5.375243013449778</v>
      </c>
      <c r="AG40" s="37">
        <f t="shared" si="5"/>
        <v>100</v>
      </c>
      <c r="AH40" s="8">
        <f t="shared" si="0"/>
        <v>5.334233150539803</v>
      </c>
      <c r="AI40" s="37">
        <f t="shared" si="5"/>
        <v>100</v>
      </c>
      <c r="AJ40" s="8">
        <f t="shared" si="2"/>
        <v>5.317331325536515</v>
      </c>
      <c r="AL40"/>
      <c r="AM40"/>
      <c r="AN40"/>
      <c r="AO40"/>
      <c r="AP40"/>
      <c r="AQ40"/>
      <c r="AR40"/>
      <c r="AS40"/>
      <c r="AT40"/>
      <c r="AU40"/>
    </row>
    <row r="41" spans="2:47" ht="12.75">
      <c r="B41" s="2" t="s">
        <v>99</v>
      </c>
      <c r="D41" s="2" t="s">
        <v>60</v>
      </c>
      <c r="E41" s="6"/>
      <c r="F41" s="7">
        <f t="shared" si="3"/>
        <v>5.242517812619966</v>
      </c>
      <c r="G41" s="34"/>
      <c r="H41" s="7">
        <f t="shared" si="3"/>
        <v>5.375243013449778</v>
      </c>
      <c r="I41" s="34"/>
      <c r="J41" s="7">
        <f t="shared" si="1"/>
        <v>5.334233150539803</v>
      </c>
      <c r="K41" s="34"/>
      <c r="L41" s="7">
        <f t="shared" si="4"/>
        <v>5.317331325536515</v>
      </c>
      <c r="M41" s="7"/>
      <c r="N41" s="7"/>
      <c r="O41" s="7"/>
      <c r="P41" s="7"/>
      <c r="Q41" s="7"/>
      <c r="R41" s="7"/>
      <c r="S41" s="7"/>
      <c r="T41" s="34"/>
      <c r="U41" s="34"/>
      <c r="V41" s="34"/>
      <c r="W41" s="34"/>
      <c r="X41" s="34"/>
      <c r="Y41" s="34"/>
      <c r="Z41" s="34"/>
      <c r="AA41" s="34"/>
      <c r="AB41" s="7"/>
      <c r="AC41" s="37">
        <f t="shared" si="5"/>
        <v>0</v>
      </c>
      <c r="AD41" s="8">
        <f t="shared" si="0"/>
        <v>5.242517812619966</v>
      </c>
      <c r="AE41" s="37">
        <f t="shared" si="5"/>
        <v>0</v>
      </c>
      <c r="AF41" s="8">
        <f t="shared" si="0"/>
        <v>5.375243013449778</v>
      </c>
      <c r="AG41" s="37">
        <f t="shared" si="5"/>
        <v>0</v>
      </c>
      <c r="AH41" s="8">
        <f t="shared" si="0"/>
        <v>5.334233150539803</v>
      </c>
      <c r="AI41" s="37">
        <f t="shared" si="5"/>
        <v>0</v>
      </c>
      <c r="AJ41" s="8">
        <f t="shared" si="2"/>
        <v>5.317331325536515</v>
      </c>
      <c r="AL41"/>
      <c r="AM41"/>
      <c r="AN41"/>
      <c r="AO41"/>
      <c r="AP41"/>
      <c r="AQ41"/>
      <c r="AR41"/>
      <c r="AS41"/>
      <c r="AT41"/>
      <c r="AU41"/>
    </row>
    <row r="42" spans="2:47" ht="12.75">
      <c r="B42" s="2" t="s">
        <v>106</v>
      </c>
      <c r="D42" s="2" t="s">
        <v>60</v>
      </c>
      <c r="E42" s="6">
        <v>100</v>
      </c>
      <c r="F42" s="7">
        <f t="shared" si="3"/>
        <v>52.42517812619965</v>
      </c>
      <c r="G42" s="6">
        <v>100</v>
      </c>
      <c r="H42" s="7">
        <f t="shared" si="3"/>
        <v>53.752430134497786</v>
      </c>
      <c r="I42" s="6">
        <v>100</v>
      </c>
      <c r="J42" s="7">
        <f t="shared" si="1"/>
        <v>53.342331505398036</v>
      </c>
      <c r="K42" s="6">
        <v>100</v>
      </c>
      <c r="L42" s="7">
        <f t="shared" si="4"/>
        <v>53.173313255365166</v>
      </c>
      <c r="M42" s="7"/>
      <c r="N42" s="7"/>
      <c r="O42" s="7"/>
      <c r="P42" s="7"/>
      <c r="Q42" s="7"/>
      <c r="R42" s="7"/>
      <c r="S42" s="7"/>
      <c r="T42" s="34"/>
      <c r="U42" s="34"/>
      <c r="V42" s="34"/>
      <c r="W42" s="34"/>
      <c r="X42" s="34"/>
      <c r="Y42" s="34"/>
      <c r="Z42" s="34"/>
      <c r="AA42" s="34"/>
      <c r="AB42" s="7"/>
      <c r="AC42" s="37">
        <f t="shared" si="5"/>
        <v>100</v>
      </c>
      <c r="AD42" s="8">
        <f t="shared" si="0"/>
        <v>52.42517812619965</v>
      </c>
      <c r="AE42" s="37">
        <f t="shared" si="5"/>
        <v>100</v>
      </c>
      <c r="AF42" s="8">
        <f t="shared" si="0"/>
        <v>53.752430134497786</v>
      </c>
      <c r="AG42" s="37">
        <f t="shared" si="5"/>
        <v>100</v>
      </c>
      <c r="AH42" s="8">
        <f t="shared" si="0"/>
        <v>53.342331505398036</v>
      </c>
      <c r="AI42" s="37">
        <f t="shared" si="5"/>
        <v>100</v>
      </c>
      <c r="AJ42" s="8">
        <f t="shared" si="2"/>
        <v>53.173313255365166</v>
      </c>
      <c r="AL42"/>
      <c r="AM42"/>
      <c r="AN42"/>
      <c r="AO42"/>
      <c r="AP42"/>
      <c r="AQ42"/>
      <c r="AR42"/>
      <c r="AS42"/>
      <c r="AT42"/>
      <c r="AU42"/>
    </row>
    <row r="43" spans="2:47" ht="12.75">
      <c r="B43" s="2" t="s">
        <v>111</v>
      </c>
      <c r="D43" s="2" t="s">
        <v>60</v>
      </c>
      <c r="E43" s="6">
        <v>100</v>
      </c>
      <c r="F43" s="7">
        <f t="shared" si="3"/>
        <v>5.242517812619966</v>
      </c>
      <c r="G43" s="6">
        <v>100</v>
      </c>
      <c r="H43" s="7">
        <f t="shared" si="3"/>
        <v>5.375243013449778</v>
      </c>
      <c r="I43" s="6">
        <v>100</v>
      </c>
      <c r="J43" s="7">
        <f t="shared" si="1"/>
        <v>5.334233150539803</v>
      </c>
      <c r="K43" s="6">
        <v>100</v>
      </c>
      <c r="L43" s="7">
        <f t="shared" si="4"/>
        <v>5.317331325536515</v>
      </c>
      <c r="M43" s="7"/>
      <c r="N43" s="7"/>
      <c r="O43" s="7"/>
      <c r="P43" s="7"/>
      <c r="Q43" s="7"/>
      <c r="R43" s="7"/>
      <c r="S43" s="7"/>
      <c r="T43" s="34"/>
      <c r="U43" s="34"/>
      <c r="V43" s="34"/>
      <c r="W43" s="34"/>
      <c r="X43" s="34"/>
      <c r="Y43" s="34"/>
      <c r="Z43" s="34"/>
      <c r="AA43" s="34"/>
      <c r="AB43" s="7"/>
      <c r="AC43" s="37">
        <f t="shared" si="5"/>
        <v>100</v>
      </c>
      <c r="AD43" s="8">
        <f t="shared" si="0"/>
        <v>5.242517812619966</v>
      </c>
      <c r="AE43" s="37">
        <f t="shared" si="5"/>
        <v>100</v>
      </c>
      <c r="AF43" s="8">
        <f t="shared" si="0"/>
        <v>5.375243013449778</v>
      </c>
      <c r="AG43" s="37">
        <f t="shared" si="5"/>
        <v>100</v>
      </c>
      <c r="AH43" s="8">
        <f t="shared" si="0"/>
        <v>5.334233150539803</v>
      </c>
      <c r="AI43" s="37">
        <f t="shared" si="5"/>
        <v>100</v>
      </c>
      <c r="AJ43" s="8">
        <f t="shared" si="2"/>
        <v>5.317331325536515</v>
      </c>
      <c r="AL43"/>
      <c r="AM43"/>
      <c r="AN43"/>
      <c r="AO43"/>
      <c r="AP43"/>
      <c r="AQ43"/>
      <c r="AR43"/>
      <c r="AS43"/>
      <c r="AT43"/>
      <c r="AU43"/>
    </row>
    <row r="44" spans="2:47" ht="12.75">
      <c r="B44" s="2" t="s">
        <v>108</v>
      </c>
      <c r="D44" s="2" t="s">
        <v>60</v>
      </c>
      <c r="E44" s="6">
        <v>100</v>
      </c>
      <c r="F44" s="7">
        <f t="shared" si="3"/>
        <v>52.42517812619965</v>
      </c>
      <c r="G44" s="6">
        <v>100</v>
      </c>
      <c r="H44" s="7">
        <f t="shared" si="3"/>
        <v>53.752430134497786</v>
      </c>
      <c r="I44" s="6">
        <v>100</v>
      </c>
      <c r="J44" s="7">
        <f t="shared" si="1"/>
        <v>53.342331505398036</v>
      </c>
      <c r="K44" s="6">
        <v>100</v>
      </c>
      <c r="L44" s="7">
        <f t="shared" si="4"/>
        <v>53.173313255365166</v>
      </c>
      <c r="M44" s="7"/>
      <c r="N44" s="7"/>
      <c r="O44" s="7"/>
      <c r="P44" s="7"/>
      <c r="Q44" s="7"/>
      <c r="R44" s="7"/>
      <c r="S44" s="7"/>
      <c r="T44" s="34"/>
      <c r="U44" s="34"/>
      <c r="V44" s="34"/>
      <c r="W44" s="34"/>
      <c r="X44" s="34"/>
      <c r="Y44" s="34"/>
      <c r="Z44" s="34"/>
      <c r="AA44" s="34"/>
      <c r="AB44" s="7"/>
      <c r="AC44" s="37">
        <f t="shared" si="5"/>
        <v>100</v>
      </c>
      <c r="AD44" s="8">
        <f t="shared" si="0"/>
        <v>52.42517812619965</v>
      </c>
      <c r="AE44" s="37">
        <f t="shared" si="5"/>
        <v>100</v>
      </c>
      <c r="AF44" s="8">
        <f t="shared" si="0"/>
        <v>53.752430134497786</v>
      </c>
      <c r="AG44" s="37">
        <f t="shared" si="5"/>
        <v>100</v>
      </c>
      <c r="AH44" s="8">
        <f t="shared" si="0"/>
        <v>53.342331505398036</v>
      </c>
      <c r="AI44" s="37">
        <f t="shared" si="5"/>
        <v>100</v>
      </c>
      <c r="AJ44" s="8">
        <f t="shared" si="2"/>
        <v>53.173313255365166</v>
      </c>
      <c r="AL44"/>
      <c r="AM44"/>
      <c r="AN44"/>
      <c r="AO44"/>
      <c r="AP44"/>
      <c r="AQ44"/>
      <c r="AR44"/>
      <c r="AS44"/>
      <c r="AT44"/>
      <c r="AU44"/>
    </row>
    <row r="45" spans="2:47" ht="12.75">
      <c r="B45" s="2" t="s">
        <v>104</v>
      </c>
      <c r="D45" s="2" t="s">
        <v>60</v>
      </c>
      <c r="E45" s="6">
        <v>100</v>
      </c>
      <c r="F45" s="7">
        <f t="shared" si="3"/>
        <v>52.42517812619965</v>
      </c>
      <c r="G45" s="6">
        <v>100</v>
      </c>
      <c r="H45" s="7">
        <f t="shared" si="3"/>
        <v>53.752430134497786</v>
      </c>
      <c r="I45" s="6">
        <v>100</v>
      </c>
      <c r="J45" s="7">
        <f t="shared" si="1"/>
        <v>53.342331505398036</v>
      </c>
      <c r="K45" s="6">
        <v>100</v>
      </c>
      <c r="L45" s="7">
        <f t="shared" si="4"/>
        <v>53.173313255365166</v>
      </c>
      <c r="M45" s="7"/>
      <c r="N45" s="7"/>
      <c r="O45" s="7"/>
      <c r="P45" s="7"/>
      <c r="Q45" s="7"/>
      <c r="R45" s="7"/>
      <c r="S45" s="7"/>
      <c r="T45" s="34"/>
      <c r="U45" s="34"/>
      <c r="V45" s="34"/>
      <c r="W45" s="34"/>
      <c r="X45" s="34"/>
      <c r="Y45" s="34"/>
      <c r="Z45" s="34"/>
      <c r="AA45" s="34"/>
      <c r="AB45" s="7"/>
      <c r="AC45" s="37">
        <f t="shared" si="5"/>
        <v>100</v>
      </c>
      <c r="AD45" s="8">
        <f t="shared" si="0"/>
        <v>52.42517812619965</v>
      </c>
      <c r="AE45" s="37">
        <f t="shared" si="5"/>
        <v>100</v>
      </c>
      <c r="AF45" s="8">
        <f t="shared" si="0"/>
        <v>53.752430134497786</v>
      </c>
      <c r="AG45" s="37">
        <f t="shared" si="5"/>
        <v>100</v>
      </c>
      <c r="AH45" s="8">
        <f t="shared" si="0"/>
        <v>53.342331505398036</v>
      </c>
      <c r="AI45" s="37">
        <f t="shared" si="5"/>
        <v>100</v>
      </c>
      <c r="AJ45" s="8">
        <f t="shared" si="2"/>
        <v>53.173313255365166</v>
      </c>
      <c r="AL45"/>
      <c r="AM45"/>
      <c r="AN45"/>
      <c r="AO45"/>
      <c r="AP45"/>
      <c r="AQ45"/>
      <c r="AR45"/>
      <c r="AS45"/>
      <c r="AT45"/>
      <c r="AU45"/>
    </row>
    <row r="46" spans="5:47" ht="12.75">
      <c r="E46" s="6"/>
      <c r="F46" s="7"/>
      <c r="G46" s="6"/>
      <c r="H46" s="7"/>
      <c r="I46" s="6"/>
      <c r="J46" s="7"/>
      <c r="K46" s="34"/>
      <c r="L46" s="7"/>
      <c r="M46" s="7"/>
      <c r="N46" s="7"/>
      <c r="O46" s="7"/>
      <c r="P46" s="7"/>
      <c r="Q46" s="7"/>
      <c r="R46" s="7"/>
      <c r="S46" s="7"/>
      <c r="T46" s="34"/>
      <c r="U46" s="34"/>
      <c r="V46" s="34"/>
      <c r="W46" s="34"/>
      <c r="X46" s="34"/>
      <c r="Y46" s="34"/>
      <c r="Z46" s="34"/>
      <c r="AA46" s="34"/>
      <c r="AB46" s="7"/>
      <c r="AC46" s="37"/>
      <c r="AD46" s="8"/>
      <c r="AE46" s="37"/>
      <c r="AF46" s="8"/>
      <c r="AG46" s="37"/>
      <c r="AH46" s="8"/>
      <c r="AI46" s="37"/>
      <c r="AJ46" s="8"/>
      <c r="AL46"/>
      <c r="AM46"/>
      <c r="AN46"/>
      <c r="AO46"/>
      <c r="AP46"/>
      <c r="AQ46"/>
      <c r="AR46"/>
      <c r="AS46"/>
      <c r="AT46"/>
      <c r="AU46"/>
    </row>
    <row r="47" spans="2:47" ht="12.75">
      <c r="B47" s="2" t="s">
        <v>66</v>
      </c>
      <c r="D47" s="2" t="s">
        <v>60</v>
      </c>
      <c r="E47" s="31">
        <f>(E42*F42+E40*F40)/F47</f>
        <v>99.99999999999999</v>
      </c>
      <c r="F47" s="7">
        <f>F42+F40</f>
        <v>57.66769593881961</v>
      </c>
      <c r="G47" s="31">
        <f>(G42*H42+G40*H40)/H47</f>
        <v>100.00000000000001</v>
      </c>
      <c r="H47" s="7">
        <f>H42+H40</f>
        <v>59.12767314794756</v>
      </c>
      <c r="I47" s="31">
        <f>(I42*J42+I40*J40)/J47</f>
        <v>100</v>
      </c>
      <c r="J47" s="7">
        <f>J42+J40</f>
        <v>58.67656465593784</v>
      </c>
      <c r="K47" s="31">
        <f>(K42*L42+K40*L40)/L47</f>
        <v>100.00000000000003</v>
      </c>
      <c r="L47" s="7">
        <f>AVERAGE(F47,H47,J47)</f>
        <v>58.490644580901666</v>
      </c>
      <c r="M47" s="7"/>
      <c r="N47" s="7"/>
      <c r="O47" s="7"/>
      <c r="P47" s="7"/>
      <c r="Q47" s="7"/>
      <c r="R47" s="7"/>
      <c r="S47" s="7"/>
      <c r="T47" s="34"/>
      <c r="U47" s="34"/>
      <c r="V47" s="34"/>
      <c r="W47" s="34"/>
      <c r="X47" s="34"/>
      <c r="Y47" s="34"/>
      <c r="Z47" s="34"/>
      <c r="AA47" s="34"/>
      <c r="AB47" s="7"/>
      <c r="AC47" s="37">
        <f t="shared" si="5"/>
        <v>99.99999999999999</v>
      </c>
      <c r="AD47" s="8">
        <f>V47+F47+N47</f>
        <v>57.66769593881961</v>
      </c>
      <c r="AE47" s="37">
        <f t="shared" si="5"/>
        <v>100.00000000000001</v>
      </c>
      <c r="AF47" s="8">
        <f>X47+H47+P47</f>
        <v>59.12767314794756</v>
      </c>
      <c r="AG47" s="37">
        <f t="shared" si="5"/>
        <v>100</v>
      </c>
      <c r="AH47" s="8">
        <f>Z47+J47+R47</f>
        <v>58.67656465593784</v>
      </c>
      <c r="AI47" s="37">
        <f t="shared" si="5"/>
        <v>100.00000000000003</v>
      </c>
      <c r="AJ47" s="8">
        <f t="shared" si="2"/>
        <v>58.490644580901666</v>
      </c>
      <c r="AL47"/>
      <c r="AM47"/>
      <c r="AN47"/>
      <c r="AO47"/>
      <c r="AP47"/>
      <c r="AQ47"/>
      <c r="AR47"/>
      <c r="AS47"/>
      <c r="AT47"/>
      <c r="AU47"/>
    </row>
    <row r="48" spans="2:47" ht="12.75">
      <c r="B48" s="2" t="s">
        <v>67</v>
      </c>
      <c r="D48" s="2" t="s">
        <v>60</v>
      </c>
      <c r="E48" s="31">
        <f>(E37*F37+E39*F39+E41*F41)/F48</f>
        <v>88.88888888888889</v>
      </c>
      <c r="F48" s="7">
        <f>F37+F39+F41</f>
        <v>47.18266031357968</v>
      </c>
      <c r="G48" s="31">
        <f>(G37*H37+G39*H39+G41*H41)/H48</f>
        <v>88.8888888888889</v>
      </c>
      <c r="H48" s="7">
        <f>H37+H39+H41</f>
        <v>48.377187121048</v>
      </c>
      <c r="I48" s="31">
        <f>(I37*J37+I39*J39+I41*J41)/J48</f>
        <v>88.8888888888889</v>
      </c>
      <c r="J48" s="7">
        <f>J37+J39+J41</f>
        <v>48.00809835485823</v>
      </c>
      <c r="K48" s="31">
        <f>(K37*L37+K39*L39+K41*L41)/L48</f>
        <v>88.8888888888889</v>
      </c>
      <c r="L48" s="7">
        <f>AVERAGE(F48,H48,J48)</f>
        <v>47.85598192982864</v>
      </c>
      <c r="M48" s="7"/>
      <c r="N48" s="7"/>
      <c r="O48" s="7"/>
      <c r="P48" s="7"/>
      <c r="Q48" s="7"/>
      <c r="R48" s="7"/>
      <c r="S48" s="7"/>
      <c r="T48" s="34"/>
      <c r="U48" s="34"/>
      <c r="V48" s="34"/>
      <c r="W48" s="34"/>
      <c r="X48" s="34"/>
      <c r="Y48" s="34"/>
      <c r="Z48" s="34"/>
      <c r="AA48" s="34"/>
      <c r="AB48" s="7"/>
      <c r="AC48" s="37">
        <f t="shared" si="5"/>
        <v>88.88888888888889</v>
      </c>
      <c r="AD48" s="8">
        <f>V48+F48+N48</f>
        <v>47.18266031357968</v>
      </c>
      <c r="AE48" s="37">
        <f t="shared" si="5"/>
        <v>88.8888888888889</v>
      </c>
      <c r="AF48" s="8">
        <f>X48+H48+P48</f>
        <v>48.377187121048</v>
      </c>
      <c r="AG48" s="37">
        <f t="shared" si="5"/>
        <v>88.8888888888889</v>
      </c>
      <c r="AH48" s="8">
        <f>Z48+J48+R48</f>
        <v>48.00809835485823</v>
      </c>
      <c r="AI48" s="37">
        <f t="shared" si="5"/>
        <v>88.8888888888889</v>
      </c>
      <c r="AJ48" s="8">
        <f t="shared" si="2"/>
        <v>47.85598192982864</v>
      </c>
      <c r="AL48"/>
      <c r="AM48"/>
      <c r="AN48"/>
      <c r="AO48"/>
      <c r="AP48"/>
      <c r="AQ48"/>
      <c r="AR48"/>
      <c r="AS48"/>
      <c r="AT48"/>
      <c r="AU48"/>
    </row>
    <row r="49" spans="5:47" ht="12.75">
      <c r="E49" s="6"/>
      <c r="F49" s="6"/>
      <c r="G49" s="6"/>
      <c r="H49" s="6"/>
      <c r="I49" s="6"/>
      <c r="J49" s="6"/>
      <c r="K49" s="6"/>
      <c r="L49" s="5"/>
      <c r="M49" s="5"/>
      <c r="N49" s="5"/>
      <c r="O49" s="5"/>
      <c r="P49" s="5"/>
      <c r="Q49" s="5"/>
      <c r="R49" s="5"/>
      <c r="S49" s="5"/>
      <c r="T49" s="6"/>
      <c r="U49" s="6"/>
      <c r="V49" s="6"/>
      <c r="W49" s="6"/>
      <c r="X49" s="6"/>
      <c r="Y49" s="6"/>
      <c r="Z49" s="6"/>
      <c r="AA49" s="6"/>
      <c r="AB49" s="4"/>
      <c r="AC49" s="4"/>
      <c r="AD49" s="4"/>
      <c r="AE49" s="4"/>
      <c r="AF49" s="4"/>
      <c r="AG49" s="4"/>
      <c r="AH49" s="4"/>
      <c r="AI49" s="4"/>
      <c r="AJ49" s="6"/>
      <c r="AL49"/>
      <c r="AM49"/>
      <c r="AN49"/>
      <c r="AO49"/>
      <c r="AP49"/>
      <c r="AQ49"/>
      <c r="AR49"/>
      <c r="AS49"/>
      <c r="AT49"/>
      <c r="AU49"/>
    </row>
    <row r="50" spans="2:47" ht="12.7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2:47" ht="12.75">
      <c r="B51" s="1" t="s">
        <v>169</v>
      </c>
      <c r="C51" s="1"/>
      <c r="F51" s="6" t="s">
        <v>114</v>
      </c>
      <c r="G51" s="6"/>
      <c r="H51" s="6" t="s">
        <v>115</v>
      </c>
      <c r="I51" s="6"/>
      <c r="J51" s="6" t="s">
        <v>116</v>
      </c>
      <c r="K51" s="6"/>
      <c r="L51" s="6" t="s">
        <v>41</v>
      </c>
      <c r="M51" s="6"/>
      <c r="N51" s="6" t="s">
        <v>114</v>
      </c>
      <c r="O51" s="6"/>
      <c r="P51" s="6" t="s">
        <v>115</v>
      </c>
      <c r="Q51" s="6"/>
      <c r="R51" s="6" t="s">
        <v>116</v>
      </c>
      <c r="S51" s="6"/>
      <c r="T51" s="6" t="s">
        <v>41</v>
      </c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L51"/>
      <c r="AM51"/>
      <c r="AN51"/>
      <c r="AO51"/>
      <c r="AP51"/>
      <c r="AQ51"/>
      <c r="AR51"/>
      <c r="AS51"/>
      <c r="AT51"/>
      <c r="AU51"/>
    </row>
    <row r="52" spans="2:47" ht="12.75">
      <c r="B52" s="1"/>
      <c r="C52" s="1"/>
      <c r="N52" s="3"/>
      <c r="O52" s="3"/>
      <c r="P52" s="3"/>
      <c r="Q52" s="3"/>
      <c r="R52" s="3"/>
      <c r="S52" s="3"/>
      <c r="T52" s="4"/>
      <c r="AB52" s="4"/>
      <c r="AJ52" s="4"/>
      <c r="AL52"/>
      <c r="AM52"/>
      <c r="AN52"/>
      <c r="AO52"/>
      <c r="AP52"/>
      <c r="AQ52"/>
      <c r="AR52"/>
      <c r="AS52"/>
      <c r="AT52"/>
      <c r="AU52"/>
    </row>
    <row r="53" spans="2:47" ht="12.75">
      <c r="B53" s="2" t="s">
        <v>127</v>
      </c>
      <c r="C53" s="1"/>
      <c r="F53" s="6" t="s">
        <v>138</v>
      </c>
      <c r="H53" s="6" t="s">
        <v>138</v>
      </c>
      <c r="J53" s="6" t="s">
        <v>138</v>
      </c>
      <c r="L53" s="6" t="s">
        <v>138</v>
      </c>
      <c r="N53" s="6" t="s">
        <v>139</v>
      </c>
      <c r="O53" s="3"/>
      <c r="P53" s="6" t="s">
        <v>139</v>
      </c>
      <c r="Q53" s="3"/>
      <c r="R53" s="6" t="s">
        <v>139</v>
      </c>
      <c r="S53" s="3"/>
      <c r="T53" s="6" t="s">
        <v>139</v>
      </c>
      <c r="V53" s="6"/>
      <c r="X53" s="6"/>
      <c r="Z53" s="6"/>
      <c r="AB53" s="6"/>
      <c r="AD53" s="6"/>
      <c r="AF53" s="6"/>
      <c r="AH53" s="6"/>
      <c r="AJ53" s="6"/>
      <c r="AL53"/>
      <c r="AM53"/>
      <c r="AN53"/>
      <c r="AO53"/>
      <c r="AP53"/>
      <c r="AQ53"/>
      <c r="AR53"/>
      <c r="AS53"/>
      <c r="AT53"/>
      <c r="AU53"/>
    </row>
    <row r="54" spans="2:47" ht="12.75">
      <c r="B54" s="2" t="s">
        <v>128</v>
      </c>
      <c r="F54" s="6" t="s">
        <v>129</v>
      </c>
      <c r="H54" s="6" t="s">
        <v>129</v>
      </c>
      <c r="J54" s="6" t="s">
        <v>129</v>
      </c>
      <c r="L54" s="6" t="s">
        <v>129</v>
      </c>
      <c r="N54" s="6" t="s">
        <v>64</v>
      </c>
      <c r="O54" s="3"/>
      <c r="P54" s="6" t="s">
        <v>64</v>
      </c>
      <c r="Q54" s="3"/>
      <c r="R54" s="6" t="s">
        <v>64</v>
      </c>
      <c r="S54" s="3"/>
      <c r="T54" s="6" t="s">
        <v>64</v>
      </c>
      <c r="V54" s="6"/>
      <c r="X54" s="6"/>
      <c r="Z54" s="6"/>
      <c r="AB54" s="6"/>
      <c r="AD54" s="6"/>
      <c r="AF54" s="6"/>
      <c r="AH54" s="6"/>
      <c r="AJ54" s="6"/>
      <c r="AL54"/>
      <c r="AM54"/>
      <c r="AN54"/>
      <c r="AO54"/>
      <c r="AP54"/>
      <c r="AQ54"/>
      <c r="AR54"/>
      <c r="AS54"/>
      <c r="AT54"/>
      <c r="AU54"/>
    </row>
    <row r="55" spans="2:47" ht="12.75">
      <c r="B55" s="2" t="s">
        <v>143</v>
      </c>
      <c r="F55" s="6" t="s">
        <v>69</v>
      </c>
      <c r="H55" s="6" t="s">
        <v>69</v>
      </c>
      <c r="J55" s="6" t="s">
        <v>69</v>
      </c>
      <c r="L55" s="6" t="s">
        <v>69</v>
      </c>
      <c r="N55" s="6" t="s">
        <v>64</v>
      </c>
      <c r="O55" s="3"/>
      <c r="P55" s="6" t="s">
        <v>64</v>
      </c>
      <c r="Q55" s="3"/>
      <c r="R55" s="6" t="s">
        <v>64</v>
      </c>
      <c r="S55" s="3"/>
      <c r="T55" s="6" t="s">
        <v>64</v>
      </c>
      <c r="V55" s="6"/>
      <c r="X55" s="6"/>
      <c r="Z55" s="6"/>
      <c r="AB55" s="6"/>
      <c r="AD55" s="6"/>
      <c r="AF55" s="6"/>
      <c r="AH55" s="6"/>
      <c r="AJ55" s="6"/>
      <c r="AL55"/>
      <c r="AM55"/>
      <c r="AN55"/>
      <c r="AO55"/>
      <c r="AP55"/>
      <c r="AQ55"/>
      <c r="AR55"/>
      <c r="AS55"/>
      <c r="AT55"/>
      <c r="AU55"/>
    </row>
    <row r="56" spans="2:47" ht="12.75">
      <c r="B56" s="2" t="s">
        <v>42</v>
      </c>
      <c r="F56" s="4" t="s">
        <v>43</v>
      </c>
      <c r="H56" s="4" t="s">
        <v>43</v>
      </c>
      <c r="J56" s="4" t="s">
        <v>43</v>
      </c>
      <c r="L56" s="4" t="s">
        <v>43</v>
      </c>
      <c r="N56" s="6" t="s">
        <v>64</v>
      </c>
      <c r="O56" s="3"/>
      <c r="P56" s="6" t="s">
        <v>64</v>
      </c>
      <c r="Q56" s="3"/>
      <c r="R56" s="6" t="s">
        <v>64</v>
      </c>
      <c r="S56" s="3"/>
      <c r="T56" s="6" t="s">
        <v>64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L56"/>
      <c r="AM56"/>
      <c r="AN56"/>
      <c r="AO56"/>
      <c r="AP56"/>
      <c r="AQ56"/>
      <c r="AR56"/>
      <c r="AS56"/>
      <c r="AT56"/>
      <c r="AU56"/>
    </row>
    <row r="57" spans="2:47" ht="12.75">
      <c r="B57" s="2" t="s">
        <v>112</v>
      </c>
      <c r="D57" s="2" t="s">
        <v>46</v>
      </c>
      <c r="F57" s="3">
        <v>4534</v>
      </c>
      <c r="H57" s="3">
        <v>4534</v>
      </c>
      <c r="J57" s="3">
        <v>4534</v>
      </c>
      <c r="L57" s="5">
        <f>AVERAGE(F57,H57,J57)</f>
        <v>4534</v>
      </c>
      <c r="M57" s="5"/>
      <c r="N57" s="5"/>
      <c r="O57" s="5"/>
      <c r="P57" s="5"/>
      <c r="Q57" s="5"/>
      <c r="R57" s="5"/>
      <c r="S57" s="5"/>
      <c r="AL57"/>
      <c r="AM57"/>
      <c r="AN57"/>
      <c r="AO57"/>
      <c r="AP57"/>
      <c r="AQ57"/>
      <c r="AR57"/>
      <c r="AS57"/>
      <c r="AT57"/>
      <c r="AU57"/>
    </row>
    <row r="58" spans="2:47" ht="12.75">
      <c r="B58" s="2" t="s">
        <v>112</v>
      </c>
      <c r="D58" s="2" t="s">
        <v>59</v>
      </c>
      <c r="L58" s="5"/>
      <c r="M58" s="5"/>
      <c r="N58" s="5"/>
      <c r="O58" s="5"/>
      <c r="P58" s="5"/>
      <c r="Q58" s="5"/>
      <c r="R58" s="5"/>
      <c r="S58" s="5"/>
      <c r="AL58"/>
      <c r="AM58"/>
      <c r="AN58"/>
      <c r="AO58"/>
      <c r="AP58"/>
      <c r="AQ58"/>
      <c r="AR58"/>
      <c r="AS58"/>
      <c r="AT58"/>
      <c r="AU58"/>
    </row>
    <row r="59" spans="2:47" ht="12.75">
      <c r="B59" s="2" t="s">
        <v>47</v>
      </c>
      <c r="D59" s="2" t="s">
        <v>48</v>
      </c>
      <c r="L59" s="5"/>
      <c r="M59" s="5"/>
      <c r="N59" s="5"/>
      <c r="O59" s="5"/>
      <c r="P59" s="5"/>
      <c r="Q59" s="5"/>
      <c r="R59" s="5"/>
      <c r="S59" s="5"/>
      <c r="AL59"/>
      <c r="AM59"/>
      <c r="AN59"/>
      <c r="AO59"/>
      <c r="AP59"/>
      <c r="AQ59"/>
      <c r="AR59"/>
      <c r="AS59"/>
      <c r="AT59"/>
      <c r="AU59"/>
    </row>
    <row r="60" spans="2:47" ht="12.75">
      <c r="B60" s="2" t="s">
        <v>49</v>
      </c>
      <c r="D60" s="2" t="s">
        <v>50</v>
      </c>
      <c r="F60" s="3">
        <v>0.906</v>
      </c>
      <c r="H60" s="3">
        <v>0.906</v>
      </c>
      <c r="J60" s="3">
        <v>0.906</v>
      </c>
      <c r="L60" s="5"/>
      <c r="M60" s="5"/>
      <c r="N60" s="5"/>
      <c r="O60" s="5"/>
      <c r="P60" s="5"/>
      <c r="Q60" s="5"/>
      <c r="R60" s="5"/>
      <c r="S60" s="5"/>
      <c r="T60" s="4"/>
      <c r="U60" s="4"/>
      <c r="W60" s="4"/>
      <c r="Y60" s="4"/>
      <c r="AA60" s="4"/>
      <c r="AL60"/>
      <c r="AM60"/>
      <c r="AN60"/>
      <c r="AO60"/>
      <c r="AP60"/>
      <c r="AQ60"/>
      <c r="AR60"/>
      <c r="AS60"/>
      <c r="AT60"/>
      <c r="AU60"/>
    </row>
    <row r="61" spans="2:47" ht="12.75">
      <c r="B61" s="2" t="s">
        <v>51</v>
      </c>
      <c r="D61" s="2" t="s">
        <v>34</v>
      </c>
      <c r="E61" s="6" t="s">
        <v>37</v>
      </c>
      <c r="F61" s="6">
        <f>4.53/2</f>
        <v>2.265</v>
      </c>
      <c r="G61" s="6" t="s">
        <v>37</v>
      </c>
      <c r="H61" s="6">
        <f>4.53/2</f>
        <v>2.265</v>
      </c>
      <c r="I61" s="6" t="s">
        <v>37</v>
      </c>
      <c r="J61" s="6">
        <f>4.53/2</f>
        <v>2.265</v>
      </c>
      <c r="K61" s="6"/>
      <c r="L61" s="5"/>
      <c r="M61" s="5"/>
      <c r="N61" s="5"/>
      <c r="O61" s="5"/>
      <c r="P61" s="5"/>
      <c r="Q61" s="5"/>
      <c r="R61" s="5"/>
      <c r="S61" s="5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6"/>
      <c r="AL61"/>
      <c r="AM61"/>
      <c r="AN61"/>
      <c r="AO61"/>
      <c r="AP61"/>
      <c r="AQ61"/>
      <c r="AR61"/>
      <c r="AS61"/>
      <c r="AT61"/>
      <c r="AU61"/>
    </row>
    <row r="62" spans="2:47" ht="12.75">
      <c r="B62" s="2" t="s">
        <v>52</v>
      </c>
      <c r="D62" s="2" t="s">
        <v>34</v>
      </c>
      <c r="E62" s="6"/>
      <c r="F62" s="6">
        <v>502</v>
      </c>
      <c r="G62" s="6"/>
      <c r="H62" s="6">
        <v>564</v>
      </c>
      <c r="I62" s="6"/>
      <c r="J62" s="6">
        <v>589</v>
      </c>
      <c r="K62" s="6"/>
      <c r="L62" s="5"/>
      <c r="M62" s="5"/>
      <c r="N62" s="5"/>
      <c r="O62" s="5"/>
      <c r="P62" s="5"/>
      <c r="Q62" s="5"/>
      <c r="R62" s="5"/>
      <c r="S62" s="5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6"/>
      <c r="AL62"/>
      <c r="AM62"/>
      <c r="AN62"/>
      <c r="AO62"/>
      <c r="AP62"/>
      <c r="AQ62"/>
      <c r="AR62"/>
      <c r="AS62"/>
      <c r="AT62"/>
      <c r="AU62"/>
    </row>
    <row r="63" spans="2:47" ht="12.75">
      <c r="B63" s="2" t="s">
        <v>105</v>
      </c>
      <c r="D63" s="2" t="s">
        <v>34</v>
      </c>
      <c r="E63" s="6" t="s">
        <v>37</v>
      </c>
      <c r="F63" s="5">
        <v>2.06</v>
      </c>
      <c r="G63" s="6" t="s">
        <v>37</v>
      </c>
      <c r="H63" s="5">
        <v>2.06</v>
      </c>
      <c r="I63" s="6" t="s">
        <v>37</v>
      </c>
      <c r="J63" s="5">
        <v>2.06</v>
      </c>
      <c r="K63" s="6"/>
      <c r="L63" s="5"/>
      <c r="M63" s="5"/>
      <c r="N63" s="5"/>
      <c r="O63" s="5"/>
      <c r="P63" s="5"/>
      <c r="Q63" s="5"/>
      <c r="R63" s="5"/>
      <c r="S63" s="5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6"/>
      <c r="AL63"/>
      <c r="AM63"/>
      <c r="AN63"/>
      <c r="AO63"/>
      <c r="AP63"/>
      <c r="AQ63"/>
      <c r="AR63"/>
      <c r="AS63"/>
      <c r="AT63"/>
      <c r="AU63"/>
    </row>
    <row r="64" spans="2:47" ht="12.75">
      <c r="B64" s="2" t="s">
        <v>101</v>
      </c>
      <c r="D64" s="2" t="s">
        <v>34</v>
      </c>
      <c r="E64" s="6" t="s">
        <v>37</v>
      </c>
      <c r="F64" s="5">
        <v>1.03</v>
      </c>
      <c r="G64" s="6" t="s">
        <v>37</v>
      </c>
      <c r="H64" s="5">
        <v>1.03</v>
      </c>
      <c r="I64" s="6" t="s">
        <v>37</v>
      </c>
      <c r="J64" s="5">
        <v>1.03</v>
      </c>
      <c r="K64" s="6"/>
      <c r="L64" s="5"/>
      <c r="M64" s="5"/>
      <c r="N64" s="5"/>
      <c r="O64" s="5"/>
      <c r="P64" s="5"/>
      <c r="Q64" s="5"/>
      <c r="R64" s="5"/>
      <c r="S64" s="5"/>
      <c r="T64" s="6"/>
      <c r="U64" s="6"/>
      <c r="V64" s="4"/>
      <c r="W64" s="6"/>
      <c r="X64" s="4"/>
      <c r="Y64" s="6"/>
      <c r="Z64" s="4"/>
      <c r="AA64" s="6"/>
      <c r="AB64" s="4"/>
      <c r="AC64" s="4"/>
      <c r="AD64" s="4"/>
      <c r="AE64" s="4"/>
      <c r="AF64" s="4"/>
      <c r="AG64" s="4"/>
      <c r="AH64" s="4"/>
      <c r="AI64" s="4"/>
      <c r="AJ64" s="6"/>
      <c r="AL64"/>
      <c r="AM64"/>
      <c r="AN64"/>
      <c r="AO64"/>
      <c r="AP64"/>
      <c r="AQ64"/>
      <c r="AR64"/>
      <c r="AS64"/>
      <c r="AT64"/>
      <c r="AU64"/>
    </row>
    <row r="65" spans="2:47" ht="12.75">
      <c r="B65" s="2" t="s">
        <v>102</v>
      </c>
      <c r="D65" s="2" t="s">
        <v>34</v>
      </c>
      <c r="E65" s="6" t="s">
        <v>37</v>
      </c>
      <c r="F65" s="5">
        <v>2.06</v>
      </c>
      <c r="G65" s="6" t="s">
        <v>37</v>
      </c>
      <c r="H65" s="5">
        <v>2.06</v>
      </c>
      <c r="I65" s="6" t="s">
        <v>37</v>
      </c>
      <c r="J65" s="5">
        <v>2.06</v>
      </c>
      <c r="K65" s="6"/>
      <c r="L65" s="5"/>
      <c r="M65" s="5"/>
      <c r="N65" s="5"/>
      <c r="O65" s="5"/>
      <c r="P65" s="5"/>
      <c r="Q65" s="5"/>
      <c r="R65" s="5"/>
      <c r="S65" s="5"/>
      <c r="T65" s="6"/>
      <c r="U65" s="6"/>
      <c r="V65" s="4"/>
      <c r="W65" s="6"/>
      <c r="X65" s="4"/>
      <c r="Y65" s="6"/>
      <c r="Z65" s="4"/>
      <c r="AA65" s="6"/>
      <c r="AB65" s="4"/>
      <c r="AC65" s="4"/>
      <c r="AD65" s="4"/>
      <c r="AE65" s="4"/>
      <c r="AF65" s="4"/>
      <c r="AG65" s="4"/>
      <c r="AH65" s="4"/>
      <c r="AI65" s="4"/>
      <c r="AJ65" s="6"/>
      <c r="AL65"/>
      <c r="AM65"/>
      <c r="AN65"/>
      <c r="AO65"/>
      <c r="AP65"/>
      <c r="AQ65"/>
      <c r="AR65"/>
      <c r="AS65"/>
      <c r="AT65"/>
      <c r="AU65"/>
    </row>
    <row r="66" spans="2:36" ht="12.75">
      <c r="B66" s="2" t="s">
        <v>103</v>
      </c>
      <c r="D66" s="2" t="s">
        <v>34</v>
      </c>
      <c r="E66" s="6" t="s">
        <v>37</v>
      </c>
      <c r="F66" s="5">
        <v>2.06</v>
      </c>
      <c r="G66" s="6" t="s">
        <v>37</v>
      </c>
      <c r="H66" s="5">
        <v>2.06</v>
      </c>
      <c r="I66" s="6" t="s">
        <v>37</v>
      </c>
      <c r="J66" s="5">
        <v>2.06</v>
      </c>
      <c r="K66" s="6"/>
      <c r="L66" s="5"/>
      <c r="M66" s="5"/>
      <c r="N66" s="5"/>
      <c r="O66" s="5"/>
      <c r="P66" s="5"/>
      <c r="Q66" s="5"/>
      <c r="R66" s="5"/>
      <c r="S66" s="5"/>
      <c r="T66" s="6"/>
      <c r="U66" s="6"/>
      <c r="V66" s="4"/>
      <c r="W66" s="6"/>
      <c r="X66" s="4"/>
      <c r="Y66" s="6"/>
      <c r="Z66" s="4"/>
      <c r="AA66" s="6"/>
      <c r="AB66" s="4"/>
      <c r="AC66" s="4"/>
      <c r="AD66" s="4"/>
      <c r="AE66" s="4"/>
      <c r="AF66" s="4"/>
      <c r="AG66" s="4"/>
      <c r="AH66" s="4"/>
      <c r="AI66" s="4"/>
      <c r="AJ66" s="6"/>
    </row>
    <row r="67" spans="2:36" ht="12.75">
      <c r="B67" s="2" t="s">
        <v>107</v>
      </c>
      <c r="D67" s="2" t="s">
        <v>34</v>
      </c>
      <c r="E67" s="6" t="s">
        <v>37</v>
      </c>
      <c r="F67" s="5">
        <v>2.06</v>
      </c>
      <c r="G67" s="6" t="s">
        <v>37</v>
      </c>
      <c r="H67" s="5">
        <v>2.06</v>
      </c>
      <c r="I67" s="6" t="s">
        <v>37</v>
      </c>
      <c r="J67" s="5">
        <v>2.06</v>
      </c>
      <c r="K67" s="6"/>
      <c r="L67" s="5"/>
      <c r="M67" s="5"/>
      <c r="N67" s="5"/>
      <c r="O67" s="5"/>
      <c r="P67" s="5"/>
      <c r="Q67" s="5"/>
      <c r="R67" s="5"/>
      <c r="S67" s="5"/>
      <c r="T67" s="6"/>
      <c r="U67" s="6"/>
      <c r="V67" s="4"/>
      <c r="W67" s="6"/>
      <c r="X67" s="4"/>
      <c r="Y67" s="6"/>
      <c r="Z67" s="4"/>
      <c r="AA67" s="6"/>
      <c r="AB67" s="4"/>
      <c r="AC67" s="4"/>
      <c r="AD67" s="4"/>
      <c r="AE67" s="4"/>
      <c r="AF67" s="4"/>
      <c r="AG67" s="4"/>
      <c r="AH67" s="4"/>
      <c r="AI67" s="4"/>
      <c r="AJ67" s="6"/>
    </row>
    <row r="68" spans="2:36" ht="12.75">
      <c r="B68" s="2" t="s">
        <v>99</v>
      </c>
      <c r="D68" s="2" t="s">
        <v>34</v>
      </c>
      <c r="E68" s="6" t="s">
        <v>37</v>
      </c>
      <c r="F68" s="5">
        <v>2.06</v>
      </c>
      <c r="G68" s="6" t="s">
        <v>37</v>
      </c>
      <c r="H68" s="5">
        <v>2.06</v>
      </c>
      <c r="I68" s="6" t="s">
        <v>37</v>
      </c>
      <c r="J68" s="5">
        <v>2.06</v>
      </c>
      <c r="K68" s="6"/>
      <c r="L68" s="5"/>
      <c r="M68" s="5"/>
      <c r="N68" s="5"/>
      <c r="O68" s="5"/>
      <c r="P68" s="5"/>
      <c r="Q68" s="5"/>
      <c r="R68" s="5"/>
      <c r="S68" s="5"/>
      <c r="T68" s="6"/>
      <c r="U68" s="6"/>
      <c r="V68" s="4"/>
      <c r="W68" s="6"/>
      <c r="X68" s="4"/>
      <c r="Y68" s="6"/>
      <c r="Z68" s="4"/>
      <c r="AA68" s="6"/>
      <c r="AB68" s="4"/>
      <c r="AC68" s="4"/>
      <c r="AD68" s="4"/>
      <c r="AE68" s="4"/>
      <c r="AF68" s="4"/>
      <c r="AG68" s="4"/>
      <c r="AH68" s="4"/>
      <c r="AI68" s="4"/>
      <c r="AJ68" s="6"/>
    </row>
    <row r="69" spans="2:36" ht="12.75">
      <c r="B69" s="2" t="s">
        <v>106</v>
      </c>
      <c r="D69" s="2" t="s">
        <v>34</v>
      </c>
      <c r="E69" s="6" t="s">
        <v>37</v>
      </c>
      <c r="F69" s="5">
        <v>2.06</v>
      </c>
      <c r="G69" s="6" t="s">
        <v>37</v>
      </c>
      <c r="H69" s="5">
        <v>2.06</v>
      </c>
      <c r="I69" s="6" t="s">
        <v>37</v>
      </c>
      <c r="J69" s="5">
        <v>2.06</v>
      </c>
      <c r="K69" s="6"/>
      <c r="L69" s="5"/>
      <c r="M69" s="5"/>
      <c r="N69" s="5"/>
      <c r="O69" s="5"/>
      <c r="P69" s="5"/>
      <c r="Q69" s="5"/>
      <c r="R69" s="5"/>
      <c r="S69" s="5"/>
      <c r="T69" s="6"/>
      <c r="U69" s="6"/>
      <c r="V69" s="4"/>
      <c r="W69" s="6"/>
      <c r="X69" s="4"/>
      <c r="Y69" s="6"/>
      <c r="Z69" s="4"/>
      <c r="AA69" s="6"/>
      <c r="AB69" s="4"/>
      <c r="AC69" s="4"/>
      <c r="AD69" s="4"/>
      <c r="AE69" s="4"/>
      <c r="AF69" s="4"/>
      <c r="AG69" s="4"/>
      <c r="AH69" s="4"/>
      <c r="AI69" s="4"/>
      <c r="AJ69" s="6"/>
    </row>
    <row r="70" spans="2:36" ht="12.75">
      <c r="B70" s="2" t="s">
        <v>111</v>
      </c>
      <c r="D70" s="2" t="s">
        <v>34</v>
      </c>
      <c r="E70" s="6" t="s">
        <v>37</v>
      </c>
      <c r="F70" s="5">
        <v>2.06</v>
      </c>
      <c r="G70" s="6" t="s">
        <v>37</v>
      </c>
      <c r="H70" s="5">
        <v>2.06</v>
      </c>
      <c r="I70" s="6" t="s">
        <v>37</v>
      </c>
      <c r="J70" s="5">
        <v>2.06</v>
      </c>
      <c r="K70" s="6"/>
      <c r="L70" s="5"/>
      <c r="M70" s="5"/>
      <c r="N70" s="5"/>
      <c r="O70" s="5"/>
      <c r="P70" s="5"/>
      <c r="Q70" s="5"/>
      <c r="R70" s="5"/>
      <c r="S70" s="5"/>
      <c r="T70" s="6"/>
      <c r="U70" s="6"/>
      <c r="V70" s="4"/>
      <c r="W70" s="6"/>
      <c r="X70" s="4"/>
      <c r="Y70" s="6"/>
      <c r="Z70" s="4"/>
      <c r="AA70" s="6"/>
      <c r="AB70" s="4"/>
      <c r="AC70" s="4"/>
      <c r="AD70" s="4"/>
      <c r="AE70" s="4"/>
      <c r="AF70" s="4"/>
      <c r="AG70" s="4"/>
      <c r="AH70" s="4"/>
      <c r="AI70" s="4"/>
      <c r="AJ70" s="6"/>
    </row>
    <row r="71" spans="2:36" ht="12.75">
      <c r="B71" s="2" t="s">
        <v>108</v>
      </c>
      <c r="D71" s="2" t="s">
        <v>34</v>
      </c>
      <c r="E71" s="6" t="s">
        <v>37</v>
      </c>
      <c r="F71" s="5">
        <v>2.06</v>
      </c>
      <c r="G71" s="6" t="s">
        <v>37</v>
      </c>
      <c r="H71" s="5">
        <v>2.06</v>
      </c>
      <c r="I71" s="6" t="s">
        <v>37</v>
      </c>
      <c r="J71" s="5">
        <v>2.06</v>
      </c>
      <c r="K71" s="6"/>
      <c r="L71" s="5"/>
      <c r="M71" s="5"/>
      <c r="N71" s="5"/>
      <c r="O71" s="5"/>
      <c r="P71" s="5"/>
      <c r="Q71" s="5"/>
      <c r="R71" s="5"/>
      <c r="S71" s="5"/>
      <c r="T71" s="6"/>
      <c r="U71" s="6"/>
      <c r="V71" s="4"/>
      <c r="W71" s="6"/>
      <c r="X71" s="4"/>
      <c r="Y71" s="6"/>
      <c r="Z71" s="4"/>
      <c r="AA71" s="6"/>
      <c r="AB71" s="4"/>
      <c r="AC71" s="4"/>
      <c r="AD71" s="4"/>
      <c r="AE71" s="4"/>
      <c r="AF71" s="4"/>
      <c r="AG71" s="4"/>
      <c r="AH71" s="4"/>
      <c r="AI71" s="4"/>
      <c r="AJ71" s="6"/>
    </row>
    <row r="72" spans="2:36" ht="12.75">
      <c r="B72" s="2" t="s">
        <v>104</v>
      </c>
      <c r="D72" s="2" t="s">
        <v>34</v>
      </c>
      <c r="E72" s="6" t="s">
        <v>37</v>
      </c>
      <c r="F72" s="5">
        <v>2.06</v>
      </c>
      <c r="G72" s="6" t="s">
        <v>37</v>
      </c>
      <c r="H72" s="5">
        <v>2.06</v>
      </c>
      <c r="I72" s="6" t="s">
        <v>37</v>
      </c>
      <c r="J72" s="5">
        <v>2.06</v>
      </c>
      <c r="K72" s="6"/>
      <c r="L72" s="5"/>
      <c r="M72" s="5"/>
      <c r="N72" s="5"/>
      <c r="O72" s="5"/>
      <c r="P72" s="5"/>
      <c r="Q72" s="5"/>
      <c r="R72" s="5"/>
      <c r="S72" s="5"/>
      <c r="T72" s="6"/>
      <c r="U72" s="6"/>
      <c r="V72" s="4"/>
      <c r="W72" s="6"/>
      <c r="X72" s="4"/>
      <c r="Y72" s="6"/>
      <c r="Z72" s="4"/>
      <c r="AA72" s="6"/>
      <c r="AB72" s="4"/>
      <c r="AC72" s="4"/>
      <c r="AD72" s="4"/>
      <c r="AE72" s="4"/>
      <c r="AF72" s="4"/>
      <c r="AG72" s="4"/>
      <c r="AH72" s="4"/>
      <c r="AI72" s="4"/>
      <c r="AJ72" s="6"/>
    </row>
    <row r="73" spans="5:36" ht="12.75">
      <c r="E73" s="6"/>
      <c r="F73" s="6"/>
      <c r="G73" s="6"/>
      <c r="H73" s="6"/>
      <c r="I73" s="6"/>
      <c r="J73" s="6"/>
      <c r="K73" s="6"/>
      <c r="T73" s="6"/>
      <c r="U73" s="6"/>
      <c r="V73" s="4"/>
      <c r="W73" s="6"/>
      <c r="X73" s="4"/>
      <c r="Y73" s="6"/>
      <c r="Z73" s="4"/>
      <c r="AA73" s="6"/>
      <c r="AB73" s="4"/>
      <c r="AC73" s="4"/>
      <c r="AD73" s="4"/>
      <c r="AE73" s="4"/>
      <c r="AF73" s="4"/>
      <c r="AG73" s="4"/>
      <c r="AH73" s="4"/>
      <c r="AI73" s="4"/>
      <c r="AJ73" s="6"/>
    </row>
    <row r="74" spans="2:36" ht="12.75">
      <c r="B74" s="2" t="s">
        <v>61</v>
      </c>
      <c r="D74" s="2" t="s">
        <v>38</v>
      </c>
      <c r="E74" s="6"/>
      <c r="F74" s="14">
        <v>34031</v>
      </c>
      <c r="G74" s="14"/>
      <c r="H74" s="17">
        <v>33423</v>
      </c>
      <c r="I74" s="17"/>
      <c r="J74" s="14">
        <v>34701</v>
      </c>
      <c r="K74" s="14"/>
      <c r="L74" s="17">
        <f>AVERAGE(J74,H74,F74)</f>
        <v>34051.666666666664</v>
      </c>
      <c r="O74" s="6"/>
      <c r="P74" s="31"/>
      <c r="Q74" s="6"/>
      <c r="S74" s="6"/>
      <c r="T74" s="4"/>
      <c r="U74" s="4"/>
      <c r="V74" s="6"/>
      <c r="W74" s="4"/>
      <c r="X74" s="6"/>
      <c r="Y74" s="4"/>
      <c r="Z74" s="6"/>
      <c r="AA74" s="4"/>
      <c r="AB74" s="6"/>
      <c r="AC74" s="6"/>
      <c r="AD74" s="4"/>
      <c r="AE74" s="6"/>
      <c r="AF74" s="31"/>
      <c r="AG74" s="6"/>
      <c r="AH74" s="4"/>
      <c r="AI74" s="6"/>
      <c r="AJ74" s="4"/>
    </row>
    <row r="75" spans="2:36" ht="12.75">
      <c r="B75" s="2" t="s">
        <v>62</v>
      </c>
      <c r="D75" s="2" t="s">
        <v>39</v>
      </c>
      <c r="F75" s="14">
        <v>4.7</v>
      </c>
      <c r="G75" s="14"/>
      <c r="H75" s="14">
        <v>4.76</v>
      </c>
      <c r="I75" s="14"/>
      <c r="J75" s="14">
        <v>4.67</v>
      </c>
      <c r="K75" s="14"/>
      <c r="L75" s="16">
        <f>AVERAGE(J75,H75,F75)</f>
        <v>4.71</v>
      </c>
      <c r="O75" s="3"/>
      <c r="Q75" s="3"/>
      <c r="S75" s="3"/>
      <c r="T75" s="4"/>
      <c r="U75" s="4"/>
      <c r="W75" s="4"/>
      <c r="Y75" s="4"/>
      <c r="AA75" s="4"/>
      <c r="AD75" s="4"/>
      <c r="AF75" s="4"/>
      <c r="AH75" s="4"/>
      <c r="AJ75" s="4"/>
    </row>
    <row r="77" spans="2:36" ht="12.75">
      <c r="B77" s="2" t="s">
        <v>110</v>
      </c>
      <c r="D77" s="2" t="s">
        <v>63</v>
      </c>
      <c r="F77" s="7">
        <v>74.2</v>
      </c>
      <c r="H77" s="7">
        <v>74.8</v>
      </c>
      <c r="J77" s="7">
        <v>74</v>
      </c>
      <c r="L77" s="7">
        <f>AVERAGE(F77,H77,J77)</f>
        <v>74.33333333333333</v>
      </c>
      <c r="M77" s="7"/>
      <c r="N77" s="7">
        <f>F77</f>
        <v>74.2</v>
      </c>
      <c r="O77" s="7"/>
      <c r="P77" s="7">
        <f>H77</f>
        <v>74.8</v>
      </c>
      <c r="Q77" s="7"/>
      <c r="R77" s="7">
        <f>J77</f>
        <v>74</v>
      </c>
      <c r="S77" s="7"/>
      <c r="T77" s="7">
        <f>L77</f>
        <v>74.33333333333333</v>
      </c>
      <c r="AD77" s="8"/>
      <c r="AF77" s="8"/>
      <c r="AH77" s="8"/>
      <c r="AJ77" s="8"/>
    </row>
    <row r="78" spans="6:36" ht="12.75">
      <c r="F78" s="5"/>
      <c r="H78" s="5"/>
      <c r="J78" s="5"/>
      <c r="L78" s="5"/>
      <c r="M78" s="5"/>
      <c r="N78" s="5"/>
      <c r="O78" s="5"/>
      <c r="P78" s="5"/>
      <c r="Q78" s="5"/>
      <c r="R78" s="5"/>
      <c r="S78" s="5"/>
      <c r="AJ78" s="8"/>
    </row>
    <row r="79" spans="2:36" ht="12.75">
      <c r="B79" s="30" t="s">
        <v>81</v>
      </c>
      <c r="C79" s="30"/>
      <c r="F79" s="5"/>
      <c r="H79" s="5"/>
      <c r="J79" s="5"/>
      <c r="L79" s="5"/>
      <c r="M79" s="5"/>
      <c r="N79" s="5"/>
      <c r="O79" s="5"/>
      <c r="P79" s="5"/>
      <c r="Q79" s="5"/>
      <c r="R79" s="5"/>
      <c r="S79" s="5"/>
      <c r="AJ79" s="8"/>
    </row>
    <row r="80" spans="2:36" ht="12.75">
      <c r="B80" s="2" t="s">
        <v>51</v>
      </c>
      <c r="D80" s="2" t="s">
        <v>65</v>
      </c>
      <c r="F80" s="41">
        <f>F61/F74/60/0.0283*1000*(21-7)/(21-F75)</f>
        <v>0.03366636601593204</v>
      </c>
      <c r="H80" s="41">
        <f>H61/H74/60/0.0283*1000*(21-7)/(21-H75)</f>
        <v>0.03440543889052498</v>
      </c>
      <c r="I80" s="42"/>
      <c r="J80" s="41">
        <f>J61/J74/60/0.0283*1000*(21-7)/(21-J75)</f>
        <v>0.03295568788265487</v>
      </c>
      <c r="K80" s="42"/>
      <c r="L80" s="41">
        <f>AVERAGE(F80,H80,J80)</f>
        <v>0.03367583092970396</v>
      </c>
      <c r="M80" s="7"/>
      <c r="N80" s="7">
        <f>F80</f>
        <v>0.03366636601593204</v>
      </c>
      <c r="O80" s="7"/>
      <c r="P80" s="7">
        <f>H80</f>
        <v>0.03440543889052498</v>
      </c>
      <c r="Q80" s="7"/>
      <c r="R80" s="7">
        <f>J80</f>
        <v>0.03295568788265487</v>
      </c>
      <c r="S80" s="7"/>
      <c r="T80" s="7">
        <f>L80</f>
        <v>0.03367583092970396</v>
      </c>
      <c r="U80" s="7"/>
      <c r="V80" s="7"/>
      <c r="W80" s="7"/>
      <c r="X80" s="7"/>
      <c r="Y80" s="7"/>
      <c r="Z80" s="7"/>
      <c r="AA80" s="7"/>
      <c r="AD80" s="8"/>
      <c r="AF80" s="8"/>
      <c r="AH80" s="8"/>
      <c r="AJ80" s="8"/>
    </row>
    <row r="81" spans="2:36" ht="12.75">
      <c r="B81" s="2" t="s">
        <v>52</v>
      </c>
      <c r="D81" s="2" t="s">
        <v>60</v>
      </c>
      <c r="F81" s="31">
        <f>F62/F74/60/0.0283*1000000*(21-7)/(21-F75)</f>
        <v>7461.596353199948</v>
      </c>
      <c r="G81" s="37"/>
      <c r="H81" s="31">
        <f>H62/H74/60/0.0283*1000000*(21-7)/(21-H75)</f>
        <v>8567.1821343294</v>
      </c>
      <c r="I81" s="37"/>
      <c r="J81" s="31">
        <f>J62/J74/60/0.0283*1000000*(21-7)/(21-J75)</f>
        <v>8569.933846747777</v>
      </c>
      <c r="K81" s="8"/>
      <c r="L81" s="31">
        <f>AVERAGE(F81,H81,J81)</f>
        <v>8199.570778092375</v>
      </c>
      <c r="M81" s="7"/>
      <c r="N81" s="7">
        <f aca="true" t="shared" si="6" ref="N81:N93">F81</f>
        <v>7461.596353199948</v>
      </c>
      <c r="O81" s="7"/>
      <c r="P81" s="7">
        <f aca="true" t="shared" si="7" ref="P81:P93">H81</f>
        <v>8567.1821343294</v>
      </c>
      <c r="Q81" s="7"/>
      <c r="R81" s="7">
        <f aca="true" t="shared" si="8" ref="R81:R93">J81</f>
        <v>8569.933846747777</v>
      </c>
      <c r="S81" s="7"/>
      <c r="T81" s="7">
        <f aca="true" t="shared" si="9" ref="T81:T93">L81</f>
        <v>8199.570778092375</v>
      </c>
      <c r="U81" s="7"/>
      <c r="V81" s="7"/>
      <c r="W81" s="7"/>
      <c r="X81" s="7"/>
      <c r="Y81" s="7"/>
      <c r="Z81" s="7"/>
      <c r="AA81" s="7"/>
      <c r="AB81" s="8"/>
      <c r="AC81" s="8"/>
      <c r="AD81" s="8"/>
      <c r="AE81" s="8"/>
      <c r="AF81" s="8"/>
      <c r="AG81" s="8"/>
      <c r="AH81" s="8"/>
      <c r="AI81" s="8"/>
      <c r="AJ81" s="8"/>
    </row>
    <row r="82" spans="2:36" ht="12.75">
      <c r="B82" s="2" t="s">
        <v>105</v>
      </c>
      <c r="D82" s="2" t="s">
        <v>60</v>
      </c>
      <c r="E82" s="6" t="s">
        <v>37</v>
      </c>
      <c r="F82" s="31">
        <f aca="true" t="shared" si="10" ref="F82:F91">F63/F$74/60/0.0283*1000000*(21-7)/(21-F$75)</f>
        <v>30.619299776079465</v>
      </c>
      <c r="G82" s="34" t="s">
        <v>37</v>
      </c>
      <c r="H82" s="31">
        <f aca="true" t="shared" si="11" ref="H82:H91">H63/H$74/60/0.0283*1000000*(21-7)/(21-H$75)</f>
        <v>31.29148084524567</v>
      </c>
      <c r="I82" s="34" t="s">
        <v>37</v>
      </c>
      <c r="J82" s="31">
        <f aca="true" t="shared" si="12" ref="J82:J91">J63/J$74/60/0.0283*1000000*(21-7)/(21-J$75)</f>
        <v>29.972943504754543</v>
      </c>
      <c r="K82" s="34"/>
      <c r="L82" s="31">
        <f>AVERAGE(F82,H82,J82)/2</f>
        <v>15.313954021013279</v>
      </c>
      <c r="M82" s="7"/>
      <c r="N82" s="7">
        <f t="shared" si="6"/>
        <v>30.619299776079465</v>
      </c>
      <c r="O82" s="7"/>
      <c r="P82" s="7">
        <f t="shared" si="7"/>
        <v>31.29148084524567</v>
      </c>
      <c r="Q82" s="7"/>
      <c r="R82" s="7">
        <f t="shared" si="8"/>
        <v>29.972943504754543</v>
      </c>
      <c r="S82" s="7"/>
      <c r="T82" s="7">
        <f t="shared" si="9"/>
        <v>15.313954021013279</v>
      </c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2:36" ht="12.75">
      <c r="B83" s="2" t="s">
        <v>101</v>
      </c>
      <c r="D83" s="2" t="s">
        <v>60</v>
      </c>
      <c r="E83" s="6" t="s">
        <v>37</v>
      </c>
      <c r="F83" s="31">
        <f t="shared" si="10"/>
        <v>15.309649888039733</v>
      </c>
      <c r="G83" s="34" t="s">
        <v>37</v>
      </c>
      <c r="H83" s="31">
        <f t="shared" si="11"/>
        <v>15.645740422622834</v>
      </c>
      <c r="I83" s="34" t="s">
        <v>37</v>
      </c>
      <c r="J83" s="31">
        <f t="shared" si="12"/>
        <v>14.986471752377271</v>
      </c>
      <c r="K83" s="34"/>
      <c r="L83" s="31">
        <f>AVERAGE(F83,H83,J83)/2</f>
        <v>7.6569770105066395</v>
      </c>
      <c r="M83" s="7"/>
      <c r="N83" s="7">
        <f t="shared" si="6"/>
        <v>15.309649888039733</v>
      </c>
      <c r="O83" s="7"/>
      <c r="P83" s="7">
        <f t="shared" si="7"/>
        <v>15.645740422622834</v>
      </c>
      <c r="Q83" s="7"/>
      <c r="R83" s="7">
        <f t="shared" si="8"/>
        <v>14.986471752377271</v>
      </c>
      <c r="S83" s="7"/>
      <c r="T83" s="7">
        <f t="shared" si="9"/>
        <v>7.6569770105066395</v>
      </c>
      <c r="U83" s="7"/>
      <c r="V83" s="7"/>
      <c r="W83" s="7"/>
      <c r="X83" s="7"/>
      <c r="Y83" s="7"/>
      <c r="Z83" s="7"/>
      <c r="AA83" s="7"/>
      <c r="AB83" s="7"/>
      <c r="AC83" s="7"/>
      <c r="AD83" s="8"/>
      <c r="AE83" s="8"/>
      <c r="AF83" s="8"/>
      <c r="AG83" s="8"/>
      <c r="AH83" s="8"/>
      <c r="AI83" s="7"/>
      <c r="AJ83" s="8"/>
    </row>
    <row r="84" spans="2:36" ht="12.75">
      <c r="B84" s="2" t="s">
        <v>102</v>
      </c>
      <c r="D84" s="2" t="s">
        <v>60</v>
      </c>
      <c r="E84" s="6" t="s">
        <v>37</v>
      </c>
      <c r="F84" s="31">
        <f t="shared" si="10"/>
        <v>30.619299776079465</v>
      </c>
      <c r="G84" s="34" t="s">
        <v>37</v>
      </c>
      <c r="H84" s="31">
        <f t="shared" si="11"/>
        <v>31.29148084524567</v>
      </c>
      <c r="I84" s="34" t="s">
        <v>37</v>
      </c>
      <c r="J84" s="31">
        <f t="shared" si="12"/>
        <v>29.972943504754543</v>
      </c>
      <c r="K84" s="34"/>
      <c r="L84" s="31">
        <f>AVERAGE(F84,H84,J84)/2</f>
        <v>15.313954021013279</v>
      </c>
      <c r="M84" s="7"/>
      <c r="N84" s="7">
        <f t="shared" si="6"/>
        <v>30.619299776079465</v>
      </c>
      <c r="O84" s="7"/>
      <c r="P84" s="7">
        <f t="shared" si="7"/>
        <v>31.29148084524567</v>
      </c>
      <c r="Q84" s="7"/>
      <c r="R84" s="7">
        <f t="shared" si="8"/>
        <v>29.972943504754543</v>
      </c>
      <c r="S84" s="7"/>
      <c r="T84" s="7">
        <f t="shared" si="9"/>
        <v>15.313954021013279</v>
      </c>
      <c r="U84" s="7"/>
      <c r="V84" s="7"/>
      <c r="W84" s="7"/>
      <c r="X84" s="7"/>
      <c r="Y84" s="7"/>
      <c r="Z84" s="7"/>
      <c r="AA84" s="7"/>
      <c r="AB84" s="7"/>
      <c r="AC84" s="7"/>
      <c r="AD84" s="8"/>
      <c r="AE84" s="8"/>
      <c r="AF84" s="8"/>
      <c r="AG84" s="8"/>
      <c r="AH84" s="8"/>
      <c r="AI84" s="7"/>
      <c r="AJ84" s="8"/>
    </row>
    <row r="85" spans="2:36" ht="12.75">
      <c r="B85" s="2" t="s">
        <v>103</v>
      </c>
      <c r="D85" s="2" t="s">
        <v>60</v>
      </c>
      <c r="E85" s="6" t="s">
        <v>37</v>
      </c>
      <c r="F85" s="31">
        <f t="shared" si="10"/>
        <v>30.619299776079465</v>
      </c>
      <c r="G85" s="34" t="s">
        <v>37</v>
      </c>
      <c r="H85" s="31">
        <f t="shared" si="11"/>
        <v>31.29148084524567</v>
      </c>
      <c r="I85" s="34" t="s">
        <v>37</v>
      </c>
      <c r="J85" s="31">
        <f t="shared" si="12"/>
        <v>29.972943504754543</v>
      </c>
      <c r="K85" s="34"/>
      <c r="L85" s="31">
        <f>AVERAGE(F85,H85,J85)/2</f>
        <v>15.313954021013279</v>
      </c>
      <c r="M85" s="7"/>
      <c r="N85" s="7">
        <f t="shared" si="6"/>
        <v>30.619299776079465</v>
      </c>
      <c r="O85" s="7"/>
      <c r="P85" s="7">
        <f t="shared" si="7"/>
        <v>31.29148084524567</v>
      </c>
      <c r="Q85" s="7"/>
      <c r="R85" s="7">
        <f t="shared" si="8"/>
        <v>29.972943504754543</v>
      </c>
      <c r="S85" s="7"/>
      <c r="T85" s="7">
        <f t="shared" si="9"/>
        <v>15.313954021013279</v>
      </c>
      <c r="U85" s="34"/>
      <c r="V85" s="34"/>
      <c r="W85" s="34"/>
      <c r="X85" s="34"/>
      <c r="Y85" s="34"/>
      <c r="Z85" s="34"/>
      <c r="AA85" s="34"/>
      <c r="AB85" s="7"/>
      <c r="AC85" s="7"/>
      <c r="AD85" s="8"/>
      <c r="AE85" s="8"/>
      <c r="AF85" s="8"/>
      <c r="AG85" s="8"/>
      <c r="AH85" s="8"/>
      <c r="AI85" s="7"/>
      <c r="AJ85" s="8"/>
    </row>
    <row r="86" spans="2:36" ht="12.75">
      <c r="B86" s="2" t="s">
        <v>107</v>
      </c>
      <c r="D86" s="2" t="s">
        <v>60</v>
      </c>
      <c r="E86" s="6" t="s">
        <v>37</v>
      </c>
      <c r="F86" s="31">
        <f t="shared" si="10"/>
        <v>30.619299776079465</v>
      </c>
      <c r="G86" s="34" t="s">
        <v>37</v>
      </c>
      <c r="H86" s="31">
        <f t="shared" si="11"/>
        <v>31.29148084524567</v>
      </c>
      <c r="I86" s="34" t="s">
        <v>37</v>
      </c>
      <c r="J86" s="31">
        <f t="shared" si="12"/>
        <v>29.972943504754543</v>
      </c>
      <c r="K86" s="34"/>
      <c r="L86" s="31">
        <f>AVERAGE(F86,H86,J86)/2</f>
        <v>15.313954021013279</v>
      </c>
      <c r="M86" s="7"/>
      <c r="N86" s="7">
        <f t="shared" si="6"/>
        <v>30.619299776079465</v>
      </c>
      <c r="O86" s="7"/>
      <c r="P86" s="7">
        <f t="shared" si="7"/>
        <v>31.29148084524567</v>
      </c>
      <c r="Q86" s="7"/>
      <c r="R86" s="7">
        <f t="shared" si="8"/>
        <v>29.972943504754543</v>
      </c>
      <c r="S86" s="7"/>
      <c r="T86" s="7">
        <f t="shared" si="9"/>
        <v>15.313954021013279</v>
      </c>
      <c r="U86" s="34"/>
      <c r="V86" s="34"/>
      <c r="W86" s="34"/>
      <c r="X86" s="34"/>
      <c r="Y86" s="34"/>
      <c r="Z86" s="34"/>
      <c r="AA86" s="34"/>
      <c r="AB86" s="7"/>
      <c r="AC86" s="7"/>
      <c r="AD86" s="8"/>
      <c r="AE86" s="8"/>
      <c r="AF86" s="8"/>
      <c r="AG86" s="8"/>
      <c r="AH86" s="8"/>
      <c r="AI86" s="7"/>
      <c r="AJ86" s="8"/>
    </row>
    <row r="87" spans="2:36" ht="12.75">
      <c r="B87" s="2" t="s">
        <v>99</v>
      </c>
      <c r="D87" s="2" t="s">
        <v>60</v>
      </c>
      <c r="E87" s="6" t="s">
        <v>37</v>
      </c>
      <c r="F87" s="31">
        <f t="shared" si="10"/>
        <v>30.619299776079465</v>
      </c>
      <c r="G87" s="34" t="s">
        <v>55</v>
      </c>
      <c r="H87" s="31">
        <f t="shared" si="11"/>
        <v>31.29148084524567</v>
      </c>
      <c r="I87" s="34" t="s">
        <v>55</v>
      </c>
      <c r="J87" s="31">
        <f t="shared" si="12"/>
        <v>29.972943504754543</v>
      </c>
      <c r="K87" s="34"/>
      <c r="L87" s="31">
        <f>AVERAGE(F87,H87,J87)</f>
        <v>30.627908042026558</v>
      </c>
      <c r="M87" s="7"/>
      <c r="N87" s="7">
        <f t="shared" si="6"/>
        <v>30.619299776079465</v>
      </c>
      <c r="O87" s="7"/>
      <c r="P87" s="7">
        <f t="shared" si="7"/>
        <v>31.29148084524567</v>
      </c>
      <c r="Q87" s="7"/>
      <c r="R87" s="7">
        <f t="shared" si="8"/>
        <v>29.972943504754543</v>
      </c>
      <c r="S87" s="7"/>
      <c r="T87" s="7">
        <f t="shared" si="9"/>
        <v>30.627908042026558</v>
      </c>
      <c r="U87" s="34"/>
      <c r="V87" s="34"/>
      <c r="W87" s="34"/>
      <c r="X87" s="34"/>
      <c r="Y87" s="34"/>
      <c r="Z87" s="34"/>
      <c r="AA87" s="34"/>
      <c r="AB87" s="7"/>
      <c r="AC87" s="7"/>
      <c r="AD87" s="8"/>
      <c r="AE87" s="8"/>
      <c r="AF87" s="8"/>
      <c r="AG87" s="8"/>
      <c r="AH87" s="8"/>
      <c r="AI87" s="7"/>
      <c r="AJ87" s="8"/>
    </row>
    <row r="88" spans="2:36" ht="12.75">
      <c r="B88" s="2" t="s">
        <v>106</v>
      </c>
      <c r="D88" s="2" t="s">
        <v>60</v>
      </c>
      <c r="E88" s="6" t="s">
        <v>37</v>
      </c>
      <c r="F88" s="31">
        <f t="shared" si="10"/>
        <v>30.619299776079465</v>
      </c>
      <c r="G88" s="34" t="s">
        <v>37</v>
      </c>
      <c r="H88" s="31">
        <f t="shared" si="11"/>
        <v>31.29148084524567</v>
      </c>
      <c r="I88" s="34" t="s">
        <v>37</v>
      </c>
      <c r="J88" s="31">
        <f t="shared" si="12"/>
        <v>29.972943504754543</v>
      </c>
      <c r="K88" s="34"/>
      <c r="L88" s="31">
        <f>AVERAGE(F88,H88,J88)/2</f>
        <v>15.313954021013279</v>
      </c>
      <c r="M88" s="7"/>
      <c r="N88" s="7">
        <f t="shared" si="6"/>
        <v>30.619299776079465</v>
      </c>
      <c r="O88" s="7"/>
      <c r="P88" s="7">
        <f t="shared" si="7"/>
        <v>31.29148084524567</v>
      </c>
      <c r="Q88" s="7"/>
      <c r="R88" s="7">
        <f t="shared" si="8"/>
        <v>29.972943504754543</v>
      </c>
      <c r="S88" s="7"/>
      <c r="T88" s="7">
        <f t="shared" si="9"/>
        <v>15.313954021013279</v>
      </c>
      <c r="U88" s="34"/>
      <c r="V88" s="34"/>
      <c r="W88" s="34"/>
      <c r="X88" s="34"/>
      <c r="Y88" s="34"/>
      <c r="Z88" s="34"/>
      <c r="AA88" s="34"/>
      <c r="AB88" s="7"/>
      <c r="AC88" s="7"/>
      <c r="AD88" s="8"/>
      <c r="AE88" s="8"/>
      <c r="AF88" s="8"/>
      <c r="AG88" s="8"/>
      <c r="AH88" s="8"/>
      <c r="AI88" s="7"/>
      <c r="AJ88" s="8"/>
    </row>
    <row r="89" spans="2:36" ht="12.75">
      <c r="B89" s="2" t="s">
        <v>111</v>
      </c>
      <c r="D89" s="2" t="s">
        <v>60</v>
      </c>
      <c r="E89" s="6" t="s">
        <v>37</v>
      </c>
      <c r="F89" s="31">
        <f t="shared" si="10"/>
        <v>30.619299776079465</v>
      </c>
      <c r="G89" s="34" t="s">
        <v>37</v>
      </c>
      <c r="H89" s="31">
        <f t="shared" si="11"/>
        <v>31.29148084524567</v>
      </c>
      <c r="I89" s="34" t="s">
        <v>37</v>
      </c>
      <c r="J89" s="31">
        <f t="shared" si="12"/>
        <v>29.972943504754543</v>
      </c>
      <c r="K89" s="34"/>
      <c r="L89" s="31">
        <f>AVERAGE(F89,H89,J89)/2</f>
        <v>15.313954021013279</v>
      </c>
      <c r="M89" s="7"/>
      <c r="N89" s="7">
        <f t="shared" si="6"/>
        <v>30.619299776079465</v>
      </c>
      <c r="O89" s="7"/>
      <c r="P89" s="7">
        <f t="shared" si="7"/>
        <v>31.29148084524567</v>
      </c>
      <c r="Q89" s="7"/>
      <c r="R89" s="7">
        <f t="shared" si="8"/>
        <v>29.972943504754543</v>
      </c>
      <c r="S89" s="7"/>
      <c r="T89" s="7">
        <f t="shared" si="9"/>
        <v>15.313954021013279</v>
      </c>
      <c r="U89" s="34"/>
      <c r="V89" s="34"/>
      <c r="W89" s="34"/>
      <c r="X89" s="34"/>
      <c r="Y89" s="34"/>
      <c r="Z89" s="34"/>
      <c r="AA89" s="34"/>
      <c r="AB89" s="7"/>
      <c r="AC89" s="7"/>
      <c r="AD89" s="8"/>
      <c r="AE89" s="8"/>
      <c r="AF89" s="8"/>
      <c r="AG89" s="8"/>
      <c r="AH89" s="8"/>
      <c r="AI89" s="8"/>
      <c r="AJ89" s="8"/>
    </row>
    <row r="90" spans="2:36" ht="12.75">
      <c r="B90" s="2" t="s">
        <v>108</v>
      </c>
      <c r="D90" s="2" t="s">
        <v>60</v>
      </c>
      <c r="E90" s="6" t="s">
        <v>37</v>
      </c>
      <c r="F90" s="31">
        <f t="shared" si="10"/>
        <v>30.619299776079465</v>
      </c>
      <c r="G90" s="34" t="s">
        <v>37</v>
      </c>
      <c r="H90" s="31">
        <f t="shared" si="11"/>
        <v>31.29148084524567</v>
      </c>
      <c r="I90" s="34" t="s">
        <v>37</v>
      </c>
      <c r="J90" s="31">
        <f t="shared" si="12"/>
        <v>29.972943504754543</v>
      </c>
      <c r="K90" s="34"/>
      <c r="L90" s="31">
        <f>AVERAGE(F90,H90,J90)/2</f>
        <v>15.313954021013279</v>
      </c>
      <c r="M90" s="7"/>
      <c r="N90" s="7">
        <f t="shared" si="6"/>
        <v>30.619299776079465</v>
      </c>
      <c r="O90" s="7"/>
      <c r="P90" s="7">
        <f t="shared" si="7"/>
        <v>31.29148084524567</v>
      </c>
      <c r="Q90" s="7"/>
      <c r="R90" s="7">
        <f t="shared" si="8"/>
        <v>29.972943504754543</v>
      </c>
      <c r="S90" s="7"/>
      <c r="T90" s="7">
        <f t="shared" si="9"/>
        <v>15.313954021013279</v>
      </c>
      <c r="U90" s="34"/>
      <c r="V90" s="34"/>
      <c r="W90" s="34"/>
      <c r="X90" s="34"/>
      <c r="Y90" s="34"/>
      <c r="Z90" s="34"/>
      <c r="AA90" s="34"/>
      <c r="AB90" s="7"/>
      <c r="AC90" s="7"/>
      <c r="AD90" s="8"/>
      <c r="AE90" s="8"/>
      <c r="AF90" s="8"/>
      <c r="AG90" s="8"/>
      <c r="AH90" s="8"/>
      <c r="AI90" s="7"/>
      <c r="AJ90" s="8"/>
    </row>
    <row r="91" spans="2:36" ht="12.75">
      <c r="B91" s="2" t="s">
        <v>104</v>
      </c>
      <c r="D91" s="2" t="s">
        <v>60</v>
      </c>
      <c r="E91" s="6" t="s">
        <v>37</v>
      </c>
      <c r="F91" s="31">
        <f t="shared" si="10"/>
        <v>30.619299776079465</v>
      </c>
      <c r="G91" s="34" t="s">
        <v>37</v>
      </c>
      <c r="H91" s="31">
        <f t="shared" si="11"/>
        <v>31.29148084524567</v>
      </c>
      <c r="I91" s="34" t="s">
        <v>37</v>
      </c>
      <c r="J91" s="31">
        <f t="shared" si="12"/>
        <v>29.972943504754543</v>
      </c>
      <c r="K91" s="34"/>
      <c r="L91" s="31">
        <f>AVERAGE(F91,H91,J91)/2</f>
        <v>15.313954021013279</v>
      </c>
      <c r="M91" s="7"/>
      <c r="N91" s="7">
        <f t="shared" si="6"/>
        <v>30.619299776079465</v>
      </c>
      <c r="O91" s="7"/>
      <c r="P91" s="7">
        <f t="shared" si="7"/>
        <v>31.29148084524567</v>
      </c>
      <c r="Q91" s="7"/>
      <c r="R91" s="7">
        <f t="shared" si="8"/>
        <v>29.972943504754543</v>
      </c>
      <c r="S91" s="7"/>
      <c r="T91" s="7">
        <f t="shared" si="9"/>
        <v>15.313954021013279</v>
      </c>
      <c r="U91" s="34"/>
      <c r="V91" s="34"/>
      <c r="W91" s="34"/>
      <c r="X91" s="34"/>
      <c r="Y91" s="34"/>
      <c r="Z91" s="34"/>
      <c r="AA91" s="34"/>
      <c r="AB91" s="7"/>
      <c r="AC91" s="7"/>
      <c r="AD91" s="8"/>
      <c r="AE91" s="8"/>
      <c r="AF91" s="8"/>
      <c r="AG91" s="8"/>
      <c r="AH91" s="8"/>
      <c r="AI91" s="7"/>
      <c r="AJ91" s="8"/>
    </row>
    <row r="92" spans="2:36" ht="12.75">
      <c r="B92" s="2" t="s">
        <v>66</v>
      </c>
      <c r="D92" s="2" t="s">
        <v>60</v>
      </c>
      <c r="E92" s="6"/>
      <c r="F92" s="7">
        <f>F86+F88/2</f>
        <v>45.9289496641192</v>
      </c>
      <c r="G92" s="34"/>
      <c r="H92" s="7">
        <f>H86+H88/2</f>
        <v>46.9372212678685</v>
      </c>
      <c r="I92" s="34"/>
      <c r="J92" s="7">
        <f>J86+J88/2</f>
        <v>44.959415257131816</v>
      </c>
      <c r="K92" s="34"/>
      <c r="L92" s="31">
        <f>AVERAGE(F92,H92,J92)</f>
        <v>45.94186206303984</v>
      </c>
      <c r="M92" s="7"/>
      <c r="N92" s="7">
        <f t="shared" si="6"/>
        <v>45.9289496641192</v>
      </c>
      <c r="O92" s="7"/>
      <c r="P92" s="7">
        <f t="shared" si="7"/>
        <v>46.9372212678685</v>
      </c>
      <c r="Q92" s="7"/>
      <c r="R92" s="7">
        <f t="shared" si="8"/>
        <v>44.959415257131816</v>
      </c>
      <c r="S92" s="7"/>
      <c r="T92" s="7">
        <f t="shared" si="9"/>
        <v>45.94186206303984</v>
      </c>
      <c r="U92" s="34"/>
      <c r="V92" s="34"/>
      <c r="W92" s="34"/>
      <c r="X92" s="34"/>
      <c r="Y92" s="34"/>
      <c r="Z92" s="34"/>
      <c r="AA92" s="34"/>
      <c r="AB92" s="7"/>
      <c r="AC92" s="7"/>
      <c r="AD92" s="8"/>
      <c r="AE92" s="8"/>
      <c r="AF92" s="8"/>
      <c r="AG92" s="8"/>
      <c r="AH92" s="8"/>
      <c r="AI92" s="8"/>
      <c r="AJ92" s="8"/>
    </row>
    <row r="93" spans="2:36" ht="12.75">
      <c r="B93" s="2" t="s">
        <v>67</v>
      </c>
      <c r="D93" s="2" t="s">
        <v>60</v>
      </c>
      <c r="E93" s="6"/>
      <c r="F93" s="7">
        <f>(F83+F85+F87)/2</f>
        <v>38.27412472009934</v>
      </c>
      <c r="G93" s="34"/>
      <c r="H93" s="7">
        <f>(H83+H85+H87)/2</f>
        <v>39.11435105655708</v>
      </c>
      <c r="I93" s="34"/>
      <c r="J93" s="7">
        <f>(J83+J85+J87)/2</f>
        <v>37.46617938094318</v>
      </c>
      <c r="K93" s="34"/>
      <c r="L93" s="31">
        <f>AVERAGE(F93,H93,J93)</f>
        <v>38.284885052533205</v>
      </c>
      <c r="M93" s="7"/>
      <c r="N93" s="7">
        <f t="shared" si="6"/>
        <v>38.27412472009934</v>
      </c>
      <c r="O93" s="7"/>
      <c r="P93" s="7">
        <f t="shared" si="7"/>
        <v>39.11435105655708</v>
      </c>
      <c r="Q93" s="7"/>
      <c r="R93" s="7">
        <f t="shared" si="8"/>
        <v>37.46617938094318</v>
      </c>
      <c r="S93" s="7"/>
      <c r="T93" s="7">
        <f t="shared" si="9"/>
        <v>38.284885052533205</v>
      </c>
      <c r="U93" s="34"/>
      <c r="V93" s="34"/>
      <c r="W93" s="34"/>
      <c r="X93" s="34"/>
      <c r="Y93" s="34"/>
      <c r="Z93" s="34"/>
      <c r="AA93" s="34"/>
      <c r="AB93" s="7"/>
      <c r="AC93" s="7"/>
      <c r="AD93" s="8"/>
      <c r="AE93" s="8"/>
      <c r="AF93" s="8"/>
      <c r="AG93" s="8"/>
      <c r="AH93" s="8"/>
      <c r="AI93" s="8"/>
      <c r="AJ93" s="8"/>
    </row>
    <row r="94" spans="5:36" ht="12.75">
      <c r="E94" s="6"/>
      <c r="F94" s="6"/>
      <c r="G94" s="6"/>
      <c r="H94" s="6"/>
      <c r="I94" s="6"/>
      <c r="J94" s="6"/>
      <c r="K94" s="6"/>
      <c r="L94" s="5"/>
      <c r="M94" s="5"/>
      <c r="N94" s="5"/>
      <c r="O94" s="5"/>
      <c r="P94" s="5"/>
      <c r="Q94" s="5"/>
      <c r="R94" s="5"/>
      <c r="S94" s="5"/>
      <c r="T94" s="6"/>
      <c r="U94" s="6"/>
      <c r="V94" s="6"/>
      <c r="W94" s="6"/>
      <c r="X94" s="6"/>
      <c r="Y94" s="6"/>
      <c r="Z94" s="6"/>
      <c r="AA94" s="6"/>
      <c r="AB94" s="4"/>
      <c r="AC94" s="4"/>
      <c r="AD94" s="4"/>
      <c r="AE94" s="4"/>
      <c r="AF94" s="4"/>
      <c r="AG94" s="4"/>
      <c r="AH94" s="4"/>
      <c r="AI94" s="4"/>
      <c r="AJ94" s="6"/>
    </row>
    <row r="95" spans="2:37" ht="12.7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7" spans="2:12" ht="12.75">
      <c r="B97" s="1" t="s">
        <v>167</v>
      </c>
      <c r="C97" s="1"/>
      <c r="F97" s="6" t="s">
        <v>114</v>
      </c>
      <c r="G97" s="6"/>
      <c r="H97" s="6" t="s">
        <v>115</v>
      </c>
      <c r="I97" s="6"/>
      <c r="J97" s="6" t="s">
        <v>116</v>
      </c>
      <c r="K97" s="6"/>
      <c r="L97" s="6" t="s">
        <v>41</v>
      </c>
    </row>
    <row r="98" spans="2:3" ht="12.75">
      <c r="B98" s="1"/>
      <c r="C98" s="1"/>
    </row>
    <row r="99" spans="2:12" ht="12.75">
      <c r="B99" s="2" t="s">
        <v>127</v>
      </c>
      <c r="C99" s="1"/>
      <c r="F99" s="6" t="s">
        <v>138</v>
      </c>
      <c r="H99" s="6" t="s">
        <v>138</v>
      </c>
      <c r="J99" s="6" t="s">
        <v>138</v>
      </c>
      <c r="L99" s="6" t="s">
        <v>138</v>
      </c>
    </row>
    <row r="100" spans="2:12" ht="12.75">
      <c r="B100" s="2" t="s">
        <v>128</v>
      </c>
      <c r="F100" s="6" t="s">
        <v>129</v>
      </c>
      <c r="H100" s="6" t="s">
        <v>129</v>
      </c>
      <c r="J100" s="6" t="s">
        <v>129</v>
      </c>
      <c r="L100" s="6" t="s">
        <v>129</v>
      </c>
    </row>
    <row r="101" spans="2:12" ht="12.75">
      <c r="B101" s="2" t="s">
        <v>143</v>
      </c>
      <c r="F101" s="6" t="s">
        <v>69</v>
      </c>
      <c r="H101" s="6" t="s">
        <v>69</v>
      </c>
      <c r="J101" s="6" t="s">
        <v>69</v>
      </c>
      <c r="L101" s="6" t="s">
        <v>69</v>
      </c>
    </row>
    <row r="102" spans="2:12" ht="12.75">
      <c r="B102" s="2" t="s">
        <v>42</v>
      </c>
      <c r="F102" s="4" t="s">
        <v>43</v>
      </c>
      <c r="H102" s="4" t="s">
        <v>43</v>
      </c>
      <c r="J102" s="4" t="s">
        <v>43</v>
      </c>
      <c r="L102" s="4" t="s">
        <v>43</v>
      </c>
    </row>
    <row r="103" spans="2:12" ht="12.75">
      <c r="B103" s="2" t="s">
        <v>112</v>
      </c>
      <c r="D103" s="2" t="s">
        <v>46</v>
      </c>
      <c r="F103" s="3">
        <f>4534/2</f>
        <v>2267</v>
      </c>
      <c r="H103" s="3">
        <f>4534/2</f>
        <v>2267</v>
      </c>
      <c r="J103" s="3">
        <f>4534/2</f>
        <v>2267</v>
      </c>
      <c r="L103" s="5">
        <f>AVERAGE(F103,H103,J103)</f>
        <v>2267</v>
      </c>
    </row>
    <row r="104" ht="12.75">
      <c r="L104" s="5"/>
    </row>
    <row r="105" spans="2:12" ht="12.75">
      <c r="B105" s="2" t="s">
        <v>110</v>
      </c>
      <c r="D105" s="2" t="s">
        <v>63</v>
      </c>
      <c r="F105" s="5">
        <v>37</v>
      </c>
      <c r="H105" s="5">
        <v>37</v>
      </c>
      <c r="J105" s="5">
        <v>37</v>
      </c>
      <c r="L105" s="31">
        <f>74.3/2</f>
        <v>37.15</v>
      </c>
    </row>
    <row r="106" ht="12.75">
      <c r="L106" s="5"/>
    </row>
    <row r="107" spans="5:12" ht="12.75">
      <c r="E107" s="6"/>
      <c r="F107" s="6"/>
      <c r="G107" s="6"/>
      <c r="H107" s="6"/>
      <c r="I107" s="6"/>
      <c r="J107" s="6"/>
      <c r="K107" s="6"/>
      <c r="L107" s="5"/>
    </row>
    <row r="108" spans="2:28" ht="12.75">
      <c r="B108" s="1" t="s">
        <v>164</v>
      </c>
      <c r="C108" s="1"/>
      <c r="F108" s="6" t="s">
        <v>114</v>
      </c>
      <c r="G108" s="6"/>
      <c r="H108" s="6" t="s">
        <v>115</v>
      </c>
      <c r="I108" s="6"/>
      <c r="J108" s="6" t="s">
        <v>116</v>
      </c>
      <c r="K108" s="6"/>
      <c r="L108" s="6" t="s">
        <v>41</v>
      </c>
      <c r="N108" s="6" t="s">
        <v>114</v>
      </c>
      <c r="O108" s="6"/>
      <c r="P108" s="6" t="s">
        <v>115</v>
      </c>
      <c r="Q108" s="6"/>
      <c r="R108" s="6" t="s">
        <v>116</v>
      </c>
      <c r="S108" s="6"/>
      <c r="T108" s="6" t="s">
        <v>41</v>
      </c>
      <c r="V108" s="6" t="s">
        <v>114</v>
      </c>
      <c r="W108" s="6"/>
      <c r="X108" s="6" t="s">
        <v>115</v>
      </c>
      <c r="Y108" s="6"/>
      <c r="Z108" s="6" t="s">
        <v>116</v>
      </c>
      <c r="AA108" s="6"/>
      <c r="AB108" s="6" t="s">
        <v>41</v>
      </c>
    </row>
    <row r="109" spans="2:28" ht="12.75">
      <c r="B109" s="1"/>
      <c r="C109" s="1"/>
      <c r="N109" s="3"/>
      <c r="O109" s="3"/>
      <c r="P109" s="3"/>
      <c r="Q109" s="3"/>
      <c r="R109" s="3"/>
      <c r="S109" s="3"/>
      <c r="T109" s="4"/>
      <c r="AB109" s="4"/>
    </row>
    <row r="110" spans="2:28" ht="12.75">
      <c r="B110" s="2" t="s">
        <v>127</v>
      </c>
      <c r="C110" s="1"/>
      <c r="F110" s="6" t="s">
        <v>138</v>
      </c>
      <c r="H110" s="6" t="s">
        <v>138</v>
      </c>
      <c r="J110" s="6" t="s">
        <v>138</v>
      </c>
      <c r="L110" s="6" t="s">
        <v>138</v>
      </c>
      <c r="N110" s="6" t="s">
        <v>139</v>
      </c>
      <c r="O110" s="3"/>
      <c r="P110" s="6" t="s">
        <v>139</v>
      </c>
      <c r="Q110" s="3"/>
      <c r="R110" s="6" t="s">
        <v>139</v>
      </c>
      <c r="S110" s="3"/>
      <c r="T110" s="6" t="s">
        <v>139</v>
      </c>
      <c r="V110" s="6" t="s">
        <v>140</v>
      </c>
      <c r="X110" s="6" t="s">
        <v>140</v>
      </c>
      <c r="Z110" s="6" t="s">
        <v>140</v>
      </c>
      <c r="AB110" s="6" t="s">
        <v>140</v>
      </c>
    </row>
    <row r="111" spans="2:28" ht="12.75">
      <c r="B111" s="2" t="s">
        <v>128</v>
      </c>
      <c r="F111" s="6" t="s">
        <v>129</v>
      </c>
      <c r="H111" s="6" t="s">
        <v>129</v>
      </c>
      <c r="J111" s="6" t="s">
        <v>129</v>
      </c>
      <c r="L111" s="6" t="s">
        <v>129</v>
      </c>
      <c r="N111" s="6" t="s">
        <v>130</v>
      </c>
      <c r="O111" s="3"/>
      <c r="P111" s="6" t="s">
        <v>130</v>
      </c>
      <c r="Q111" s="3"/>
      <c r="R111" s="6" t="s">
        <v>130</v>
      </c>
      <c r="S111" s="3"/>
      <c r="T111" s="6" t="s">
        <v>130</v>
      </c>
      <c r="V111" s="6" t="s">
        <v>64</v>
      </c>
      <c r="X111" s="6" t="s">
        <v>64</v>
      </c>
      <c r="Z111" s="6" t="s">
        <v>64</v>
      </c>
      <c r="AB111" s="6" t="s">
        <v>64</v>
      </c>
    </row>
    <row r="112" spans="2:28" ht="12.75">
      <c r="B112" s="2" t="s">
        <v>143</v>
      </c>
      <c r="F112" s="6" t="s">
        <v>69</v>
      </c>
      <c r="H112" s="6" t="s">
        <v>69</v>
      </c>
      <c r="J112" s="6" t="s">
        <v>69</v>
      </c>
      <c r="L112" s="6" t="s">
        <v>69</v>
      </c>
      <c r="N112" s="6" t="s">
        <v>144</v>
      </c>
      <c r="O112" s="3"/>
      <c r="P112" s="6" t="s">
        <v>144</v>
      </c>
      <c r="Q112" s="3"/>
      <c r="R112" s="6" t="s">
        <v>144</v>
      </c>
      <c r="S112" s="3"/>
      <c r="T112" s="6" t="s">
        <v>144</v>
      </c>
      <c r="V112" s="6" t="s">
        <v>64</v>
      </c>
      <c r="X112" s="6" t="s">
        <v>64</v>
      </c>
      <c r="Z112" s="6" t="s">
        <v>64</v>
      </c>
      <c r="AB112" s="6" t="s">
        <v>64</v>
      </c>
    </row>
    <row r="113" spans="2:28" ht="12.75">
      <c r="B113" s="2" t="s">
        <v>42</v>
      </c>
      <c r="F113" s="4" t="s">
        <v>43</v>
      </c>
      <c r="H113" s="4" t="s">
        <v>43</v>
      </c>
      <c r="J113" s="4" t="s">
        <v>43</v>
      </c>
      <c r="L113" s="4" t="s">
        <v>43</v>
      </c>
      <c r="N113" s="4" t="s">
        <v>44</v>
      </c>
      <c r="P113" s="4" t="s">
        <v>44</v>
      </c>
      <c r="R113" s="4" t="s">
        <v>44</v>
      </c>
      <c r="T113" s="4" t="s">
        <v>44</v>
      </c>
      <c r="V113" s="4" t="s">
        <v>64</v>
      </c>
      <c r="W113" s="4"/>
      <c r="X113" s="4" t="s">
        <v>64</v>
      </c>
      <c r="Y113" s="4"/>
      <c r="Z113" s="4" t="s">
        <v>64</v>
      </c>
      <c r="AA113" s="4"/>
      <c r="AB113" s="4" t="s">
        <v>64</v>
      </c>
    </row>
    <row r="114" spans="2:12" ht="12.75">
      <c r="B114" s="2" t="s">
        <v>112</v>
      </c>
      <c r="D114" s="2" t="s">
        <v>46</v>
      </c>
      <c r="F114" s="3">
        <f>72.9*60</f>
        <v>4374</v>
      </c>
      <c r="H114" s="3">
        <f>72.9*60</f>
        <v>4374</v>
      </c>
      <c r="J114" s="3">
        <f>73*60</f>
        <v>4380</v>
      </c>
      <c r="L114" s="5">
        <f>AVERAGE(F114,H114,J114)</f>
        <v>4376</v>
      </c>
    </row>
    <row r="115" ht="12.75">
      <c r="L115" s="5"/>
    </row>
    <row r="116" spans="2:12" ht="12.75">
      <c r="B116" s="2" t="s">
        <v>51</v>
      </c>
      <c r="D116" s="2" t="s">
        <v>34</v>
      </c>
      <c r="E116" s="6"/>
      <c r="F116" s="40">
        <f>F114*0.0003*453.6</f>
        <v>595.2139199999999</v>
      </c>
      <c r="G116" s="40"/>
      <c r="H116" s="40">
        <f>H114*0.0005*453.6</f>
        <v>992.0232</v>
      </c>
      <c r="I116" s="40"/>
      <c r="J116" s="40">
        <f>J114*0.0002*453.6</f>
        <v>397.35360000000003</v>
      </c>
      <c r="K116" s="6"/>
      <c r="L116" s="31">
        <f>AVERAGE(F116,H116,J116)</f>
        <v>661.5302399999999</v>
      </c>
    </row>
    <row r="117" spans="5:11" ht="12.75">
      <c r="E117" s="6"/>
      <c r="F117" s="6"/>
      <c r="G117" s="6"/>
      <c r="H117" s="6"/>
      <c r="I117" s="6"/>
      <c r="J117" s="6"/>
      <c r="K117" s="6"/>
    </row>
    <row r="118" spans="2:12" ht="12.75">
      <c r="B118" s="2" t="s">
        <v>61</v>
      </c>
      <c r="D118" s="2" t="s">
        <v>38</v>
      </c>
      <c r="E118" s="6"/>
      <c r="F118" s="14">
        <v>33887</v>
      </c>
      <c r="G118" s="14"/>
      <c r="H118" s="17">
        <v>32990</v>
      </c>
      <c r="I118" s="17"/>
      <c r="J118" s="14">
        <v>30394</v>
      </c>
      <c r="K118" s="14"/>
      <c r="L118" s="17">
        <f>AVERAGE(J118,H118,F118)</f>
        <v>32423.666666666668</v>
      </c>
    </row>
    <row r="119" spans="2:12" ht="12.75">
      <c r="B119" s="2" t="s">
        <v>62</v>
      </c>
      <c r="D119" s="2" t="s">
        <v>39</v>
      </c>
      <c r="F119" s="14">
        <v>5.6</v>
      </c>
      <c r="G119" s="14"/>
      <c r="H119" s="14">
        <v>9.2</v>
      </c>
      <c r="I119" s="14"/>
      <c r="J119" s="14">
        <v>6.8</v>
      </c>
      <c r="K119" s="14"/>
      <c r="L119" s="16">
        <f>AVERAGE(J119,H119,F119)</f>
        <v>7.2</v>
      </c>
    </row>
    <row r="121" spans="2:28" ht="12.75">
      <c r="B121" s="2" t="s">
        <v>110</v>
      </c>
      <c r="D121" s="2" t="s">
        <v>63</v>
      </c>
      <c r="F121" s="31" t="s">
        <v>172</v>
      </c>
      <c r="G121" s="37"/>
      <c r="H121" s="31">
        <v>75.4</v>
      </c>
      <c r="I121" s="37"/>
      <c r="J121" s="31">
        <v>75.5</v>
      </c>
      <c r="K121" s="37"/>
      <c r="L121" s="31">
        <f>AVERAGE(F121,H121,J121)</f>
        <v>75.45</v>
      </c>
      <c r="N121" s="31">
        <v>71.8</v>
      </c>
      <c r="O121" s="37"/>
      <c r="P121" s="31">
        <v>67.9</v>
      </c>
      <c r="Q121" s="37"/>
      <c r="R121" s="31">
        <v>69.7</v>
      </c>
      <c r="S121" s="37"/>
      <c r="T121" s="31">
        <f>AVERAGE(N121,P121,R121)</f>
        <v>69.8</v>
      </c>
      <c r="V121" s="31">
        <f>75.4+71.8</f>
        <v>147.2</v>
      </c>
      <c r="W121" s="31"/>
      <c r="X121" s="31">
        <f>P121+H121</f>
        <v>143.3</v>
      </c>
      <c r="Y121" s="31"/>
      <c r="Z121" s="31">
        <f>R121+J121</f>
        <v>145.2</v>
      </c>
      <c r="AA121" s="37"/>
      <c r="AB121" s="31">
        <f>AVERAGE(V121,X121,Z121)</f>
        <v>145.23333333333332</v>
      </c>
    </row>
    <row r="122" spans="6:12" ht="12.75">
      <c r="F122" s="5"/>
      <c r="H122" s="5"/>
      <c r="J122" s="5"/>
      <c r="L122" s="5"/>
    </row>
    <row r="123" spans="2:12" ht="12.75">
      <c r="B123" s="30" t="s">
        <v>81</v>
      </c>
      <c r="C123" s="30"/>
      <c r="F123" s="5"/>
      <c r="H123" s="5"/>
      <c r="J123" s="5"/>
      <c r="L123" s="5"/>
    </row>
    <row r="124" spans="2:28" ht="12.75">
      <c r="B124" s="2" t="s">
        <v>51</v>
      </c>
      <c r="D124" s="2" t="s">
        <v>65</v>
      </c>
      <c r="E124" s="3" t="s">
        <v>31</v>
      </c>
      <c r="F124" s="31">
        <f>F116/F118/60/0.0283*1000*(21-7)/(21-F119)</f>
        <v>9.403934284682721</v>
      </c>
      <c r="G124" s="37"/>
      <c r="H124" s="31">
        <f>H116/H118/60/0.0283*1000*(21-7)/(21-H119)</f>
        <v>21.01105481809103</v>
      </c>
      <c r="I124" s="37"/>
      <c r="J124" s="31">
        <f>J116/J118/60/0.0283*1000*(21-7)/(21-J119)</f>
        <v>7.590865533766376</v>
      </c>
      <c r="K124" s="37"/>
      <c r="L124" s="31">
        <f>AVERAGE(F124,H124,J124)</f>
        <v>12.668618212180043</v>
      </c>
      <c r="V124" s="37">
        <f>F124</f>
        <v>9.403934284682721</v>
      </c>
      <c r="X124" s="37">
        <f>H124</f>
        <v>21.01105481809103</v>
      </c>
      <c r="Z124" s="37">
        <f>J124</f>
        <v>7.590865533766376</v>
      </c>
      <c r="AB124" s="37">
        <f>L124</f>
        <v>12.668618212180043</v>
      </c>
    </row>
    <row r="125" spans="5:12" ht="12.75">
      <c r="E125" s="6"/>
      <c r="F125" s="7"/>
      <c r="G125" s="34"/>
      <c r="H125" s="7"/>
      <c r="I125" s="34"/>
      <c r="J125" s="7"/>
      <c r="K125" s="34"/>
      <c r="L125" s="31"/>
    </row>
    <row r="126" spans="5:12" ht="12.75">
      <c r="E126" s="6"/>
      <c r="F126" s="6"/>
      <c r="G126" s="6"/>
      <c r="H126" s="6"/>
      <c r="I126" s="6"/>
      <c r="J126" s="6"/>
      <c r="K126" s="6"/>
      <c r="L126" s="5"/>
    </row>
    <row r="127" spans="2:28" ht="12.75">
      <c r="B127" s="1" t="s">
        <v>161</v>
      </c>
      <c r="C127" s="1"/>
      <c r="F127" s="6" t="s">
        <v>114</v>
      </c>
      <c r="G127" s="6"/>
      <c r="H127" s="6" t="s">
        <v>115</v>
      </c>
      <c r="I127" s="6"/>
      <c r="J127" s="6" t="s">
        <v>116</v>
      </c>
      <c r="K127" s="6"/>
      <c r="L127" s="6" t="s">
        <v>41</v>
      </c>
      <c r="N127" s="6" t="s">
        <v>114</v>
      </c>
      <c r="O127" s="6"/>
      <c r="P127" s="6" t="s">
        <v>115</v>
      </c>
      <c r="Q127" s="6"/>
      <c r="R127" s="6" t="s">
        <v>116</v>
      </c>
      <c r="S127" s="6"/>
      <c r="T127" s="6" t="s">
        <v>41</v>
      </c>
      <c r="V127" s="6" t="s">
        <v>114</v>
      </c>
      <c r="W127" s="6"/>
      <c r="X127" s="6" t="s">
        <v>115</v>
      </c>
      <c r="Y127" s="6"/>
      <c r="Z127" s="6" t="s">
        <v>116</v>
      </c>
      <c r="AA127" s="6"/>
      <c r="AB127" s="6" t="s">
        <v>41</v>
      </c>
    </row>
    <row r="128" spans="2:28" ht="12.75">
      <c r="B128" s="1"/>
      <c r="C128" s="1"/>
      <c r="N128" s="3"/>
      <c r="O128" s="3"/>
      <c r="P128" s="3"/>
      <c r="Q128" s="3"/>
      <c r="R128" s="3"/>
      <c r="S128" s="3"/>
      <c r="T128" s="4"/>
      <c r="AB128" s="4"/>
    </row>
    <row r="129" spans="2:28" ht="12.75">
      <c r="B129" s="2" t="s">
        <v>127</v>
      </c>
      <c r="C129" s="1"/>
      <c r="F129" s="6" t="s">
        <v>138</v>
      </c>
      <c r="H129" s="6" t="s">
        <v>138</v>
      </c>
      <c r="J129" s="6" t="s">
        <v>138</v>
      </c>
      <c r="L129" s="6" t="s">
        <v>138</v>
      </c>
      <c r="N129" s="6" t="s">
        <v>139</v>
      </c>
      <c r="O129" s="3"/>
      <c r="P129" s="6" t="s">
        <v>139</v>
      </c>
      <c r="Q129" s="3"/>
      <c r="R129" s="6" t="s">
        <v>139</v>
      </c>
      <c r="S129" s="3"/>
      <c r="T129" s="6" t="s">
        <v>139</v>
      </c>
      <c r="V129" s="6" t="s">
        <v>140</v>
      </c>
      <c r="X129" s="6" t="s">
        <v>140</v>
      </c>
      <c r="Z129" s="6" t="s">
        <v>140</v>
      </c>
      <c r="AB129" s="6" t="s">
        <v>140</v>
      </c>
    </row>
    <row r="130" spans="2:28" ht="12.75">
      <c r="B130" s="2" t="s">
        <v>128</v>
      </c>
      <c r="F130" s="6" t="s">
        <v>129</v>
      </c>
      <c r="H130" s="6" t="s">
        <v>129</v>
      </c>
      <c r="J130" s="6" t="s">
        <v>129</v>
      </c>
      <c r="L130" s="6" t="s">
        <v>129</v>
      </c>
      <c r="N130" s="6" t="s">
        <v>130</v>
      </c>
      <c r="O130" s="3"/>
      <c r="P130" s="6" t="s">
        <v>130</v>
      </c>
      <c r="Q130" s="3"/>
      <c r="R130" s="6" t="s">
        <v>130</v>
      </c>
      <c r="S130" s="3"/>
      <c r="T130" s="6" t="s">
        <v>130</v>
      </c>
      <c r="V130" s="6" t="s">
        <v>64</v>
      </c>
      <c r="X130" s="6" t="s">
        <v>64</v>
      </c>
      <c r="Z130" s="6" t="s">
        <v>64</v>
      </c>
      <c r="AB130" s="6" t="s">
        <v>64</v>
      </c>
    </row>
    <row r="131" spans="2:28" ht="12.75">
      <c r="B131" s="2" t="s">
        <v>143</v>
      </c>
      <c r="F131" s="6" t="s">
        <v>69</v>
      </c>
      <c r="H131" s="6" t="s">
        <v>69</v>
      </c>
      <c r="J131" s="6" t="s">
        <v>69</v>
      </c>
      <c r="L131" s="6" t="s">
        <v>69</v>
      </c>
      <c r="N131" s="6" t="s">
        <v>144</v>
      </c>
      <c r="O131" s="3"/>
      <c r="P131" s="6" t="s">
        <v>144</v>
      </c>
      <c r="Q131" s="3"/>
      <c r="R131" s="6" t="s">
        <v>144</v>
      </c>
      <c r="S131" s="3"/>
      <c r="T131" s="6" t="s">
        <v>144</v>
      </c>
      <c r="V131" s="6" t="s">
        <v>64</v>
      </c>
      <c r="X131" s="6" t="s">
        <v>64</v>
      </c>
      <c r="Z131" s="6" t="s">
        <v>64</v>
      </c>
      <c r="AB131" s="6" t="s">
        <v>64</v>
      </c>
    </row>
    <row r="132" spans="2:28" ht="12.75">
      <c r="B132" s="2" t="s">
        <v>42</v>
      </c>
      <c r="F132" s="4" t="s">
        <v>43</v>
      </c>
      <c r="H132" s="4" t="s">
        <v>43</v>
      </c>
      <c r="J132" s="4" t="s">
        <v>43</v>
      </c>
      <c r="L132" s="4" t="s">
        <v>43</v>
      </c>
      <c r="N132" s="4" t="s">
        <v>44</v>
      </c>
      <c r="P132" s="4" t="s">
        <v>44</v>
      </c>
      <c r="R132" s="4" t="s">
        <v>44</v>
      </c>
      <c r="T132" s="4" t="s">
        <v>44</v>
      </c>
      <c r="V132" s="4" t="s">
        <v>64</v>
      </c>
      <c r="W132" s="4"/>
      <c r="X132" s="4" t="s">
        <v>64</v>
      </c>
      <c r="Y132" s="4"/>
      <c r="Z132" s="4" t="s">
        <v>64</v>
      </c>
      <c r="AA132" s="4"/>
      <c r="AB132" s="4" t="s">
        <v>64</v>
      </c>
    </row>
    <row r="133" spans="2:12" ht="12.75">
      <c r="B133" s="2" t="s">
        <v>112</v>
      </c>
      <c r="D133" s="2" t="s">
        <v>46</v>
      </c>
      <c r="F133" s="3">
        <f>73*60</f>
        <v>4380</v>
      </c>
      <c r="H133" s="3">
        <f>73*60</f>
        <v>4380</v>
      </c>
      <c r="J133" s="3">
        <f>73*60</f>
        <v>4380</v>
      </c>
      <c r="L133" s="5">
        <f>AVERAGE(F133,H133,J133)</f>
        <v>4380</v>
      </c>
    </row>
    <row r="134" ht="12.75">
      <c r="L134" s="5"/>
    </row>
    <row r="135" spans="2:12" ht="12.75">
      <c r="B135" s="2" t="s">
        <v>51</v>
      </c>
      <c r="D135" s="2" t="s">
        <v>34</v>
      </c>
      <c r="E135" s="6"/>
      <c r="F135" s="40">
        <f>F133*0.0005*453.6</f>
        <v>993.384</v>
      </c>
      <c r="G135" s="40"/>
      <c r="H135" s="40">
        <f>H133*0.0002*453.6</f>
        <v>397.35360000000003</v>
      </c>
      <c r="I135" s="40"/>
      <c r="J135" s="40">
        <f>J133*0.0006*453.6</f>
        <v>1192.0608</v>
      </c>
      <c r="K135" s="6"/>
      <c r="L135" s="31">
        <f>AVERAGE(F135,H135,J135)</f>
        <v>860.9327999999999</v>
      </c>
    </row>
    <row r="136" spans="5:11" ht="12.75">
      <c r="E136" s="6"/>
      <c r="F136" s="6"/>
      <c r="G136" s="6"/>
      <c r="H136" s="6"/>
      <c r="I136" s="6"/>
      <c r="J136" s="6"/>
      <c r="K136" s="6"/>
    </row>
    <row r="137" spans="2:12" ht="12.75">
      <c r="B137" s="2" t="s">
        <v>61</v>
      </c>
      <c r="D137" s="2" t="s">
        <v>38</v>
      </c>
      <c r="E137" s="6"/>
      <c r="F137" s="14">
        <v>33950</v>
      </c>
      <c r="G137" s="14"/>
      <c r="H137" s="17">
        <v>33574</v>
      </c>
      <c r="I137" s="17"/>
      <c r="J137" s="14">
        <v>33454</v>
      </c>
      <c r="K137" s="14"/>
      <c r="L137" s="17">
        <f>AVERAGE(J137,H137,F137)</f>
        <v>33659.333333333336</v>
      </c>
    </row>
    <row r="138" spans="2:12" ht="12.75">
      <c r="B138" s="2" t="s">
        <v>62</v>
      </c>
      <c r="D138" s="2" t="s">
        <v>39</v>
      </c>
      <c r="F138" s="14">
        <v>4</v>
      </c>
      <c r="G138" s="14"/>
      <c r="H138" s="14">
        <v>4.5</v>
      </c>
      <c r="I138" s="14"/>
      <c r="J138" s="14">
        <v>4</v>
      </c>
      <c r="K138" s="14"/>
      <c r="L138" s="16">
        <f>AVERAGE(J138,H138,F138)</f>
        <v>4.166666666666667</v>
      </c>
    </row>
    <row r="140" spans="2:28" ht="12.75">
      <c r="B140" s="2" t="s">
        <v>110</v>
      </c>
      <c r="D140" s="2" t="s">
        <v>63</v>
      </c>
      <c r="F140" s="31">
        <v>75.5</v>
      </c>
      <c r="G140" s="31"/>
      <c r="H140" s="31">
        <v>75.5</v>
      </c>
      <c r="I140" s="31"/>
      <c r="J140" s="31">
        <v>75.5</v>
      </c>
      <c r="K140" s="37"/>
      <c r="L140" s="31">
        <f>AVERAGE(F140,H140,J140)</f>
        <v>75.5</v>
      </c>
      <c r="N140" s="31">
        <v>69.7</v>
      </c>
      <c r="O140" s="37"/>
      <c r="P140" s="31">
        <v>65.4</v>
      </c>
      <c r="Q140" s="37"/>
      <c r="R140" s="31">
        <v>67</v>
      </c>
      <c r="S140" s="37"/>
      <c r="T140" s="31">
        <f>AVERAGE(N140,P140,R140)</f>
        <v>67.36666666666667</v>
      </c>
      <c r="V140" s="31">
        <f>N140+F140</f>
        <v>145.2</v>
      </c>
      <c r="W140" s="31"/>
      <c r="X140" s="31">
        <f>P140+H140</f>
        <v>140.9</v>
      </c>
      <c r="Y140" s="31"/>
      <c r="Z140" s="31">
        <f>R140+J140</f>
        <v>142.5</v>
      </c>
      <c r="AA140" s="37"/>
      <c r="AB140" s="31">
        <f>AVERAGE(V140,X140,Z140)</f>
        <v>142.86666666666667</v>
      </c>
    </row>
    <row r="141" spans="6:12" ht="12.75">
      <c r="F141" s="5"/>
      <c r="H141" s="5"/>
      <c r="J141" s="5"/>
      <c r="L141" s="5"/>
    </row>
    <row r="142" spans="2:12" ht="12.75">
      <c r="B142" s="30" t="s">
        <v>81</v>
      </c>
      <c r="C142" s="30"/>
      <c r="F142" s="5"/>
      <c r="H142" s="5"/>
      <c r="J142" s="5"/>
      <c r="L142" s="5"/>
    </row>
    <row r="143" spans="2:28" ht="12.75">
      <c r="B143" s="2" t="s">
        <v>51</v>
      </c>
      <c r="D143" s="2" t="s">
        <v>65</v>
      </c>
      <c r="E143" s="3" t="s">
        <v>31</v>
      </c>
      <c r="F143" s="31">
        <f>F135/F137/60/0.0283*1000*(21-7)/(21-F138)</f>
        <v>14.191189863435811</v>
      </c>
      <c r="G143" s="37"/>
      <c r="H143" s="31">
        <f>H135/H137/60/0.0283*1000*(21-7)/(21-H138)</f>
        <v>5.913988443208746</v>
      </c>
      <c r="I143" s="37"/>
      <c r="J143" s="31">
        <f>J135/J137/60/0.0283*1000*(21-7)/(21-J138)</f>
        <v>17.281911730626383</v>
      </c>
      <c r="K143" s="37"/>
      <c r="L143" s="31">
        <f>AVERAGE(F143,H143,J143)</f>
        <v>12.462363345756978</v>
      </c>
      <c r="V143" s="37">
        <f>F143</f>
        <v>14.191189863435811</v>
      </c>
      <c r="X143" s="37">
        <f>H143</f>
        <v>5.913988443208746</v>
      </c>
      <c r="Z143" s="37">
        <f>J143</f>
        <v>17.281911730626383</v>
      </c>
      <c r="AB143" s="37">
        <f>L143</f>
        <v>12.462363345756978</v>
      </c>
    </row>
    <row r="144" spans="5:12" ht="12.75">
      <c r="E144" s="6"/>
      <c r="F144" s="7"/>
      <c r="G144" s="34"/>
      <c r="H144" s="7"/>
      <c r="I144" s="34"/>
      <c r="J144" s="7"/>
      <c r="K144" s="34"/>
      <c r="L144" s="31"/>
    </row>
    <row r="146" spans="2:28" ht="12.75">
      <c r="B146" s="1" t="s">
        <v>158</v>
      </c>
      <c r="C146" s="1"/>
      <c r="F146" s="6" t="s">
        <v>114</v>
      </c>
      <c r="G146" s="6"/>
      <c r="H146" s="6" t="s">
        <v>115</v>
      </c>
      <c r="I146" s="6"/>
      <c r="J146" s="6" t="s">
        <v>116</v>
      </c>
      <c r="K146" s="6"/>
      <c r="L146" s="6" t="s">
        <v>41</v>
      </c>
      <c r="N146" s="6" t="s">
        <v>114</v>
      </c>
      <c r="O146" s="6"/>
      <c r="P146" s="6" t="s">
        <v>115</v>
      </c>
      <c r="Q146" s="6"/>
      <c r="R146" s="6" t="s">
        <v>116</v>
      </c>
      <c r="S146" s="6"/>
      <c r="T146" s="6" t="s">
        <v>41</v>
      </c>
      <c r="V146" s="6" t="s">
        <v>114</v>
      </c>
      <c r="W146" s="6"/>
      <c r="X146" s="6" t="s">
        <v>115</v>
      </c>
      <c r="Y146" s="6"/>
      <c r="Z146" s="6" t="s">
        <v>116</v>
      </c>
      <c r="AA146" s="6"/>
      <c r="AB146" s="6" t="s">
        <v>41</v>
      </c>
    </row>
    <row r="147" spans="2:28" ht="12.75">
      <c r="B147" s="1"/>
      <c r="C147" s="1"/>
      <c r="N147" s="3"/>
      <c r="O147" s="3"/>
      <c r="P147" s="3"/>
      <c r="Q147" s="3"/>
      <c r="R147" s="3"/>
      <c r="S147" s="3"/>
      <c r="T147" s="4"/>
      <c r="AB147" s="4"/>
    </row>
    <row r="148" spans="2:28" ht="12.75">
      <c r="B148" s="2" t="s">
        <v>127</v>
      </c>
      <c r="C148" s="1"/>
      <c r="F148" s="6" t="s">
        <v>138</v>
      </c>
      <c r="H148" s="6" t="s">
        <v>138</v>
      </c>
      <c r="J148" s="6" t="s">
        <v>138</v>
      </c>
      <c r="L148" s="6" t="s">
        <v>138</v>
      </c>
      <c r="N148" s="6" t="s">
        <v>139</v>
      </c>
      <c r="O148" s="3"/>
      <c r="P148" s="6" t="s">
        <v>139</v>
      </c>
      <c r="Q148" s="3"/>
      <c r="R148" s="6" t="s">
        <v>139</v>
      </c>
      <c r="S148" s="3"/>
      <c r="T148" s="6" t="s">
        <v>139</v>
      </c>
      <c r="V148" s="6" t="s">
        <v>140</v>
      </c>
      <c r="X148" s="6" t="s">
        <v>140</v>
      </c>
      <c r="Z148" s="6" t="s">
        <v>140</v>
      </c>
      <c r="AB148" s="6" t="s">
        <v>140</v>
      </c>
    </row>
    <row r="149" spans="2:28" ht="12.75">
      <c r="B149" s="2" t="s">
        <v>128</v>
      </c>
      <c r="F149" s="6" t="s">
        <v>129</v>
      </c>
      <c r="H149" s="6" t="s">
        <v>129</v>
      </c>
      <c r="J149" s="6" t="s">
        <v>129</v>
      </c>
      <c r="L149" s="6" t="s">
        <v>129</v>
      </c>
      <c r="N149" s="6" t="s">
        <v>130</v>
      </c>
      <c r="O149" s="3"/>
      <c r="P149" s="6" t="s">
        <v>130</v>
      </c>
      <c r="Q149" s="3"/>
      <c r="R149" s="6" t="s">
        <v>130</v>
      </c>
      <c r="S149" s="3"/>
      <c r="T149" s="6" t="s">
        <v>130</v>
      </c>
      <c r="V149" s="6" t="s">
        <v>64</v>
      </c>
      <c r="X149" s="6" t="s">
        <v>64</v>
      </c>
      <c r="Z149" s="6" t="s">
        <v>64</v>
      </c>
      <c r="AB149" s="6" t="s">
        <v>64</v>
      </c>
    </row>
    <row r="150" spans="2:28" ht="12.75">
      <c r="B150" s="2" t="s">
        <v>143</v>
      </c>
      <c r="F150" s="6" t="s">
        <v>69</v>
      </c>
      <c r="H150" s="6" t="s">
        <v>69</v>
      </c>
      <c r="J150" s="6" t="s">
        <v>69</v>
      </c>
      <c r="L150" s="6" t="s">
        <v>69</v>
      </c>
      <c r="N150" s="6" t="s">
        <v>144</v>
      </c>
      <c r="O150" s="3"/>
      <c r="P150" s="6" t="s">
        <v>144</v>
      </c>
      <c r="Q150" s="3"/>
      <c r="R150" s="6" t="s">
        <v>144</v>
      </c>
      <c r="S150" s="3"/>
      <c r="T150" s="6" t="s">
        <v>144</v>
      </c>
      <c r="V150" s="6" t="s">
        <v>64</v>
      </c>
      <c r="X150" s="6" t="s">
        <v>64</v>
      </c>
      <c r="Z150" s="6" t="s">
        <v>64</v>
      </c>
      <c r="AB150" s="6" t="s">
        <v>64</v>
      </c>
    </row>
    <row r="151" spans="2:28" ht="12.75">
      <c r="B151" s="2" t="s">
        <v>42</v>
      </c>
      <c r="F151" s="4" t="s">
        <v>43</v>
      </c>
      <c r="H151" s="4" t="s">
        <v>43</v>
      </c>
      <c r="J151" s="4" t="s">
        <v>43</v>
      </c>
      <c r="L151" s="4" t="s">
        <v>43</v>
      </c>
      <c r="N151" s="4" t="s">
        <v>44</v>
      </c>
      <c r="P151" s="4" t="s">
        <v>44</v>
      </c>
      <c r="R151" s="4" t="s">
        <v>44</v>
      </c>
      <c r="T151" s="4" t="s">
        <v>44</v>
      </c>
      <c r="V151" s="4" t="s">
        <v>64</v>
      </c>
      <c r="W151" s="4"/>
      <c r="X151" s="4" t="s">
        <v>64</v>
      </c>
      <c r="Y151" s="4"/>
      <c r="Z151" s="4" t="s">
        <v>64</v>
      </c>
      <c r="AA151" s="4"/>
      <c r="AB151" s="4" t="s">
        <v>64</v>
      </c>
    </row>
    <row r="152" spans="2:12" ht="12.75">
      <c r="B152" s="2" t="s">
        <v>112</v>
      </c>
      <c r="D152" s="2" t="s">
        <v>46</v>
      </c>
      <c r="F152" s="3">
        <f>73*60</f>
        <v>4380</v>
      </c>
      <c r="H152" s="3">
        <f>73*60</f>
        <v>4380</v>
      </c>
      <c r="J152" s="3">
        <f>72.9*60</f>
        <v>4374</v>
      </c>
      <c r="L152" s="5">
        <f>AVERAGE(F152,H152,J152)</f>
        <v>4378</v>
      </c>
    </row>
    <row r="153" ht="12.75">
      <c r="L153" s="5"/>
    </row>
    <row r="154" spans="2:12" ht="12.75">
      <c r="B154" s="2" t="s">
        <v>51</v>
      </c>
      <c r="D154" s="2" t="s">
        <v>34</v>
      </c>
      <c r="E154" s="6"/>
      <c r="F154" s="40">
        <f>F152*0.0014*453.6</f>
        <v>2781.4752</v>
      </c>
      <c r="G154" s="40"/>
      <c r="H154" s="40">
        <f>H152*0.00055*453.6</f>
        <v>1092.7224</v>
      </c>
      <c r="I154" s="40" t="s">
        <v>37</v>
      </c>
      <c r="J154" s="40">
        <f>J152*0.0002*453.6/2</f>
        <v>198.40464000000003</v>
      </c>
      <c r="K154" s="6"/>
      <c r="L154" s="31">
        <f>AVERAGE(F154,H154,J154)</f>
        <v>1357.5340800000001</v>
      </c>
    </row>
    <row r="155" spans="5:11" ht="12.75">
      <c r="E155" s="6"/>
      <c r="F155" s="6"/>
      <c r="G155" s="6"/>
      <c r="H155" s="6"/>
      <c r="I155" s="6"/>
      <c r="J155" s="6"/>
      <c r="K155" s="6"/>
    </row>
    <row r="156" spans="2:12" ht="12.75">
      <c r="B156" s="2" t="s">
        <v>61</v>
      </c>
      <c r="D156" s="2" t="s">
        <v>38</v>
      </c>
      <c r="E156" s="6"/>
      <c r="F156" s="14">
        <v>23997</v>
      </c>
      <c r="G156" s="14"/>
      <c r="H156" s="17">
        <v>26520</v>
      </c>
      <c r="I156" s="17"/>
      <c r="J156" s="14">
        <v>23191</v>
      </c>
      <c r="K156" s="14"/>
      <c r="L156" s="17">
        <f>AVERAGE(J156,H156,F156)</f>
        <v>24569.333333333332</v>
      </c>
    </row>
    <row r="157" spans="2:12" ht="12.75">
      <c r="B157" s="2" t="s">
        <v>62</v>
      </c>
      <c r="D157" s="2" t="s">
        <v>39</v>
      </c>
      <c r="F157" s="14">
        <v>7.7</v>
      </c>
      <c r="G157" s="14"/>
      <c r="H157" s="14">
        <v>7.7</v>
      </c>
      <c r="I157" s="14"/>
      <c r="J157" s="14">
        <v>10</v>
      </c>
      <c r="K157" s="14"/>
      <c r="L157" s="16">
        <f>AVERAGE(J157,H157,F157)</f>
        <v>8.466666666666667</v>
      </c>
    </row>
    <row r="159" spans="2:28" ht="12.75">
      <c r="B159" s="2" t="s">
        <v>110</v>
      </c>
      <c r="D159" s="2" t="s">
        <v>63</v>
      </c>
      <c r="F159" s="31">
        <v>75.5</v>
      </c>
      <c r="G159" s="31"/>
      <c r="H159" s="31">
        <v>75.5</v>
      </c>
      <c r="I159" s="31"/>
      <c r="J159" s="31">
        <v>75.4</v>
      </c>
      <c r="K159" s="37"/>
      <c r="L159" s="31">
        <f>AVERAGE(F159,H159,J159)</f>
        <v>75.46666666666667</v>
      </c>
      <c r="N159" s="31">
        <v>18.1</v>
      </c>
      <c r="O159" s="37"/>
      <c r="P159" s="31">
        <v>18.3</v>
      </c>
      <c r="Q159" s="37"/>
      <c r="R159" s="31">
        <v>17.7</v>
      </c>
      <c r="S159" s="37"/>
      <c r="T159" s="31">
        <f>AVERAGE(N159,P159,R159)</f>
        <v>18.033333333333335</v>
      </c>
      <c r="V159" s="31">
        <f>N159+F159</f>
        <v>93.6</v>
      </c>
      <c r="W159" s="31"/>
      <c r="X159" s="31">
        <f>P159+H159</f>
        <v>93.8</v>
      </c>
      <c r="Y159" s="31"/>
      <c r="Z159" s="31">
        <f>R159+J159</f>
        <v>93.10000000000001</v>
      </c>
      <c r="AA159" s="37"/>
      <c r="AB159" s="31">
        <f>AVERAGE(V159,X159,Z159)</f>
        <v>93.5</v>
      </c>
    </row>
    <row r="160" spans="6:12" ht="12.75">
      <c r="F160" s="5"/>
      <c r="H160" s="5"/>
      <c r="J160" s="5"/>
      <c r="L160" s="5"/>
    </row>
    <row r="161" spans="2:12" ht="12.75">
      <c r="B161" s="30" t="s">
        <v>81</v>
      </c>
      <c r="C161" s="30"/>
      <c r="F161" s="5"/>
      <c r="H161" s="5"/>
      <c r="J161" s="5"/>
      <c r="L161" s="5"/>
    </row>
    <row r="162" spans="2:28" ht="12.75">
      <c r="B162" s="2" t="s">
        <v>51</v>
      </c>
      <c r="D162" s="2" t="s">
        <v>65</v>
      </c>
      <c r="E162" s="3" t="s">
        <v>31</v>
      </c>
      <c r="F162" s="31">
        <f>F154/F156/60/0.0283*1000*(21-7)/(21-F157)</f>
        <v>71.85499266076661</v>
      </c>
      <c r="G162" s="37"/>
      <c r="H162" s="31">
        <f>H154/H156/60/0.0283*1000*(21-7)/(21-H157)</f>
        <v>25.543184184018237</v>
      </c>
      <c r="I162" s="37"/>
      <c r="J162" s="31">
        <f>J154/J156/60/0.0283*1000*(21-7)/(21-J157)</f>
        <v>6.412538909448504</v>
      </c>
      <c r="K162" s="37"/>
      <c r="L162" s="31">
        <f>AVERAGE(F162,H162,J162)</f>
        <v>34.60357191807778</v>
      </c>
      <c r="V162" s="37">
        <f>F162</f>
        <v>71.85499266076661</v>
      </c>
      <c r="X162" s="37">
        <f>H162</f>
        <v>25.543184184018237</v>
      </c>
      <c r="Z162" s="37">
        <f>J162</f>
        <v>6.412538909448504</v>
      </c>
      <c r="AB162" s="37">
        <f>L162</f>
        <v>34.60357191807778</v>
      </c>
    </row>
    <row r="166" spans="2:47" ht="12.7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</row>
    <row r="167" spans="4:47" ht="12.75">
      <c r="D167" s="2" t="s">
        <v>88</v>
      </c>
      <c r="E167" s="6"/>
      <c r="F167" s="6"/>
      <c r="G167" s="6"/>
      <c r="H167" s="6"/>
      <c r="I167" s="6"/>
      <c r="J167" s="6"/>
      <c r="K167" s="6"/>
      <c r="L167" s="5"/>
      <c r="M167" s="5"/>
      <c r="N167" s="5"/>
      <c r="O167" s="5"/>
      <c r="P167" s="5"/>
      <c r="Q167" s="5"/>
      <c r="R167" s="5"/>
      <c r="S167" s="5"/>
      <c r="T167" s="6"/>
      <c r="U167" s="6"/>
      <c r="V167" s="6"/>
      <c r="W167" s="6"/>
      <c r="X167" s="6"/>
      <c r="Y167" s="6"/>
      <c r="Z167" s="6"/>
      <c r="AA167" s="6"/>
      <c r="AB167" s="4"/>
      <c r="AC167" s="4"/>
      <c r="AD167" s="4"/>
      <c r="AE167" s="4"/>
      <c r="AF167" s="4"/>
      <c r="AG167" s="4"/>
      <c r="AH167" s="4"/>
      <c r="AI167" s="4"/>
      <c r="AJ167" s="6"/>
      <c r="AL167"/>
      <c r="AM167"/>
      <c r="AN167"/>
      <c r="AO167"/>
      <c r="AP167"/>
      <c r="AQ167"/>
      <c r="AR167"/>
      <c r="AS167"/>
      <c r="AT167"/>
      <c r="AU167"/>
    </row>
    <row r="168" spans="2:47" ht="12.75">
      <c r="B168" s="1" t="s">
        <v>85</v>
      </c>
      <c r="C168" s="1"/>
      <c r="E168" s="6"/>
      <c r="F168" s="6"/>
      <c r="G168" s="6"/>
      <c r="H168" s="6"/>
      <c r="I168" s="6"/>
      <c r="J168" s="6"/>
      <c r="K168" s="6"/>
      <c r="L168" s="4" t="s">
        <v>86</v>
      </c>
      <c r="T168" s="6"/>
      <c r="U168" s="6"/>
      <c r="V168" s="6"/>
      <c r="W168" s="6"/>
      <c r="X168" s="6"/>
      <c r="Y168" s="6"/>
      <c r="Z168" s="6"/>
      <c r="AA168" s="6"/>
      <c r="AB168" s="6" t="s">
        <v>87</v>
      </c>
      <c r="AC168" s="6"/>
      <c r="AD168" s="6"/>
      <c r="AE168" s="6"/>
      <c r="AF168" s="6"/>
      <c r="AG168" s="6"/>
      <c r="AH168" s="6"/>
      <c r="AI168" s="6"/>
      <c r="AJ168" s="6"/>
      <c r="AL168"/>
      <c r="AM168"/>
      <c r="AN168"/>
      <c r="AO168"/>
      <c r="AP168"/>
      <c r="AQ168"/>
      <c r="AR168"/>
      <c r="AS168"/>
      <c r="AT168"/>
      <c r="AU168"/>
    </row>
    <row r="169" spans="38:47" ht="12.75">
      <c r="AL169"/>
      <c r="AM169"/>
      <c r="AN169"/>
      <c r="AO169"/>
      <c r="AP169"/>
      <c r="AQ169"/>
      <c r="AR169"/>
      <c r="AS169"/>
      <c r="AT169"/>
      <c r="AU169"/>
    </row>
    <row r="170" spans="2:47" ht="12.75">
      <c r="B170" s="2" t="s">
        <v>101</v>
      </c>
      <c r="D170" s="2" t="s">
        <v>34</v>
      </c>
      <c r="L170" s="4">
        <v>0.76</v>
      </c>
      <c r="AB170" s="3">
        <v>0.31</v>
      </c>
      <c r="AL170"/>
      <c r="AM170"/>
      <c r="AN170"/>
      <c r="AO170"/>
      <c r="AP170"/>
      <c r="AQ170"/>
      <c r="AR170"/>
      <c r="AS170"/>
      <c r="AT170"/>
      <c r="AU170"/>
    </row>
    <row r="171" spans="2:47" ht="12.75">
      <c r="B171" s="2" t="s">
        <v>103</v>
      </c>
      <c r="D171" s="2" t="s">
        <v>34</v>
      </c>
      <c r="L171" s="4">
        <v>0.32</v>
      </c>
      <c r="AB171" s="3">
        <v>0.122</v>
      </c>
      <c r="AL171"/>
      <c r="AM171"/>
      <c r="AN171"/>
      <c r="AO171"/>
      <c r="AP171"/>
      <c r="AQ171"/>
      <c r="AR171"/>
      <c r="AS171"/>
      <c r="AT171"/>
      <c r="AU171"/>
    </row>
    <row r="172" spans="2:47" ht="12.75">
      <c r="B172" s="2" t="s">
        <v>107</v>
      </c>
      <c r="D172" s="2" t="s">
        <v>34</v>
      </c>
      <c r="L172" s="4">
        <v>0.15</v>
      </c>
      <c r="AB172" s="3">
        <v>0.07</v>
      </c>
      <c r="AL172"/>
      <c r="AM172"/>
      <c r="AN172"/>
      <c r="AO172"/>
      <c r="AP172"/>
      <c r="AQ172"/>
      <c r="AR172"/>
      <c r="AS172"/>
      <c r="AT172"/>
      <c r="AU172"/>
    </row>
    <row r="173" spans="2:47" ht="12.75">
      <c r="B173" s="2" t="s">
        <v>99</v>
      </c>
      <c r="D173" s="2" t="s">
        <v>34</v>
      </c>
      <c r="L173" s="5">
        <v>10.5</v>
      </c>
      <c r="M173" s="5"/>
      <c r="N173" s="5"/>
      <c r="O173" s="5"/>
      <c r="P173" s="5"/>
      <c r="Q173" s="5"/>
      <c r="R173" s="5"/>
      <c r="S173" s="5"/>
      <c r="AB173" s="3">
        <v>0.06</v>
      </c>
      <c r="AL173"/>
      <c r="AM173"/>
      <c r="AN173"/>
      <c r="AO173"/>
      <c r="AP173"/>
      <c r="AQ173"/>
      <c r="AR173"/>
      <c r="AS173"/>
      <c r="AT173"/>
      <c r="AU173"/>
    </row>
    <row r="174" spans="2:47" ht="12.75">
      <c r="B174" s="2" t="s">
        <v>105</v>
      </c>
      <c r="D174" s="2" t="s">
        <v>34</v>
      </c>
      <c r="L174" s="5">
        <v>964</v>
      </c>
      <c r="M174" s="5"/>
      <c r="N174" s="5"/>
      <c r="O174" s="5"/>
      <c r="P174" s="5"/>
      <c r="Q174" s="5"/>
      <c r="R174" s="5"/>
      <c r="S174" s="5"/>
      <c r="AB174" s="5">
        <v>964</v>
      </c>
      <c r="AC174" s="5"/>
      <c r="AD174" s="5"/>
      <c r="AE174" s="5"/>
      <c r="AF174" s="5"/>
      <c r="AG174" s="5"/>
      <c r="AH174" s="5"/>
      <c r="AI174" s="5"/>
      <c r="AL174"/>
      <c r="AM174"/>
      <c r="AN174"/>
      <c r="AO174"/>
      <c r="AP174"/>
      <c r="AQ174"/>
      <c r="AR174"/>
      <c r="AS174"/>
      <c r="AT174"/>
      <c r="AU174"/>
    </row>
    <row r="175" spans="2:47" ht="12.75">
      <c r="B175" s="2" t="s">
        <v>102</v>
      </c>
      <c r="D175" s="2" t="s">
        <v>34</v>
      </c>
      <c r="L175" s="5">
        <v>160714</v>
      </c>
      <c r="M175" s="5"/>
      <c r="N175" s="5"/>
      <c r="O175" s="5"/>
      <c r="P175" s="5"/>
      <c r="Q175" s="5"/>
      <c r="R175" s="5"/>
      <c r="S175" s="5"/>
      <c r="AB175" s="5">
        <v>160714</v>
      </c>
      <c r="AC175" s="5"/>
      <c r="AD175" s="5"/>
      <c r="AE175" s="5"/>
      <c r="AF175" s="5"/>
      <c r="AG175" s="5"/>
      <c r="AH175" s="5"/>
      <c r="AI175" s="5"/>
      <c r="AL175"/>
      <c r="AM175"/>
      <c r="AN175"/>
      <c r="AO175"/>
      <c r="AP175"/>
      <c r="AQ175"/>
      <c r="AR175"/>
      <c r="AS175"/>
      <c r="AT175"/>
      <c r="AU175"/>
    </row>
    <row r="176" spans="2:47" ht="12.75">
      <c r="B176" s="2" t="s">
        <v>106</v>
      </c>
      <c r="D176" s="2" t="s">
        <v>34</v>
      </c>
      <c r="L176" s="5">
        <v>289</v>
      </c>
      <c r="M176" s="5"/>
      <c r="N176" s="5"/>
      <c r="O176" s="5"/>
      <c r="P176" s="5"/>
      <c r="Q176" s="5"/>
      <c r="R176" s="5"/>
      <c r="S176" s="5"/>
      <c r="AB176" s="5">
        <v>289</v>
      </c>
      <c r="AC176" s="5"/>
      <c r="AD176" s="5"/>
      <c r="AE176" s="5"/>
      <c r="AF176" s="5"/>
      <c r="AG176" s="5"/>
      <c r="AH176" s="5"/>
      <c r="AI176" s="5"/>
      <c r="AL176"/>
      <c r="AM176"/>
      <c r="AN176"/>
      <c r="AO176"/>
      <c r="AP176"/>
      <c r="AQ176"/>
      <c r="AR176"/>
      <c r="AS176"/>
      <c r="AT176"/>
      <c r="AU176"/>
    </row>
    <row r="177" spans="2:47" ht="12.75">
      <c r="B177" t="s">
        <v>111</v>
      </c>
      <c r="C177"/>
      <c r="D177" s="2" t="s">
        <v>34</v>
      </c>
      <c r="E177"/>
      <c r="F177"/>
      <c r="G177"/>
      <c r="H177"/>
      <c r="I177"/>
      <c r="J177"/>
      <c r="K177"/>
      <c r="L177">
        <v>257</v>
      </c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>
        <v>257</v>
      </c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</row>
    <row r="178" spans="2:47" ht="12.75">
      <c r="B178" t="s">
        <v>108</v>
      </c>
      <c r="C178"/>
      <c r="D178" s="2" t="s">
        <v>34</v>
      </c>
      <c r="E178"/>
      <c r="F178"/>
      <c r="G178"/>
      <c r="H178"/>
      <c r="I178"/>
      <c r="J178"/>
      <c r="K178"/>
      <c r="L178">
        <v>9643</v>
      </c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>
        <v>9643</v>
      </c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</row>
    <row r="179" spans="2:47" ht="12.75">
      <c r="B179" t="s">
        <v>104</v>
      </c>
      <c r="C179"/>
      <c r="D179" s="2" t="s">
        <v>34</v>
      </c>
      <c r="E179"/>
      <c r="F179"/>
      <c r="G179"/>
      <c r="H179"/>
      <c r="I179"/>
      <c r="J179"/>
      <c r="K179"/>
      <c r="L179">
        <v>964</v>
      </c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>
        <v>964</v>
      </c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</row>
    <row r="180" spans="2:47" ht="12.7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</row>
    <row r="181" spans="4:36" ht="12.75">
      <c r="D181" s="2" t="s">
        <v>88</v>
      </c>
      <c r="E181" s="6"/>
      <c r="F181" s="6"/>
      <c r="G181" s="6"/>
      <c r="H181" s="6"/>
      <c r="I181" s="6"/>
      <c r="J181" s="6"/>
      <c r="K181" s="6"/>
      <c r="L181" s="5"/>
      <c r="M181" s="5"/>
      <c r="N181" s="5"/>
      <c r="O181" s="5"/>
      <c r="P181" s="5"/>
      <c r="Q181" s="5"/>
      <c r="R181" s="5"/>
      <c r="S181" s="5"/>
      <c r="T181" s="6"/>
      <c r="U181" s="6"/>
      <c r="V181" s="6"/>
      <c r="W181" s="6"/>
      <c r="X181" s="6"/>
      <c r="Y181" s="6"/>
      <c r="Z181" s="6"/>
      <c r="AA181" s="6"/>
      <c r="AB181" s="4"/>
      <c r="AC181" s="4"/>
      <c r="AD181" s="4"/>
      <c r="AE181" s="4"/>
      <c r="AF181" s="4"/>
      <c r="AG181" s="4"/>
      <c r="AH181" s="4"/>
      <c r="AI181" s="4"/>
      <c r="AJ181" s="6"/>
    </row>
    <row r="182" spans="2:36" ht="12.75">
      <c r="B182" s="1" t="s">
        <v>85</v>
      </c>
      <c r="C182" s="1"/>
      <c r="E182" s="6"/>
      <c r="F182" s="6"/>
      <c r="G182" s="6"/>
      <c r="H182" s="6"/>
      <c r="I182" s="6"/>
      <c r="J182" s="6"/>
      <c r="K182" s="6"/>
      <c r="L182" s="4" t="s">
        <v>173</v>
      </c>
      <c r="T182" s="6"/>
      <c r="U182" s="6"/>
      <c r="V182" s="6"/>
      <c r="W182" s="6"/>
      <c r="X182" s="6"/>
      <c r="Y182" s="6"/>
      <c r="Z182" s="6"/>
      <c r="AA182" s="6"/>
      <c r="AB182" s="6" t="s">
        <v>87</v>
      </c>
      <c r="AC182" s="6"/>
      <c r="AD182" s="6"/>
      <c r="AE182" s="6"/>
      <c r="AF182" s="6"/>
      <c r="AG182" s="6"/>
      <c r="AH182" s="6"/>
      <c r="AI182" s="6"/>
      <c r="AJ182" s="6"/>
    </row>
    <row r="183" spans="2:36" ht="12.75">
      <c r="B183" s="1"/>
      <c r="C183" s="1"/>
      <c r="E183" s="6"/>
      <c r="F183" s="6"/>
      <c r="G183" s="6"/>
      <c r="H183" s="6"/>
      <c r="I183" s="6"/>
      <c r="J183" s="6"/>
      <c r="K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</row>
    <row r="184" spans="2:36" ht="12.75">
      <c r="B184" s="2" t="s">
        <v>51</v>
      </c>
      <c r="C184" s="1"/>
      <c r="D184" s="2" t="s">
        <v>34</v>
      </c>
      <c r="E184" s="6"/>
      <c r="F184" s="6"/>
      <c r="G184" s="6"/>
      <c r="H184" s="6"/>
      <c r="I184" s="6"/>
      <c r="J184" s="6"/>
      <c r="K184" s="6"/>
      <c r="L184" s="4">
        <v>2060</v>
      </c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</row>
    <row r="185" spans="2:12" ht="12.75">
      <c r="B185" s="2" t="s">
        <v>52</v>
      </c>
      <c r="D185" s="2" t="s">
        <v>34</v>
      </c>
      <c r="L185" s="4">
        <v>3130</v>
      </c>
    </row>
    <row r="186" spans="2:28" ht="12.75">
      <c r="B186" s="2" t="s">
        <v>101</v>
      </c>
      <c r="D186" s="2" t="s">
        <v>34</v>
      </c>
      <c r="L186" s="4">
        <v>1.44</v>
      </c>
      <c r="AB186" s="3">
        <v>0.31</v>
      </c>
    </row>
    <row r="187" spans="2:28" ht="12.75">
      <c r="B187" s="2" t="s">
        <v>103</v>
      </c>
      <c r="D187" s="2" t="s">
        <v>34</v>
      </c>
      <c r="L187" s="4">
        <v>0.46</v>
      </c>
      <c r="AB187" s="3">
        <v>0.122</v>
      </c>
    </row>
    <row r="188" spans="2:28" ht="12.75">
      <c r="B188" s="2" t="s">
        <v>107</v>
      </c>
      <c r="D188" s="2" t="s">
        <v>34</v>
      </c>
      <c r="L188" s="4">
        <v>0.438</v>
      </c>
      <c r="AB188" s="3">
        <v>0.07</v>
      </c>
    </row>
    <row r="189" spans="2:28" ht="12.75">
      <c r="B189" s="2" t="s">
        <v>99</v>
      </c>
      <c r="D189" s="2" t="s">
        <v>34</v>
      </c>
      <c r="L189" s="5">
        <v>0.735</v>
      </c>
      <c r="M189" s="5"/>
      <c r="N189" s="5"/>
      <c r="O189" s="5"/>
      <c r="P189" s="5"/>
      <c r="Q189" s="5"/>
      <c r="R189" s="5"/>
      <c r="S189" s="5"/>
      <c r="AB189" s="3">
        <v>0.06</v>
      </c>
    </row>
    <row r="190" spans="2:35" ht="12.75">
      <c r="B190" s="2" t="s">
        <v>105</v>
      </c>
      <c r="D190" s="2" t="s">
        <v>34</v>
      </c>
      <c r="L190" s="5">
        <v>2350</v>
      </c>
      <c r="M190" s="5"/>
      <c r="N190" s="5"/>
      <c r="O190" s="5"/>
      <c r="P190" s="5"/>
      <c r="Q190" s="5"/>
      <c r="R190" s="5"/>
      <c r="S190" s="5"/>
      <c r="AB190" s="5">
        <v>964</v>
      </c>
      <c r="AC190" s="5"/>
      <c r="AD190" s="5"/>
      <c r="AE190" s="5"/>
      <c r="AF190" s="5"/>
      <c r="AG190" s="5"/>
      <c r="AH190" s="5"/>
      <c r="AI190" s="5"/>
    </row>
    <row r="191" spans="2:35" ht="12.75">
      <c r="B191" s="2" t="s">
        <v>102</v>
      </c>
      <c r="D191" s="2" t="s">
        <v>34</v>
      </c>
      <c r="L191" s="5">
        <v>391000</v>
      </c>
      <c r="M191" s="5"/>
      <c r="N191" s="5"/>
      <c r="O191" s="5"/>
      <c r="P191" s="5"/>
      <c r="Q191" s="5"/>
      <c r="R191" s="5"/>
      <c r="S191" s="5"/>
      <c r="AB191" s="5">
        <v>160714</v>
      </c>
      <c r="AC191" s="5"/>
      <c r="AD191" s="5"/>
      <c r="AE191" s="5"/>
      <c r="AF191" s="5"/>
      <c r="AG191" s="5"/>
      <c r="AH191" s="5"/>
      <c r="AI191" s="5"/>
    </row>
    <row r="192" spans="2:35" ht="12.75">
      <c r="B192" s="2" t="s">
        <v>106</v>
      </c>
      <c r="D192" s="2" t="s">
        <v>34</v>
      </c>
      <c r="L192" s="5">
        <v>704</v>
      </c>
      <c r="M192" s="5"/>
      <c r="N192" s="5"/>
      <c r="O192" s="5"/>
      <c r="P192" s="5"/>
      <c r="Q192" s="5"/>
      <c r="R192" s="5"/>
      <c r="S192" s="5"/>
      <c r="AB192" s="5">
        <v>289</v>
      </c>
      <c r="AC192" s="5"/>
      <c r="AD192" s="5"/>
      <c r="AE192" s="5"/>
      <c r="AF192" s="5"/>
      <c r="AG192" s="5"/>
      <c r="AH192" s="5"/>
      <c r="AI192" s="5"/>
    </row>
    <row r="193" spans="2:37" ht="12.75">
      <c r="B193" t="s">
        <v>111</v>
      </c>
      <c r="C193"/>
      <c r="D193" s="2" t="s">
        <v>34</v>
      </c>
      <c r="E193"/>
      <c r="F193"/>
      <c r="G193"/>
      <c r="H193"/>
      <c r="I193"/>
      <c r="J193"/>
      <c r="K193"/>
      <c r="L193">
        <v>626</v>
      </c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>
        <v>257</v>
      </c>
      <c r="AC193"/>
      <c r="AD193"/>
      <c r="AE193"/>
      <c r="AF193"/>
      <c r="AG193"/>
      <c r="AH193"/>
      <c r="AI193"/>
      <c r="AJ193"/>
      <c r="AK193"/>
    </row>
    <row r="194" spans="2:37" ht="12.75">
      <c r="B194" t="s">
        <v>108</v>
      </c>
      <c r="C194"/>
      <c r="D194" s="2" t="s">
        <v>34</v>
      </c>
      <c r="E194"/>
      <c r="F194"/>
      <c r="G194"/>
      <c r="H194"/>
      <c r="I194"/>
      <c r="J194"/>
      <c r="K194"/>
      <c r="L194">
        <v>23500</v>
      </c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>
        <v>9643</v>
      </c>
      <c r="AC194"/>
      <c r="AD194"/>
      <c r="AE194"/>
      <c r="AF194"/>
      <c r="AG194"/>
      <c r="AH194"/>
      <c r="AI194"/>
      <c r="AJ194"/>
      <c r="AK194"/>
    </row>
    <row r="195" spans="2:37" ht="12.75">
      <c r="B195" t="s">
        <v>104</v>
      </c>
      <c r="C195"/>
      <c r="D195" s="2" t="s">
        <v>34</v>
      </c>
      <c r="E195"/>
      <c r="F195"/>
      <c r="G195"/>
      <c r="H195"/>
      <c r="I195"/>
      <c r="J195"/>
      <c r="K195"/>
      <c r="L195">
        <v>2350</v>
      </c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>
        <v>964</v>
      </c>
      <c r="AC195"/>
      <c r="AD195"/>
      <c r="AE195"/>
      <c r="AF195"/>
      <c r="AG195"/>
      <c r="AH195"/>
      <c r="AI195"/>
      <c r="AJ195"/>
      <c r="AK195"/>
    </row>
    <row r="196" spans="2:47" ht="12.7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</row>
    <row r="197" spans="2:47" ht="12.7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</row>
    <row r="198" spans="2:47" ht="12.7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</row>
    <row r="199" spans="2:47" ht="12.7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</row>
    <row r="200" spans="2:47" ht="12.7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</row>
    <row r="201" spans="2:47" ht="12.7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</row>
    <row r="202" spans="2:47" ht="12.7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</row>
    <row r="203" spans="2:47" ht="12.7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</row>
    <row r="204" spans="2:47" ht="12.7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</row>
    <row r="205" spans="2:47" ht="12.7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</row>
    <row r="206" spans="2:47" ht="12.7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</row>
    <row r="207" spans="2:47" ht="12.7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</row>
    <row r="208" spans="2:47" ht="12.7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</row>
    <row r="209" spans="2:47" ht="12.7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</row>
    <row r="210" spans="2:37" ht="12.7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</row>
    <row r="211" spans="2:37" ht="12.7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2:37" ht="12.7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</row>
    <row r="213" spans="2:37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</row>
    <row r="214" spans="2:37" ht="12.7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2:37" ht="12.7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</row>
    <row r="216" spans="2:37" ht="12.7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</row>
    <row r="217" spans="2:37" ht="12.7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2:37" ht="12.7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</row>
    <row r="219" spans="2:37" ht="12.7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</row>
    <row r="220" spans="2:37" ht="12.7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2:37" ht="12.7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</row>
    <row r="222" spans="2:37" ht="12.7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</row>
    <row r="223" spans="2:37" ht="12.7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2:37" ht="12.7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</row>
    <row r="225" spans="2:37" ht="12.7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</row>
    <row r="226" spans="2:37" ht="12.7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2:37" ht="12.7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</row>
    <row r="228" spans="2:37" ht="12.7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</row>
    <row r="229" spans="2:37" ht="12.7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2:37" ht="12.7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</row>
    <row r="231" spans="2:37" ht="12.7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</row>
    <row r="232" spans="2:37" ht="12.7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EERGC</cp:lastModifiedBy>
  <cp:lastPrinted>2004-02-19T19:30:00Z</cp:lastPrinted>
  <dcterms:created xsi:type="dcterms:W3CDTF">2000-01-10T00:44:42Z</dcterms:created>
  <dcterms:modified xsi:type="dcterms:W3CDTF">2004-02-19T19:46:16Z</dcterms:modified>
  <cp:category/>
  <cp:version/>
  <cp:contentType/>
  <cp:contentStatus/>
</cp:coreProperties>
</file>