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71" windowWidth="12120" windowHeight="6780" tabRatio="816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df c1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<sst xmlns="http://schemas.openxmlformats.org/spreadsheetml/2006/main" count="2999" uniqueCount="249">
  <si>
    <t>EPA ID No.</t>
  </si>
  <si>
    <t>OHD005108477</t>
  </si>
  <si>
    <t>Facility Name</t>
  </si>
  <si>
    <t>Facility Location</t>
  </si>
  <si>
    <t xml:space="preserve">    City</t>
  </si>
  <si>
    <t>Haverhill</t>
  </si>
  <si>
    <t xml:space="preserve">    State</t>
  </si>
  <si>
    <t>OH</t>
  </si>
  <si>
    <t>Unit ID Name/No.</t>
  </si>
  <si>
    <t>Other Sister Facilities</t>
  </si>
  <si>
    <t>Soot Blowing</t>
  </si>
  <si>
    <t>None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</si>
  <si>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</si>
  <si>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</si>
  <si>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</si>
  <si>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</si>
  <si>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</si>
  <si>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</si>
  <si>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</si>
  <si>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>Revised Certification of Compliance, November 1996</t>
  </si>
  <si>
    <t xml:space="preserve">    Report Prepare</t>
  </si>
  <si>
    <t xml:space="preserve">    Testing Firm</t>
  </si>
  <si>
    <t>ENSR Consulting and Engineering</t>
  </si>
  <si>
    <t xml:space="preserve">    Condition Descr</t>
  </si>
  <si>
    <t xml:space="preserve">    Content</t>
  </si>
  <si>
    <t>PM, CO, HCl/Cl2, Cr/Cr+6</t>
  </si>
  <si>
    <t>Units</t>
  </si>
  <si>
    <t>PM</t>
  </si>
  <si>
    <t>gr/dscf</t>
  </si>
  <si>
    <t>y</t>
  </si>
  <si>
    <t>ppmv</t>
  </si>
  <si>
    <t>HCl</t>
  </si>
  <si>
    <t>g/hr</t>
  </si>
  <si>
    <t>n</t>
  </si>
  <si>
    <t>nd</t>
  </si>
  <si>
    <t>Cl2</t>
  </si>
  <si>
    <t>dscfm</t>
  </si>
  <si>
    <t>%</t>
  </si>
  <si>
    <t>°F</t>
  </si>
  <si>
    <t>Cond Avg</t>
  </si>
  <si>
    <t>Feedstream Description</t>
  </si>
  <si>
    <t>HHC waste</t>
  </si>
  <si>
    <t>Natural Gas</t>
  </si>
  <si>
    <t>Spike</t>
  </si>
  <si>
    <t>lb/hr</t>
  </si>
  <si>
    <t>Heating Value</t>
  </si>
  <si>
    <t>Btu/lb</t>
  </si>
  <si>
    <t>Density</t>
  </si>
  <si>
    <t>g/cc</t>
  </si>
  <si>
    <t>Ash</t>
  </si>
  <si>
    <t>Chlorine</t>
  </si>
  <si>
    <t>ppmw</t>
  </si>
  <si>
    <t>Cr</t>
  </si>
  <si>
    <t xml:space="preserve"> </t>
  </si>
  <si>
    <t>LHC waste</t>
  </si>
  <si>
    <t>911C1</t>
  </si>
  <si>
    <t>911C2</t>
  </si>
  <si>
    <t>911C3</t>
  </si>
  <si>
    <t>911C4</t>
  </si>
  <si>
    <t>Unit 2001-UA</t>
  </si>
  <si>
    <t>Yes, 2 min per 8 hrs</t>
  </si>
  <si>
    <t>ft3/hr</t>
  </si>
  <si>
    <t>ug/dscm</t>
  </si>
  <si>
    <t>Stack Gas Flowrate</t>
  </si>
  <si>
    <t>Oxygen</t>
  </si>
  <si>
    <t>MMBtu/hr</t>
  </si>
  <si>
    <t>mg/dscm</t>
  </si>
  <si>
    <t>Liq</t>
  </si>
  <si>
    <t>Units UB, UC (2 other identical units)</t>
  </si>
  <si>
    <t>Combustor Characteristics</t>
  </si>
  <si>
    <t>Stack Gas Emissions</t>
  </si>
  <si>
    <t>HW</t>
  </si>
  <si>
    <t>SVM</t>
  </si>
  <si>
    <t>LVM</t>
  </si>
  <si>
    <t>CO</t>
  </si>
  <si>
    <t>µg/dscm</t>
  </si>
  <si>
    <t>7% O2</t>
  </si>
  <si>
    <t>Liq organic wastes (benzene, waste lubricating oil, AMS distillation bottoms, phenol waste water, aniline distillation) including codes D001, D018, D035, K022</t>
  </si>
  <si>
    <t>CoC; light HC waste</t>
  </si>
  <si>
    <t>Hazardous Wastes</t>
  </si>
  <si>
    <t>Haz Waste Description</t>
  </si>
  <si>
    <t>Supplemental Fuel</t>
  </si>
  <si>
    <t xml:space="preserve">    Gas Velocity (ft/sec)</t>
  </si>
  <si>
    <t xml:space="preserve">    Gas Temperature (°F)</t>
  </si>
  <si>
    <t>Feedstreams</t>
  </si>
  <si>
    <t>Capacity (MMBtu/hr)</t>
  </si>
  <si>
    <t>Total</t>
  </si>
  <si>
    <t>Cr (+6)</t>
  </si>
  <si>
    <t>Feedrate MTEC Calculations</t>
  </si>
  <si>
    <t>Phase II ID No.</t>
  </si>
  <si>
    <t>Source Description</t>
  </si>
  <si>
    <t xml:space="preserve">    Testing Dates</t>
  </si>
  <si>
    <t xml:space="preserve">   Temperature</t>
  </si>
  <si>
    <t xml:space="preserve">   Stack Gas Flowrate</t>
  </si>
  <si>
    <t>Comments</t>
  </si>
  <si>
    <t>PM, HCl/Cl2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</si>
  <si>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</si>
  <si>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</si>
  <si>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</si>
  <si>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</si>
  <si>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</si>
  <si>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</si>
  <si>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</si>
  <si>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</si>
  <si>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</si>
  <si>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</si>
  <si>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</si>
  <si>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</si>
  <si>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</si>
  <si>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</si>
  <si>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</si>
  <si>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*</t>
  </si>
  <si>
    <t>Thermal Feedrate</t>
  </si>
  <si>
    <t>Mercury</t>
  </si>
  <si>
    <t>Feed Rate</t>
  </si>
  <si>
    <t>HWC Burn Status (Date if Terminated)</t>
  </si>
  <si>
    <t>Sootblow</t>
  </si>
  <si>
    <t>R1</t>
  </si>
  <si>
    <t>R2</t>
  </si>
  <si>
    <t>R3</t>
  </si>
  <si>
    <t xml:space="preserve">    Cond Dates</t>
  </si>
  <si>
    <t>Liquid-fired boiler</t>
  </si>
  <si>
    <t>Cond Description</t>
  </si>
  <si>
    <t>Number of Sister Facilities</t>
  </si>
  <si>
    <t>Combustor Class</t>
  </si>
  <si>
    <t>Combustor Type</t>
  </si>
  <si>
    <t>APCS Detailed Acronym</t>
  </si>
  <si>
    <t>APCS General Class</t>
  </si>
  <si>
    <t>E1</t>
  </si>
  <si>
    <t>E2</t>
  </si>
  <si>
    <t>E3</t>
  </si>
  <si>
    <t>Feedstream Number</t>
  </si>
  <si>
    <t>Feed Class</t>
  </si>
  <si>
    <t>Liq HW</t>
  </si>
  <si>
    <t>NG</t>
  </si>
  <si>
    <t>Chromium (Hex)</t>
  </si>
  <si>
    <t xml:space="preserve"> fuel oil</t>
  </si>
  <si>
    <t>source</t>
  </si>
  <si>
    <t>cond</t>
  </si>
  <si>
    <t>emiss</t>
  </si>
  <si>
    <t>feed</t>
  </si>
  <si>
    <t>Liquid-fired</t>
  </si>
  <si>
    <t>F1</t>
  </si>
  <si>
    <t>F2</t>
  </si>
  <si>
    <t>F3</t>
  </si>
  <si>
    <t>F4</t>
  </si>
  <si>
    <t>Natural gas, oil</t>
  </si>
  <si>
    <t>Feed Class 2</t>
  </si>
  <si>
    <t>MF</t>
  </si>
  <si>
    <t>Estimated Firing Rate</t>
  </si>
  <si>
    <t>Sunoco Inc. (R&amp;M) Haverhill Plant</t>
  </si>
  <si>
    <t>Ajusted tier I for metals and chlorine</t>
  </si>
  <si>
    <t>Radian International LLC</t>
  </si>
  <si>
    <t>CoC; HHC waste fuel</t>
  </si>
  <si>
    <t>May 18-19, 1995</t>
  </si>
  <si>
    <t>May 19-20, 1995</t>
  </si>
  <si>
    <t>May 17-18, 1995</t>
  </si>
  <si>
    <t>Watertube boiler. Riley/Union Iron Works, Model MH, 150,000 lb/hr steam, 183 MMBtu/hr</t>
  </si>
  <si>
    <t>911C5</t>
  </si>
  <si>
    <t>Revised Certification of Compliance, January 1999</t>
  </si>
  <si>
    <t>CoC; LHC waste fuel</t>
  </si>
  <si>
    <t>PM, CO</t>
  </si>
  <si>
    <t>911C6</t>
  </si>
  <si>
    <t xml:space="preserve">CO </t>
  </si>
  <si>
    <t>911C7</t>
  </si>
  <si>
    <t xml:space="preserve">PM, CO </t>
  </si>
  <si>
    <t>911C8</t>
  </si>
  <si>
    <t>Trial Burn Report, February 2002</t>
  </si>
  <si>
    <t>URS Corp.</t>
  </si>
  <si>
    <t>11/6-7/2001</t>
  </si>
  <si>
    <t>CoC; HHC waste fuel low range</t>
  </si>
  <si>
    <t xml:space="preserve">CO, DRE </t>
  </si>
  <si>
    <t>911C9</t>
  </si>
  <si>
    <t>11/10-11/2001</t>
  </si>
  <si>
    <t>CoC; HHC waste fuel high range</t>
  </si>
  <si>
    <t>911C10</t>
  </si>
  <si>
    <t>11/5-6/2001</t>
  </si>
  <si>
    <t>CoC; LHC waste fuel high range</t>
  </si>
  <si>
    <t xml:space="preserve">Metals, Cr+6, CO, DRE </t>
  </si>
  <si>
    <t>911C11</t>
  </si>
  <si>
    <t>11/9-12/2001</t>
  </si>
  <si>
    <t xml:space="preserve">PM, HCl/Cl2, Metals, Cr+6, CO, DRE </t>
  </si>
  <si>
    <t>911C12</t>
  </si>
  <si>
    <t>11/13-14/2001</t>
  </si>
  <si>
    <t>911C13</t>
  </si>
  <si>
    <t>11/14-16/2001</t>
  </si>
  <si>
    <t>CO, D/F, PCB, PAH, VOC/SVOC, Aldehydes/ketones</t>
  </si>
  <si>
    <t>sootblow</t>
  </si>
  <si>
    <t>R4</t>
  </si>
  <si>
    <t>Metals</t>
  </si>
  <si>
    <t xml:space="preserve">  </t>
  </si>
  <si>
    <t>HCl/Cl2</t>
  </si>
  <si>
    <t>Units No. 911 and 912 separately</t>
  </si>
  <si>
    <t>BIF Feedrate Limits</t>
  </si>
  <si>
    <t>Adjusted Tier 1</t>
  </si>
  <si>
    <t>LHC Feed for 911</t>
  </si>
  <si>
    <t>??</t>
  </si>
  <si>
    <t>HHC Feed for 911</t>
  </si>
  <si>
    <t xml:space="preserve">Ash </t>
  </si>
  <si>
    <t>PCDD/PCDF</t>
  </si>
  <si>
    <t>Facility Name and ID:</t>
  </si>
  <si>
    <t>Aristech, 2001 UB</t>
  </si>
  <si>
    <t>Condition ID:</t>
  </si>
  <si>
    <t>Condition/Test Date:</t>
  </si>
  <si>
    <t>Trial burn, Nov 15-16, 2001</t>
  </si>
  <si>
    <t>I-TEF</t>
  </si>
  <si>
    <t>Run 1</t>
  </si>
  <si>
    <t>Run 2</t>
  </si>
  <si>
    <t>Run 3</t>
  </si>
  <si>
    <t>Wght Fact</t>
  </si>
  <si>
    <t xml:space="preserve"> TEQ</t>
  </si>
  <si>
    <t>TEQ</t>
  </si>
  <si>
    <t>1/2 ND</t>
  </si>
  <si>
    <t>Detected in sample volume (pg)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</si>
  <si>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</si>
  <si>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</si>
  <si>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</si>
  <si>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</si>
  <si>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</si>
  <si>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</si>
  <si>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</si>
  <si>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</si>
  <si>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</si>
  <si>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</si>
  <si>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</si>
  <si>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</si>
  <si>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</si>
  <si>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</si>
  <si>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</si>
  <si>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</si>
  <si>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</si>
  <si>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</si>
  <si>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</si>
  <si>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</si>
  <si>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</si>
  <si>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</si>
  <si>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</si>
  <si>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</si>
  <si>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</si>
  <si>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</si>
  <si>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</si>
  <si>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</si>
  <si>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</si>
  <si>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</si>
  <si>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</si>
  <si>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NOTE: sample gas volumes were inferred from using reported O2 and TEQ concenratations at 7% O2.</t>
  </si>
  <si>
    <t>df c1</t>
  </si>
  <si>
    <t>Full ND</t>
  </si>
  <si>
    <t>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</si>
</sst>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"/>
    <numFmt numFmtId="180" formatCode="mmmm\-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17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27" sqref="D27"/>
    </sheetView>
  </sheetViews>
  <sheetFormatPr defaultColWidth="9.140625" defaultRowHeight="12.75"/>
  <sheetData>
    <row r="1" ht="12.75">
      <c r="A1" t="s">
        <v>137</v>
      </c>
    </row>
    <row r="2" ht="12.75">
      <c r="A2" t="s">
        <v>138</v>
      </c>
    </row>
    <row r="3" ht="12.75">
      <c r="A3" t="s">
        <v>139</v>
      </c>
    </row>
    <row r="4" ht="12.75">
      <c r="A4" t="s">
        <v>140</v>
      </c>
    </row>
    <row r="5" ht="12.75">
      <c r="A5" t="s">
        <v>246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8">
      <selection activeCell="C18" sqref="C18"/>
    </sheetView>
  </sheetViews>
  <sheetFormatPr defaultColWidth="9.140625" defaultRowHeight="12.75"/>
  <cols>
    <col min="1" max="1" width="9.140625" style="2" hidden="1" customWidth="1"/>
    <col min="2" max="2" width="23.8515625" style="2" customWidth="1"/>
    <col min="3" max="3" width="59.00390625" style="2" customWidth="1"/>
    <col min="4" max="16384" width="8.8515625" style="2" customWidth="1"/>
  </cols>
  <sheetData>
    <row r="1" ht="12.75">
      <c r="B1" s="1" t="s">
        <v>90</v>
      </c>
    </row>
    <row r="3" spans="2:3" ht="12.75">
      <c r="B3" s="2" t="s">
        <v>89</v>
      </c>
      <c r="C3" s="3">
        <v>911</v>
      </c>
    </row>
    <row r="4" spans="2:3" ht="12.75">
      <c r="B4" s="2" t="s">
        <v>0</v>
      </c>
      <c r="C4" s="2" t="s">
        <v>1</v>
      </c>
    </row>
    <row r="5" spans="2:3" ht="12.75">
      <c r="B5" s="2" t="s">
        <v>2</v>
      </c>
      <c r="C5" s="2" t="s">
        <v>150</v>
      </c>
    </row>
    <row r="6" ht="12.75">
      <c r="B6" s="2" t="s">
        <v>3</v>
      </c>
    </row>
    <row r="7" spans="2:3" ht="12.75">
      <c r="B7" s="2" t="s">
        <v>4</v>
      </c>
      <c r="C7" s="2" t="s">
        <v>5</v>
      </c>
    </row>
    <row r="8" spans="2:3" ht="12.75">
      <c r="B8" s="2" t="s">
        <v>6</v>
      </c>
      <c r="C8" s="2" t="s">
        <v>7</v>
      </c>
    </row>
    <row r="9" spans="2:3" ht="12.75">
      <c r="B9" s="2" t="s">
        <v>8</v>
      </c>
      <c r="C9" s="2" t="s">
        <v>59</v>
      </c>
    </row>
    <row r="10" spans="2:3" ht="12.75">
      <c r="B10" s="2" t="s">
        <v>9</v>
      </c>
      <c r="C10" s="2" t="s">
        <v>68</v>
      </c>
    </row>
    <row r="11" spans="2:3" ht="12.75">
      <c r="B11" s="2" t="s">
        <v>123</v>
      </c>
      <c r="C11" s="3">
        <v>2</v>
      </c>
    </row>
    <row r="12" spans="2:3" ht="12.75">
      <c r="B12" s="2" t="s">
        <v>124</v>
      </c>
      <c r="C12" s="2" t="s">
        <v>121</v>
      </c>
    </row>
    <row r="13" spans="2:3" ht="12.75">
      <c r="B13" s="2" t="s">
        <v>125</v>
      </c>
      <c r="C13" s="2" t="s">
        <v>141</v>
      </c>
    </row>
    <row r="14" spans="2:3" s="29" customFormat="1" ht="25.5">
      <c r="B14" s="29" t="s">
        <v>69</v>
      </c>
      <c r="C14" s="29" t="s">
        <v>157</v>
      </c>
    </row>
    <row r="15" spans="2:3" ht="12.75">
      <c r="B15" s="2" t="s">
        <v>85</v>
      </c>
      <c r="C15" s="3">
        <v>183</v>
      </c>
    </row>
    <row r="16" spans="2:3" ht="12.75">
      <c r="B16" s="2" t="s">
        <v>10</v>
      </c>
      <c r="C16" s="2" t="s">
        <v>60</v>
      </c>
    </row>
    <row r="17" spans="2:3" ht="12.75">
      <c r="B17" s="2" t="s">
        <v>126</v>
      </c>
      <c r="C17" s="2" t="s">
        <v>11</v>
      </c>
    </row>
    <row r="18" ht="12.75">
      <c r="B18" s="2" t="s">
        <v>127</v>
      </c>
    </row>
    <row r="19" spans="2:3" ht="12.75">
      <c r="B19" s="2" t="s">
        <v>12</v>
      </c>
      <c r="C19" s="2" t="s">
        <v>13</v>
      </c>
    </row>
    <row r="20" spans="2:3" ht="12.75">
      <c r="B20" s="2" t="s">
        <v>79</v>
      </c>
      <c r="C20" s="2" t="s">
        <v>67</v>
      </c>
    </row>
    <row r="21" spans="2:3" s="29" customFormat="1" ht="38.25">
      <c r="B21" s="29" t="s">
        <v>80</v>
      </c>
      <c r="C21" s="29" t="s">
        <v>77</v>
      </c>
    </row>
    <row r="22" spans="2:3" ht="12.75">
      <c r="B22" s="2" t="s">
        <v>81</v>
      </c>
      <c r="C22" s="2" t="s">
        <v>146</v>
      </c>
    </row>
    <row r="23" ht="12.75" customHeight="1">
      <c r="C23" s="2" t="s">
        <v>136</v>
      </c>
    </row>
    <row r="24" ht="12.75" customHeight="1"/>
    <row r="25" ht="12.75">
      <c r="B25" s="2" t="s">
        <v>14</v>
      </c>
    </row>
    <row r="26" spans="2:3" ht="12.75">
      <c r="B26" s="2" t="s">
        <v>15</v>
      </c>
      <c r="C26" s="3">
        <v>4.9</v>
      </c>
    </row>
    <row r="27" spans="2:3" ht="12.75">
      <c r="B27" s="2" t="s">
        <v>16</v>
      </c>
      <c r="C27" s="4">
        <v>50</v>
      </c>
    </row>
    <row r="28" spans="2:3" ht="12.75">
      <c r="B28" s="2" t="s">
        <v>82</v>
      </c>
      <c r="C28" s="4">
        <f>18.2/0.3048</f>
        <v>59.71128608923884</v>
      </c>
    </row>
    <row r="29" spans="2:3" ht="12.75">
      <c r="B29" s="2" t="s">
        <v>83</v>
      </c>
      <c r="C29" s="3">
        <v>509</v>
      </c>
    </row>
    <row r="30" ht="12.75" customHeight="1"/>
    <row r="31" spans="2:3" ht="12.75">
      <c r="B31" s="2" t="s">
        <v>17</v>
      </c>
      <c r="C31" s="2" t="s">
        <v>151</v>
      </c>
    </row>
    <row r="32" s="33" customFormat="1" ht="25.5">
      <c r="B32" s="33" t="s">
        <v>115</v>
      </c>
    </row>
    <row r="33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31"/>
  <sheetViews>
    <sheetView workbookViewId="0" topLeftCell="B54">
      <selection activeCell="C18" sqref="C18"/>
    </sheetView>
  </sheetViews>
  <sheetFormatPr defaultColWidth="9.140625" defaultRowHeight="12.75"/>
  <cols>
    <col min="1" max="1" width="9.140625" style="0" hidden="1" customWidth="1"/>
    <col min="2" max="2" width="21.00390625" style="0" customWidth="1"/>
    <col min="3" max="3" width="51.00390625" style="0" customWidth="1"/>
  </cols>
  <sheetData>
    <row r="1" ht="12.75">
      <c r="B1" s="34" t="s">
        <v>122</v>
      </c>
    </row>
    <row r="3" ht="12.75">
      <c r="B3" s="35" t="s">
        <v>55</v>
      </c>
    </row>
    <row r="4" ht="12.75">
      <c r="B4" s="35"/>
    </row>
    <row r="5" spans="2:3" s="2" customFormat="1" ht="12.75">
      <c r="B5" s="2" t="s">
        <v>18</v>
      </c>
      <c r="C5" s="5" t="s">
        <v>19</v>
      </c>
    </row>
    <row r="6" spans="2:3" s="2" customFormat="1" ht="12.75">
      <c r="B6" s="2" t="s">
        <v>20</v>
      </c>
      <c r="C6" s="2" t="s">
        <v>152</v>
      </c>
    </row>
    <row r="7" spans="2:3" s="2" customFormat="1" ht="12.75">
      <c r="B7" s="2" t="s">
        <v>21</v>
      </c>
      <c r="C7" s="2" t="s">
        <v>22</v>
      </c>
    </row>
    <row r="8" spans="2:3" s="2" customFormat="1" ht="12.75">
      <c r="B8" s="2" t="s">
        <v>91</v>
      </c>
      <c r="C8" s="6">
        <v>34835</v>
      </c>
    </row>
    <row r="9" spans="2:3" s="2" customFormat="1" ht="12.75">
      <c r="B9" s="2" t="s">
        <v>120</v>
      </c>
      <c r="C9" s="36">
        <v>34820</v>
      </c>
    </row>
    <row r="10" spans="2:3" s="2" customFormat="1" ht="12.75">
      <c r="B10" s="2" t="s">
        <v>23</v>
      </c>
      <c r="C10" s="2" t="s">
        <v>153</v>
      </c>
    </row>
    <row r="11" spans="2:3" s="2" customFormat="1" ht="12.75">
      <c r="B11" s="2" t="s">
        <v>24</v>
      </c>
      <c r="C11" s="2" t="s">
        <v>25</v>
      </c>
    </row>
    <row r="12" s="2" customFormat="1" ht="12.75"/>
    <row r="13" ht="12.75">
      <c r="B13" s="35" t="s">
        <v>56</v>
      </c>
    </row>
    <row r="14" ht="12.75">
      <c r="B14" s="35"/>
    </row>
    <row r="15" spans="2:3" s="2" customFormat="1" ht="12.75">
      <c r="B15" s="2" t="s">
        <v>18</v>
      </c>
      <c r="C15" s="5" t="s">
        <v>19</v>
      </c>
    </row>
    <row r="16" spans="2:3" s="2" customFormat="1" ht="12.75">
      <c r="B16" s="2" t="s">
        <v>20</v>
      </c>
      <c r="C16" s="2" t="s">
        <v>152</v>
      </c>
    </row>
    <row r="17" spans="2:3" s="2" customFormat="1" ht="12.75">
      <c r="B17" s="2" t="s">
        <v>21</v>
      </c>
      <c r="C17" s="2" t="s">
        <v>22</v>
      </c>
    </row>
    <row r="18" spans="2:3" s="2" customFormat="1" ht="12.75">
      <c r="B18" s="2" t="s">
        <v>91</v>
      </c>
      <c r="C18" s="6" t="s">
        <v>156</v>
      </c>
    </row>
    <row r="19" spans="2:3" s="2" customFormat="1" ht="12.75">
      <c r="B19" s="2" t="s">
        <v>120</v>
      </c>
      <c r="C19" s="36">
        <v>34820</v>
      </c>
    </row>
    <row r="20" spans="2:3" s="2" customFormat="1" ht="12.75">
      <c r="B20" s="2" t="s">
        <v>23</v>
      </c>
      <c r="C20" s="2" t="s">
        <v>153</v>
      </c>
    </row>
    <row r="21" spans="2:3" s="2" customFormat="1" ht="12.75">
      <c r="B21" s="2" t="s">
        <v>24</v>
      </c>
      <c r="C21" s="2" t="s">
        <v>25</v>
      </c>
    </row>
    <row r="22" s="2" customFormat="1" ht="12.75"/>
    <row r="23" ht="12.75">
      <c r="B23" s="35" t="s">
        <v>57</v>
      </c>
    </row>
    <row r="24" ht="12.75">
      <c r="B24" s="35"/>
    </row>
    <row r="25" spans="2:3" s="2" customFormat="1" ht="12.75">
      <c r="B25" s="2" t="s">
        <v>18</v>
      </c>
      <c r="C25" s="5" t="s">
        <v>19</v>
      </c>
    </row>
    <row r="26" spans="2:3" s="2" customFormat="1" ht="12.75">
      <c r="B26" s="2" t="s">
        <v>20</v>
      </c>
      <c r="C26" s="2" t="s">
        <v>152</v>
      </c>
    </row>
    <row r="27" spans="2:3" s="2" customFormat="1" ht="12.75">
      <c r="B27" s="2" t="s">
        <v>21</v>
      </c>
      <c r="C27" s="2" t="s">
        <v>22</v>
      </c>
    </row>
    <row r="28" spans="2:3" s="2" customFormat="1" ht="12.75">
      <c r="B28" s="2" t="s">
        <v>91</v>
      </c>
      <c r="C28" s="6" t="s">
        <v>154</v>
      </c>
    </row>
    <row r="29" spans="2:3" s="2" customFormat="1" ht="12.75">
      <c r="B29" s="2" t="s">
        <v>120</v>
      </c>
      <c r="C29" s="36">
        <v>34820</v>
      </c>
    </row>
    <row r="30" spans="2:3" s="2" customFormat="1" ht="12.75">
      <c r="B30" s="2" t="s">
        <v>23</v>
      </c>
      <c r="C30" s="2" t="s">
        <v>153</v>
      </c>
    </row>
    <row r="31" spans="2:3" s="2" customFormat="1" ht="12.75">
      <c r="B31" s="2" t="s">
        <v>24</v>
      </c>
      <c r="C31" s="2" t="s">
        <v>25</v>
      </c>
    </row>
    <row r="32" s="2" customFormat="1" ht="12.75"/>
    <row r="33" ht="12.75">
      <c r="B33" s="35" t="s">
        <v>58</v>
      </c>
    </row>
    <row r="34" ht="12.75">
      <c r="B34" s="35"/>
    </row>
    <row r="35" spans="2:3" s="2" customFormat="1" ht="12.75">
      <c r="B35" s="2" t="s">
        <v>18</v>
      </c>
      <c r="C35" s="5" t="s">
        <v>19</v>
      </c>
    </row>
    <row r="36" spans="2:3" s="2" customFormat="1" ht="12.75">
      <c r="B36" s="2" t="s">
        <v>20</v>
      </c>
      <c r="C36" s="2" t="s">
        <v>152</v>
      </c>
    </row>
    <row r="37" spans="2:3" s="2" customFormat="1" ht="12.75">
      <c r="B37" s="2" t="s">
        <v>21</v>
      </c>
      <c r="C37" s="2" t="s">
        <v>22</v>
      </c>
    </row>
    <row r="38" spans="2:3" s="2" customFormat="1" ht="12.75">
      <c r="B38" s="2" t="s">
        <v>91</v>
      </c>
      <c r="C38" s="6" t="s">
        <v>155</v>
      </c>
    </row>
    <row r="39" spans="2:3" s="2" customFormat="1" ht="12.75">
      <c r="B39" s="2" t="s">
        <v>120</v>
      </c>
      <c r="C39" s="36">
        <v>34820</v>
      </c>
    </row>
    <row r="40" spans="2:3" s="2" customFormat="1" ht="12.75">
      <c r="B40" s="2" t="s">
        <v>23</v>
      </c>
      <c r="C40" s="2" t="s">
        <v>78</v>
      </c>
    </row>
    <row r="41" spans="2:3" s="2" customFormat="1" ht="12.75">
      <c r="B41" s="2" t="s">
        <v>24</v>
      </c>
      <c r="C41" s="2" t="s">
        <v>25</v>
      </c>
    </row>
    <row r="43" ht="12.75">
      <c r="B43" s="35" t="s">
        <v>158</v>
      </c>
    </row>
    <row r="45" spans="2:3" ht="12.75">
      <c r="B45" s="2" t="s">
        <v>18</v>
      </c>
      <c r="C45" s="5" t="s">
        <v>159</v>
      </c>
    </row>
    <row r="46" spans="2:3" ht="12.75">
      <c r="B46" s="2" t="s">
        <v>20</v>
      </c>
      <c r="C46" s="2" t="s">
        <v>152</v>
      </c>
    </row>
    <row r="47" spans="2:3" ht="12.75">
      <c r="B47" s="2" t="s">
        <v>21</v>
      </c>
      <c r="C47" s="2" t="s">
        <v>22</v>
      </c>
    </row>
    <row r="48" spans="2:3" ht="12.75">
      <c r="B48" s="2" t="s">
        <v>91</v>
      </c>
      <c r="C48" s="6">
        <v>35984</v>
      </c>
    </row>
    <row r="49" spans="2:3" ht="12.75">
      <c r="B49" s="2" t="s">
        <v>120</v>
      </c>
      <c r="C49" s="38">
        <v>35977</v>
      </c>
    </row>
    <row r="50" spans="2:3" ht="12.75">
      <c r="B50" s="2" t="s">
        <v>23</v>
      </c>
      <c r="C50" s="2" t="s">
        <v>160</v>
      </c>
    </row>
    <row r="51" spans="2:3" ht="12.75">
      <c r="B51" s="2" t="s">
        <v>24</v>
      </c>
      <c r="C51" s="2" t="s">
        <v>161</v>
      </c>
    </row>
    <row r="53" ht="12.75">
      <c r="B53" s="35" t="s">
        <v>162</v>
      </c>
    </row>
    <row r="54" spans="2:3" ht="12.75">
      <c r="B54" s="2"/>
      <c r="C54" s="2"/>
    </row>
    <row r="55" spans="2:3" ht="12.75">
      <c r="B55" s="2" t="s">
        <v>18</v>
      </c>
      <c r="C55" s="5" t="s">
        <v>159</v>
      </c>
    </row>
    <row r="56" spans="2:3" ht="12.75">
      <c r="B56" s="2" t="s">
        <v>20</v>
      </c>
      <c r="C56" s="2" t="s">
        <v>152</v>
      </c>
    </row>
    <row r="57" spans="2:3" ht="12.75">
      <c r="B57" s="2" t="s">
        <v>21</v>
      </c>
      <c r="C57" s="2" t="s">
        <v>22</v>
      </c>
    </row>
    <row r="58" spans="2:3" ht="12.75">
      <c r="B58" s="2" t="s">
        <v>91</v>
      </c>
      <c r="C58" s="6">
        <v>36074</v>
      </c>
    </row>
    <row r="59" spans="2:3" ht="12.75">
      <c r="B59" s="2" t="s">
        <v>120</v>
      </c>
      <c r="C59" s="38">
        <v>36069</v>
      </c>
    </row>
    <row r="60" spans="2:3" ht="12.75">
      <c r="B60" s="2" t="s">
        <v>23</v>
      </c>
      <c r="C60" s="2" t="s">
        <v>153</v>
      </c>
    </row>
    <row r="61" spans="2:3" ht="12.75">
      <c r="B61" s="2" t="s">
        <v>24</v>
      </c>
      <c r="C61" s="2" t="s">
        <v>163</v>
      </c>
    </row>
    <row r="63" ht="12.75">
      <c r="B63" s="35" t="s">
        <v>164</v>
      </c>
    </row>
    <row r="64" spans="2:3" ht="12.75">
      <c r="B64" s="2"/>
      <c r="C64" s="2"/>
    </row>
    <row r="65" spans="2:3" ht="12.75">
      <c r="B65" s="2" t="s">
        <v>18</v>
      </c>
      <c r="C65" s="5" t="s">
        <v>159</v>
      </c>
    </row>
    <row r="66" spans="2:3" ht="12.75">
      <c r="B66" s="2" t="s">
        <v>20</v>
      </c>
      <c r="C66" s="2" t="s">
        <v>152</v>
      </c>
    </row>
    <row r="67" spans="2:3" ht="12.75">
      <c r="B67" s="2" t="s">
        <v>21</v>
      </c>
      <c r="C67" s="2" t="s">
        <v>22</v>
      </c>
    </row>
    <row r="68" spans="2:3" ht="12.75">
      <c r="B68" s="2" t="s">
        <v>91</v>
      </c>
      <c r="C68" s="6">
        <v>36075</v>
      </c>
    </row>
    <row r="69" spans="2:3" ht="12.75">
      <c r="B69" s="2" t="s">
        <v>120</v>
      </c>
      <c r="C69" s="38">
        <v>36069</v>
      </c>
    </row>
    <row r="70" spans="2:3" ht="12.75">
      <c r="B70" s="2" t="s">
        <v>23</v>
      </c>
      <c r="C70" s="2" t="s">
        <v>153</v>
      </c>
    </row>
    <row r="71" spans="2:3" ht="12.75">
      <c r="B71" s="2" t="s">
        <v>24</v>
      </c>
      <c r="C71" s="2" t="s">
        <v>165</v>
      </c>
    </row>
    <row r="73" ht="12.75">
      <c r="B73" s="35" t="s">
        <v>166</v>
      </c>
    </row>
    <row r="75" spans="2:3" ht="12.75">
      <c r="B75" s="2" t="s">
        <v>18</v>
      </c>
      <c r="C75" s="5" t="s">
        <v>167</v>
      </c>
    </row>
    <row r="76" spans="2:3" ht="12.75">
      <c r="B76" s="2" t="s">
        <v>20</v>
      </c>
      <c r="C76" s="2" t="s">
        <v>168</v>
      </c>
    </row>
    <row r="77" spans="2:3" ht="12.75">
      <c r="B77" s="2" t="s">
        <v>21</v>
      </c>
      <c r="C77" s="2" t="s">
        <v>168</v>
      </c>
    </row>
    <row r="78" spans="2:3" ht="12.75">
      <c r="B78" s="2" t="s">
        <v>91</v>
      </c>
      <c r="C78" s="6" t="s">
        <v>169</v>
      </c>
    </row>
    <row r="79" spans="2:3" ht="12.75">
      <c r="B79" s="2" t="s">
        <v>120</v>
      </c>
      <c r="C79" s="38">
        <v>37196</v>
      </c>
    </row>
    <row r="80" spans="2:3" ht="12.75">
      <c r="B80" s="2" t="s">
        <v>23</v>
      </c>
      <c r="C80" s="2" t="s">
        <v>170</v>
      </c>
    </row>
    <row r="81" spans="2:3" ht="12.75">
      <c r="B81" s="2" t="s">
        <v>24</v>
      </c>
      <c r="C81" s="2" t="s">
        <v>171</v>
      </c>
    </row>
    <row r="83" ht="12.75">
      <c r="B83" s="35" t="s">
        <v>172</v>
      </c>
    </row>
    <row r="85" spans="2:3" ht="12.75">
      <c r="B85" s="2" t="s">
        <v>18</v>
      </c>
      <c r="C85" s="5" t="s">
        <v>167</v>
      </c>
    </row>
    <row r="86" spans="2:3" ht="12.75">
      <c r="B86" s="2" t="s">
        <v>20</v>
      </c>
      <c r="C86" s="2" t="s">
        <v>168</v>
      </c>
    </row>
    <row r="87" spans="2:3" ht="12.75">
      <c r="B87" s="2" t="s">
        <v>21</v>
      </c>
      <c r="C87" s="2" t="s">
        <v>168</v>
      </c>
    </row>
    <row r="88" spans="2:3" ht="12.75">
      <c r="B88" s="2" t="s">
        <v>91</v>
      </c>
      <c r="C88" s="6" t="s">
        <v>173</v>
      </c>
    </row>
    <row r="89" spans="2:3" ht="12.75">
      <c r="B89" s="2" t="s">
        <v>120</v>
      </c>
      <c r="C89" s="38">
        <v>37196</v>
      </c>
    </row>
    <row r="90" spans="2:3" ht="12.75">
      <c r="B90" s="2" t="s">
        <v>23</v>
      </c>
      <c r="C90" s="2" t="s">
        <v>174</v>
      </c>
    </row>
    <row r="91" spans="2:3" ht="12.75">
      <c r="B91" s="2" t="s">
        <v>24</v>
      </c>
      <c r="C91" s="2" t="s">
        <v>171</v>
      </c>
    </row>
    <row r="93" ht="12.75">
      <c r="B93" s="35" t="s">
        <v>175</v>
      </c>
    </row>
    <row r="95" spans="2:3" ht="12.75">
      <c r="B95" s="2" t="s">
        <v>18</v>
      </c>
      <c r="C95" s="5" t="s">
        <v>167</v>
      </c>
    </row>
    <row r="96" spans="2:3" ht="12.75">
      <c r="B96" s="2" t="s">
        <v>20</v>
      </c>
      <c r="C96" s="2" t="s">
        <v>168</v>
      </c>
    </row>
    <row r="97" spans="2:3" ht="12.75">
      <c r="B97" s="2" t="s">
        <v>21</v>
      </c>
      <c r="C97" s="2" t="s">
        <v>168</v>
      </c>
    </row>
    <row r="98" spans="2:3" ht="12.75">
      <c r="B98" s="2" t="s">
        <v>91</v>
      </c>
      <c r="C98" s="6" t="s">
        <v>176</v>
      </c>
    </row>
    <row r="99" spans="2:3" ht="12.75">
      <c r="B99" s="2" t="s">
        <v>120</v>
      </c>
      <c r="C99" s="38">
        <v>37196</v>
      </c>
    </row>
    <row r="100" spans="2:3" ht="12.75">
      <c r="B100" s="2" t="s">
        <v>23</v>
      </c>
      <c r="C100" s="2" t="s">
        <v>177</v>
      </c>
    </row>
    <row r="101" spans="2:3" ht="12.75">
      <c r="B101" s="2" t="s">
        <v>24</v>
      </c>
      <c r="C101" s="2" t="s">
        <v>178</v>
      </c>
    </row>
    <row r="103" ht="12.75">
      <c r="B103" s="35" t="s">
        <v>179</v>
      </c>
    </row>
    <row r="105" spans="2:3" ht="12.75">
      <c r="B105" s="2" t="s">
        <v>18</v>
      </c>
      <c r="C105" s="5" t="s">
        <v>167</v>
      </c>
    </row>
    <row r="106" spans="2:3" ht="12.75">
      <c r="B106" s="2" t="s">
        <v>20</v>
      </c>
      <c r="C106" s="2" t="s">
        <v>168</v>
      </c>
    </row>
    <row r="107" spans="2:3" ht="12.75">
      <c r="B107" s="2" t="s">
        <v>21</v>
      </c>
      <c r="C107" s="2" t="s">
        <v>168</v>
      </c>
    </row>
    <row r="108" spans="2:3" ht="12.75">
      <c r="B108" s="2" t="s">
        <v>91</v>
      </c>
      <c r="C108" s="6" t="s">
        <v>180</v>
      </c>
    </row>
    <row r="109" spans="2:3" ht="12.75">
      <c r="B109" s="2" t="s">
        <v>120</v>
      </c>
      <c r="C109" s="38">
        <v>37196</v>
      </c>
    </row>
    <row r="110" spans="2:3" ht="12.75">
      <c r="B110" s="2" t="s">
        <v>23</v>
      </c>
      <c r="C110" s="2" t="s">
        <v>174</v>
      </c>
    </row>
    <row r="111" spans="2:3" ht="12.75">
      <c r="B111" s="2" t="s">
        <v>24</v>
      </c>
      <c r="C111" s="2" t="s">
        <v>181</v>
      </c>
    </row>
    <row r="113" ht="12.75">
      <c r="B113" s="35" t="s">
        <v>182</v>
      </c>
    </row>
    <row r="115" spans="2:3" ht="12.75">
      <c r="B115" s="2" t="s">
        <v>18</v>
      </c>
      <c r="C115" s="5" t="s">
        <v>167</v>
      </c>
    </row>
    <row r="116" spans="2:3" ht="12.75">
      <c r="B116" s="2" t="s">
        <v>20</v>
      </c>
      <c r="C116" s="2" t="s">
        <v>168</v>
      </c>
    </row>
    <row r="117" spans="2:3" ht="12.75">
      <c r="B117" s="2" t="s">
        <v>21</v>
      </c>
      <c r="C117" s="2" t="s">
        <v>168</v>
      </c>
    </row>
    <row r="118" spans="2:3" ht="12.75">
      <c r="B118" s="2" t="s">
        <v>91</v>
      </c>
      <c r="C118" s="6" t="s">
        <v>183</v>
      </c>
    </row>
    <row r="119" spans="2:3" ht="12.75">
      <c r="B119" s="2" t="s">
        <v>120</v>
      </c>
      <c r="C119" s="38">
        <v>37196</v>
      </c>
    </row>
    <row r="120" spans="2:3" ht="12.75">
      <c r="B120" s="2" t="s">
        <v>23</v>
      </c>
      <c r="C120" s="2" t="s">
        <v>174</v>
      </c>
    </row>
    <row r="121" spans="2:3" ht="12.75">
      <c r="B121" s="2" t="s">
        <v>24</v>
      </c>
      <c r="C121" s="2" t="s">
        <v>74</v>
      </c>
    </row>
    <row r="123" ht="12.75">
      <c r="B123" s="35" t="s">
        <v>184</v>
      </c>
    </row>
    <row r="125" spans="2:3" ht="12.75">
      <c r="B125" s="2" t="s">
        <v>18</v>
      </c>
      <c r="C125" s="5" t="s">
        <v>167</v>
      </c>
    </row>
    <row r="126" spans="2:3" ht="12.75">
      <c r="B126" s="2" t="s">
        <v>20</v>
      </c>
      <c r="C126" s="2" t="s">
        <v>168</v>
      </c>
    </row>
    <row r="127" spans="2:3" ht="12.75">
      <c r="B127" s="2" t="s">
        <v>21</v>
      </c>
      <c r="C127" s="2" t="s">
        <v>168</v>
      </c>
    </row>
    <row r="128" spans="2:3" ht="12.75">
      <c r="B128" s="2" t="s">
        <v>91</v>
      </c>
      <c r="C128" s="6" t="s">
        <v>185</v>
      </c>
    </row>
    <row r="129" spans="2:3" ht="12.75">
      <c r="B129" s="2" t="s">
        <v>120</v>
      </c>
      <c r="C129" s="38">
        <v>37196</v>
      </c>
    </row>
    <row r="130" spans="2:3" ht="12.75">
      <c r="B130" s="2" t="s">
        <v>23</v>
      </c>
      <c r="C130" s="2" t="s">
        <v>170</v>
      </c>
    </row>
    <row r="131" spans="2:3" ht="12.75">
      <c r="B131" s="2" t="s">
        <v>24</v>
      </c>
      <c r="C131" s="2" t="s">
        <v>186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5"/>
  <sheetViews>
    <sheetView zoomScale="75" zoomScaleNormal="75" workbookViewId="0" topLeftCell="B237">
      <selection activeCell="C18" sqref="C18"/>
    </sheetView>
  </sheetViews>
  <sheetFormatPr defaultColWidth="9.140625" defaultRowHeight="12.75"/>
  <cols>
    <col min="1" max="1" width="9.140625" style="9" hidden="1" customWidth="1"/>
    <col min="2" max="3" width="21.140625" style="9" customWidth="1"/>
    <col min="4" max="4" width="9.28125" style="8" customWidth="1"/>
    <col min="5" max="5" width="6.00390625" style="8" customWidth="1"/>
    <col min="6" max="6" width="2.8515625" style="8" customWidth="1"/>
    <col min="7" max="7" width="8.8515625" style="9" customWidth="1"/>
    <col min="8" max="8" width="3.00390625" style="9" customWidth="1"/>
    <col min="9" max="9" width="8.8515625" style="9" customWidth="1"/>
    <col min="10" max="10" width="3.00390625" style="9" customWidth="1"/>
    <col min="11" max="11" width="8.8515625" style="9" customWidth="1"/>
    <col min="12" max="12" width="3.140625" style="9" customWidth="1"/>
    <col min="13" max="13" width="9.421875" style="9" customWidth="1"/>
    <col min="14" max="14" width="2.00390625" style="9" customWidth="1"/>
    <col min="15" max="16384" width="8.8515625" style="9" customWidth="1"/>
  </cols>
  <sheetData>
    <row r="1" spans="2:3" ht="12.75">
      <c r="B1" s="7" t="s">
        <v>70</v>
      </c>
      <c r="C1" s="7"/>
    </row>
    <row r="2" spans="2:12" ht="12.75">
      <c r="B2" s="10"/>
      <c r="C2" s="10"/>
      <c r="G2" s="10"/>
      <c r="H2" s="10"/>
      <c r="I2" s="10"/>
      <c r="J2" s="10"/>
      <c r="K2" s="10"/>
      <c r="L2" s="10"/>
    </row>
    <row r="3" spans="2:13" ht="12.75">
      <c r="B3" s="2"/>
      <c r="C3" s="2" t="s">
        <v>94</v>
      </c>
      <c r="D3" s="8" t="s">
        <v>26</v>
      </c>
      <c r="E3" s="8" t="s">
        <v>76</v>
      </c>
      <c r="G3" s="10"/>
      <c r="H3" s="10"/>
      <c r="I3" s="10"/>
      <c r="J3" s="10"/>
      <c r="K3" s="10"/>
      <c r="L3" s="11"/>
      <c r="M3" s="11"/>
    </row>
    <row r="4" spans="2:13" ht="12.75">
      <c r="B4" s="2"/>
      <c r="C4" s="2"/>
      <c r="G4" s="10"/>
      <c r="H4" s="10"/>
      <c r="I4" s="10" t="s">
        <v>116</v>
      </c>
      <c r="J4" s="10"/>
      <c r="K4" s="10"/>
      <c r="L4" s="11"/>
      <c r="M4" s="11"/>
    </row>
    <row r="5" spans="2:13" ht="12.75">
      <c r="B5" s="2"/>
      <c r="C5" s="2"/>
      <c r="G5" s="10"/>
      <c r="H5" s="10"/>
      <c r="I5" s="10"/>
      <c r="J5" s="10"/>
      <c r="K5" s="10"/>
      <c r="L5" s="11"/>
      <c r="M5" s="11"/>
    </row>
    <row r="6" spans="1:15" ht="12.75">
      <c r="A6" s="9">
        <v>1</v>
      </c>
      <c r="B6" s="12" t="s">
        <v>55</v>
      </c>
      <c r="C6" s="12"/>
      <c r="G6" s="10" t="s">
        <v>117</v>
      </c>
      <c r="H6" s="10"/>
      <c r="I6" s="10" t="s">
        <v>118</v>
      </c>
      <c r="J6" s="10"/>
      <c r="K6" s="10" t="s">
        <v>119</v>
      </c>
      <c r="M6" s="9" t="s">
        <v>188</v>
      </c>
      <c r="N6" s="11"/>
      <c r="O6" s="11" t="s">
        <v>39</v>
      </c>
    </row>
    <row r="7" spans="2:15" ht="12.75">
      <c r="B7" s="8"/>
      <c r="C7" s="8"/>
      <c r="D7" s="2"/>
      <c r="E7" s="2"/>
      <c r="F7" s="2"/>
      <c r="G7" s="2"/>
      <c r="H7" s="2"/>
      <c r="I7" s="2"/>
      <c r="J7" s="2"/>
      <c r="K7" s="2"/>
      <c r="N7" s="11"/>
      <c r="O7" s="11"/>
    </row>
    <row r="8" spans="2:15" ht="12.75">
      <c r="B8" s="8" t="s">
        <v>27</v>
      </c>
      <c r="C8" s="8" t="s">
        <v>128</v>
      </c>
      <c r="D8" s="8" t="s">
        <v>28</v>
      </c>
      <c r="E8" s="8" t="s">
        <v>29</v>
      </c>
      <c r="G8" s="11">
        <v>0.0062</v>
      </c>
      <c r="H8" s="11"/>
      <c r="I8" s="11">
        <v>0.0182</v>
      </c>
      <c r="J8" s="11"/>
      <c r="K8" s="11">
        <v>0.0065</v>
      </c>
      <c r="N8" s="11"/>
      <c r="O8" s="11">
        <v>0.0083</v>
      </c>
    </row>
    <row r="9" spans="2:15" ht="12.75">
      <c r="B9" s="8" t="s">
        <v>99</v>
      </c>
      <c r="C9" s="8" t="s">
        <v>128</v>
      </c>
      <c r="D9" s="8" t="s">
        <v>30</v>
      </c>
      <c r="E9" s="8" t="s">
        <v>29</v>
      </c>
      <c r="G9" s="11">
        <v>24.8</v>
      </c>
      <c r="H9" s="11"/>
      <c r="I9" s="11">
        <v>23.1</v>
      </c>
      <c r="J9" s="11"/>
      <c r="K9" s="11">
        <v>24.6</v>
      </c>
      <c r="N9" s="11"/>
      <c r="O9" s="13">
        <f>AVERAGE(K9,I9,G9)</f>
        <v>24.166666666666668</v>
      </c>
    </row>
    <row r="10" spans="2:15" ht="12.75">
      <c r="B10" s="8" t="s">
        <v>100</v>
      </c>
      <c r="C10" s="8" t="s">
        <v>128</v>
      </c>
      <c r="D10" s="8" t="s">
        <v>30</v>
      </c>
      <c r="E10" s="8" t="s">
        <v>29</v>
      </c>
      <c r="G10" s="11">
        <v>29.7</v>
      </c>
      <c r="H10" s="11"/>
      <c r="I10" s="11">
        <v>29.5</v>
      </c>
      <c r="J10" s="11"/>
      <c r="K10" s="11">
        <v>29.8</v>
      </c>
      <c r="N10" s="11"/>
      <c r="O10" s="13">
        <f>AVERAGE(K10,I10,G10)</f>
        <v>29.666666666666668</v>
      </c>
    </row>
    <row r="11" spans="2:15" ht="12.75">
      <c r="B11" s="8" t="s">
        <v>31</v>
      </c>
      <c r="C11" s="8"/>
      <c r="D11" s="8" t="s">
        <v>32</v>
      </c>
      <c r="E11" s="8" t="s">
        <v>33</v>
      </c>
      <c r="F11" s="8" t="s">
        <v>34</v>
      </c>
      <c r="G11" s="11">
        <v>24.49</v>
      </c>
      <c r="H11" s="11" t="s">
        <v>34</v>
      </c>
      <c r="I11" s="11">
        <v>22.65</v>
      </c>
      <c r="J11" s="11" t="s">
        <v>34</v>
      </c>
      <c r="K11" s="11">
        <v>23.88</v>
      </c>
      <c r="N11" s="11"/>
      <c r="O11" s="11"/>
    </row>
    <row r="12" spans="2:15" ht="12.75">
      <c r="B12" s="8" t="s">
        <v>35</v>
      </c>
      <c r="C12" s="8"/>
      <c r="D12" s="8" t="s">
        <v>32</v>
      </c>
      <c r="E12" s="8" t="s">
        <v>33</v>
      </c>
      <c r="F12" s="8" t="s">
        <v>34</v>
      </c>
      <c r="G12" s="11">
        <v>24.77</v>
      </c>
      <c r="H12" s="11" t="s">
        <v>34</v>
      </c>
      <c r="I12" s="11">
        <v>19.15</v>
      </c>
      <c r="J12" s="11" t="s">
        <v>34</v>
      </c>
      <c r="K12" s="11">
        <v>21.81</v>
      </c>
      <c r="N12" s="11"/>
      <c r="O12" s="11"/>
    </row>
    <row r="13" spans="2:15" ht="12.75">
      <c r="B13" s="9" t="s">
        <v>135</v>
      </c>
      <c r="C13" s="8"/>
      <c r="D13" s="8" t="s">
        <v>32</v>
      </c>
      <c r="E13" s="8" t="s">
        <v>33</v>
      </c>
      <c r="G13" s="11">
        <v>1.91</v>
      </c>
      <c r="H13" s="11"/>
      <c r="I13" s="11">
        <v>5.09</v>
      </c>
      <c r="J13" s="11"/>
      <c r="K13" s="11">
        <v>1.21</v>
      </c>
      <c r="N13" s="11"/>
      <c r="O13" s="9">
        <v>2.15</v>
      </c>
    </row>
    <row r="14" spans="2:15" ht="12.75">
      <c r="B14" s="8" t="s">
        <v>101</v>
      </c>
      <c r="C14" s="8"/>
      <c r="D14" s="8" t="s">
        <v>32</v>
      </c>
      <c r="E14" s="8" t="s">
        <v>33</v>
      </c>
      <c r="G14" s="11">
        <v>4.08</v>
      </c>
      <c r="H14" s="11"/>
      <c r="I14" s="11">
        <v>8.36</v>
      </c>
      <c r="J14" s="11"/>
      <c r="K14" s="11">
        <v>3.98</v>
      </c>
      <c r="N14" s="11"/>
      <c r="O14" s="9">
        <v>4.75</v>
      </c>
    </row>
    <row r="15" spans="2:14" ht="12.75">
      <c r="B15" s="8"/>
      <c r="C15" s="8"/>
      <c r="G15" s="11"/>
      <c r="H15" s="11"/>
      <c r="I15" s="11"/>
      <c r="J15" s="11"/>
      <c r="K15" s="11"/>
      <c r="N15" s="11"/>
    </row>
    <row r="16" spans="2:14" ht="12.75">
      <c r="B16" s="8" t="s">
        <v>102</v>
      </c>
      <c r="C16" s="8" t="s">
        <v>95</v>
      </c>
      <c r="D16" s="8" t="s">
        <v>128</v>
      </c>
      <c r="G16" s="11"/>
      <c r="H16" s="11"/>
      <c r="I16" s="11"/>
      <c r="J16" s="11"/>
      <c r="K16" s="11"/>
      <c r="N16" s="11"/>
    </row>
    <row r="17" spans="2:15" ht="12.75">
      <c r="B17" s="8" t="s">
        <v>93</v>
      </c>
      <c r="C17" s="8"/>
      <c r="D17" s="8" t="s">
        <v>36</v>
      </c>
      <c r="G17" s="11">
        <v>32257</v>
      </c>
      <c r="H17" s="11"/>
      <c r="I17" s="14">
        <v>32410</v>
      </c>
      <c r="J17" s="14"/>
      <c r="K17" s="11">
        <v>32305</v>
      </c>
      <c r="N17" s="11"/>
      <c r="O17" s="15">
        <f>AVERAGE(K17,I17,G17)</f>
        <v>32324</v>
      </c>
    </row>
    <row r="18" spans="2:15" ht="12.75">
      <c r="B18" s="8" t="s">
        <v>96</v>
      </c>
      <c r="C18" s="8"/>
      <c r="D18" s="8" t="s">
        <v>37</v>
      </c>
      <c r="G18" s="11">
        <v>3.8</v>
      </c>
      <c r="H18" s="11"/>
      <c r="I18" s="11">
        <v>4.17</v>
      </c>
      <c r="J18" s="11"/>
      <c r="K18" s="11">
        <v>3.3</v>
      </c>
      <c r="N18" s="11"/>
      <c r="O18" s="15">
        <f>AVERAGE(K18,I18,G18)</f>
        <v>3.7566666666666664</v>
      </c>
    </row>
    <row r="19" spans="2:15" ht="12.75">
      <c r="B19" s="8" t="s">
        <v>97</v>
      </c>
      <c r="C19" s="8"/>
      <c r="D19" s="8" t="s">
        <v>37</v>
      </c>
      <c r="G19" s="11">
        <v>16.3</v>
      </c>
      <c r="H19" s="11"/>
      <c r="I19" s="11">
        <v>16.6</v>
      </c>
      <c r="J19" s="11"/>
      <c r="K19" s="11">
        <v>16.6</v>
      </c>
      <c r="N19" s="11"/>
      <c r="O19" s="15">
        <f>AVERAGE(K19,I19,G19)</f>
        <v>16.5</v>
      </c>
    </row>
    <row r="20" spans="2:15" ht="12.75">
      <c r="B20" s="8" t="s">
        <v>92</v>
      </c>
      <c r="C20" s="8"/>
      <c r="D20" s="8" t="s">
        <v>38</v>
      </c>
      <c r="G20" s="11">
        <v>506</v>
      </c>
      <c r="H20" s="11"/>
      <c r="I20" s="11">
        <v>504</v>
      </c>
      <c r="J20" s="11"/>
      <c r="K20" s="11">
        <v>504</v>
      </c>
      <c r="N20" s="11"/>
      <c r="O20" s="15">
        <f>AVERAGE(K20,I20,G20)</f>
        <v>504.6666666666667</v>
      </c>
    </row>
    <row r="21" spans="2:15" ht="12.75">
      <c r="B21" s="8"/>
      <c r="C21" s="8"/>
      <c r="G21" s="11"/>
      <c r="H21" s="11"/>
      <c r="I21" s="11"/>
      <c r="J21" s="11"/>
      <c r="K21" s="11"/>
      <c r="N21" s="11"/>
      <c r="O21" s="15"/>
    </row>
    <row r="22" spans="2:15" ht="12.75">
      <c r="B22" s="8" t="s">
        <v>102</v>
      </c>
      <c r="C22" s="8" t="s">
        <v>87</v>
      </c>
      <c r="D22" s="8" t="s">
        <v>129</v>
      </c>
      <c r="G22" s="11"/>
      <c r="H22" s="11"/>
      <c r="I22" s="11"/>
      <c r="J22" s="11"/>
      <c r="K22" s="11"/>
      <c r="N22" s="11"/>
      <c r="O22" s="15"/>
    </row>
    <row r="23" spans="2:15" ht="12.75">
      <c r="B23" s="8" t="s">
        <v>93</v>
      </c>
      <c r="C23" s="8"/>
      <c r="D23" s="8" t="s">
        <v>36</v>
      </c>
      <c r="G23" s="16">
        <v>33655</v>
      </c>
      <c r="H23" s="16"/>
      <c r="I23" s="17">
        <v>33480</v>
      </c>
      <c r="J23" s="17"/>
      <c r="K23" s="16">
        <v>33801</v>
      </c>
      <c r="N23" s="11"/>
      <c r="O23" s="15">
        <f>AVERAGE(K23,I23,G23)</f>
        <v>33645.333333333336</v>
      </c>
    </row>
    <row r="24" spans="2:15" ht="12.75">
      <c r="B24" s="8" t="s">
        <v>96</v>
      </c>
      <c r="C24" s="8"/>
      <c r="D24" s="8" t="s">
        <v>37</v>
      </c>
      <c r="G24" s="16">
        <v>3.8</v>
      </c>
      <c r="H24" s="16"/>
      <c r="I24" s="16">
        <v>4.17</v>
      </c>
      <c r="J24" s="16"/>
      <c r="K24" s="16">
        <v>3.3</v>
      </c>
      <c r="N24" s="11"/>
      <c r="O24" s="15">
        <f>AVERAGE(K24,I24,G24)</f>
        <v>3.7566666666666664</v>
      </c>
    </row>
    <row r="25" spans="2:15" ht="12.75">
      <c r="B25" s="8" t="s">
        <v>97</v>
      </c>
      <c r="C25" s="8"/>
      <c r="D25" s="8" t="s">
        <v>37</v>
      </c>
      <c r="G25" s="16">
        <v>13.7</v>
      </c>
      <c r="H25" s="16"/>
      <c r="I25" s="16">
        <v>14.4</v>
      </c>
      <c r="J25" s="16"/>
      <c r="K25" s="16">
        <v>13.1</v>
      </c>
      <c r="N25" s="11"/>
      <c r="O25" s="15">
        <f>AVERAGE(K25,I25,G25)</f>
        <v>13.733333333333334</v>
      </c>
    </row>
    <row r="26" spans="2:15" ht="12.75">
      <c r="B26" s="8" t="s">
        <v>92</v>
      </c>
      <c r="C26" s="8"/>
      <c r="D26" s="8" t="s">
        <v>38</v>
      </c>
      <c r="G26" s="16">
        <v>507</v>
      </c>
      <c r="H26" s="16"/>
      <c r="I26" s="16">
        <v>502</v>
      </c>
      <c r="J26" s="16"/>
      <c r="K26" s="16">
        <v>505</v>
      </c>
      <c r="N26" s="11"/>
      <c r="O26" s="15">
        <f>AVERAGE(K26,I26,G26)</f>
        <v>504.6666666666667</v>
      </c>
    </row>
    <row r="27" spans="7:15" ht="12.75">
      <c r="G27" s="10"/>
      <c r="H27" s="10"/>
      <c r="I27" s="10"/>
      <c r="J27" s="10"/>
      <c r="K27" s="10"/>
      <c r="N27" s="11"/>
      <c r="O27" s="13"/>
    </row>
    <row r="28" spans="2:15" ht="12.75">
      <c r="B28" s="8" t="s">
        <v>102</v>
      </c>
      <c r="C28" s="8" t="s">
        <v>52</v>
      </c>
      <c r="D28" s="8" t="s">
        <v>130</v>
      </c>
      <c r="G28" s="11"/>
      <c r="H28" s="11"/>
      <c r="I28" s="11"/>
      <c r="J28" s="11"/>
      <c r="K28" s="11"/>
      <c r="N28" s="11"/>
      <c r="O28" s="13"/>
    </row>
    <row r="29" spans="2:15" ht="12.75">
      <c r="B29" s="8" t="s">
        <v>93</v>
      </c>
      <c r="C29" s="8"/>
      <c r="D29" s="8" t="s">
        <v>36</v>
      </c>
      <c r="G29" s="16">
        <v>33282</v>
      </c>
      <c r="H29" s="16"/>
      <c r="I29" s="17">
        <v>32861</v>
      </c>
      <c r="J29" s="17"/>
      <c r="K29" s="16">
        <v>33065</v>
      </c>
      <c r="N29" s="11"/>
      <c r="O29" s="15">
        <f>AVERAGE(K29,I29,G29)</f>
        <v>33069.333333333336</v>
      </c>
    </row>
    <row r="30" spans="2:15" ht="12.75">
      <c r="B30" s="8" t="s">
        <v>96</v>
      </c>
      <c r="C30" s="8"/>
      <c r="D30" s="8" t="s">
        <v>37</v>
      </c>
      <c r="G30" s="16">
        <v>3.8</v>
      </c>
      <c r="H30" s="16"/>
      <c r="I30" s="16">
        <v>4.17</v>
      </c>
      <c r="J30" s="16"/>
      <c r="K30" s="16">
        <v>3.3</v>
      </c>
      <c r="N30" s="11"/>
      <c r="O30" s="15">
        <f>AVERAGE(K30,I30,G30)</f>
        <v>3.7566666666666664</v>
      </c>
    </row>
    <row r="31" spans="2:15" ht="12.75">
      <c r="B31" s="8" t="s">
        <v>97</v>
      </c>
      <c r="C31" s="8"/>
      <c r="D31" s="8" t="s">
        <v>37</v>
      </c>
      <c r="G31" s="16">
        <v>16.7</v>
      </c>
      <c r="H31" s="16"/>
      <c r="I31" s="16">
        <v>16.7</v>
      </c>
      <c r="J31" s="16"/>
      <c r="K31" s="16">
        <v>16.8</v>
      </c>
      <c r="N31" s="11"/>
      <c r="O31" s="15">
        <f>AVERAGE(K31,I31,G31)</f>
        <v>16.733333333333334</v>
      </c>
    </row>
    <row r="32" spans="2:15" ht="12.75">
      <c r="B32" s="8" t="s">
        <v>92</v>
      </c>
      <c r="C32" s="8"/>
      <c r="D32" s="8" t="s">
        <v>38</v>
      </c>
      <c r="G32" s="16">
        <v>505</v>
      </c>
      <c r="H32" s="16"/>
      <c r="I32" s="16">
        <v>500</v>
      </c>
      <c r="J32" s="16"/>
      <c r="K32" s="16">
        <v>501</v>
      </c>
      <c r="O32" s="15">
        <f>AVERAGE(K32,I32,G32)</f>
        <v>502</v>
      </c>
    </row>
    <row r="34" spans="2:15" ht="12.75">
      <c r="B34" s="9" t="s">
        <v>31</v>
      </c>
      <c r="C34" s="9" t="s">
        <v>128</v>
      </c>
      <c r="D34" s="8" t="s">
        <v>30</v>
      </c>
      <c r="E34" s="8" t="s">
        <v>29</v>
      </c>
      <c r="F34" s="8" t="s">
        <v>34</v>
      </c>
      <c r="G34" s="18">
        <f>G11/60/G17/0.0283*(21-7)/(21-G18)*667.8/2</f>
        <v>0.12151870503878817</v>
      </c>
      <c r="H34" s="9" t="s">
        <v>34</v>
      </c>
      <c r="I34" s="18">
        <f>I11/60/I17/0.0283*(21-7)/(21-I18)*667.8/2</f>
        <v>0.11431726568429579</v>
      </c>
      <c r="J34" s="9" t="s">
        <v>34</v>
      </c>
      <c r="K34" s="18">
        <f>K11/60/K17/0.0283*(21-7)/(21-K18)*667.8/2</f>
        <v>0.11497358664219204</v>
      </c>
      <c r="O34" s="18">
        <f>AVERAGE(G34:K34)</f>
        <v>0.11693651912175866</v>
      </c>
    </row>
    <row r="35" spans="2:15" ht="12.75">
      <c r="B35" s="9" t="s">
        <v>35</v>
      </c>
      <c r="C35" s="9" t="s">
        <v>128</v>
      </c>
      <c r="D35" s="8" t="s">
        <v>30</v>
      </c>
      <c r="E35" s="8" t="s">
        <v>29</v>
      </c>
      <c r="F35" s="8" t="s">
        <v>34</v>
      </c>
      <c r="G35" s="18">
        <f>G12/60/G17/0.0283*(21-7)/(21-G18)*343.4/2</f>
        <v>0.0632024960831158</v>
      </c>
      <c r="H35" s="9" t="s">
        <v>34</v>
      </c>
      <c r="I35" s="18">
        <f>I12/60/I17/0.0283*(21-7)/(21-I18)*343.4/2</f>
        <v>0.04970113152271301</v>
      </c>
      <c r="J35" s="9" t="s">
        <v>34</v>
      </c>
      <c r="K35" s="18">
        <f>K12/60/K17/0.0283*(21-7)/(21-K18)*343.4/2</f>
        <v>0.05399745594112973</v>
      </c>
      <c r="O35" s="18">
        <f>AVERAGE(G35:K35)</f>
        <v>0.055633694515652844</v>
      </c>
    </row>
    <row r="36" spans="2:15" ht="12.75">
      <c r="B36" s="9" t="s">
        <v>98</v>
      </c>
      <c r="C36" s="9" t="s">
        <v>128</v>
      </c>
      <c r="D36" s="8" t="s">
        <v>30</v>
      </c>
      <c r="E36" s="8" t="s">
        <v>29</v>
      </c>
      <c r="G36" s="18">
        <f>2*G35+G34</f>
        <v>0.24792369720501978</v>
      </c>
      <c r="I36" s="18">
        <f>2*I35+I34</f>
        <v>0.2137195287297218</v>
      </c>
      <c r="K36" s="18">
        <f>2*K35+K34</f>
        <v>0.2229684985244515</v>
      </c>
      <c r="O36" s="18">
        <f>2*O35+O34</f>
        <v>0.22820390815306435</v>
      </c>
    </row>
    <row r="37" spans="2:15" ht="12.75">
      <c r="B37" s="9" t="s">
        <v>135</v>
      </c>
      <c r="C37" s="9" t="s">
        <v>129</v>
      </c>
      <c r="D37" s="8" t="s">
        <v>75</v>
      </c>
      <c r="E37" s="8" t="s">
        <v>29</v>
      </c>
      <c r="G37" s="15">
        <f>G13/G23/60/0.0283*1000000*(21-7)/(21-G24)</f>
        <v>27.20480862837396</v>
      </c>
      <c r="I37" s="15">
        <f>I13/I23/60/0.0283*1000000*(21-7)/(21-I24)</f>
        <v>74.47981115455124</v>
      </c>
      <c r="K37" s="15">
        <f>K13/K23/60/0.0283*1000000*(21-7)/(21-K24)</f>
        <v>16.67527115580169</v>
      </c>
      <c r="O37" s="15">
        <f>O13/O23/60/0.0283*1000000*(21-7)/(21-O24)</f>
        <v>30.55503254708992</v>
      </c>
    </row>
    <row r="38" spans="2:15" ht="12.75">
      <c r="B38" s="9" t="s">
        <v>101</v>
      </c>
      <c r="C38" s="9" t="s">
        <v>130</v>
      </c>
      <c r="D38" s="8" t="s">
        <v>75</v>
      </c>
      <c r="E38" s="8" t="s">
        <v>29</v>
      </c>
      <c r="G38" s="15">
        <f>G14/G29/60/0.0283*1000000*(21-7)/(21-G30)</f>
        <v>58.764175851272796</v>
      </c>
      <c r="I38" s="15">
        <f>I14/I29/60/0.0283*1000000*(21-7)/(21-I30)</f>
        <v>124.63262317521745</v>
      </c>
      <c r="K38" s="15">
        <f>K14/K29/60/0.0283*1000000*(21-7)/(21-K30)</f>
        <v>56.0701384461177</v>
      </c>
      <c r="O38" s="15">
        <f>O14/O29/60/0.0283*1000000*(21-7)/(21-O30)</f>
        <v>68.68110849355772</v>
      </c>
    </row>
    <row r="41" spans="1:15" ht="12.75">
      <c r="A41" s="9">
        <v>2</v>
      </c>
      <c r="B41" s="12" t="s">
        <v>56</v>
      </c>
      <c r="C41" s="12"/>
      <c r="G41" s="10" t="s">
        <v>117</v>
      </c>
      <c r="H41" s="10"/>
      <c r="I41" s="10" t="s">
        <v>118</v>
      </c>
      <c r="J41" s="10"/>
      <c r="K41" s="10" t="s">
        <v>119</v>
      </c>
      <c r="M41" s="9" t="s">
        <v>188</v>
      </c>
      <c r="N41" s="11"/>
      <c r="O41" s="11" t="s">
        <v>39</v>
      </c>
    </row>
    <row r="42" spans="2:14" ht="12.75">
      <c r="B42" s="8"/>
      <c r="C42" s="8"/>
      <c r="D42" s="2"/>
      <c r="E42" s="2"/>
      <c r="F42" s="2"/>
      <c r="G42" s="2"/>
      <c r="H42" s="2"/>
      <c r="I42" s="2"/>
      <c r="J42" s="2"/>
      <c r="K42" s="2"/>
      <c r="N42" s="11"/>
    </row>
    <row r="43" spans="2:15" ht="12.75">
      <c r="B43" s="8" t="s">
        <v>27</v>
      </c>
      <c r="C43" s="8" t="s">
        <v>128</v>
      </c>
      <c r="D43" s="8" t="s">
        <v>28</v>
      </c>
      <c r="E43" s="8" t="s">
        <v>29</v>
      </c>
      <c r="G43" s="11">
        <v>0.0073</v>
      </c>
      <c r="H43" s="11"/>
      <c r="I43" s="11">
        <v>0.0368</v>
      </c>
      <c r="J43" s="11"/>
      <c r="K43" s="11">
        <v>0.0157</v>
      </c>
      <c r="N43" s="11"/>
      <c r="O43" s="9">
        <v>0.0176</v>
      </c>
    </row>
    <row r="44" spans="2:15" ht="12.75">
      <c r="B44" s="8" t="s">
        <v>99</v>
      </c>
      <c r="C44" s="8" t="s">
        <v>128</v>
      </c>
      <c r="D44" s="8" t="s">
        <v>30</v>
      </c>
      <c r="E44" s="8" t="s">
        <v>29</v>
      </c>
      <c r="G44" s="11">
        <v>17.2</v>
      </c>
      <c r="H44" s="11"/>
      <c r="I44" s="11">
        <v>19.7</v>
      </c>
      <c r="J44" s="11"/>
      <c r="K44" s="11">
        <v>9.6</v>
      </c>
      <c r="N44" s="11"/>
      <c r="O44" s="13">
        <f>AVERAGE(K44,I44,G44)</f>
        <v>15.5</v>
      </c>
    </row>
    <row r="45" spans="2:15" ht="12.75">
      <c r="B45" s="8" t="s">
        <v>100</v>
      </c>
      <c r="C45" s="8" t="s">
        <v>128</v>
      </c>
      <c r="D45" s="8" t="s">
        <v>30</v>
      </c>
      <c r="E45" s="8" t="s">
        <v>29</v>
      </c>
      <c r="G45" s="11">
        <v>19</v>
      </c>
      <c r="H45" s="11"/>
      <c r="I45" s="11">
        <v>37.1</v>
      </c>
      <c r="J45" s="11"/>
      <c r="K45" s="11">
        <v>17</v>
      </c>
      <c r="N45" s="11"/>
      <c r="O45" s="13">
        <f>AVERAGE(K45,I45,G45)</f>
        <v>24.366666666666664</v>
      </c>
    </row>
    <row r="46" spans="2:15" ht="12.75">
      <c r="B46" s="8" t="s">
        <v>31</v>
      </c>
      <c r="C46" s="8"/>
      <c r="D46" s="8" t="s">
        <v>32</v>
      </c>
      <c r="E46" s="8" t="s">
        <v>33</v>
      </c>
      <c r="G46" s="11">
        <v>599.4</v>
      </c>
      <c r="H46" s="11"/>
      <c r="I46" s="11">
        <v>709.1</v>
      </c>
      <c r="J46" s="11"/>
      <c r="K46" s="11">
        <v>733.9</v>
      </c>
      <c r="N46" s="11"/>
      <c r="O46" s="9">
        <v>677.2</v>
      </c>
    </row>
    <row r="47" spans="2:15" ht="12.75">
      <c r="B47" s="8" t="s">
        <v>35</v>
      </c>
      <c r="C47" s="8"/>
      <c r="D47" s="8" t="s">
        <v>32</v>
      </c>
      <c r="E47" s="8" t="s">
        <v>33</v>
      </c>
      <c r="G47" s="11">
        <v>87.2</v>
      </c>
      <c r="H47" s="11"/>
      <c r="I47" s="11">
        <v>11.8</v>
      </c>
      <c r="J47" s="11"/>
      <c r="K47" s="11">
        <v>12.9</v>
      </c>
      <c r="N47" s="11"/>
      <c r="O47" s="9">
        <v>40.5</v>
      </c>
    </row>
    <row r="48" spans="2:15" ht="12.75">
      <c r="B48" s="9" t="s">
        <v>135</v>
      </c>
      <c r="C48" s="8"/>
      <c r="D48" s="8" t="s">
        <v>32</v>
      </c>
      <c r="E48" s="8" t="s">
        <v>33</v>
      </c>
      <c r="G48" s="11">
        <v>0.36</v>
      </c>
      <c r="H48" s="11"/>
      <c r="I48" s="11">
        <v>3.07</v>
      </c>
      <c r="J48" s="11"/>
      <c r="K48" s="11">
        <v>1.69</v>
      </c>
      <c r="N48" s="11"/>
      <c r="O48" s="9">
        <v>1.54</v>
      </c>
    </row>
    <row r="49" spans="2:15" ht="12.75">
      <c r="B49" s="8" t="s">
        <v>101</v>
      </c>
      <c r="C49" s="8"/>
      <c r="D49" s="8" t="s">
        <v>32</v>
      </c>
      <c r="E49" s="8" t="s">
        <v>33</v>
      </c>
      <c r="G49" s="11">
        <v>5.8</v>
      </c>
      <c r="H49" s="11"/>
      <c r="I49" s="11">
        <v>11.05</v>
      </c>
      <c r="J49" s="11"/>
      <c r="K49" s="11">
        <v>4.34</v>
      </c>
      <c r="N49" s="11"/>
      <c r="O49" s="9">
        <v>6.57</v>
      </c>
    </row>
    <row r="50" spans="2:14" ht="12.75">
      <c r="B50" s="8"/>
      <c r="C50" s="8"/>
      <c r="G50" s="11"/>
      <c r="H50" s="11"/>
      <c r="I50" s="11"/>
      <c r="J50" s="11"/>
      <c r="K50" s="11"/>
      <c r="N50" s="11"/>
    </row>
    <row r="51" spans="2:14" ht="12.75">
      <c r="B51" s="8" t="s">
        <v>102</v>
      </c>
      <c r="C51" s="8" t="s">
        <v>95</v>
      </c>
      <c r="D51" s="8" t="s">
        <v>128</v>
      </c>
      <c r="G51" s="11"/>
      <c r="H51" s="11"/>
      <c r="I51" s="11"/>
      <c r="J51" s="11"/>
      <c r="K51" s="11"/>
      <c r="N51" s="11"/>
    </row>
    <row r="52" spans="2:15" ht="12.75">
      <c r="B52" s="8" t="s">
        <v>93</v>
      </c>
      <c r="C52" s="8"/>
      <c r="D52" s="8" t="s">
        <v>36</v>
      </c>
      <c r="G52" s="11">
        <v>30500</v>
      </c>
      <c r="H52" s="11"/>
      <c r="I52" s="14">
        <v>31292</v>
      </c>
      <c r="J52" s="14"/>
      <c r="K52" s="11">
        <v>31695</v>
      </c>
      <c r="O52" s="15">
        <f>AVERAGE(K52,I52,G52)</f>
        <v>31162.333333333332</v>
      </c>
    </row>
    <row r="53" spans="2:15" ht="12.75">
      <c r="B53" s="8" t="s">
        <v>96</v>
      </c>
      <c r="C53" s="8"/>
      <c r="D53" s="8" t="s">
        <v>37</v>
      </c>
      <c r="G53" s="11">
        <v>3.2</v>
      </c>
      <c r="H53" s="11"/>
      <c r="I53" s="11">
        <v>3.67</v>
      </c>
      <c r="J53" s="11"/>
      <c r="K53" s="11">
        <v>3.2</v>
      </c>
      <c r="O53" s="15">
        <f>AVERAGE(K53,I53,G53)</f>
        <v>3.356666666666667</v>
      </c>
    </row>
    <row r="54" spans="2:15" ht="12.75">
      <c r="B54" s="8" t="s">
        <v>97</v>
      </c>
      <c r="C54" s="8"/>
      <c r="D54" s="8" t="s">
        <v>37</v>
      </c>
      <c r="G54" s="11">
        <v>17.3</v>
      </c>
      <c r="H54" s="11"/>
      <c r="I54" s="11">
        <v>17.4</v>
      </c>
      <c r="J54" s="11"/>
      <c r="K54" s="11">
        <v>17.1</v>
      </c>
      <c r="O54" s="15">
        <f>AVERAGE(K54,I54,G54)</f>
        <v>17.266666666666666</v>
      </c>
    </row>
    <row r="55" spans="2:15" ht="12.75">
      <c r="B55" s="8" t="s">
        <v>92</v>
      </c>
      <c r="C55" s="8"/>
      <c r="D55" s="8" t="s">
        <v>38</v>
      </c>
      <c r="G55" s="11">
        <v>523</v>
      </c>
      <c r="H55" s="11"/>
      <c r="I55" s="11">
        <v>516</v>
      </c>
      <c r="J55" s="11"/>
      <c r="K55" s="11">
        <v>520</v>
      </c>
      <c r="O55" s="15">
        <f>AVERAGE(K55,I55,G55)</f>
        <v>519.6666666666666</v>
      </c>
    </row>
    <row r="56" spans="2:11" ht="12.75">
      <c r="B56" s="8"/>
      <c r="C56" s="8"/>
      <c r="G56" s="11"/>
      <c r="H56" s="11"/>
      <c r="I56" s="11"/>
      <c r="J56" s="11"/>
      <c r="K56" s="11"/>
    </row>
    <row r="57" spans="2:11" ht="12.75">
      <c r="B57" s="8" t="s">
        <v>102</v>
      </c>
      <c r="C57" s="8" t="s">
        <v>87</v>
      </c>
      <c r="D57" s="8" t="s">
        <v>129</v>
      </c>
      <c r="G57" s="11"/>
      <c r="H57" s="11"/>
      <c r="I57" s="11"/>
      <c r="J57" s="11"/>
      <c r="K57" s="11"/>
    </row>
    <row r="58" spans="2:15" ht="12.75">
      <c r="B58" s="8" t="s">
        <v>93</v>
      </c>
      <c r="C58" s="8"/>
      <c r="D58" s="8" t="s">
        <v>36</v>
      </c>
      <c r="G58" s="11">
        <v>33288</v>
      </c>
      <c r="H58" s="11"/>
      <c r="I58" s="11">
        <v>31960</v>
      </c>
      <c r="J58" s="11"/>
      <c r="K58" s="11">
        <v>32329</v>
      </c>
      <c r="O58" s="15">
        <f>AVERAGE(K58,I58,G58)</f>
        <v>32525.666666666668</v>
      </c>
    </row>
    <row r="59" spans="2:15" ht="12.75">
      <c r="B59" s="8" t="s">
        <v>96</v>
      </c>
      <c r="C59" s="8"/>
      <c r="D59" s="8" t="s">
        <v>37</v>
      </c>
      <c r="G59" s="16">
        <v>3.2</v>
      </c>
      <c r="H59" s="16"/>
      <c r="I59" s="16">
        <v>3.67</v>
      </c>
      <c r="J59" s="16"/>
      <c r="K59" s="16">
        <v>3.2</v>
      </c>
      <c r="O59" s="15">
        <f>AVERAGE(K59,I59,G59)</f>
        <v>3.356666666666667</v>
      </c>
    </row>
    <row r="60" spans="2:15" ht="12.75">
      <c r="B60" s="8" t="s">
        <v>97</v>
      </c>
      <c r="C60" s="8"/>
      <c r="D60" s="8" t="s">
        <v>37</v>
      </c>
      <c r="G60" s="16">
        <v>12.8</v>
      </c>
      <c r="H60" s="16"/>
      <c r="I60" s="16">
        <v>15.5</v>
      </c>
      <c r="J60" s="16"/>
      <c r="K60" s="16">
        <v>15.4</v>
      </c>
      <c r="O60" s="15">
        <f>AVERAGE(K60,I60,G60)</f>
        <v>14.566666666666668</v>
      </c>
    </row>
    <row r="61" spans="2:15" ht="12.75">
      <c r="B61" s="8" t="s">
        <v>92</v>
      </c>
      <c r="C61" s="8"/>
      <c r="D61" s="8" t="s">
        <v>38</v>
      </c>
      <c r="G61" s="16">
        <v>523</v>
      </c>
      <c r="H61" s="16"/>
      <c r="I61" s="16">
        <v>516</v>
      </c>
      <c r="J61" s="16"/>
      <c r="K61" s="16">
        <v>521</v>
      </c>
      <c r="O61" s="15">
        <f>AVERAGE(K61,I61,G61)</f>
        <v>520</v>
      </c>
    </row>
    <row r="62" spans="7:11" ht="12.75">
      <c r="G62" s="10"/>
      <c r="H62" s="10"/>
      <c r="I62" s="10"/>
      <c r="J62" s="10"/>
      <c r="K62" s="10"/>
    </row>
    <row r="63" spans="2:11" ht="12.75">
      <c r="B63" s="8" t="s">
        <v>102</v>
      </c>
      <c r="C63" s="8" t="s">
        <v>52</v>
      </c>
      <c r="D63" s="8" t="s">
        <v>130</v>
      </c>
      <c r="G63" s="11"/>
      <c r="H63" s="11"/>
      <c r="I63" s="11"/>
      <c r="J63" s="11"/>
      <c r="K63" s="11"/>
    </row>
    <row r="64" spans="2:15" ht="12.75">
      <c r="B64" s="8" t="s">
        <v>93</v>
      </c>
      <c r="C64" s="8"/>
      <c r="D64" s="8" t="s">
        <v>36</v>
      </c>
      <c r="G64" s="11">
        <v>32197</v>
      </c>
      <c r="H64" s="8"/>
      <c r="I64" s="16">
        <v>31901</v>
      </c>
      <c r="J64" s="16"/>
      <c r="K64" s="17">
        <v>31121</v>
      </c>
      <c r="O64" s="15">
        <f>AVERAGE(K64,I64,G64)</f>
        <v>31739.666666666668</v>
      </c>
    </row>
    <row r="65" spans="2:15" ht="12.75">
      <c r="B65" s="8" t="s">
        <v>96</v>
      </c>
      <c r="C65" s="8"/>
      <c r="D65" s="8" t="s">
        <v>37</v>
      </c>
      <c r="G65" s="11">
        <v>3.2</v>
      </c>
      <c r="H65" s="8"/>
      <c r="I65" s="16">
        <v>3.67</v>
      </c>
      <c r="J65" s="16"/>
      <c r="K65" s="16">
        <v>3.2</v>
      </c>
      <c r="O65" s="15">
        <f>AVERAGE(K65,I65,G65)</f>
        <v>3.356666666666667</v>
      </c>
    </row>
    <row r="66" spans="2:15" ht="12.75">
      <c r="B66" s="8" t="s">
        <v>97</v>
      </c>
      <c r="C66" s="8"/>
      <c r="D66" s="8" t="s">
        <v>37</v>
      </c>
      <c r="G66" s="11">
        <v>17.4</v>
      </c>
      <c r="H66" s="8"/>
      <c r="I66" s="16">
        <v>17.3</v>
      </c>
      <c r="J66" s="16"/>
      <c r="K66" s="16">
        <v>17</v>
      </c>
      <c r="O66" s="15">
        <f>AVERAGE(K66,I66,G66)</f>
        <v>17.23333333333333</v>
      </c>
    </row>
    <row r="67" spans="2:15" ht="12.75">
      <c r="B67" s="8" t="s">
        <v>92</v>
      </c>
      <c r="C67" s="8"/>
      <c r="D67" s="8" t="s">
        <v>38</v>
      </c>
      <c r="G67" s="11">
        <v>520</v>
      </c>
      <c r="H67" s="8"/>
      <c r="I67" s="16">
        <v>513</v>
      </c>
      <c r="J67" s="16"/>
      <c r="K67" s="16">
        <v>519</v>
      </c>
      <c r="O67" s="15">
        <f>AVERAGE(K67,I67,G67)</f>
        <v>517.3333333333334</v>
      </c>
    </row>
    <row r="69" spans="2:15" ht="12.75">
      <c r="B69" s="9" t="s">
        <v>31</v>
      </c>
      <c r="C69" s="9" t="s">
        <v>128</v>
      </c>
      <c r="D69" s="8" t="s">
        <v>30</v>
      </c>
      <c r="E69" s="8" t="s">
        <v>29</v>
      </c>
      <c r="G69" s="18">
        <f>G46/60/G52/0.0283*(21-7)/(21-G53)*667.8</f>
        <v>6.07902124892688</v>
      </c>
      <c r="I69" s="18">
        <f>I46/60/I52/0.0283*(21-7)/(21-I53)*667.8</f>
        <v>7.199666266070857</v>
      </c>
      <c r="K69" s="18">
        <f>K46/60/K52/0.0283*(21-7)/(21-K53)*667.8</f>
        <v>7.162471283657681</v>
      </c>
      <c r="O69" s="18">
        <f>O46/60/O52/0.0283*(21-7)/(21-O53)*667.8</f>
        <v>6.781770766038066</v>
      </c>
    </row>
    <row r="70" spans="2:15" ht="12.75">
      <c r="B70" s="9" t="s">
        <v>35</v>
      </c>
      <c r="C70" s="9" t="s">
        <v>128</v>
      </c>
      <c r="D70" s="8" t="s">
        <v>30</v>
      </c>
      <c r="E70" s="8" t="s">
        <v>29</v>
      </c>
      <c r="G70" s="18">
        <f>G47/60/G52/0.0283*(21-7)/(21-G53)*343.4</f>
        <v>0.45476526293705594</v>
      </c>
      <c r="I70" s="18">
        <f>I47/60/I52/0.0283*(21-7)/(21-I53)*343.4</f>
        <v>0.06160851824090073</v>
      </c>
      <c r="K70" s="18">
        <f>K47/60/K52/0.0283*(21-7)/(21-K53)*343.4</f>
        <v>0.0647395375007</v>
      </c>
      <c r="O70" s="18">
        <f>O47/60/O52/0.0283*(21-7)/(21-O53)*343.4</f>
        <v>0.208561938980522</v>
      </c>
    </row>
    <row r="71" spans="2:15" ht="12.75">
      <c r="B71" s="9" t="s">
        <v>98</v>
      </c>
      <c r="C71" s="9" t="s">
        <v>128</v>
      </c>
      <c r="D71" s="8" t="s">
        <v>30</v>
      </c>
      <c r="E71" s="8" t="s">
        <v>29</v>
      </c>
      <c r="G71" s="18">
        <f>2*G70+G69</f>
        <v>6.9885517748009915</v>
      </c>
      <c r="I71" s="18">
        <f>2*I70+I69</f>
        <v>7.322883302552658</v>
      </c>
      <c r="K71" s="18">
        <f>2*K70+K69</f>
        <v>7.291950358659081</v>
      </c>
      <c r="O71" s="18">
        <f>2*O70+O69</f>
        <v>7.198894643999109</v>
      </c>
    </row>
    <row r="72" spans="2:15" ht="12.75">
      <c r="B72" s="9" t="s">
        <v>135</v>
      </c>
      <c r="C72" s="9" t="s">
        <v>129</v>
      </c>
      <c r="D72" s="8" t="s">
        <v>75</v>
      </c>
      <c r="E72" s="8" t="s">
        <v>29</v>
      </c>
      <c r="G72" s="15">
        <f>G48/G58/60/0.0283*1000000*(21-7)/(21-G59)</f>
        <v>5.009393471512252</v>
      </c>
      <c r="I72" s="15">
        <f>I48/I58/60/0.0283*1000000*(21-7)/(21-I59)</f>
        <v>45.70075678828515</v>
      </c>
      <c r="K72" s="15">
        <f>K48/K58/60/0.0283*1000000*(21-7)/(21-K59)</f>
        <v>24.213902026104243</v>
      </c>
      <c r="O72" s="15">
        <f>O48/O58/60/0.0283*1000000*(21-7)/(21-O59)</f>
        <v>22.126067065716136</v>
      </c>
    </row>
    <row r="73" spans="2:15" ht="12.75">
      <c r="B73" s="9" t="s">
        <v>101</v>
      </c>
      <c r="C73" s="9" t="s">
        <v>130</v>
      </c>
      <c r="D73" s="8" t="s">
        <v>75</v>
      </c>
      <c r="E73" s="8" t="s">
        <v>29</v>
      </c>
      <c r="G73" s="15">
        <f>G49/G64/60/0.0283*1000000*(21-7)/(21-G65)</f>
        <v>83.44165961824075</v>
      </c>
      <c r="I73" s="15">
        <f>I49/I64/60/0.0283*1000000*(21-7)/(21-I65)</f>
        <v>164.7971770343369</v>
      </c>
      <c r="K73" s="15">
        <f>K49/K64/60/0.0283*1000000*(21-7)/(21-K65)</f>
        <v>64.5961349854776</v>
      </c>
      <c r="O73" s="15">
        <f>O49/O64/60/0.0283*1000000*(21-7)/(21-O65)</f>
        <v>96.73256828918507</v>
      </c>
    </row>
    <row r="75" spans="1:15" ht="12.75">
      <c r="A75" s="9">
        <v>3</v>
      </c>
      <c r="B75" s="12" t="s">
        <v>57</v>
      </c>
      <c r="C75" s="12"/>
      <c r="G75" s="10" t="s">
        <v>117</v>
      </c>
      <c r="H75" s="10"/>
      <c r="I75" s="10" t="s">
        <v>118</v>
      </c>
      <c r="J75" s="10"/>
      <c r="K75" s="10" t="s">
        <v>119</v>
      </c>
      <c r="M75" s="9" t="s">
        <v>188</v>
      </c>
      <c r="N75" s="11"/>
      <c r="O75" s="11" t="s">
        <v>39</v>
      </c>
    </row>
    <row r="76" spans="2:5" ht="12.75">
      <c r="B76" s="8"/>
      <c r="C76" s="8"/>
      <c r="D76" s="2"/>
      <c r="E76" s="2"/>
    </row>
    <row r="77" spans="2:15" ht="12.75">
      <c r="B77" s="8" t="s">
        <v>27</v>
      </c>
      <c r="C77" s="8" t="s">
        <v>128</v>
      </c>
      <c r="D77" s="8" t="s">
        <v>28</v>
      </c>
      <c r="E77" s="8" t="s">
        <v>29</v>
      </c>
      <c r="G77" s="9">
        <v>0.0146</v>
      </c>
      <c r="I77" s="9">
        <v>0.0173</v>
      </c>
      <c r="K77" s="9">
        <v>0.0196</v>
      </c>
      <c r="O77" s="9">
        <v>0.0164</v>
      </c>
    </row>
    <row r="78" spans="2:15" ht="12.75">
      <c r="B78" s="8" t="s">
        <v>99</v>
      </c>
      <c r="C78" s="8" t="s">
        <v>128</v>
      </c>
      <c r="D78" s="8" t="s">
        <v>30</v>
      </c>
      <c r="E78" s="8" t="s">
        <v>29</v>
      </c>
      <c r="G78" s="9">
        <v>1</v>
      </c>
      <c r="I78" s="9">
        <v>3.5</v>
      </c>
      <c r="K78" s="9">
        <v>45</v>
      </c>
      <c r="O78" s="13">
        <f>AVERAGE(K78,I78,G78)</f>
        <v>16.5</v>
      </c>
    </row>
    <row r="79" spans="2:15" ht="12.75">
      <c r="B79" s="8" t="s">
        <v>100</v>
      </c>
      <c r="C79" s="8" t="s">
        <v>128</v>
      </c>
      <c r="D79" s="8" t="s">
        <v>30</v>
      </c>
      <c r="E79" s="8" t="s">
        <v>29</v>
      </c>
      <c r="G79" s="9">
        <v>6.5</v>
      </c>
      <c r="I79" s="9">
        <v>6</v>
      </c>
      <c r="K79" s="9">
        <v>56.6</v>
      </c>
      <c r="O79" s="13">
        <f>AVERAGE(K79,I79,G79)</f>
        <v>23.03333333333333</v>
      </c>
    </row>
    <row r="80" spans="2:15" ht="12.75">
      <c r="B80" s="8" t="s">
        <v>31</v>
      </c>
      <c r="C80" s="8"/>
      <c r="D80" s="8" t="s">
        <v>32</v>
      </c>
      <c r="E80" s="8" t="s">
        <v>33</v>
      </c>
      <c r="G80" s="9">
        <v>972.1</v>
      </c>
      <c r="I80" s="9">
        <v>835.5</v>
      </c>
      <c r="K80" s="9">
        <v>793.6</v>
      </c>
      <c r="O80" s="9">
        <v>890</v>
      </c>
    </row>
    <row r="81" spans="2:15" ht="12.75">
      <c r="B81" s="8" t="s">
        <v>35</v>
      </c>
      <c r="C81" s="8"/>
      <c r="D81" s="8" t="s">
        <v>32</v>
      </c>
      <c r="E81" s="8" t="s">
        <v>33</v>
      </c>
      <c r="G81" s="9">
        <v>27.2</v>
      </c>
      <c r="I81" s="9">
        <v>19.4</v>
      </c>
      <c r="K81" s="9">
        <v>24.9</v>
      </c>
      <c r="O81" s="9">
        <v>23.5</v>
      </c>
    </row>
    <row r="82" spans="2:15" ht="12.75">
      <c r="B82" s="9" t="s">
        <v>135</v>
      </c>
      <c r="C82" s="8"/>
      <c r="D82" s="8" t="s">
        <v>32</v>
      </c>
      <c r="E82" s="8" t="s">
        <v>33</v>
      </c>
      <c r="G82" s="9">
        <v>1.43</v>
      </c>
      <c r="I82" s="9">
        <v>0.88</v>
      </c>
      <c r="K82" s="9">
        <v>1.49</v>
      </c>
      <c r="O82" s="9">
        <v>1.2</v>
      </c>
    </row>
    <row r="83" spans="2:15" ht="12.75">
      <c r="B83" s="8" t="s">
        <v>101</v>
      </c>
      <c r="C83" s="8"/>
      <c r="D83" s="8" t="s">
        <v>32</v>
      </c>
      <c r="E83" s="8" t="s">
        <v>33</v>
      </c>
      <c r="G83" s="9">
        <v>5.33</v>
      </c>
      <c r="I83" s="9">
        <v>5.3</v>
      </c>
      <c r="K83" s="9">
        <v>6.78</v>
      </c>
      <c r="O83" s="9">
        <v>5.5</v>
      </c>
    </row>
    <row r="84" spans="2:3" ht="12.75">
      <c r="B84" s="8"/>
      <c r="C84" s="8"/>
    </row>
    <row r="85" spans="2:4" ht="12.75">
      <c r="B85" s="8" t="s">
        <v>102</v>
      </c>
      <c r="C85" s="8" t="s">
        <v>95</v>
      </c>
      <c r="D85" s="8" t="s">
        <v>128</v>
      </c>
    </row>
    <row r="86" spans="2:15" ht="12.75">
      <c r="B86" s="8" t="s">
        <v>93</v>
      </c>
      <c r="C86" s="8"/>
      <c r="D86" s="8" t="s">
        <v>36</v>
      </c>
      <c r="G86" s="9">
        <v>32250</v>
      </c>
      <c r="I86" s="9">
        <v>32301</v>
      </c>
      <c r="K86" s="9">
        <v>31451</v>
      </c>
      <c r="O86" s="15">
        <f>AVERAGE(K86,I86,G86)</f>
        <v>32000.666666666668</v>
      </c>
    </row>
    <row r="87" spans="2:15" ht="12.75">
      <c r="B87" s="8" t="s">
        <v>96</v>
      </c>
      <c r="C87" s="8"/>
      <c r="D87" s="8" t="s">
        <v>37</v>
      </c>
      <c r="G87" s="9">
        <v>3.2</v>
      </c>
      <c r="I87" s="9">
        <v>3.53</v>
      </c>
      <c r="K87" s="9">
        <v>3.8</v>
      </c>
      <c r="O87" s="15">
        <f>AVERAGE(K87,I87,G87)</f>
        <v>3.5100000000000002</v>
      </c>
    </row>
    <row r="88" spans="2:15" ht="12.75">
      <c r="B88" s="8" t="s">
        <v>97</v>
      </c>
      <c r="C88" s="8"/>
      <c r="D88" s="8" t="s">
        <v>37</v>
      </c>
      <c r="G88" s="9">
        <v>15.9</v>
      </c>
      <c r="I88" s="9">
        <v>14.9</v>
      </c>
      <c r="K88" s="9">
        <v>15.6</v>
      </c>
      <c r="O88" s="15">
        <f>AVERAGE(K88,I88,G88)</f>
        <v>15.466666666666667</v>
      </c>
    </row>
    <row r="89" spans="2:15" ht="12.75">
      <c r="B89" s="8" t="s">
        <v>92</v>
      </c>
      <c r="C89" s="8"/>
      <c r="D89" s="8" t="s">
        <v>38</v>
      </c>
      <c r="G89" s="9">
        <v>529</v>
      </c>
      <c r="I89" s="9">
        <v>531</v>
      </c>
      <c r="K89" s="9">
        <v>534</v>
      </c>
      <c r="O89" s="15">
        <f>AVERAGE(K89,I89,G89)</f>
        <v>531.3333333333334</v>
      </c>
    </row>
    <row r="90" spans="2:3" ht="12.75">
      <c r="B90" s="8"/>
      <c r="C90" s="8"/>
    </row>
    <row r="91" spans="2:4" ht="12.75">
      <c r="B91" s="8" t="s">
        <v>102</v>
      </c>
      <c r="C91" s="8" t="s">
        <v>87</v>
      </c>
      <c r="D91" s="8" t="s">
        <v>129</v>
      </c>
    </row>
    <row r="92" spans="2:15" ht="12.75">
      <c r="B92" s="8" t="s">
        <v>93</v>
      </c>
      <c r="C92" s="8"/>
      <c r="D92" s="8" t="s">
        <v>36</v>
      </c>
      <c r="G92" s="9">
        <v>33339</v>
      </c>
      <c r="I92" s="9">
        <v>33838</v>
      </c>
      <c r="K92" s="9">
        <v>32520</v>
      </c>
      <c r="O92" s="15">
        <f>AVERAGE(K92,I92,G92)</f>
        <v>33232.333333333336</v>
      </c>
    </row>
    <row r="93" spans="2:15" ht="12.75">
      <c r="B93" s="8" t="s">
        <v>96</v>
      </c>
      <c r="C93" s="8"/>
      <c r="D93" s="8" t="s">
        <v>37</v>
      </c>
      <c r="G93" s="9">
        <v>3.2</v>
      </c>
      <c r="I93" s="9">
        <v>3.53</v>
      </c>
      <c r="K93" s="9">
        <v>3.8</v>
      </c>
      <c r="O93" s="15">
        <f>AVERAGE(K93,I93,G93)</f>
        <v>3.5100000000000002</v>
      </c>
    </row>
    <row r="94" spans="2:15" ht="12.75">
      <c r="B94" s="8" t="s">
        <v>97</v>
      </c>
      <c r="C94" s="8"/>
      <c r="D94" s="8" t="s">
        <v>37</v>
      </c>
      <c r="G94" s="9">
        <v>13.3</v>
      </c>
      <c r="I94" s="9">
        <v>13.7</v>
      </c>
      <c r="K94" s="9">
        <v>13.5</v>
      </c>
      <c r="O94" s="15">
        <f>AVERAGE(K94,I94,G94)</f>
        <v>13.5</v>
      </c>
    </row>
    <row r="95" spans="2:15" ht="12.75">
      <c r="B95" s="8" t="s">
        <v>92</v>
      </c>
      <c r="C95" s="8"/>
      <c r="D95" s="8" t="s">
        <v>38</v>
      </c>
      <c r="G95" s="9">
        <v>530</v>
      </c>
      <c r="I95" s="9">
        <v>533</v>
      </c>
      <c r="K95" s="9">
        <v>535</v>
      </c>
      <c r="O95" s="15">
        <f>AVERAGE(K95,I95,G95)</f>
        <v>532.6666666666666</v>
      </c>
    </row>
    <row r="97" spans="2:4" ht="12.75">
      <c r="B97" s="8" t="s">
        <v>102</v>
      </c>
      <c r="C97" s="8" t="s">
        <v>52</v>
      </c>
      <c r="D97" s="8" t="s">
        <v>130</v>
      </c>
    </row>
    <row r="98" spans="2:15" ht="12.75">
      <c r="B98" s="8" t="s">
        <v>93</v>
      </c>
      <c r="C98" s="8"/>
      <c r="D98" s="8" t="s">
        <v>36</v>
      </c>
      <c r="G98" s="9">
        <v>32321</v>
      </c>
      <c r="I98" s="9">
        <v>33062</v>
      </c>
      <c r="K98" s="9">
        <v>32087</v>
      </c>
      <c r="O98" s="15">
        <f>AVERAGE(K98,I98,G98)</f>
        <v>32490</v>
      </c>
    </row>
    <row r="99" spans="2:15" ht="12.75">
      <c r="B99" s="8" t="s">
        <v>96</v>
      </c>
      <c r="C99" s="8"/>
      <c r="D99" s="8" t="s">
        <v>37</v>
      </c>
      <c r="G99" s="9">
        <v>3.2</v>
      </c>
      <c r="I99" s="9">
        <v>3.53</v>
      </c>
      <c r="K99" s="9">
        <v>3.8</v>
      </c>
      <c r="O99" s="15">
        <f>AVERAGE(K99,I99,G99)</f>
        <v>3.5100000000000002</v>
      </c>
    </row>
    <row r="100" spans="2:15" ht="12.75">
      <c r="B100" s="8" t="s">
        <v>97</v>
      </c>
      <c r="C100" s="8"/>
      <c r="D100" s="8" t="s">
        <v>37</v>
      </c>
      <c r="G100" s="9">
        <v>15.7</v>
      </c>
      <c r="I100" s="9">
        <v>15.4</v>
      </c>
      <c r="K100" s="9">
        <v>16</v>
      </c>
      <c r="O100" s="15">
        <f>AVERAGE(K100,I100,G100)</f>
        <v>15.699999999999998</v>
      </c>
    </row>
    <row r="101" spans="2:15" ht="12.75">
      <c r="B101" s="8" t="s">
        <v>92</v>
      </c>
      <c r="C101" s="8"/>
      <c r="D101" s="8" t="s">
        <v>38</v>
      </c>
      <c r="G101" s="9">
        <v>529</v>
      </c>
      <c r="I101" s="9">
        <v>530</v>
      </c>
      <c r="K101" s="9">
        <v>531</v>
      </c>
      <c r="O101" s="15">
        <f>AVERAGE(K101,I101,G101)</f>
        <v>530</v>
      </c>
    </row>
    <row r="103" spans="2:15" ht="12.75">
      <c r="B103" s="9" t="s">
        <v>31</v>
      </c>
      <c r="C103" s="9" t="s">
        <v>128</v>
      </c>
      <c r="D103" s="8" t="s">
        <v>30</v>
      </c>
      <c r="E103" s="8" t="s">
        <v>29</v>
      </c>
      <c r="G103" s="18">
        <f>G80/60/G86/0.0283*(21-7)/(21-G87)*667.8</f>
        <v>9.323908143828351</v>
      </c>
      <c r="I103" s="18">
        <f>I80/60/I86/0.0283*(21-7)/(21-I87)*667.8</f>
        <v>8.15219099317005</v>
      </c>
      <c r="K103" s="18">
        <f>K80/60/K86/0.0283*(21-7)/(21-K87)*667.8</f>
        <v>8.07747305790655</v>
      </c>
      <c r="O103" s="18">
        <f>O80/60/O86/0.0283*(21-7)/(21-O87)*667.8</f>
        <v>8.755439181910715</v>
      </c>
    </row>
    <row r="104" spans="2:15" ht="12.75">
      <c r="B104" s="9" t="s">
        <v>35</v>
      </c>
      <c r="C104" s="9" t="s">
        <v>128</v>
      </c>
      <c r="D104" s="8" t="s">
        <v>30</v>
      </c>
      <c r="E104" s="8" t="s">
        <v>29</v>
      </c>
      <c r="G104" s="18">
        <f>G81/60/G86/0.0283*(21-7)/(21-G87)*343.4</f>
        <v>0.13415591427799645</v>
      </c>
      <c r="I104" s="18">
        <f>I81/60/I86/0.0283*(21-7)/(21-I87)*343.4</f>
        <v>0.09733824188082979</v>
      </c>
      <c r="K104" s="18">
        <f>K81/60/K86/0.0283*(21-7)/(21-K87)*343.4</f>
        <v>0.13032480451828016</v>
      </c>
      <c r="O104" s="18">
        <f>O81/60/O86/0.0283*(21-7)/(21-O87)*343.4</f>
        <v>0.11888023840499455</v>
      </c>
    </row>
    <row r="105" spans="2:15" ht="12.75">
      <c r="B105" s="9" t="s">
        <v>98</v>
      </c>
      <c r="C105" s="9" t="s">
        <v>128</v>
      </c>
      <c r="D105" s="8" t="s">
        <v>30</v>
      </c>
      <c r="E105" s="8" t="s">
        <v>29</v>
      </c>
      <c r="G105" s="18">
        <f>2*G104+G103</f>
        <v>9.592219972384344</v>
      </c>
      <c r="I105" s="18">
        <f>2*I104+I103</f>
        <v>8.34686747693171</v>
      </c>
      <c r="K105" s="18">
        <f>2*K104+K103</f>
        <v>8.33812266694311</v>
      </c>
      <c r="O105" s="18">
        <f>2*O104+O103</f>
        <v>8.993199658720703</v>
      </c>
    </row>
    <row r="106" spans="2:15" ht="12.75">
      <c r="B106" s="9" t="s">
        <v>135</v>
      </c>
      <c r="C106" s="9" t="s">
        <v>129</v>
      </c>
      <c r="D106" s="8" t="s">
        <v>75</v>
      </c>
      <c r="E106" s="8" t="s">
        <v>29</v>
      </c>
      <c r="G106" s="15">
        <f>G82/G92/60/0.0283*1000000*(21-7)/(21-G93)</f>
        <v>19.867984653273176</v>
      </c>
      <c r="I106" s="15">
        <f>I82/I92/60/0.0283*1000000*(21-7)/(21-I93)</f>
        <v>12.273697937494688</v>
      </c>
      <c r="K106" s="15">
        <f>K82/K92/60/0.0283*1000000*(21-7)/(21-K93)</f>
        <v>21.96330205556966</v>
      </c>
      <c r="O106" s="15">
        <f>O82/O92/60/0.0283*1000000*(21-7)/(21-O93)</f>
        <v>17.02240624918923</v>
      </c>
    </row>
    <row r="107" spans="2:15" ht="12.75">
      <c r="B107" s="9" t="s">
        <v>101</v>
      </c>
      <c r="C107" s="9" t="s">
        <v>130</v>
      </c>
      <c r="D107" s="8" t="s">
        <v>75</v>
      </c>
      <c r="E107" s="8" t="s">
        <v>29</v>
      </c>
      <c r="G107" s="15">
        <f>G83/G98/60/0.0283*1000000*(21-7)/(21-G99)</f>
        <v>76.38582389320327</v>
      </c>
      <c r="I107" s="15">
        <f>I83/I98/60/0.0283*1000000*(21-7)/(21-I99)</f>
        <v>75.65614229214707</v>
      </c>
      <c r="K107" s="15">
        <f>K83/K98/60/0.0283*1000000*(21-7)/(21-K99)</f>
        <v>101.28904640557792</v>
      </c>
      <c r="O107" s="15">
        <f>O83/O98/60/0.0283*1000000*(21-7)/(21-O99)</f>
        <v>79.80195271228587</v>
      </c>
    </row>
    <row r="109" spans="1:15" ht="12.75">
      <c r="A109" s="9">
        <v>4</v>
      </c>
      <c r="B109" s="12" t="s">
        <v>58</v>
      </c>
      <c r="C109" s="12"/>
      <c r="G109" s="10" t="s">
        <v>117</v>
      </c>
      <c r="H109" s="10"/>
      <c r="I109" s="10" t="s">
        <v>118</v>
      </c>
      <c r="J109" s="10"/>
      <c r="K109" s="10" t="s">
        <v>119</v>
      </c>
      <c r="M109" s="9" t="s">
        <v>188</v>
      </c>
      <c r="N109" s="11"/>
      <c r="O109" s="11" t="s">
        <v>39</v>
      </c>
    </row>
    <row r="110" spans="2:5" ht="12.75">
      <c r="B110" s="8"/>
      <c r="C110" s="8"/>
      <c r="D110" s="2"/>
      <c r="E110" s="2"/>
    </row>
    <row r="111" spans="2:15" ht="12.75">
      <c r="B111" s="8" t="s">
        <v>27</v>
      </c>
      <c r="C111" s="8" t="s">
        <v>128</v>
      </c>
      <c r="D111" s="8" t="s">
        <v>28</v>
      </c>
      <c r="E111" s="8" t="s">
        <v>29</v>
      </c>
      <c r="G111" s="9">
        <v>0.0254</v>
      </c>
      <c r="I111" s="9">
        <v>0.0268</v>
      </c>
      <c r="K111" s="9">
        <v>0.0237</v>
      </c>
      <c r="O111" s="9">
        <v>0.0249</v>
      </c>
    </row>
    <row r="112" spans="2:15" ht="12.75">
      <c r="B112" s="8" t="s">
        <v>99</v>
      </c>
      <c r="C112" s="8" t="s">
        <v>128</v>
      </c>
      <c r="D112" s="8" t="s">
        <v>30</v>
      </c>
      <c r="E112" s="8" t="s">
        <v>29</v>
      </c>
      <c r="G112" s="9">
        <v>24.5</v>
      </c>
      <c r="I112" s="9">
        <v>15.8</v>
      </c>
      <c r="K112" s="9">
        <v>27.9</v>
      </c>
      <c r="O112" s="13">
        <f>AVERAGE(K112,I112,G112)</f>
        <v>22.733333333333334</v>
      </c>
    </row>
    <row r="113" spans="2:15" ht="12.75">
      <c r="B113" s="8" t="s">
        <v>100</v>
      </c>
      <c r="C113" s="8" t="s">
        <v>128</v>
      </c>
      <c r="D113" s="8" t="s">
        <v>30</v>
      </c>
      <c r="E113" s="8" t="s">
        <v>29</v>
      </c>
      <c r="G113" s="9">
        <v>33.8</v>
      </c>
      <c r="I113" s="9">
        <v>19.7</v>
      </c>
      <c r="K113" s="9">
        <v>23.6</v>
      </c>
      <c r="O113" s="13">
        <f>AVERAGE(K113,I113,G113)</f>
        <v>25.7</v>
      </c>
    </row>
    <row r="114" spans="2:15" ht="12.75">
      <c r="B114" s="8" t="s">
        <v>31</v>
      </c>
      <c r="C114" s="8"/>
      <c r="D114" s="8" t="s">
        <v>32</v>
      </c>
      <c r="E114" s="8" t="s">
        <v>33</v>
      </c>
      <c r="G114" s="9">
        <v>1059</v>
      </c>
      <c r="I114" s="9">
        <v>1165</v>
      </c>
      <c r="K114" s="9">
        <v>1036</v>
      </c>
      <c r="O114" s="9">
        <v>1067</v>
      </c>
    </row>
    <row r="115" spans="2:15" ht="12.75">
      <c r="B115" s="8" t="s">
        <v>35</v>
      </c>
      <c r="C115" s="8"/>
      <c r="D115" s="8" t="s">
        <v>32</v>
      </c>
      <c r="E115" s="8" t="s">
        <v>33</v>
      </c>
      <c r="G115" s="9">
        <v>20.9</v>
      </c>
      <c r="I115" s="9">
        <v>22.7</v>
      </c>
      <c r="K115" s="9">
        <v>16.5</v>
      </c>
      <c r="O115" s="9">
        <v>19.4</v>
      </c>
    </row>
    <row r="116" spans="2:15" ht="12.75">
      <c r="B116" s="9" t="s">
        <v>135</v>
      </c>
      <c r="C116" s="8"/>
      <c r="D116" s="8" t="s">
        <v>32</v>
      </c>
      <c r="E116" s="8" t="s">
        <v>33</v>
      </c>
      <c r="G116" s="9">
        <v>0.68</v>
      </c>
      <c r="I116" s="9">
        <v>0.67</v>
      </c>
      <c r="K116" s="9">
        <v>0.96</v>
      </c>
      <c r="O116" s="9">
        <v>0.8</v>
      </c>
    </row>
    <row r="117" spans="2:15" ht="12.75">
      <c r="B117" s="8" t="s">
        <v>101</v>
      </c>
      <c r="C117" s="8"/>
      <c r="D117" s="8" t="s">
        <v>32</v>
      </c>
      <c r="E117" s="8" t="s">
        <v>33</v>
      </c>
      <c r="G117" s="9">
        <v>3.75</v>
      </c>
      <c r="I117" s="9">
        <v>4.68</v>
      </c>
      <c r="K117" s="9">
        <v>3.52</v>
      </c>
      <c r="O117" s="9">
        <v>3.81</v>
      </c>
    </row>
    <row r="118" spans="2:3" ht="12.75">
      <c r="B118" s="8"/>
      <c r="C118" s="8"/>
    </row>
    <row r="119" spans="2:4" ht="12.75">
      <c r="B119" s="8" t="s">
        <v>102</v>
      </c>
      <c r="C119" s="8" t="s">
        <v>95</v>
      </c>
      <c r="D119" s="8" t="s">
        <v>128</v>
      </c>
    </row>
    <row r="120" spans="2:15" ht="12.75">
      <c r="B120" s="8" t="s">
        <v>93</v>
      </c>
      <c r="C120" s="8"/>
      <c r="D120" s="8" t="s">
        <v>36</v>
      </c>
      <c r="G120" s="9">
        <v>32000</v>
      </c>
      <c r="I120" s="9">
        <v>33243</v>
      </c>
      <c r="K120" s="9">
        <v>32819</v>
      </c>
      <c r="O120" s="15">
        <f>AVERAGE(K120,I120,G120)</f>
        <v>32687.333333333332</v>
      </c>
    </row>
    <row r="121" spans="2:15" ht="12.75">
      <c r="B121" s="8" t="s">
        <v>96</v>
      </c>
      <c r="C121" s="8"/>
      <c r="D121" s="8" t="s">
        <v>37</v>
      </c>
      <c r="G121" s="9">
        <v>4.4</v>
      </c>
      <c r="I121" s="9">
        <v>4.6</v>
      </c>
      <c r="K121" s="9">
        <v>4.37</v>
      </c>
      <c r="O121" s="15">
        <f>AVERAGE(K121,I121,G121)</f>
        <v>4.456666666666666</v>
      </c>
    </row>
    <row r="122" spans="2:15" ht="12.75">
      <c r="B122" s="8" t="s">
        <v>97</v>
      </c>
      <c r="C122" s="8"/>
      <c r="D122" s="8" t="s">
        <v>37</v>
      </c>
      <c r="G122" s="9">
        <v>12.5</v>
      </c>
      <c r="I122" s="9">
        <v>11.9</v>
      </c>
      <c r="K122" s="9">
        <v>12.8</v>
      </c>
      <c r="O122" s="15">
        <f>AVERAGE(K122,I122,G122)</f>
        <v>12.4</v>
      </c>
    </row>
    <row r="123" spans="2:15" ht="12.75">
      <c r="B123" s="8" t="s">
        <v>92</v>
      </c>
      <c r="C123" s="8"/>
      <c r="D123" s="8" t="s">
        <v>38</v>
      </c>
      <c r="G123" s="9">
        <v>542</v>
      </c>
      <c r="I123" s="9">
        <v>551</v>
      </c>
      <c r="K123" s="9">
        <v>549</v>
      </c>
      <c r="O123" s="15">
        <f>AVERAGE(K123,I123,G123)</f>
        <v>547.3333333333334</v>
      </c>
    </row>
    <row r="124" spans="2:3" ht="12.75">
      <c r="B124" s="8"/>
      <c r="C124" s="8"/>
    </row>
    <row r="125" spans="2:4" ht="12.75">
      <c r="B125" s="8" t="s">
        <v>102</v>
      </c>
      <c r="C125" s="8" t="s">
        <v>87</v>
      </c>
      <c r="D125" s="8" t="s">
        <v>129</v>
      </c>
    </row>
    <row r="126" spans="2:15" ht="12.75">
      <c r="B126" s="8" t="s">
        <v>93</v>
      </c>
      <c r="C126" s="8"/>
      <c r="D126" s="8" t="s">
        <v>36</v>
      </c>
      <c r="G126" s="9">
        <v>33693</v>
      </c>
      <c r="I126" s="9">
        <v>33412</v>
      </c>
      <c r="K126" s="9">
        <v>34121</v>
      </c>
      <c r="O126" s="15">
        <f>AVERAGE(K126,I126,G126)</f>
        <v>33742</v>
      </c>
    </row>
    <row r="127" spans="2:15" ht="12.75">
      <c r="B127" s="8" t="s">
        <v>96</v>
      </c>
      <c r="C127" s="8"/>
      <c r="D127" s="8" t="s">
        <v>37</v>
      </c>
      <c r="G127" s="9">
        <v>4.4</v>
      </c>
      <c r="I127" s="9">
        <v>4.6</v>
      </c>
      <c r="K127" s="9">
        <v>4.37</v>
      </c>
      <c r="O127" s="15">
        <f>AVERAGE(K127,I127,G127)</f>
        <v>4.456666666666666</v>
      </c>
    </row>
    <row r="128" spans="2:15" ht="12.75">
      <c r="B128" s="8" t="s">
        <v>97</v>
      </c>
      <c r="C128" s="8"/>
      <c r="D128" s="8" t="s">
        <v>37</v>
      </c>
      <c r="G128" s="9">
        <v>10.9</v>
      </c>
      <c r="I128" s="9">
        <v>10.6</v>
      </c>
      <c r="K128" s="9">
        <v>11.5</v>
      </c>
      <c r="O128" s="15">
        <f>AVERAGE(K128,I128,G128)</f>
        <v>11</v>
      </c>
    </row>
    <row r="129" spans="2:15" ht="12.75">
      <c r="B129" s="8" t="s">
        <v>92</v>
      </c>
      <c r="C129" s="8"/>
      <c r="D129" s="8" t="s">
        <v>38</v>
      </c>
      <c r="G129" s="9">
        <v>541</v>
      </c>
      <c r="I129" s="9">
        <v>552</v>
      </c>
      <c r="K129" s="9">
        <v>551</v>
      </c>
      <c r="O129" s="15">
        <f>AVERAGE(K129,I129,G129)</f>
        <v>548</v>
      </c>
    </row>
    <row r="131" spans="2:4" ht="12.75">
      <c r="B131" s="8" t="s">
        <v>102</v>
      </c>
      <c r="C131" s="8" t="s">
        <v>52</v>
      </c>
      <c r="D131" s="8" t="s">
        <v>130</v>
      </c>
    </row>
    <row r="132" spans="2:15" ht="12.75">
      <c r="B132" s="8" t="s">
        <v>93</v>
      </c>
      <c r="C132" s="8"/>
      <c r="D132" s="8" t="s">
        <v>36</v>
      </c>
      <c r="G132" s="9">
        <v>33665</v>
      </c>
      <c r="I132" s="9">
        <v>33984</v>
      </c>
      <c r="K132" s="9">
        <v>33294</v>
      </c>
      <c r="O132" s="15">
        <f>AVERAGE(K132,I132,G132)</f>
        <v>33647.666666666664</v>
      </c>
    </row>
    <row r="133" spans="2:15" ht="12.75">
      <c r="B133" s="8" t="s">
        <v>96</v>
      </c>
      <c r="C133" s="8"/>
      <c r="D133" s="8" t="s">
        <v>37</v>
      </c>
      <c r="G133" s="9">
        <v>4.4</v>
      </c>
      <c r="I133" s="9">
        <v>4.6</v>
      </c>
      <c r="K133" s="9">
        <v>4.37</v>
      </c>
      <c r="O133" s="15">
        <f>AVERAGE(K133,I133,G133)</f>
        <v>4.456666666666666</v>
      </c>
    </row>
    <row r="134" spans="2:15" ht="12.75">
      <c r="B134" s="8" t="s">
        <v>97</v>
      </c>
      <c r="C134" s="8"/>
      <c r="D134" s="8" t="s">
        <v>37</v>
      </c>
      <c r="G134" s="9">
        <v>11.9</v>
      </c>
      <c r="I134" s="9">
        <v>12.4</v>
      </c>
      <c r="K134" s="9">
        <v>12.7</v>
      </c>
      <c r="O134" s="15">
        <f>AVERAGE(K134,I134,G134)</f>
        <v>12.333333333333334</v>
      </c>
    </row>
    <row r="135" spans="2:15" ht="12.75">
      <c r="B135" s="8" t="s">
        <v>92</v>
      </c>
      <c r="C135" s="8"/>
      <c r="D135" s="8" t="s">
        <v>38</v>
      </c>
      <c r="G135" s="9">
        <v>540</v>
      </c>
      <c r="I135" s="9">
        <v>551</v>
      </c>
      <c r="K135" s="9">
        <v>549</v>
      </c>
      <c r="O135" s="15">
        <f>AVERAGE(K135,I135,G135)</f>
        <v>546.6666666666666</v>
      </c>
    </row>
    <row r="137" spans="2:15" ht="12.75">
      <c r="B137" s="9" t="s">
        <v>31</v>
      </c>
      <c r="C137" s="9" t="s">
        <v>128</v>
      </c>
      <c r="D137" s="8" t="s">
        <v>30</v>
      </c>
      <c r="E137" s="8" t="s">
        <v>29</v>
      </c>
      <c r="G137" s="18">
        <f>G114/60/G120/0.0283*(21-7)/(21-G121)*667.8</f>
        <v>10.976772372174208</v>
      </c>
      <c r="I137" s="18">
        <f>I114/60/I120/0.0283*(21-7)/(21-I121)*667.8</f>
        <v>11.765723341747995</v>
      </c>
      <c r="K137" s="18">
        <f>K114/60/K120/0.0283*(21-7)/(21-K121)*667.8</f>
        <v>10.451507265015186</v>
      </c>
      <c r="O137" s="18">
        <f>O114/60/O120/0.0283*(21-7)/(21-O121)*667.8</f>
        <v>10.864223005276552</v>
      </c>
    </row>
    <row r="138" spans="2:15" ht="12.75">
      <c r="B138" s="9" t="s">
        <v>35</v>
      </c>
      <c r="C138" s="9" t="s">
        <v>128</v>
      </c>
      <c r="D138" s="8" t="s">
        <v>30</v>
      </c>
      <c r="E138" s="8" t="s">
        <v>29</v>
      </c>
      <c r="G138" s="18">
        <f>G115/60/G120/0.0283*(21-7)/(21-G121)*343.4</f>
        <v>0.11139837619027344</v>
      </c>
      <c r="I138" s="18">
        <f>I115/60/I120/0.0283*(21-7)/(21-I121)*343.4</f>
        <v>0.1178887709937661</v>
      </c>
      <c r="K138" s="18">
        <f>K115/60/K120/0.0283*(21-7)/(21-K121)*343.4</f>
        <v>0.08559669408670686</v>
      </c>
      <c r="O138" s="18">
        <f>O115/60/O120/0.0283*(21-7)/(21-O121)*343.4</f>
        <v>0.10157570802395836</v>
      </c>
    </row>
    <row r="139" spans="2:15" ht="12.75">
      <c r="B139" s="9" t="s">
        <v>98</v>
      </c>
      <c r="C139" s="9" t="s">
        <v>128</v>
      </c>
      <c r="D139" s="8" t="s">
        <v>30</v>
      </c>
      <c r="E139" s="8" t="s">
        <v>29</v>
      </c>
      <c r="G139" s="18">
        <f>2*G138+G137</f>
        <v>11.199569124554754</v>
      </c>
      <c r="I139" s="18">
        <f>2*I138+I137</f>
        <v>12.001500883735527</v>
      </c>
      <c r="K139" s="18">
        <f>2*K138+K137</f>
        <v>10.6227006531886</v>
      </c>
      <c r="O139" s="18">
        <f>2*O138+O137</f>
        <v>11.067374421324468</v>
      </c>
    </row>
    <row r="140" spans="2:15" ht="12.75">
      <c r="B140" s="9" t="s">
        <v>135</v>
      </c>
      <c r="C140" s="9" t="s">
        <v>129</v>
      </c>
      <c r="D140" s="8" t="s">
        <v>75</v>
      </c>
      <c r="E140" s="8" t="s">
        <v>29</v>
      </c>
      <c r="G140" s="15">
        <f>G116/G126/60/0.0283*1000000*(21-7)/(21-G127)</f>
        <v>10.024240842434066</v>
      </c>
      <c r="I140" s="15">
        <f>I116/I126/60/0.0283*1000000*(21-7)/(21-I127)</f>
        <v>10.081353227446746</v>
      </c>
      <c r="K140" s="15">
        <f>K116/K126/60/0.0283*1000000*(21-7)/(21-K127)</f>
        <v>13.94914481027938</v>
      </c>
      <c r="O140" s="15">
        <f>O116/O126/60/0.0283*1000000*(21-7)/(21-O127)</f>
        <v>11.816435676357832</v>
      </c>
    </row>
    <row r="141" spans="2:15" ht="12.75">
      <c r="B141" s="9" t="s">
        <v>101</v>
      </c>
      <c r="C141" s="9" t="s">
        <v>130</v>
      </c>
      <c r="D141" s="8" t="s">
        <v>75</v>
      </c>
      <c r="E141" s="8" t="s">
        <v>29</v>
      </c>
      <c r="G141" s="15">
        <f>G117/G132/60/0.0283*1000000*(21-7)/(21-G133)</f>
        <v>55.32671827698917</v>
      </c>
      <c r="I141" s="15">
        <f>I117/I132/60/0.0283*1000000*(21-7)/(21-I133)</f>
        <v>69.23375067133914</v>
      </c>
      <c r="K141" s="15">
        <f>K117/K132/60/0.0283*1000000*(21-7)/(21-K133)</f>
        <v>52.417317142097374</v>
      </c>
      <c r="O141" s="15">
        <f>O117/O132/60/0.0283*1000000*(21-7)/(21-O133)</f>
        <v>56.433547555585115</v>
      </c>
    </row>
    <row r="144" spans="2:15" ht="12.75">
      <c r="B144" s="12" t="s">
        <v>158</v>
      </c>
      <c r="C144" s="12"/>
      <c r="G144" s="10" t="s">
        <v>117</v>
      </c>
      <c r="H144" s="10"/>
      <c r="I144" s="10" t="s">
        <v>118</v>
      </c>
      <c r="J144" s="10"/>
      <c r="K144" s="10" t="s">
        <v>119</v>
      </c>
      <c r="M144" s="9" t="s">
        <v>188</v>
      </c>
      <c r="N144" s="11"/>
      <c r="O144" s="11" t="s">
        <v>39</v>
      </c>
    </row>
    <row r="145" spans="2:15" ht="12.75">
      <c r="B145" s="8"/>
      <c r="C145" s="8"/>
      <c r="D145" s="2"/>
      <c r="E145" s="2"/>
      <c r="F145" s="2"/>
      <c r="G145" s="2"/>
      <c r="H145" s="2"/>
      <c r="I145" s="2"/>
      <c r="J145" s="2"/>
      <c r="K145" s="2" t="s">
        <v>187</v>
      </c>
      <c r="N145" s="11"/>
      <c r="O145" s="11"/>
    </row>
    <row r="146" spans="2:15" ht="12.75">
      <c r="B146" s="8" t="s">
        <v>27</v>
      </c>
      <c r="C146" s="8" t="s">
        <v>128</v>
      </c>
      <c r="D146" s="8" t="s">
        <v>28</v>
      </c>
      <c r="E146" s="8" t="s">
        <v>29</v>
      </c>
      <c r="G146" s="11">
        <v>0.0019</v>
      </c>
      <c r="H146" s="11"/>
      <c r="I146" s="11">
        <v>0.0011</v>
      </c>
      <c r="J146" s="11"/>
      <c r="K146" s="11">
        <v>0.001</v>
      </c>
      <c r="N146" s="11"/>
      <c r="O146" s="11">
        <v>0.0013</v>
      </c>
    </row>
    <row r="147" spans="2:15" ht="12.75">
      <c r="B147" s="8" t="s">
        <v>99</v>
      </c>
      <c r="C147" s="8" t="s">
        <v>128</v>
      </c>
      <c r="D147" s="8" t="s">
        <v>30</v>
      </c>
      <c r="E147" s="8" t="s">
        <v>29</v>
      </c>
      <c r="G147" s="11">
        <v>0</v>
      </c>
      <c r="H147" s="11"/>
      <c r="I147" s="11">
        <v>0</v>
      </c>
      <c r="J147" s="11"/>
      <c r="K147" s="11">
        <v>0</v>
      </c>
      <c r="N147" s="11"/>
      <c r="O147" s="13">
        <f>AVERAGE(K147,I147,G147)</f>
        <v>0</v>
      </c>
    </row>
    <row r="148" spans="2:15" ht="12.75">
      <c r="B148" s="8" t="s">
        <v>100</v>
      </c>
      <c r="C148" s="8" t="s">
        <v>128</v>
      </c>
      <c r="D148" s="8" t="s">
        <v>30</v>
      </c>
      <c r="E148" s="8" t="s">
        <v>29</v>
      </c>
      <c r="G148" s="11">
        <v>0</v>
      </c>
      <c r="H148" s="11"/>
      <c r="I148" s="11">
        <v>0</v>
      </c>
      <c r="J148" s="11"/>
      <c r="K148" s="11">
        <v>0</v>
      </c>
      <c r="N148" s="11"/>
      <c r="O148" s="13">
        <f>AVERAGE(K148,I148,G148)</f>
        <v>0</v>
      </c>
    </row>
    <row r="149" spans="2:15" ht="12.75">
      <c r="B149" s="8"/>
      <c r="C149" s="8"/>
      <c r="G149" s="11"/>
      <c r="H149" s="11"/>
      <c r="I149" s="11"/>
      <c r="J149" s="11"/>
      <c r="K149" s="11"/>
      <c r="N149" s="11"/>
      <c r="O149" s="11"/>
    </row>
    <row r="150" spans="2:14" ht="12.75">
      <c r="B150" s="8" t="s">
        <v>102</v>
      </c>
      <c r="C150" s="8" t="s">
        <v>27</v>
      </c>
      <c r="D150" s="8" t="s">
        <v>128</v>
      </c>
      <c r="G150" s="11"/>
      <c r="H150" s="11"/>
      <c r="I150" s="11"/>
      <c r="J150" s="11"/>
      <c r="K150" s="11"/>
      <c r="N150" s="11"/>
    </row>
    <row r="151" spans="2:15" ht="12.75">
      <c r="B151" s="8" t="s">
        <v>93</v>
      </c>
      <c r="C151" s="8"/>
      <c r="D151" s="8" t="s">
        <v>36</v>
      </c>
      <c r="G151" s="11">
        <v>33499</v>
      </c>
      <c r="H151" s="11"/>
      <c r="I151" s="14">
        <v>32993</v>
      </c>
      <c r="J151" s="14"/>
      <c r="K151" s="11">
        <v>32674</v>
      </c>
      <c r="N151" s="11"/>
      <c r="O151" s="14">
        <f>AVERAGE(K151,I151,G151)</f>
        <v>33055.333333333336</v>
      </c>
    </row>
    <row r="152" spans="2:15" ht="12.75">
      <c r="B152" s="8" t="s">
        <v>96</v>
      </c>
      <c r="C152" s="8"/>
      <c r="D152" s="8" t="s">
        <v>37</v>
      </c>
      <c r="G152" s="11">
        <v>3.97</v>
      </c>
      <c r="H152" s="11"/>
      <c r="I152" s="11">
        <v>3.95</v>
      </c>
      <c r="J152" s="11"/>
      <c r="K152" s="11">
        <v>3.88</v>
      </c>
      <c r="N152" s="11"/>
      <c r="O152" s="13">
        <f>AVERAGE(K152,I152,G152)</f>
        <v>3.9333333333333336</v>
      </c>
    </row>
    <row r="153" spans="2:15" ht="12.75">
      <c r="B153" s="8" t="s">
        <v>97</v>
      </c>
      <c r="C153" s="8"/>
      <c r="D153" s="8" t="s">
        <v>37</v>
      </c>
      <c r="G153" s="11">
        <v>15.3</v>
      </c>
      <c r="H153" s="11"/>
      <c r="I153" s="11">
        <v>14.8</v>
      </c>
      <c r="J153" s="11"/>
      <c r="K153" s="11">
        <v>14.8</v>
      </c>
      <c r="N153" s="11"/>
      <c r="O153" s="13">
        <f>AVERAGE(K153,I153,G153)</f>
        <v>14.966666666666669</v>
      </c>
    </row>
    <row r="154" spans="2:15" ht="12.75">
      <c r="B154" s="8" t="s">
        <v>92</v>
      </c>
      <c r="C154" s="8"/>
      <c r="D154" s="8" t="s">
        <v>38</v>
      </c>
      <c r="G154" s="11">
        <v>427</v>
      </c>
      <c r="H154" s="11"/>
      <c r="I154" s="11">
        <v>431</v>
      </c>
      <c r="J154" s="11"/>
      <c r="K154" s="11">
        <v>430</v>
      </c>
      <c r="N154" s="11"/>
      <c r="O154" s="14">
        <f>AVERAGE(K154,I154,G154)</f>
        <v>429.3333333333333</v>
      </c>
    </row>
    <row r="156" spans="2:15" ht="12.75">
      <c r="B156" s="12" t="s">
        <v>162</v>
      </c>
      <c r="C156" s="12"/>
      <c r="G156" s="10" t="s">
        <v>117</v>
      </c>
      <c r="H156" s="10"/>
      <c r="I156" s="10" t="s">
        <v>118</v>
      </c>
      <c r="J156" s="10"/>
      <c r="K156" s="10" t="s">
        <v>119</v>
      </c>
      <c r="M156" s="9" t="s">
        <v>188</v>
      </c>
      <c r="N156" s="11"/>
      <c r="O156" s="11" t="s">
        <v>39</v>
      </c>
    </row>
    <row r="158" spans="2:15" ht="12.75">
      <c r="B158" s="8" t="s">
        <v>99</v>
      </c>
      <c r="C158" s="8" t="s">
        <v>128</v>
      </c>
      <c r="D158" s="8" t="s">
        <v>30</v>
      </c>
      <c r="E158" s="8" t="s">
        <v>29</v>
      </c>
      <c r="G158" s="11">
        <v>0</v>
      </c>
      <c r="H158" s="11"/>
      <c r="I158" s="11">
        <v>0</v>
      </c>
      <c r="J158" s="11"/>
      <c r="K158" s="11">
        <v>0.1</v>
      </c>
      <c r="N158" s="11"/>
      <c r="O158" s="13">
        <f>AVERAGE(K158,I158,G158)</f>
        <v>0.03333333333333333</v>
      </c>
    </row>
    <row r="159" spans="2:15" ht="12.75">
      <c r="B159" s="8" t="s">
        <v>100</v>
      </c>
      <c r="C159" s="8" t="s">
        <v>128</v>
      </c>
      <c r="D159" s="8" t="s">
        <v>30</v>
      </c>
      <c r="E159" s="8" t="s">
        <v>29</v>
      </c>
      <c r="G159" s="11">
        <v>0</v>
      </c>
      <c r="H159" s="11"/>
      <c r="I159" s="11">
        <v>0</v>
      </c>
      <c r="J159" s="11"/>
      <c r="K159" s="11">
        <v>0.2</v>
      </c>
      <c r="N159" s="11"/>
      <c r="O159" s="13">
        <f>AVERAGE(K159,I159,G159)</f>
        <v>0.06666666666666667</v>
      </c>
    </row>
    <row r="161" spans="2:15" ht="12.75">
      <c r="B161" s="12" t="s">
        <v>164</v>
      </c>
      <c r="C161" s="12"/>
      <c r="G161" s="10" t="s">
        <v>117</v>
      </c>
      <c r="H161" s="10"/>
      <c r="I161" s="10" t="s">
        <v>118</v>
      </c>
      <c r="J161" s="10"/>
      <c r="K161" s="10" t="s">
        <v>119</v>
      </c>
      <c r="N161" s="11"/>
      <c r="O161" s="11" t="s">
        <v>39</v>
      </c>
    </row>
    <row r="162" spans="2:15" ht="12.75">
      <c r="B162" s="8"/>
      <c r="C162" s="8"/>
      <c r="D162" s="2"/>
      <c r="E162" s="2"/>
      <c r="F162" s="2"/>
      <c r="G162" s="2"/>
      <c r="H162" s="2"/>
      <c r="I162" s="2"/>
      <c r="J162" s="2"/>
      <c r="K162" s="2" t="s">
        <v>187</v>
      </c>
      <c r="N162" s="11"/>
      <c r="O162" s="11"/>
    </row>
    <row r="163" spans="2:15" ht="12.75">
      <c r="B163" s="8" t="s">
        <v>27</v>
      </c>
      <c r="C163" s="8" t="s">
        <v>128</v>
      </c>
      <c r="D163" s="8" t="s">
        <v>28</v>
      </c>
      <c r="E163" s="8" t="s">
        <v>29</v>
      </c>
      <c r="G163" s="11">
        <v>0.0175</v>
      </c>
      <c r="H163" s="11"/>
      <c r="I163" s="11">
        <v>0.0183</v>
      </c>
      <c r="J163" s="11"/>
      <c r="K163" s="11">
        <v>0.0215</v>
      </c>
      <c r="N163" s="11"/>
      <c r="O163" s="11">
        <v>0.0246</v>
      </c>
    </row>
    <row r="164" spans="2:15" ht="12.75">
      <c r="B164" s="8" t="s">
        <v>99</v>
      </c>
      <c r="C164" s="8" t="s">
        <v>128</v>
      </c>
      <c r="D164" s="8" t="s">
        <v>30</v>
      </c>
      <c r="E164" s="8" t="s">
        <v>29</v>
      </c>
      <c r="G164" s="11">
        <v>1.2</v>
      </c>
      <c r="H164" s="11"/>
      <c r="I164" s="11">
        <v>0.3</v>
      </c>
      <c r="J164" s="11"/>
      <c r="K164" s="11">
        <v>0</v>
      </c>
      <c r="N164" s="11"/>
      <c r="O164" s="13">
        <f>AVERAGE(K164,I164,G164)</f>
        <v>0.5</v>
      </c>
    </row>
    <row r="165" spans="2:15" ht="12.75">
      <c r="B165" s="8" t="s">
        <v>100</v>
      </c>
      <c r="C165" s="8" t="s">
        <v>128</v>
      </c>
      <c r="D165" s="8" t="s">
        <v>30</v>
      </c>
      <c r="E165" s="8" t="s">
        <v>29</v>
      </c>
      <c r="G165" s="11">
        <v>1.4</v>
      </c>
      <c r="H165" s="11"/>
      <c r="I165" s="11">
        <v>0.6</v>
      </c>
      <c r="J165" s="11"/>
      <c r="K165" s="11">
        <v>0.1</v>
      </c>
      <c r="N165" s="11"/>
      <c r="O165" s="13">
        <f>AVERAGE(K165,I165,G165)</f>
        <v>0.6999999999999998</v>
      </c>
    </row>
    <row r="166" spans="2:15" ht="12.75">
      <c r="B166" s="8"/>
      <c r="C166" s="8"/>
      <c r="G166" s="11"/>
      <c r="H166" s="11"/>
      <c r="I166" s="11"/>
      <c r="J166" s="11"/>
      <c r="K166" s="11"/>
      <c r="N166" s="11"/>
      <c r="O166" s="11"/>
    </row>
    <row r="167" spans="2:14" ht="12.75">
      <c r="B167" s="8" t="s">
        <v>102</v>
      </c>
      <c r="C167" s="8" t="s">
        <v>27</v>
      </c>
      <c r="D167" s="8" t="s">
        <v>128</v>
      </c>
      <c r="G167" s="11"/>
      <c r="H167" s="11"/>
      <c r="I167" s="11"/>
      <c r="J167" s="11"/>
      <c r="K167" s="11"/>
      <c r="N167" s="11"/>
    </row>
    <row r="168" spans="2:15" ht="12.75">
      <c r="B168" s="8" t="s">
        <v>93</v>
      </c>
      <c r="C168" s="8"/>
      <c r="D168" s="8" t="s">
        <v>36</v>
      </c>
      <c r="G168" s="11">
        <v>32302</v>
      </c>
      <c r="H168" s="11"/>
      <c r="I168" s="14">
        <v>31918</v>
      </c>
      <c r="J168" s="14"/>
      <c r="K168" s="11">
        <v>33179</v>
      </c>
      <c r="N168" s="11"/>
      <c r="O168" s="14">
        <f>AVERAGE(K168,I168,G168)</f>
        <v>32466.333333333332</v>
      </c>
    </row>
    <row r="169" spans="2:15" ht="12.75">
      <c r="B169" s="8" t="s">
        <v>96</v>
      </c>
      <c r="C169" s="8"/>
      <c r="D169" s="8" t="s">
        <v>37</v>
      </c>
      <c r="G169" s="11">
        <v>2.8</v>
      </c>
      <c r="H169" s="11"/>
      <c r="I169" s="11">
        <v>3.3</v>
      </c>
      <c r="J169" s="11"/>
      <c r="K169" s="11">
        <v>3.3</v>
      </c>
      <c r="N169" s="11"/>
      <c r="O169" s="13">
        <f>AVERAGE(K169,I169,G169)</f>
        <v>3.133333333333333</v>
      </c>
    </row>
    <row r="170" spans="2:15" ht="12.75">
      <c r="B170" s="8" t="s">
        <v>97</v>
      </c>
      <c r="C170" s="8"/>
      <c r="D170" s="8" t="s">
        <v>37</v>
      </c>
      <c r="G170" s="11">
        <v>14.2</v>
      </c>
      <c r="H170" s="11"/>
      <c r="I170" s="11">
        <v>14.2</v>
      </c>
      <c r="J170" s="11"/>
      <c r="K170" s="11">
        <v>11.4</v>
      </c>
      <c r="N170" s="11"/>
      <c r="O170" s="13">
        <f>AVERAGE(K170,I170,G170)</f>
        <v>13.266666666666666</v>
      </c>
    </row>
    <row r="171" spans="2:15" ht="12.75">
      <c r="B171" s="8" t="s">
        <v>92</v>
      </c>
      <c r="C171" s="8"/>
      <c r="D171" s="8" t="s">
        <v>38</v>
      </c>
      <c r="G171" s="11">
        <v>442</v>
      </c>
      <c r="H171" s="11"/>
      <c r="I171" s="11">
        <v>446</v>
      </c>
      <c r="J171" s="11"/>
      <c r="K171" s="11">
        <v>451</v>
      </c>
      <c r="N171" s="11"/>
      <c r="O171" s="14">
        <f>AVERAGE(K171,I171,G171)</f>
        <v>446.3333333333333</v>
      </c>
    </row>
    <row r="174" spans="2:15" ht="12.75">
      <c r="B174" s="12" t="s">
        <v>166</v>
      </c>
      <c r="C174" s="12"/>
      <c r="G174" s="10" t="s">
        <v>117</v>
      </c>
      <c r="H174" s="10"/>
      <c r="I174" s="10" t="s">
        <v>118</v>
      </c>
      <c r="J174" s="10"/>
      <c r="K174" s="10" t="s">
        <v>119</v>
      </c>
      <c r="N174" s="11"/>
      <c r="O174" s="11" t="s">
        <v>39</v>
      </c>
    </row>
    <row r="175" spans="2:15" ht="12.75">
      <c r="B175" s="8"/>
      <c r="C175" s="8"/>
      <c r="D175" s="2"/>
      <c r="E175" s="2"/>
      <c r="F175" s="2"/>
      <c r="G175" s="2"/>
      <c r="H175" s="2"/>
      <c r="I175" s="2"/>
      <c r="J175" s="2"/>
      <c r="K175" s="2" t="s">
        <v>187</v>
      </c>
      <c r="N175" s="11"/>
      <c r="O175" s="11"/>
    </row>
    <row r="176" spans="2:15" ht="12.75">
      <c r="B176" s="8" t="s">
        <v>99</v>
      </c>
      <c r="C176" s="8" t="s">
        <v>128</v>
      </c>
      <c r="D176" s="8" t="s">
        <v>30</v>
      </c>
      <c r="E176" s="8" t="s">
        <v>29</v>
      </c>
      <c r="G176" s="11">
        <v>0</v>
      </c>
      <c r="H176" s="11"/>
      <c r="I176" s="11">
        <v>3.4</v>
      </c>
      <c r="J176" s="11"/>
      <c r="K176" s="11">
        <v>0.3</v>
      </c>
      <c r="N176" s="11"/>
      <c r="O176" s="13">
        <f>AVERAGE(K176,I176,G176)</f>
        <v>1.2333333333333332</v>
      </c>
    </row>
    <row r="177" spans="2:15" ht="12.75">
      <c r="B177" s="8"/>
      <c r="C177" s="8"/>
      <c r="G177" s="11"/>
      <c r="H177" s="11"/>
      <c r="I177" s="11"/>
      <c r="J177" s="11"/>
      <c r="K177" s="11"/>
      <c r="N177" s="11"/>
      <c r="O177" s="11"/>
    </row>
    <row r="178" spans="2:14" ht="12.75">
      <c r="B178" s="8" t="s">
        <v>102</v>
      </c>
      <c r="C178" s="8"/>
      <c r="D178" s="8" t="s">
        <v>128</v>
      </c>
      <c r="G178" s="11"/>
      <c r="H178" s="11"/>
      <c r="I178" s="11"/>
      <c r="J178" s="11"/>
      <c r="K178" s="11"/>
      <c r="N178" s="11"/>
    </row>
    <row r="179" spans="2:15" ht="12.75">
      <c r="B179" s="8" t="s">
        <v>93</v>
      </c>
      <c r="C179" s="8"/>
      <c r="D179" s="8" t="s">
        <v>36</v>
      </c>
      <c r="G179" s="11">
        <v>18136</v>
      </c>
      <c r="H179" s="11"/>
      <c r="I179" s="14">
        <v>19462</v>
      </c>
      <c r="J179" s="14"/>
      <c r="K179" s="11">
        <v>18248</v>
      </c>
      <c r="N179" s="11"/>
      <c r="O179" s="14">
        <f>AVERAGE(K179,I179,G179)</f>
        <v>18615.333333333332</v>
      </c>
    </row>
    <row r="180" spans="2:15" ht="12.75">
      <c r="B180" s="8" t="s">
        <v>96</v>
      </c>
      <c r="C180" s="8"/>
      <c r="D180" s="8" t="s">
        <v>37</v>
      </c>
      <c r="G180" s="11">
        <v>5.2</v>
      </c>
      <c r="H180" s="11"/>
      <c r="I180" s="11">
        <v>4.6</v>
      </c>
      <c r="J180" s="11"/>
      <c r="K180" s="11">
        <v>6.1</v>
      </c>
      <c r="N180" s="11"/>
      <c r="O180" s="13">
        <f>AVERAGE(K180,I180,G180)</f>
        <v>5.3</v>
      </c>
    </row>
    <row r="181" spans="2:15" ht="12.75">
      <c r="B181" s="8" t="s">
        <v>97</v>
      </c>
      <c r="C181" s="8"/>
      <c r="D181" s="8" t="s">
        <v>37</v>
      </c>
      <c r="G181" s="11">
        <v>7.7</v>
      </c>
      <c r="H181" s="11"/>
      <c r="I181" s="11">
        <v>8.7</v>
      </c>
      <c r="J181" s="11"/>
      <c r="K181" s="11">
        <v>8.6</v>
      </c>
      <c r="N181" s="11"/>
      <c r="O181" s="13">
        <f>AVERAGE(K181,I181,G181)</f>
        <v>8.333333333333332</v>
      </c>
    </row>
    <row r="182" spans="2:15" ht="12.75">
      <c r="B182" s="8" t="s">
        <v>92</v>
      </c>
      <c r="C182" s="8"/>
      <c r="D182" s="8" t="s">
        <v>38</v>
      </c>
      <c r="G182" s="11">
        <v>367</v>
      </c>
      <c r="H182" s="11"/>
      <c r="I182" s="11">
        <v>375</v>
      </c>
      <c r="J182" s="11"/>
      <c r="K182" s="11">
        <v>367</v>
      </c>
      <c r="N182" s="11"/>
      <c r="O182" s="14">
        <f>AVERAGE(K182,I182,G182)</f>
        <v>369.6666666666667</v>
      </c>
    </row>
    <row r="185" spans="2:15" ht="12.75">
      <c r="B185" s="12" t="s">
        <v>172</v>
      </c>
      <c r="C185" s="12"/>
      <c r="G185" s="10" t="s">
        <v>117</v>
      </c>
      <c r="H185" s="10"/>
      <c r="I185" s="10" t="s">
        <v>118</v>
      </c>
      <c r="J185" s="10"/>
      <c r="K185" s="10" t="s">
        <v>119</v>
      </c>
      <c r="L185" s="11"/>
      <c r="M185" s="9" t="s">
        <v>188</v>
      </c>
      <c r="O185" s="11" t="s">
        <v>39</v>
      </c>
    </row>
    <row r="186" spans="2:15" ht="12.75">
      <c r="B186" s="8"/>
      <c r="C186" s="8"/>
      <c r="D186" s="2"/>
      <c r="E186" s="2"/>
      <c r="F186" s="2"/>
      <c r="G186" s="2"/>
      <c r="H186" s="2"/>
      <c r="I186" s="2"/>
      <c r="J186" s="2"/>
      <c r="K186" s="2" t="s">
        <v>187</v>
      </c>
      <c r="L186" s="11"/>
      <c r="O186" s="11"/>
    </row>
    <row r="187" spans="2:15" ht="12.75">
      <c r="B187" s="8" t="s">
        <v>99</v>
      </c>
      <c r="C187" s="8" t="s">
        <v>128</v>
      </c>
      <c r="D187" s="8" t="s">
        <v>30</v>
      </c>
      <c r="E187" s="8" t="s">
        <v>29</v>
      </c>
      <c r="G187" s="11">
        <v>8.5</v>
      </c>
      <c r="H187" s="11"/>
      <c r="I187" s="11">
        <v>17.1</v>
      </c>
      <c r="J187" s="11"/>
      <c r="K187" s="11">
        <v>15.5</v>
      </c>
      <c r="L187" s="11"/>
      <c r="M187" s="9">
        <v>2.7</v>
      </c>
      <c r="O187" s="13">
        <f>AVERAGE(K187,I187,G187)</f>
        <v>13.700000000000001</v>
      </c>
    </row>
    <row r="188" spans="2:15" ht="12.75">
      <c r="B188" s="8"/>
      <c r="C188" s="8"/>
      <c r="G188" s="11"/>
      <c r="H188" s="11"/>
      <c r="I188" s="11"/>
      <c r="J188" s="11"/>
      <c r="K188" s="11"/>
      <c r="L188" s="11"/>
      <c r="O188" s="11"/>
    </row>
    <row r="189" spans="2:12" ht="12.75">
      <c r="B189" s="8" t="s">
        <v>102</v>
      </c>
      <c r="C189" s="8"/>
      <c r="D189" s="8" t="s">
        <v>128</v>
      </c>
      <c r="G189" s="11"/>
      <c r="H189" s="11"/>
      <c r="I189" s="11"/>
      <c r="J189" s="11"/>
      <c r="K189" s="11"/>
      <c r="L189" s="11"/>
    </row>
    <row r="190" spans="2:15" ht="12.75">
      <c r="B190" s="8" t="s">
        <v>93</v>
      </c>
      <c r="C190" s="8"/>
      <c r="D190" s="8" t="s">
        <v>36</v>
      </c>
      <c r="G190" s="11">
        <v>30797</v>
      </c>
      <c r="H190" s="11"/>
      <c r="I190" s="14">
        <v>29148</v>
      </c>
      <c r="J190" s="14"/>
      <c r="K190" s="11">
        <v>30233</v>
      </c>
      <c r="L190" s="11"/>
      <c r="M190" s="9">
        <v>31533</v>
      </c>
      <c r="O190" s="14">
        <f>AVERAGE(M190,K190,I190,G190)</f>
        <v>30427.75</v>
      </c>
    </row>
    <row r="191" spans="2:15" ht="12.75">
      <c r="B191" s="8" t="s">
        <v>96</v>
      </c>
      <c r="C191" s="8"/>
      <c r="D191" s="8" t="s">
        <v>37</v>
      </c>
      <c r="G191" s="11">
        <v>2.7</v>
      </c>
      <c r="H191" s="11"/>
      <c r="I191" s="11">
        <v>2.5</v>
      </c>
      <c r="J191" s="11"/>
      <c r="K191" s="11">
        <v>2.4</v>
      </c>
      <c r="L191" s="11"/>
      <c r="M191" s="9">
        <v>3.1</v>
      </c>
      <c r="O191" s="13">
        <f>AVERAGE(M191,K191,I191,G191)</f>
        <v>2.675</v>
      </c>
    </row>
    <row r="192" spans="2:15" ht="12.75">
      <c r="B192" s="8" t="s">
        <v>97</v>
      </c>
      <c r="C192" s="8"/>
      <c r="D192" s="8" t="s">
        <v>37</v>
      </c>
      <c r="G192" s="11">
        <v>12.7</v>
      </c>
      <c r="H192" s="11"/>
      <c r="I192" s="11">
        <v>12.5</v>
      </c>
      <c r="J192" s="11"/>
      <c r="K192" s="11">
        <v>12.7</v>
      </c>
      <c r="L192" s="11"/>
      <c r="M192" s="9">
        <v>12.5</v>
      </c>
      <c r="O192" s="13">
        <f>AVERAGE(M192,K192,I192,G192)</f>
        <v>12.600000000000001</v>
      </c>
    </row>
    <row r="193" spans="2:15" ht="12.75">
      <c r="B193" s="8" t="s">
        <v>92</v>
      </c>
      <c r="C193" s="8"/>
      <c r="D193" s="8" t="s">
        <v>38</v>
      </c>
      <c r="G193" s="11">
        <v>476</v>
      </c>
      <c r="H193" s="11"/>
      <c r="I193" s="11">
        <v>460</v>
      </c>
      <c r="J193" s="11"/>
      <c r="K193" s="11">
        <v>472</v>
      </c>
      <c r="L193" s="11"/>
      <c r="M193" s="9">
        <v>468</v>
      </c>
      <c r="O193" s="14">
        <f>AVERAGE(M193,K193,I193,G193)</f>
        <v>469</v>
      </c>
    </row>
    <row r="195" spans="2:15" ht="12.75">
      <c r="B195" s="12" t="s">
        <v>175</v>
      </c>
      <c r="C195" s="12"/>
      <c r="G195" s="10" t="s">
        <v>117</v>
      </c>
      <c r="H195" s="10"/>
      <c r="I195" s="10" t="s">
        <v>118</v>
      </c>
      <c r="J195" s="10"/>
      <c r="K195" s="10" t="s">
        <v>119</v>
      </c>
      <c r="M195" s="9" t="s">
        <v>188</v>
      </c>
      <c r="N195" s="11"/>
      <c r="O195" s="11" t="s">
        <v>39</v>
      </c>
    </row>
    <row r="196" spans="2:15" ht="12.75">
      <c r="B196" s="8"/>
      <c r="C196" s="8"/>
      <c r="D196" s="2"/>
      <c r="E196" s="2"/>
      <c r="F196" s="2"/>
      <c r="G196" s="2"/>
      <c r="H196" s="2"/>
      <c r="I196" s="2"/>
      <c r="J196" s="2"/>
      <c r="K196" s="2"/>
      <c r="N196" s="11"/>
      <c r="O196" s="11"/>
    </row>
    <row r="197" spans="2:15" ht="12.75">
      <c r="B197" s="8" t="s">
        <v>99</v>
      </c>
      <c r="C197" s="8" t="s">
        <v>128</v>
      </c>
      <c r="D197" s="8" t="s">
        <v>30</v>
      </c>
      <c r="E197" s="8" t="s">
        <v>29</v>
      </c>
      <c r="G197" s="11">
        <v>13.9</v>
      </c>
      <c r="H197" s="11"/>
      <c r="I197" s="11">
        <v>21.4</v>
      </c>
      <c r="J197" s="11"/>
      <c r="K197" s="11">
        <v>28</v>
      </c>
      <c r="N197" s="11"/>
      <c r="O197" s="13">
        <f>AVERAGE(K197,I197,G197)</f>
        <v>21.099999999999998</v>
      </c>
    </row>
    <row r="198" spans="2:14" ht="12.75">
      <c r="B198" s="8"/>
      <c r="C198" s="8"/>
      <c r="G198" s="11"/>
      <c r="H198" s="11"/>
      <c r="I198" s="11"/>
      <c r="J198" s="11"/>
      <c r="K198" s="11"/>
      <c r="N198" s="11"/>
    </row>
    <row r="199" spans="2:15" ht="12.75">
      <c r="B199" s="8" t="s">
        <v>102</v>
      </c>
      <c r="C199" s="8" t="s">
        <v>189</v>
      </c>
      <c r="D199" s="8" t="s">
        <v>128</v>
      </c>
      <c r="G199" s="11"/>
      <c r="H199" s="11"/>
      <c r="I199" s="11"/>
      <c r="J199" s="11"/>
      <c r="K199" s="11"/>
      <c r="N199" s="11"/>
      <c r="O199" s="15"/>
    </row>
    <row r="200" spans="2:15" ht="12.75">
      <c r="B200" s="8" t="s">
        <v>93</v>
      </c>
      <c r="C200" s="8"/>
      <c r="D200" s="8" t="s">
        <v>36</v>
      </c>
      <c r="G200" s="16">
        <v>28658</v>
      </c>
      <c r="H200" s="16"/>
      <c r="I200" s="17">
        <v>29951</v>
      </c>
      <c r="J200" s="17"/>
      <c r="K200" s="16">
        <v>29548</v>
      </c>
      <c r="N200" s="11"/>
      <c r="O200" s="39">
        <f>AVERAGE(K200,I200,G200)</f>
        <v>29385.666666666668</v>
      </c>
    </row>
    <row r="201" spans="2:15" ht="12.75">
      <c r="B201" s="8" t="s">
        <v>96</v>
      </c>
      <c r="C201" s="8"/>
      <c r="D201" s="8" t="s">
        <v>37</v>
      </c>
      <c r="G201" s="16">
        <v>3.4</v>
      </c>
      <c r="H201" s="16"/>
      <c r="I201" s="16">
        <v>5.1</v>
      </c>
      <c r="J201" s="16"/>
      <c r="K201" s="16">
        <v>5.1</v>
      </c>
      <c r="N201" s="11"/>
      <c r="O201" s="15">
        <f>AVERAGE(K201,I201,G201)</f>
        <v>4.533333333333333</v>
      </c>
    </row>
    <row r="202" spans="2:15" ht="12.75">
      <c r="B202" s="8" t="s">
        <v>97</v>
      </c>
      <c r="C202" s="8"/>
      <c r="D202" s="8" t="s">
        <v>37</v>
      </c>
      <c r="G202" s="11">
        <v>15.8</v>
      </c>
      <c r="H202" s="16"/>
      <c r="I202" s="11">
        <v>13.6</v>
      </c>
      <c r="J202" s="16"/>
      <c r="K202" s="11">
        <v>14.1</v>
      </c>
      <c r="N202" s="11"/>
      <c r="O202" s="15">
        <f>AVERAGE(K202,I202,G202)</f>
        <v>14.5</v>
      </c>
    </row>
    <row r="203" spans="2:15" ht="12.75">
      <c r="B203" s="8" t="s">
        <v>92</v>
      </c>
      <c r="C203" s="8"/>
      <c r="D203" s="8" t="s">
        <v>38</v>
      </c>
      <c r="G203" s="11">
        <v>469</v>
      </c>
      <c r="H203" s="16"/>
      <c r="I203" s="11">
        <v>456</v>
      </c>
      <c r="J203" s="16"/>
      <c r="K203" s="11">
        <v>455</v>
      </c>
      <c r="N203" s="11"/>
      <c r="O203" s="39">
        <f>AVERAGE(K203,I203,G203)</f>
        <v>460</v>
      </c>
    </row>
    <row r="204" spans="2:15" ht="12.75">
      <c r="B204" s="8"/>
      <c r="C204" s="8"/>
      <c r="G204" s="16"/>
      <c r="H204" s="16"/>
      <c r="I204" s="16"/>
      <c r="J204" s="16"/>
      <c r="K204" s="16"/>
      <c r="N204" s="11"/>
      <c r="O204" s="15" t="s">
        <v>190</v>
      </c>
    </row>
    <row r="205" spans="2:15" ht="12.75">
      <c r="B205" s="20" t="s">
        <v>107</v>
      </c>
      <c r="C205" s="8" t="s">
        <v>128</v>
      </c>
      <c r="D205" s="8" t="s">
        <v>62</v>
      </c>
      <c r="E205" s="8" t="s">
        <v>29</v>
      </c>
      <c r="F205" s="8" t="s">
        <v>34</v>
      </c>
      <c r="G205" s="16">
        <v>0.83</v>
      </c>
      <c r="H205" s="8" t="s">
        <v>34</v>
      </c>
      <c r="I205" s="16">
        <v>0.88</v>
      </c>
      <c r="J205" s="8" t="s">
        <v>34</v>
      </c>
      <c r="K205" s="16">
        <v>0.91</v>
      </c>
      <c r="O205" s="15">
        <f>AVERAGE(K205,I205,G205)</f>
        <v>0.8733333333333334</v>
      </c>
    </row>
    <row r="206" spans="2:15" ht="12.75">
      <c r="B206" s="20" t="s">
        <v>103</v>
      </c>
      <c r="C206" s="8" t="s">
        <v>128</v>
      </c>
      <c r="D206" s="8" t="s">
        <v>62</v>
      </c>
      <c r="E206" s="8" t="s">
        <v>29</v>
      </c>
      <c r="F206" s="8" t="s">
        <v>34</v>
      </c>
      <c r="G206" s="16">
        <v>2.05</v>
      </c>
      <c r="H206" s="8" t="s">
        <v>34</v>
      </c>
      <c r="I206" s="16">
        <v>2.46</v>
      </c>
      <c r="J206" s="8" t="s">
        <v>34</v>
      </c>
      <c r="K206" s="16">
        <v>1.28</v>
      </c>
      <c r="O206" s="15">
        <f aca="true" t="shared" si="0" ref="O206:O216">AVERAGE(K206,I206,G206)</f>
        <v>1.93</v>
      </c>
    </row>
    <row r="207" spans="2:15" ht="12.75">
      <c r="B207" s="20" t="s">
        <v>104</v>
      </c>
      <c r="C207" s="8" t="s">
        <v>128</v>
      </c>
      <c r="D207" s="8" t="s">
        <v>62</v>
      </c>
      <c r="E207" s="8" t="s">
        <v>29</v>
      </c>
      <c r="G207" s="16">
        <v>49.2</v>
      </c>
      <c r="H207" s="8"/>
      <c r="I207" s="16">
        <v>54.19</v>
      </c>
      <c r="J207" s="8"/>
      <c r="K207" s="16">
        <v>58.67</v>
      </c>
      <c r="O207" s="15">
        <f t="shared" si="0"/>
        <v>54.02</v>
      </c>
    </row>
    <row r="208" spans="2:15" ht="12.75">
      <c r="B208" s="20" t="s">
        <v>105</v>
      </c>
      <c r="C208" s="8" t="s">
        <v>128</v>
      </c>
      <c r="D208" s="8" t="s">
        <v>62</v>
      </c>
      <c r="E208" s="8" t="s">
        <v>29</v>
      </c>
      <c r="F208" s="8" t="s">
        <v>34</v>
      </c>
      <c r="G208" s="16">
        <v>0.07</v>
      </c>
      <c r="H208" s="8" t="s">
        <v>34</v>
      </c>
      <c r="I208" s="16">
        <v>0.06</v>
      </c>
      <c r="J208" s="8" t="s">
        <v>34</v>
      </c>
      <c r="K208" s="16">
        <v>0.11</v>
      </c>
      <c r="O208" s="15">
        <f t="shared" si="0"/>
        <v>0.08</v>
      </c>
    </row>
    <row r="209" spans="2:15" ht="12.75">
      <c r="B209" s="20" t="s">
        <v>109</v>
      </c>
      <c r="C209" s="8" t="s">
        <v>128</v>
      </c>
      <c r="D209" s="8" t="s">
        <v>62</v>
      </c>
      <c r="E209" s="8" t="s">
        <v>29</v>
      </c>
      <c r="G209" s="16">
        <v>0.37</v>
      </c>
      <c r="H209" s="8"/>
      <c r="I209" s="16">
        <v>0.26</v>
      </c>
      <c r="J209" s="8"/>
      <c r="K209" s="16">
        <v>0.36</v>
      </c>
      <c r="O209" s="15">
        <f t="shared" si="0"/>
        <v>0.33</v>
      </c>
    </row>
    <row r="210" spans="2:15" ht="12.75">
      <c r="B210" s="20" t="s">
        <v>101</v>
      </c>
      <c r="C210" s="8" t="s">
        <v>128</v>
      </c>
      <c r="D210" s="8" t="s">
        <v>62</v>
      </c>
      <c r="E210" s="8" t="s">
        <v>29</v>
      </c>
      <c r="G210" s="16">
        <v>22.69</v>
      </c>
      <c r="H210" s="8"/>
      <c r="I210" s="16">
        <v>34.07</v>
      </c>
      <c r="J210" s="8"/>
      <c r="K210" s="16">
        <v>32.98</v>
      </c>
      <c r="O210" s="15">
        <f t="shared" si="0"/>
        <v>29.91333333333333</v>
      </c>
    </row>
    <row r="211" spans="2:15" ht="12.75">
      <c r="B211" s="20" t="s">
        <v>108</v>
      </c>
      <c r="C211" s="8" t="s">
        <v>128</v>
      </c>
      <c r="D211" s="8" t="s">
        <v>62</v>
      </c>
      <c r="E211" s="8" t="s">
        <v>29</v>
      </c>
      <c r="G211" s="16">
        <v>24.57</v>
      </c>
      <c r="H211" s="8"/>
      <c r="I211" s="16">
        <v>17.3</v>
      </c>
      <c r="J211" s="8"/>
      <c r="K211" s="16">
        <v>26.36</v>
      </c>
      <c r="O211" s="15">
        <f t="shared" si="0"/>
        <v>22.74333333333333</v>
      </c>
    </row>
    <row r="212" spans="2:15" ht="12.75">
      <c r="B212" t="s">
        <v>113</v>
      </c>
      <c r="C212" s="8" t="s">
        <v>128</v>
      </c>
      <c r="D212" s="8" t="s">
        <v>62</v>
      </c>
      <c r="E212" s="8" t="s">
        <v>29</v>
      </c>
      <c r="F212" s="8" t="s">
        <v>34</v>
      </c>
      <c r="G212" s="16">
        <v>0.27</v>
      </c>
      <c r="H212" s="8" t="s">
        <v>34</v>
      </c>
      <c r="I212" s="16">
        <v>0.29</v>
      </c>
      <c r="J212" s="8" t="s">
        <v>34</v>
      </c>
      <c r="K212" s="16">
        <v>0.41</v>
      </c>
      <c r="O212" s="15">
        <f t="shared" si="0"/>
        <v>0.3233333333333333</v>
      </c>
    </row>
    <row r="213" spans="2:15" ht="12.75">
      <c r="B213" t="s">
        <v>110</v>
      </c>
      <c r="C213" s="8" t="s">
        <v>128</v>
      </c>
      <c r="D213" s="8" t="s">
        <v>62</v>
      </c>
      <c r="E213" s="8" t="s">
        <v>29</v>
      </c>
      <c r="F213" s="8" t="s">
        <v>34</v>
      </c>
      <c r="G213" s="16">
        <v>0.61</v>
      </c>
      <c r="H213" s="8" t="s">
        <v>34</v>
      </c>
      <c r="I213" s="16">
        <v>1.88</v>
      </c>
      <c r="J213" s="8" t="s">
        <v>34</v>
      </c>
      <c r="K213" s="16">
        <v>0.43</v>
      </c>
      <c r="O213" s="15">
        <f t="shared" si="0"/>
        <v>0.9733333333333333</v>
      </c>
    </row>
    <row r="214" spans="2:15" ht="12.75">
      <c r="B214" t="s">
        <v>106</v>
      </c>
      <c r="C214" s="8" t="s">
        <v>128</v>
      </c>
      <c r="D214" s="8" t="s">
        <v>62</v>
      </c>
      <c r="E214" s="8" t="s">
        <v>29</v>
      </c>
      <c r="F214" s="8" t="s">
        <v>34</v>
      </c>
      <c r="G214" s="16">
        <v>1.33</v>
      </c>
      <c r="H214" s="8" t="s">
        <v>34</v>
      </c>
      <c r="I214" s="16">
        <v>0.59</v>
      </c>
      <c r="J214" s="8" t="s">
        <v>34</v>
      </c>
      <c r="K214" s="16">
        <v>1.46</v>
      </c>
      <c r="O214" s="15">
        <f t="shared" si="0"/>
        <v>1.1266666666666667</v>
      </c>
    </row>
    <row r="215" spans="2:15" ht="12.75">
      <c r="B215" s="20" t="s">
        <v>72</v>
      </c>
      <c r="C215" s="8" t="s">
        <v>128</v>
      </c>
      <c r="D215" s="20" t="s">
        <v>62</v>
      </c>
      <c r="E215" s="8" t="s">
        <v>29</v>
      </c>
      <c r="G215" s="15">
        <f>G209+G211</f>
        <v>24.94</v>
      </c>
      <c r="H215" s="15"/>
      <c r="I215" s="15">
        <f>I209+I211</f>
        <v>17.560000000000002</v>
      </c>
      <c r="J215" s="15"/>
      <c r="K215" s="15">
        <f>K209+K211</f>
        <v>26.72</v>
      </c>
      <c r="O215" s="15">
        <f t="shared" si="0"/>
        <v>23.073333333333334</v>
      </c>
    </row>
    <row r="216" spans="2:15" ht="12.75">
      <c r="B216" s="20" t="s">
        <v>73</v>
      </c>
      <c r="C216" s="8" t="s">
        <v>128</v>
      </c>
      <c r="D216" s="20" t="s">
        <v>62</v>
      </c>
      <c r="E216" s="8" t="s">
        <v>29</v>
      </c>
      <c r="G216" s="15">
        <f>G206/2+G208/2+G210</f>
        <v>23.75</v>
      </c>
      <c r="H216" s="15"/>
      <c r="I216" s="15">
        <f>I206/2+I208/2+I210</f>
        <v>35.33</v>
      </c>
      <c r="J216" s="15"/>
      <c r="K216" s="15">
        <f>K206/2+K208/2+K210</f>
        <v>33.675</v>
      </c>
      <c r="O216" s="15">
        <f t="shared" si="0"/>
        <v>30.918333333333333</v>
      </c>
    </row>
    <row r="217" spans="2:15" ht="12.75">
      <c r="B217" s="8"/>
      <c r="C217" s="8"/>
      <c r="D217" s="20"/>
      <c r="O217" s="15"/>
    </row>
    <row r="218" spans="2:15" ht="12.75">
      <c r="B218" s="8" t="s">
        <v>135</v>
      </c>
      <c r="C218" s="8" t="s">
        <v>129</v>
      </c>
      <c r="D218" s="20" t="s">
        <v>62</v>
      </c>
      <c r="E218" s="8" t="s">
        <v>29</v>
      </c>
      <c r="G218" s="9">
        <v>4.78</v>
      </c>
      <c r="I218" s="9">
        <v>36.82</v>
      </c>
      <c r="K218" s="9">
        <v>3.25</v>
      </c>
      <c r="O218" s="15">
        <f>AVERAGE(K218,I218,G218)</f>
        <v>14.950000000000001</v>
      </c>
    </row>
    <row r="221" spans="2:15" ht="12.75">
      <c r="B221" s="12" t="s">
        <v>179</v>
      </c>
      <c r="C221" s="12"/>
      <c r="G221" s="10" t="s">
        <v>117</v>
      </c>
      <c r="H221" s="10"/>
      <c r="I221" s="10" t="s">
        <v>118</v>
      </c>
      <c r="J221" s="10"/>
      <c r="K221" s="10" t="s">
        <v>119</v>
      </c>
      <c r="M221" s="9" t="s">
        <v>188</v>
      </c>
      <c r="N221" s="11"/>
      <c r="O221" s="11" t="s">
        <v>39</v>
      </c>
    </row>
    <row r="222" spans="2:15" ht="12.75">
      <c r="B222" s="8"/>
      <c r="C222" s="8"/>
      <c r="D222" s="2"/>
      <c r="E222" s="2"/>
      <c r="F222" s="2"/>
      <c r="G222" s="2"/>
      <c r="H222" s="2"/>
      <c r="I222" s="2"/>
      <c r="J222" s="2"/>
      <c r="K222" s="2"/>
      <c r="N222" s="11"/>
      <c r="O222" s="11"/>
    </row>
    <row r="223" spans="2:15" ht="12.75">
      <c r="B223" s="8" t="s">
        <v>99</v>
      </c>
      <c r="C223" s="8" t="s">
        <v>128</v>
      </c>
      <c r="D223" s="8" t="s">
        <v>30</v>
      </c>
      <c r="E223" s="8" t="s">
        <v>29</v>
      </c>
      <c r="G223" s="11">
        <v>34.9</v>
      </c>
      <c r="H223" s="11"/>
      <c r="I223" s="11">
        <v>26.2</v>
      </c>
      <c r="J223" s="11"/>
      <c r="K223" s="11">
        <v>11</v>
      </c>
      <c r="N223" s="11"/>
      <c r="O223" s="13">
        <f>AVERAGE(K223,I223,G223)</f>
        <v>24.03333333333333</v>
      </c>
    </row>
    <row r="224" spans="2:15" ht="12.75">
      <c r="B224" s="8" t="s">
        <v>31</v>
      </c>
      <c r="C224" s="9" t="s">
        <v>128</v>
      </c>
      <c r="D224" s="8" t="s">
        <v>30</v>
      </c>
      <c r="E224" s="8" t="s">
        <v>29</v>
      </c>
      <c r="G224" s="14">
        <f>(104.63*24.4)/36.465</f>
        <v>70.01157274098449</v>
      </c>
      <c r="H224" s="14"/>
      <c r="I224" s="14">
        <f>(122.69*24.4)/36.465</f>
        <v>82.09614699026463</v>
      </c>
      <c r="J224" s="14"/>
      <c r="K224" s="14">
        <f>(119.51*24.4)/36.465</f>
        <v>79.96829836829836</v>
      </c>
      <c r="N224" s="11"/>
      <c r="O224" s="14">
        <f>AVERAGE(K224,I224,G224)</f>
        <v>77.35867269984915</v>
      </c>
    </row>
    <row r="225" spans="2:15" ht="12.75">
      <c r="B225" s="8" t="s">
        <v>35</v>
      </c>
      <c r="C225" s="9" t="s">
        <v>128</v>
      </c>
      <c r="D225" s="8" t="s">
        <v>30</v>
      </c>
      <c r="E225" s="8" t="s">
        <v>29</v>
      </c>
      <c r="G225" s="14">
        <f>(60.71*24.4)/70.914</f>
        <v>20.889020503708714</v>
      </c>
      <c r="H225" s="14"/>
      <c r="I225" s="14">
        <f>(50.83*24.4)/70.914</f>
        <v>17.489522520235777</v>
      </c>
      <c r="J225" s="14"/>
      <c r="K225" s="14">
        <f>(49.96*24.4)/70.914</f>
        <v>17.19017401359393</v>
      </c>
      <c r="N225" s="11"/>
      <c r="O225" s="14">
        <f>AVERAGE(K225,I225,G225)</f>
        <v>18.522905679179473</v>
      </c>
    </row>
    <row r="226" spans="2:15" ht="12.75">
      <c r="B226" s="9" t="s">
        <v>98</v>
      </c>
      <c r="C226" s="9" t="s">
        <v>128</v>
      </c>
      <c r="D226" s="8" t="s">
        <v>30</v>
      </c>
      <c r="E226" s="8" t="s">
        <v>29</v>
      </c>
      <c r="G226" s="39">
        <f>2*G225+G224</f>
        <v>111.78961374840192</v>
      </c>
      <c r="H226" s="39"/>
      <c r="I226" s="39">
        <f>2*I225+I224</f>
        <v>117.07519203073619</v>
      </c>
      <c r="J226" s="39"/>
      <c r="K226" s="39">
        <f>2*K225+K224</f>
        <v>114.34864639548621</v>
      </c>
      <c r="O226" s="14">
        <f>AVERAGE(K226,I226,G226)</f>
        <v>114.4044840582081</v>
      </c>
    </row>
    <row r="227" spans="2:14" ht="12.75">
      <c r="B227" s="8"/>
      <c r="C227" s="8"/>
      <c r="G227" s="11"/>
      <c r="H227" s="11"/>
      <c r="I227" s="11"/>
      <c r="J227" s="11"/>
      <c r="K227" s="11"/>
      <c r="N227" s="11"/>
    </row>
    <row r="228" spans="2:14" ht="12.75">
      <c r="B228" s="8" t="s">
        <v>102</v>
      </c>
      <c r="C228" s="8" t="s">
        <v>191</v>
      </c>
      <c r="D228" s="8" t="s">
        <v>128</v>
      </c>
      <c r="G228" s="11"/>
      <c r="H228" s="11"/>
      <c r="I228" s="11"/>
      <c r="J228" s="11"/>
      <c r="K228" s="11"/>
      <c r="N228" s="11"/>
    </row>
    <row r="229" spans="2:15" ht="12.75">
      <c r="B229" s="8" t="s">
        <v>93</v>
      </c>
      <c r="C229" s="8"/>
      <c r="D229" s="8" t="s">
        <v>36</v>
      </c>
      <c r="G229" s="11">
        <v>29795</v>
      </c>
      <c r="H229" s="11"/>
      <c r="I229" s="14">
        <v>28677</v>
      </c>
      <c r="J229" s="14"/>
      <c r="K229" s="11">
        <v>29091</v>
      </c>
      <c r="N229" s="11"/>
      <c r="O229" s="39">
        <f>AVERAGE(K229,I229,G229)</f>
        <v>29187.666666666668</v>
      </c>
    </row>
    <row r="230" spans="2:15" ht="12.75">
      <c r="B230" s="8" t="s">
        <v>96</v>
      </c>
      <c r="C230" s="8"/>
      <c r="D230" s="8" t="s">
        <v>37</v>
      </c>
      <c r="G230" s="11">
        <v>1.9</v>
      </c>
      <c r="H230" s="11"/>
      <c r="I230" s="11">
        <v>3</v>
      </c>
      <c r="J230" s="11"/>
      <c r="K230" s="11">
        <v>2.5</v>
      </c>
      <c r="N230" s="11"/>
      <c r="O230" s="15">
        <f>AVERAGE(K230,I230,G230)</f>
        <v>2.466666666666667</v>
      </c>
    </row>
    <row r="231" spans="2:15" ht="12.75">
      <c r="B231" s="8" t="s">
        <v>97</v>
      </c>
      <c r="C231" s="8"/>
      <c r="D231" s="8" t="s">
        <v>37</v>
      </c>
      <c r="G231" s="11">
        <v>13.3</v>
      </c>
      <c r="H231" s="11"/>
      <c r="I231" s="11">
        <v>13.2</v>
      </c>
      <c r="J231" s="11"/>
      <c r="K231" s="11">
        <v>13.1</v>
      </c>
      <c r="N231" s="11"/>
      <c r="O231" s="15">
        <f>AVERAGE(K231,I231,G231)</f>
        <v>13.199999999999998</v>
      </c>
    </row>
    <row r="232" spans="2:15" ht="12.75">
      <c r="B232" s="8" t="s">
        <v>92</v>
      </c>
      <c r="C232" s="8"/>
      <c r="D232" s="8" t="s">
        <v>38</v>
      </c>
      <c r="G232" s="11">
        <v>466</v>
      </c>
      <c r="H232" s="11"/>
      <c r="I232" s="11">
        <v>454</v>
      </c>
      <c r="J232" s="11"/>
      <c r="K232" s="11">
        <v>463</v>
      </c>
      <c r="N232" s="11"/>
      <c r="O232" s="39">
        <f>AVERAGE(K232,I232,G232)</f>
        <v>461</v>
      </c>
    </row>
    <row r="233" spans="2:15" ht="12.75">
      <c r="B233" s="8"/>
      <c r="C233" s="8"/>
      <c r="G233" s="11"/>
      <c r="H233" s="11"/>
      <c r="I233" s="11"/>
      <c r="J233" s="11"/>
      <c r="K233" s="11"/>
      <c r="N233" s="11"/>
      <c r="O233" s="15"/>
    </row>
    <row r="234" spans="2:15" ht="12.75">
      <c r="B234" s="8" t="s">
        <v>102</v>
      </c>
      <c r="C234" s="8" t="s">
        <v>189</v>
      </c>
      <c r="D234" s="8" t="s">
        <v>129</v>
      </c>
      <c r="G234" s="11"/>
      <c r="H234" s="11"/>
      <c r="I234" s="11"/>
      <c r="J234" s="11"/>
      <c r="K234" s="11"/>
      <c r="N234" s="11"/>
      <c r="O234" s="15"/>
    </row>
    <row r="235" spans="2:15" ht="12.75">
      <c r="B235" s="8" t="s">
        <v>93</v>
      </c>
      <c r="C235" s="8"/>
      <c r="D235" s="8" t="s">
        <v>36</v>
      </c>
      <c r="G235" s="16">
        <v>29882</v>
      </c>
      <c r="H235" s="16"/>
      <c r="I235" s="17">
        <v>31925</v>
      </c>
      <c r="J235" s="17"/>
      <c r="K235" s="16">
        <v>31672</v>
      </c>
      <c r="N235" s="11"/>
      <c r="O235" s="15">
        <f>AVERAGE(K235,I235,G235)</f>
        <v>31159.666666666668</v>
      </c>
    </row>
    <row r="236" spans="2:15" ht="12.75">
      <c r="B236" s="8" t="s">
        <v>96</v>
      </c>
      <c r="C236" s="8"/>
      <c r="D236" s="8" t="s">
        <v>37</v>
      </c>
      <c r="G236" s="11">
        <v>2.8</v>
      </c>
      <c r="H236" s="16"/>
      <c r="I236" s="11">
        <v>4.9</v>
      </c>
      <c r="J236" s="16"/>
      <c r="K236" s="11">
        <v>3.6</v>
      </c>
      <c r="N236" s="11"/>
      <c r="O236" s="15">
        <f>AVERAGE(K236,I236,G236)</f>
        <v>3.766666666666667</v>
      </c>
    </row>
    <row r="237" spans="2:15" ht="12.75">
      <c r="B237" s="8" t="s">
        <v>97</v>
      </c>
      <c r="C237" s="8"/>
      <c r="D237" s="8" t="s">
        <v>37</v>
      </c>
      <c r="G237" s="16">
        <v>12.6</v>
      </c>
      <c r="H237" s="16"/>
      <c r="I237" s="16">
        <v>12.8</v>
      </c>
      <c r="J237" s="16"/>
      <c r="K237" s="16">
        <v>12.6</v>
      </c>
      <c r="N237" s="11"/>
      <c r="O237" s="15">
        <f>AVERAGE(K237,I237,G237)</f>
        <v>12.666666666666666</v>
      </c>
    </row>
    <row r="238" spans="2:15" ht="12.75">
      <c r="B238" s="8" t="s">
        <v>92</v>
      </c>
      <c r="C238" s="8"/>
      <c r="D238" s="8" t="s">
        <v>38</v>
      </c>
      <c r="G238" s="16">
        <v>500</v>
      </c>
      <c r="H238" s="16"/>
      <c r="I238" s="16">
        <v>503</v>
      </c>
      <c r="J238" s="16"/>
      <c r="K238" s="16">
        <v>499</v>
      </c>
      <c r="N238" s="11"/>
      <c r="O238" s="15">
        <f>AVERAGE(K238,I238,G238)</f>
        <v>500.6666666666667</v>
      </c>
    </row>
    <row r="239" spans="2:15" ht="12.75">
      <c r="B239" s="8"/>
      <c r="C239" s="8"/>
      <c r="G239" s="16"/>
      <c r="H239" s="16"/>
      <c r="I239" s="16"/>
      <c r="J239" s="16"/>
      <c r="K239" s="16"/>
      <c r="N239" s="11"/>
      <c r="O239" s="15"/>
    </row>
    <row r="240" spans="2:15" ht="12.75">
      <c r="B240" s="20" t="s">
        <v>107</v>
      </c>
      <c r="C240" s="8" t="s">
        <v>129</v>
      </c>
      <c r="D240" s="8" t="s">
        <v>62</v>
      </c>
      <c r="E240" s="8" t="s">
        <v>29</v>
      </c>
      <c r="F240" s="8" t="s">
        <v>34</v>
      </c>
      <c r="G240" s="16">
        <v>0.74</v>
      </c>
      <c r="H240" s="8" t="s">
        <v>34</v>
      </c>
      <c r="I240" s="16">
        <v>3.12</v>
      </c>
      <c r="J240" s="8" t="s">
        <v>34</v>
      </c>
      <c r="K240" s="16">
        <v>0.75</v>
      </c>
      <c r="O240" s="15">
        <f>AVERAGE(K240,I240,G240)</f>
        <v>1.5366666666666668</v>
      </c>
    </row>
    <row r="241" spans="2:15" ht="12.75">
      <c r="B241" s="20" t="s">
        <v>103</v>
      </c>
      <c r="C241" s="8" t="s">
        <v>129</v>
      </c>
      <c r="D241" s="8" t="s">
        <v>62</v>
      </c>
      <c r="E241" s="8" t="s">
        <v>29</v>
      </c>
      <c r="F241" s="8" t="s">
        <v>34</v>
      </c>
      <c r="G241" s="16">
        <v>0.94</v>
      </c>
      <c r="H241" s="8"/>
      <c r="I241" s="16">
        <v>4.96</v>
      </c>
      <c r="J241" s="8" t="s">
        <v>34</v>
      </c>
      <c r="K241" s="16">
        <v>2.06</v>
      </c>
      <c r="O241" s="15">
        <f aca="true" t="shared" si="1" ref="O241:O251">AVERAGE(K241,I241,G241)</f>
        <v>2.653333333333333</v>
      </c>
    </row>
    <row r="242" spans="2:15" ht="12.75">
      <c r="B242" s="20" t="s">
        <v>104</v>
      </c>
      <c r="C242" s="8" t="s">
        <v>129</v>
      </c>
      <c r="D242" s="8" t="s">
        <v>62</v>
      </c>
      <c r="E242" s="8" t="s">
        <v>29</v>
      </c>
      <c r="G242" s="16">
        <v>45.75</v>
      </c>
      <c r="H242" s="8"/>
      <c r="I242" s="16">
        <v>49.53</v>
      </c>
      <c r="J242" s="8"/>
      <c r="K242" s="16">
        <v>48.95</v>
      </c>
      <c r="O242" s="15">
        <f t="shared" si="1"/>
        <v>48.076666666666675</v>
      </c>
    </row>
    <row r="243" spans="2:15" ht="12.75">
      <c r="B243" s="20" t="s">
        <v>105</v>
      </c>
      <c r="C243" s="8" t="s">
        <v>129</v>
      </c>
      <c r="D243" s="8" t="s">
        <v>62</v>
      </c>
      <c r="E243" s="8" t="s">
        <v>29</v>
      </c>
      <c r="F243" s="8" t="s">
        <v>34</v>
      </c>
      <c r="G243" s="16">
        <v>0.05</v>
      </c>
      <c r="H243" s="8"/>
      <c r="I243" s="16">
        <v>0.1</v>
      </c>
      <c r="J243" s="8" t="s">
        <v>34</v>
      </c>
      <c r="K243" s="16">
        <v>0.09</v>
      </c>
      <c r="O243" s="15">
        <f t="shared" si="1"/>
        <v>0.08</v>
      </c>
    </row>
    <row r="244" spans="2:15" ht="12.75">
      <c r="B244" s="20" t="s">
        <v>109</v>
      </c>
      <c r="C244" s="8" t="s">
        <v>129</v>
      </c>
      <c r="D244" s="8" t="s">
        <v>62</v>
      </c>
      <c r="E244" s="8" t="s">
        <v>29</v>
      </c>
      <c r="G244" s="16">
        <v>0.45</v>
      </c>
      <c r="H244" s="8" t="s">
        <v>34</v>
      </c>
      <c r="I244" s="16">
        <v>0.74</v>
      </c>
      <c r="J244" s="8"/>
      <c r="K244" s="16">
        <v>0.31</v>
      </c>
      <c r="O244" s="15">
        <f t="shared" si="1"/>
        <v>0.5</v>
      </c>
    </row>
    <row r="245" spans="2:15" ht="12.75">
      <c r="B245" s="20" t="s">
        <v>101</v>
      </c>
      <c r="C245" s="8" t="s">
        <v>129</v>
      </c>
      <c r="D245" s="8" t="s">
        <v>62</v>
      </c>
      <c r="E245" s="8" t="s">
        <v>29</v>
      </c>
      <c r="G245" s="16">
        <v>9.8</v>
      </c>
      <c r="I245" s="16">
        <v>48.21</v>
      </c>
      <c r="J245" s="8"/>
      <c r="K245" s="16">
        <v>21.19</v>
      </c>
      <c r="O245" s="15">
        <f t="shared" si="1"/>
        <v>26.400000000000002</v>
      </c>
    </row>
    <row r="246" spans="2:15" ht="12.75">
      <c r="B246" s="20" t="s">
        <v>108</v>
      </c>
      <c r="C246" s="8" t="s">
        <v>129</v>
      </c>
      <c r="D246" s="8" t="s">
        <v>62</v>
      </c>
      <c r="E246" s="8" t="s">
        <v>29</v>
      </c>
      <c r="G246" s="16">
        <v>9.46</v>
      </c>
      <c r="I246" s="16">
        <v>23.76</v>
      </c>
      <c r="J246" s="8"/>
      <c r="K246" s="16">
        <v>20.03</v>
      </c>
      <c r="O246" s="15">
        <f t="shared" si="1"/>
        <v>17.750000000000004</v>
      </c>
    </row>
    <row r="247" spans="2:15" ht="12.75">
      <c r="B247" t="s">
        <v>113</v>
      </c>
      <c r="C247" s="8" t="s">
        <v>129</v>
      </c>
      <c r="D247" s="8" t="s">
        <v>62</v>
      </c>
      <c r="E247" s="8" t="s">
        <v>29</v>
      </c>
      <c r="F247" s="8" t="s">
        <v>34</v>
      </c>
      <c r="G247" s="16">
        <v>0.12</v>
      </c>
      <c r="H247" s="8" t="s">
        <v>34</v>
      </c>
      <c r="I247" s="16">
        <v>0.132</v>
      </c>
      <c r="J247" s="8" t="s">
        <v>34</v>
      </c>
      <c r="K247" s="16">
        <v>0.13</v>
      </c>
      <c r="O247" s="15">
        <f t="shared" si="1"/>
        <v>0.12733333333333333</v>
      </c>
    </row>
    <row r="248" spans="2:15" ht="12.75">
      <c r="B248" t="s">
        <v>110</v>
      </c>
      <c r="C248" s="8" t="s">
        <v>129</v>
      </c>
      <c r="D248" s="8" t="s">
        <v>62</v>
      </c>
      <c r="E248" s="8" t="s">
        <v>29</v>
      </c>
      <c r="F248" s="8" t="s">
        <v>34</v>
      </c>
      <c r="G248" s="16">
        <v>0.27</v>
      </c>
      <c r="H248" s="8" t="s">
        <v>34</v>
      </c>
      <c r="I248" s="16">
        <v>0.019</v>
      </c>
      <c r="J248" s="8" t="s">
        <v>34</v>
      </c>
      <c r="K248" s="16">
        <v>0.27</v>
      </c>
      <c r="O248" s="15">
        <f t="shared" si="1"/>
        <v>0.18633333333333335</v>
      </c>
    </row>
    <row r="249" spans="2:15" ht="12.75">
      <c r="B249" t="s">
        <v>106</v>
      </c>
      <c r="C249" s="8" t="s">
        <v>129</v>
      </c>
      <c r="D249" s="8" t="s">
        <v>62</v>
      </c>
      <c r="E249" s="8" t="s">
        <v>29</v>
      </c>
      <c r="F249" s="8" t="s">
        <v>34</v>
      </c>
      <c r="G249" s="16">
        <v>0.5</v>
      </c>
      <c r="H249" s="8" t="s">
        <v>34</v>
      </c>
      <c r="I249" s="16">
        <v>0.08</v>
      </c>
      <c r="J249" s="8" t="s">
        <v>34</v>
      </c>
      <c r="K249" s="16">
        <v>0.85</v>
      </c>
      <c r="O249" s="15">
        <f t="shared" si="1"/>
        <v>0.4766666666666666</v>
      </c>
    </row>
    <row r="250" spans="2:15" ht="12.75">
      <c r="B250" s="20" t="s">
        <v>72</v>
      </c>
      <c r="C250" s="8" t="s">
        <v>129</v>
      </c>
      <c r="D250" s="20" t="s">
        <v>62</v>
      </c>
      <c r="E250" s="8" t="s">
        <v>29</v>
      </c>
      <c r="G250" s="15">
        <f>G244+G246</f>
        <v>9.91</v>
      </c>
      <c r="H250" s="15"/>
      <c r="I250" s="15">
        <f>I244/2+I246</f>
        <v>24.130000000000003</v>
      </c>
      <c r="J250" s="15"/>
      <c r="K250" s="15">
        <f>K244+K246</f>
        <v>20.34</v>
      </c>
      <c r="O250" s="15">
        <f t="shared" si="1"/>
        <v>18.126666666666665</v>
      </c>
    </row>
    <row r="251" spans="2:15" ht="12.75">
      <c r="B251" s="20" t="s">
        <v>73</v>
      </c>
      <c r="C251" s="8" t="s">
        <v>129</v>
      </c>
      <c r="D251" s="20" t="s">
        <v>62</v>
      </c>
      <c r="E251" s="8" t="s">
        <v>29</v>
      </c>
      <c r="G251" s="15">
        <f>G241/2+G243/2+G245</f>
        <v>10.295</v>
      </c>
      <c r="H251" s="15"/>
      <c r="I251" s="15">
        <f>I241+I243+I245</f>
        <v>53.27</v>
      </c>
      <c r="J251" s="15"/>
      <c r="K251" s="15">
        <f>K241/2+K243/2+K245</f>
        <v>22.265</v>
      </c>
      <c r="O251" s="15">
        <f t="shared" si="1"/>
        <v>28.61</v>
      </c>
    </row>
    <row r="252" spans="2:15" ht="12.75">
      <c r="B252" s="8"/>
      <c r="C252" s="8"/>
      <c r="D252" s="20"/>
      <c r="O252" s="15"/>
    </row>
    <row r="253" spans="2:15" ht="12.75">
      <c r="B253" s="8" t="s">
        <v>135</v>
      </c>
      <c r="C253" s="8" t="s">
        <v>130</v>
      </c>
      <c r="D253" s="20" t="s">
        <v>62</v>
      </c>
      <c r="E253" s="8" t="s">
        <v>29</v>
      </c>
      <c r="G253" s="9">
        <v>10.86</v>
      </c>
      <c r="I253" s="9">
        <v>9.89</v>
      </c>
      <c r="K253" s="9">
        <v>22.17</v>
      </c>
      <c r="O253" s="15">
        <f>AVERAGE(K253,I253,G253)</f>
        <v>14.306666666666667</v>
      </c>
    </row>
    <row r="256" spans="2:15" ht="12.75">
      <c r="B256" s="12" t="s">
        <v>182</v>
      </c>
      <c r="C256" s="12"/>
      <c r="G256" s="10" t="s">
        <v>117</v>
      </c>
      <c r="H256" s="10"/>
      <c r="I256" s="10" t="s">
        <v>118</v>
      </c>
      <c r="J256" s="10"/>
      <c r="K256" s="10" t="s">
        <v>119</v>
      </c>
      <c r="M256" s="9" t="s">
        <v>188</v>
      </c>
      <c r="N256" s="11"/>
      <c r="O256" s="11" t="s">
        <v>39</v>
      </c>
    </row>
    <row r="257" spans="2:15" ht="12.75">
      <c r="B257" s="8"/>
      <c r="C257" s="8"/>
      <c r="D257" s="2"/>
      <c r="E257" s="2"/>
      <c r="F257" s="2"/>
      <c r="G257" s="2"/>
      <c r="H257" s="2"/>
      <c r="I257" s="2"/>
      <c r="J257" s="2"/>
      <c r="K257" s="2" t="s">
        <v>187</v>
      </c>
      <c r="N257" s="11"/>
      <c r="O257" s="11"/>
    </row>
    <row r="258" spans="2:15" ht="12.75">
      <c r="B258" s="8" t="s">
        <v>99</v>
      </c>
      <c r="C258" s="8" t="s">
        <v>128</v>
      </c>
      <c r="D258" s="8" t="s">
        <v>30</v>
      </c>
      <c r="E258" s="8" t="s">
        <v>29</v>
      </c>
      <c r="G258" s="11">
        <v>4.2</v>
      </c>
      <c r="H258" s="11"/>
      <c r="I258" s="11">
        <v>2.2</v>
      </c>
      <c r="J258" s="11"/>
      <c r="K258" s="11">
        <v>1.4</v>
      </c>
      <c r="N258" s="11"/>
      <c r="O258" s="13">
        <f>AVERAGE(K258,I258,G258)</f>
        <v>2.6</v>
      </c>
    </row>
    <row r="259" spans="2:15" ht="12.75">
      <c r="B259" s="8"/>
      <c r="C259" s="8"/>
      <c r="G259" s="11"/>
      <c r="H259" s="11"/>
      <c r="I259" s="11"/>
      <c r="J259" s="11"/>
      <c r="K259" s="11"/>
      <c r="N259" s="11"/>
      <c r="O259" s="11"/>
    </row>
    <row r="260" spans="2:14" ht="12.75">
      <c r="B260" s="8" t="s">
        <v>102</v>
      </c>
      <c r="C260" s="8"/>
      <c r="D260" s="8" t="s">
        <v>128</v>
      </c>
      <c r="G260" s="11"/>
      <c r="H260" s="11"/>
      <c r="I260" s="11"/>
      <c r="J260" s="11"/>
      <c r="K260" s="11"/>
      <c r="N260" s="11"/>
    </row>
    <row r="261" spans="2:15" ht="12.75">
      <c r="B261" s="8" t="s">
        <v>93</v>
      </c>
      <c r="C261" s="8"/>
      <c r="D261" s="8" t="s">
        <v>36</v>
      </c>
      <c r="G261" s="11">
        <v>31121</v>
      </c>
      <c r="H261" s="11"/>
      <c r="I261" s="14">
        <v>31779</v>
      </c>
      <c r="J261" s="14"/>
      <c r="K261" s="11">
        <v>33461</v>
      </c>
      <c r="N261" s="11"/>
      <c r="O261" s="14">
        <f>AVERAGE(K261,I261,G261)</f>
        <v>32120.333333333332</v>
      </c>
    </row>
    <row r="262" spans="2:15" ht="12.75">
      <c r="B262" s="8" t="s">
        <v>96</v>
      </c>
      <c r="C262" s="8"/>
      <c r="D262" s="8" t="s">
        <v>37</v>
      </c>
      <c r="G262" s="11">
        <v>3.3</v>
      </c>
      <c r="H262" s="11"/>
      <c r="I262" s="11">
        <v>2.9</v>
      </c>
      <c r="J262" s="11"/>
      <c r="K262" s="11">
        <v>3.7</v>
      </c>
      <c r="N262" s="11"/>
      <c r="O262" s="13">
        <f>AVERAGE(K262,I262,G262)</f>
        <v>3.2999999999999994</v>
      </c>
    </row>
    <row r="263" spans="2:15" ht="12.75">
      <c r="B263" s="8" t="s">
        <v>97</v>
      </c>
      <c r="C263" s="8"/>
      <c r="D263" s="8" t="s">
        <v>37</v>
      </c>
      <c r="G263" s="11">
        <v>12.9</v>
      </c>
      <c r="H263" s="11"/>
      <c r="I263" s="11">
        <v>12.5</v>
      </c>
      <c r="J263" s="11"/>
      <c r="K263" s="11">
        <v>12.5</v>
      </c>
      <c r="N263" s="11"/>
      <c r="O263" s="13">
        <f>AVERAGE(K263,I263,G263)</f>
        <v>12.633333333333333</v>
      </c>
    </row>
    <row r="264" spans="2:15" ht="12.75">
      <c r="B264" s="8" t="s">
        <v>92</v>
      </c>
      <c r="C264" s="8"/>
      <c r="D264" s="8" t="s">
        <v>38</v>
      </c>
      <c r="G264" s="11">
        <v>508</v>
      </c>
      <c r="H264" s="11"/>
      <c r="I264" s="11">
        <v>507</v>
      </c>
      <c r="J264" s="11"/>
      <c r="K264" s="11">
        <v>497</v>
      </c>
      <c r="N264" s="11"/>
      <c r="O264" s="14">
        <f>AVERAGE(K264,I264,G264)</f>
        <v>504</v>
      </c>
    </row>
    <row r="267" spans="2:15" ht="12.75">
      <c r="B267" s="12" t="s">
        <v>184</v>
      </c>
      <c r="C267" s="12"/>
      <c r="G267" s="10" t="s">
        <v>117</v>
      </c>
      <c r="H267" s="10"/>
      <c r="I267" s="10" t="s">
        <v>118</v>
      </c>
      <c r="J267" s="10"/>
      <c r="K267" s="10" t="s">
        <v>119</v>
      </c>
      <c r="M267" s="9" t="s">
        <v>188</v>
      </c>
      <c r="N267" s="11"/>
      <c r="O267" s="11" t="s">
        <v>39</v>
      </c>
    </row>
    <row r="268" spans="2:15" ht="12.75">
      <c r="B268" s="8"/>
      <c r="C268" s="8"/>
      <c r="D268" s="2"/>
      <c r="E268" s="2"/>
      <c r="F268" s="2"/>
      <c r="G268" s="2"/>
      <c r="H268" s="2"/>
      <c r="I268" s="2"/>
      <c r="J268" s="2"/>
      <c r="K268" s="2" t="s">
        <v>187</v>
      </c>
      <c r="N268" s="11"/>
      <c r="O268" s="11"/>
    </row>
    <row r="269" spans="2:15" ht="12.75">
      <c r="B269" s="8" t="s">
        <v>99</v>
      </c>
      <c r="C269" s="8" t="s">
        <v>128</v>
      </c>
      <c r="D269" s="8" t="s">
        <v>30</v>
      </c>
      <c r="E269" s="8" t="s">
        <v>29</v>
      </c>
      <c r="G269" s="11">
        <v>0</v>
      </c>
      <c r="H269" s="11"/>
      <c r="I269" s="11">
        <v>0</v>
      </c>
      <c r="J269" s="11"/>
      <c r="K269" s="11">
        <v>0.1</v>
      </c>
      <c r="N269" s="11"/>
      <c r="O269" s="13">
        <f>AVERAGE(K269,I269,G269)</f>
        <v>0.03333333333333333</v>
      </c>
    </row>
    <row r="270" spans="2:15" ht="12.75">
      <c r="B270" s="8"/>
      <c r="C270" s="8"/>
      <c r="G270" s="11"/>
      <c r="H270" s="11"/>
      <c r="I270" s="11"/>
      <c r="J270" s="11"/>
      <c r="K270" s="11"/>
      <c r="N270" s="11"/>
      <c r="O270" s="11"/>
    </row>
    <row r="271" spans="2:14" ht="12.75">
      <c r="B271" s="8" t="s">
        <v>102</v>
      </c>
      <c r="C271" s="8"/>
      <c r="D271" s="8" t="s">
        <v>128</v>
      </c>
      <c r="G271" s="11"/>
      <c r="H271" s="11"/>
      <c r="I271" s="11"/>
      <c r="J271" s="11"/>
      <c r="K271" s="11"/>
      <c r="N271" s="11"/>
    </row>
    <row r="272" spans="2:15" ht="12.75">
      <c r="B272" s="8" t="s">
        <v>93</v>
      </c>
      <c r="C272" s="8"/>
      <c r="D272" s="8" t="s">
        <v>36</v>
      </c>
      <c r="G272" s="11">
        <v>20458</v>
      </c>
      <c r="H272" s="11"/>
      <c r="I272" s="14">
        <v>21582</v>
      </c>
      <c r="J272" s="14"/>
      <c r="K272" s="11">
        <v>19498</v>
      </c>
      <c r="N272" s="11"/>
      <c r="O272" s="14">
        <f>AVERAGE(K272,I272,G272)</f>
        <v>20512.666666666668</v>
      </c>
    </row>
    <row r="273" spans="2:15" ht="12.75">
      <c r="B273" s="8" t="s">
        <v>96</v>
      </c>
      <c r="C273" s="8"/>
      <c r="D273" s="8" t="s">
        <v>37</v>
      </c>
      <c r="G273" s="11">
        <v>6.9</v>
      </c>
      <c r="H273" s="11"/>
      <c r="I273" s="11">
        <v>5.3</v>
      </c>
      <c r="J273" s="11"/>
      <c r="K273" s="11">
        <v>10.1</v>
      </c>
      <c r="N273" s="11"/>
      <c r="O273" s="13">
        <f>AVERAGE(K273,I273,G273)</f>
        <v>7.433333333333333</v>
      </c>
    </row>
    <row r="274" spans="2:15" ht="12.75">
      <c r="B274" s="8" t="s">
        <v>97</v>
      </c>
      <c r="C274" s="8"/>
      <c r="D274" s="8" t="s">
        <v>37</v>
      </c>
      <c r="G274" s="11">
        <v>8.4</v>
      </c>
      <c r="H274" s="11"/>
      <c r="I274" s="11">
        <v>8.5</v>
      </c>
      <c r="J274" s="11"/>
      <c r="K274" s="11">
        <v>8</v>
      </c>
      <c r="N274" s="11"/>
      <c r="O274" s="13">
        <f>AVERAGE(K274,I274,G274)</f>
        <v>8.299999999999999</v>
      </c>
    </row>
    <row r="275" spans="2:15" ht="12.75">
      <c r="B275" s="8" t="s">
        <v>92</v>
      </c>
      <c r="C275" s="8"/>
      <c r="D275" s="8" t="s">
        <v>38</v>
      </c>
      <c r="G275" s="11">
        <v>394</v>
      </c>
      <c r="H275" s="11"/>
      <c r="I275" s="11">
        <v>403</v>
      </c>
      <c r="J275" s="11"/>
      <c r="K275" s="11">
        <v>388</v>
      </c>
      <c r="N275" s="11"/>
      <c r="O275" s="14">
        <f>AVERAGE(K275,I275,G275)</f>
        <v>395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490"/>
  <sheetViews>
    <sheetView zoomScale="75" zoomScaleNormal="75" workbookViewId="0" topLeftCell="B439">
      <selection activeCell="C18" sqref="C18"/>
    </sheetView>
  </sheetViews>
  <sheetFormatPr defaultColWidth="9.140625" defaultRowHeight="12.75"/>
  <cols>
    <col min="1" max="1" width="9.140625" style="21" hidden="1" customWidth="1"/>
    <col min="2" max="2" width="21.28125" style="20" customWidth="1"/>
    <col min="3" max="3" width="8.57421875" style="20" customWidth="1"/>
    <col min="4" max="4" width="9.7109375" style="20" customWidth="1"/>
    <col min="5" max="5" width="4.28125" style="21" customWidth="1"/>
    <col min="6" max="6" width="12.28125" style="21" customWidth="1"/>
    <col min="7" max="7" width="4.140625" style="21" customWidth="1"/>
    <col min="8" max="8" width="10.28125" style="21" customWidth="1"/>
    <col min="9" max="9" width="4.140625" style="21" customWidth="1"/>
    <col min="10" max="10" width="8.7109375" style="21" customWidth="1"/>
    <col min="11" max="11" width="4.00390625" style="21" customWidth="1"/>
    <col min="12" max="12" width="10.00390625" style="22" customWidth="1"/>
    <col min="13" max="13" width="3.421875" style="22" customWidth="1"/>
    <col min="14" max="14" width="12.140625" style="22" customWidth="1"/>
    <col min="15" max="15" width="3.421875" style="22" customWidth="1"/>
    <col min="16" max="16" width="11.00390625" style="22" customWidth="1"/>
    <col min="17" max="17" width="3.421875" style="22" customWidth="1"/>
    <col min="18" max="18" width="9.140625" style="22" customWidth="1"/>
    <col min="19" max="19" width="3.421875" style="22" customWidth="1"/>
    <col min="20" max="20" width="9.00390625" style="21" customWidth="1"/>
    <col min="21" max="21" width="1.8515625" style="21" customWidth="1"/>
    <col min="22" max="22" width="9.57421875" style="21" customWidth="1"/>
    <col min="23" max="23" width="1.8515625" style="21" customWidth="1"/>
    <col min="24" max="24" width="9.8515625" style="21" customWidth="1"/>
    <col min="25" max="25" width="1.8515625" style="21" customWidth="1"/>
    <col min="26" max="26" width="8.57421875" style="21" customWidth="1"/>
    <col min="27" max="27" width="1.8515625" style="21" customWidth="1"/>
    <col min="28" max="28" width="10.421875" style="21" customWidth="1"/>
    <col min="29" max="29" width="3.8515625" style="21" customWidth="1"/>
    <col min="30" max="30" width="9.57421875" style="21" customWidth="1"/>
    <col min="31" max="31" width="3.8515625" style="21" customWidth="1"/>
    <col min="32" max="32" width="9.7109375" style="21" customWidth="1"/>
    <col min="33" max="33" width="4.140625" style="21" bestFit="1" customWidth="1"/>
    <col min="34" max="34" width="11.421875" style="21" customWidth="1"/>
    <col min="35" max="35" width="4.140625" style="21" customWidth="1"/>
    <col min="36" max="36" width="9.421875" style="21" customWidth="1"/>
    <col min="37" max="16384" width="8.8515625" style="21" customWidth="1"/>
  </cols>
  <sheetData>
    <row r="1" spans="2:3" ht="12.75">
      <c r="B1" s="19" t="s">
        <v>84</v>
      </c>
      <c r="C1" s="19"/>
    </row>
    <row r="4" spans="1:36" ht="12.75">
      <c r="A4" s="21" t="s">
        <v>111</v>
      </c>
      <c r="B4" s="19" t="s">
        <v>55</v>
      </c>
      <c r="C4" s="19"/>
      <c r="F4" s="21" t="s">
        <v>117</v>
      </c>
      <c r="H4" s="21" t="s">
        <v>118</v>
      </c>
      <c r="J4" s="21" t="s">
        <v>119</v>
      </c>
      <c r="L4" s="22" t="s">
        <v>39</v>
      </c>
      <c r="N4" s="21" t="s">
        <v>117</v>
      </c>
      <c r="O4" s="21"/>
      <c r="P4" s="21" t="s">
        <v>118</v>
      </c>
      <c r="Q4" s="21"/>
      <c r="R4" s="21" t="s">
        <v>119</v>
      </c>
      <c r="S4" s="21"/>
      <c r="T4" s="22" t="s">
        <v>39</v>
      </c>
      <c r="V4" s="21" t="s">
        <v>117</v>
      </c>
      <c r="X4" s="21" t="s">
        <v>118</v>
      </c>
      <c r="Z4" s="21" t="s">
        <v>119</v>
      </c>
      <c r="AB4" s="22" t="s">
        <v>39</v>
      </c>
      <c r="AD4" s="21" t="s">
        <v>117</v>
      </c>
      <c r="AF4" s="21" t="s">
        <v>118</v>
      </c>
      <c r="AH4" s="21" t="s">
        <v>119</v>
      </c>
      <c r="AJ4" s="22" t="s">
        <v>39</v>
      </c>
    </row>
    <row r="6" spans="2:36" ht="12.75">
      <c r="B6" s="20" t="s">
        <v>131</v>
      </c>
      <c r="F6" s="24" t="s">
        <v>142</v>
      </c>
      <c r="H6" s="24" t="s">
        <v>142</v>
      </c>
      <c r="J6" s="24" t="s">
        <v>142</v>
      </c>
      <c r="L6" s="24" t="s">
        <v>142</v>
      </c>
      <c r="N6" s="24" t="s">
        <v>143</v>
      </c>
      <c r="P6" s="24" t="s">
        <v>143</v>
      </c>
      <c r="R6" s="24" t="s">
        <v>143</v>
      </c>
      <c r="T6" s="24" t="s">
        <v>143</v>
      </c>
      <c r="V6" s="24" t="s">
        <v>144</v>
      </c>
      <c r="X6" s="24" t="s">
        <v>144</v>
      </c>
      <c r="Z6" s="24" t="s">
        <v>144</v>
      </c>
      <c r="AB6" s="24" t="s">
        <v>144</v>
      </c>
      <c r="AD6" s="24" t="s">
        <v>145</v>
      </c>
      <c r="AF6" s="24" t="s">
        <v>145</v>
      </c>
      <c r="AH6" s="24" t="s">
        <v>145</v>
      </c>
      <c r="AJ6" s="24" t="s">
        <v>145</v>
      </c>
    </row>
    <row r="7" spans="2:36" ht="12.75">
      <c r="B7" s="20" t="s">
        <v>132</v>
      </c>
      <c r="F7" s="24" t="s">
        <v>133</v>
      </c>
      <c r="H7" s="24" t="s">
        <v>133</v>
      </c>
      <c r="J7" s="24" t="s">
        <v>133</v>
      </c>
      <c r="L7" s="24" t="s">
        <v>133</v>
      </c>
      <c r="N7" s="22" t="s">
        <v>43</v>
      </c>
      <c r="P7" s="22" t="s">
        <v>43</v>
      </c>
      <c r="R7" s="22" t="s">
        <v>43</v>
      </c>
      <c r="T7" s="22" t="s">
        <v>43</v>
      </c>
      <c r="V7" s="24" t="s">
        <v>134</v>
      </c>
      <c r="X7" s="24" t="s">
        <v>134</v>
      </c>
      <c r="Z7" s="24" t="s">
        <v>134</v>
      </c>
      <c r="AB7" s="24" t="s">
        <v>134</v>
      </c>
      <c r="AD7" s="24" t="s">
        <v>86</v>
      </c>
      <c r="AF7" s="24" t="s">
        <v>86</v>
      </c>
      <c r="AH7" s="24" t="s">
        <v>86</v>
      </c>
      <c r="AJ7" s="24" t="s">
        <v>86</v>
      </c>
    </row>
    <row r="8" spans="2:36" ht="12.75">
      <c r="B8" s="20" t="s">
        <v>147</v>
      </c>
      <c r="F8" s="24" t="s">
        <v>71</v>
      </c>
      <c r="H8" s="24" t="s">
        <v>71</v>
      </c>
      <c r="J8" s="24" t="s">
        <v>71</v>
      </c>
      <c r="L8" s="24" t="s">
        <v>71</v>
      </c>
      <c r="N8" s="22" t="s">
        <v>43</v>
      </c>
      <c r="P8" s="22" t="s">
        <v>43</v>
      </c>
      <c r="R8" s="22" t="s">
        <v>43</v>
      </c>
      <c r="T8" s="22" t="s">
        <v>43</v>
      </c>
      <c r="V8" s="24" t="s">
        <v>148</v>
      </c>
      <c r="X8" s="24" t="s">
        <v>148</v>
      </c>
      <c r="Z8" s="24" t="s">
        <v>148</v>
      </c>
      <c r="AB8" s="24" t="s">
        <v>148</v>
      </c>
      <c r="AD8" s="24" t="s">
        <v>86</v>
      </c>
      <c r="AF8" s="24" t="s">
        <v>86</v>
      </c>
      <c r="AH8" s="24" t="s">
        <v>86</v>
      </c>
      <c r="AJ8" s="24" t="s">
        <v>86</v>
      </c>
    </row>
    <row r="9" spans="2:36" ht="12.75">
      <c r="B9" s="20" t="s">
        <v>40</v>
      </c>
      <c r="F9" s="22" t="s">
        <v>41</v>
      </c>
      <c r="H9" s="22" t="s">
        <v>41</v>
      </c>
      <c r="J9" s="22" t="s">
        <v>41</v>
      </c>
      <c r="L9" s="22" t="s">
        <v>41</v>
      </c>
      <c r="N9" s="22" t="s">
        <v>43</v>
      </c>
      <c r="P9" s="22" t="s">
        <v>43</v>
      </c>
      <c r="R9" s="22" t="s">
        <v>43</v>
      </c>
      <c r="T9" s="22" t="s">
        <v>43</v>
      </c>
      <c r="U9" s="22"/>
      <c r="V9" s="22" t="s">
        <v>42</v>
      </c>
      <c r="W9" s="22"/>
      <c r="X9" s="22" t="s">
        <v>42</v>
      </c>
      <c r="Y9" s="22"/>
      <c r="Z9" s="22" t="s">
        <v>42</v>
      </c>
      <c r="AA9" s="22"/>
      <c r="AB9" s="22" t="s">
        <v>42</v>
      </c>
      <c r="AC9" s="22"/>
      <c r="AD9" s="22" t="s">
        <v>86</v>
      </c>
      <c r="AE9" s="22"/>
      <c r="AF9" s="22" t="s">
        <v>86</v>
      </c>
      <c r="AG9" s="22"/>
      <c r="AH9" s="22" t="s">
        <v>86</v>
      </c>
      <c r="AI9" s="22"/>
      <c r="AJ9" s="22" t="s">
        <v>86</v>
      </c>
    </row>
    <row r="10" spans="2:19" ht="12.75">
      <c r="B10" s="20" t="s">
        <v>114</v>
      </c>
      <c r="D10" s="20" t="s">
        <v>44</v>
      </c>
      <c r="F10" s="21">
        <v>2499</v>
      </c>
      <c r="H10" s="21">
        <v>2522</v>
      </c>
      <c r="J10" s="21">
        <v>2522</v>
      </c>
      <c r="L10" s="25">
        <f>AVERAGE(J10,H10,F10)</f>
        <v>2514.3333333333335</v>
      </c>
      <c r="M10" s="23"/>
      <c r="N10" s="23"/>
      <c r="O10" s="23"/>
      <c r="P10" s="23"/>
      <c r="Q10" s="23"/>
      <c r="R10" s="23"/>
      <c r="S10" s="23"/>
    </row>
    <row r="11" spans="2:28" ht="12.75">
      <c r="B11" s="20" t="s">
        <v>114</v>
      </c>
      <c r="D11" s="20" t="s">
        <v>61</v>
      </c>
      <c r="L11" s="23"/>
      <c r="M11" s="23"/>
      <c r="N11" s="23"/>
      <c r="O11" s="23"/>
      <c r="P11" s="23"/>
      <c r="Q11" s="23"/>
      <c r="R11" s="23"/>
      <c r="S11" s="23"/>
      <c r="V11" s="21">
        <v>117100</v>
      </c>
      <c r="X11" s="21">
        <v>1170000</v>
      </c>
      <c r="Z11" s="21">
        <v>117100</v>
      </c>
      <c r="AB11" s="21">
        <v>117100</v>
      </c>
    </row>
    <row r="12" spans="2:19" ht="12.75">
      <c r="B12" s="20" t="s">
        <v>45</v>
      </c>
      <c r="D12" s="20" t="s">
        <v>46</v>
      </c>
      <c r="F12" s="21">
        <v>15774</v>
      </c>
      <c r="H12" s="21">
        <v>15910</v>
      </c>
      <c r="J12" s="21">
        <v>15717</v>
      </c>
      <c r="L12" s="23">
        <v>15800</v>
      </c>
      <c r="M12" s="23"/>
      <c r="N12" s="23"/>
      <c r="O12" s="23"/>
      <c r="P12" s="23"/>
      <c r="Q12" s="23"/>
      <c r="R12" s="23"/>
      <c r="S12" s="23"/>
    </row>
    <row r="13" spans="2:19" ht="12.75">
      <c r="B13" s="20" t="s">
        <v>47</v>
      </c>
      <c r="D13" s="20" t="s">
        <v>48</v>
      </c>
      <c r="F13" s="21">
        <v>1.11</v>
      </c>
      <c r="H13" s="21">
        <v>1.12</v>
      </c>
      <c r="J13" s="21">
        <v>1.12</v>
      </c>
      <c r="L13" s="23">
        <v>1.12</v>
      </c>
      <c r="M13" s="23"/>
      <c r="N13" s="23"/>
      <c r="O13" s="23"/>
      <c r="P13" s="23"/>
      <c r="Q13" s="23"/>
      <c r="R13" s="23"/>
      <c r="S13" s="23"/>
    </row>
    <row r="14" spans="2:35" ht="12.75">
      <c r="B14" s="20" t="s">
        <v>49</v>
      </c>
      <c r="D14" s="20" t="s">
        <v>32</v>
      </c>
      <c r="E14" s="24"/>
      <c r="F14" s="22">
        <v>2494</v>
      </c>
      <c r="G14" s="22"/>
      <c r="H14" s="22">
        <v>2288</v>
      </c>
      <c r="I14" s="22"/>
      <c r="J14" s="22">
        <v>2631</v>
      </c>
      <c r="K14" s="24"/>
      <c r="L14" s="25">
        <f>AVERAGE(J14,H14,F14)</f>
        <v>2471</v>
      </c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2"/>
      <c r="AC14" s="22"/>
      <c r="AD14" s="22"/>
      <c r="AE14" s="22"/>
      <c r="AF14" s="22"/>
      <c r="AG14" s="22"/>
      <c r="AH14" s="22"/>
      <c r="AI14" s="22"/>
    </row>
    <row r="15" spans="2:35" ht="12.75">
      <c r="B15" s="20" t="s">
        <v>50</v>
      </c>
      <c r="D15" s="20" t="s">
        <v>32</v>
      </c>
      <c r="E15" s="24"/>
      <c r="F15" s="22">
        <v>272.1</v>
      </c>
      <c r="G15" s="22"/>
      <c r="H15" s="22">
        <v>217.4</v>
      </c>
      <c r="I15" s="22"/>
      <c r="J15" s="22">
        <v>112.1</v>
      </c>
      <c r="K15" s="24"/>
      <c r="L15" s="25">
        <f>AVERAGE(J15,H15,F15)</f>
        <v>200.53333333333333</v>
      </c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2"/>
      <c r="AC15" s="22"/>
      <c r="AD15" s="22"/>
      <c r="AE15" s="22"/>
      <c r="AF15" s="22"/>
      <c r="AG15" s="22"/>
      <c r="AH15" s="22"/>
      <c r="AI15" s="22"/>
    </row>
    <row r="16" spans="2:35" ht="12.75">
      <c r="B16" s="20" t="s">
        <v>107</v>
      </c>
      <c r="D16" s="20" t="s">
        <v>51</v>
      </c>
      <c r="E16" s="24" t="s">
        <v>34</v>
      </c>
      <c r="F16" s="22">
        <v>1</v>
      </c>
      <c r="G16" s="24" t="s">
        <v>34</v>
      </c>
      <c r="H16" s="22">
        <v>1</v>
      </c>
      <c r="I16" s="24" t="s">
        <v>34</v>
      </c>
      <c r="J16" s="22">
        <v>1</v>
      </c>
      <c r="K16" s="24"/>
      <c r="L16" s="23">
        <v>1</v>
      </c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2"/>
      <c r="AC16" s="22"/>
      <c r="AD16" s="22"/>
      <c r="AE16" s="22"/>
      <c r="AF16" s="22"/>
      <c r="AG16" s="22"/>
      <c r="AH16" s="22"/>
      <c r="AI16" s="22"/>
    </row>
    <row r="17" spans="2:35" ht="12.75">
      <c r="B17" s="20" t="s">
        <v>103</v>
      </c>
      <c r="D17" s="20" t="s">
        <v>51</v>
      </c>
      <c r="E17" s="24" t="s">
        <v>34</v>
      </c>
      <c r="F17" s="22">
        <v>0.5</v>
      </c>
      <c r="G17" s="24" t="s">
        <v>34</v>
      </c>
      <c r="H17" s="22">
        <v>0.5</v>
      </c>
      <c r="I17" s="24" t="s">
        <v>34</v>
      </c>
      <c r="J17" s="22">
        <v>0.5</v>
      </c>
      <c r="K17" s="24"/>
      <c r="L17" s="23">
        <v>0.5</v>
      </c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2"/>
      <c r="AC17" s="22"/>
      <c r="AD17" s="22"/>
      <c r="AE17" s="22"/>
      <c r="AF17" s="22"/>
      <c r="AG17" s="22"/>
      <c r="AH17" s="22"/>
      <c r="AI17" s="22"/>
    </row>
    <row r="18" spans="2:35" ht="12.75">
      <c r="B18" s="20" t="s">
        <v>104</v>
      </c>
      <c r="D18" s="20" t="s">
        <v>51</v>
      </c>
      <c r="E18" s="24" t="s">
        <v>34</v>
      </c>
      <c r="F18" s="22">
        <v>1</v>
      </c>
      <c r="G18" s="24" t="s">
        <v>34</v>
      </c>
      <c r="H18" s="22">
        <v>1</v>
      </c>
      <c r="I18" s="24" t="s">
        <v>34</v>
      </c>
      <c r="J18" s="22">
        <v>1</v>
      </c>
      <c r="K18" s="24"/>
      <c r="L18" s="23">
        <v>1</v>
      </c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2"/>
      <c r="AC18" s="22"/>
      <c r="AD18" s="22"/>
      <c r="AE18" s="22"/>
      <c r="AF18" s="22"/>
      <c r="AG18" s="22"/>
      <c r="AH18" s="22"/>
      <c r="AI18" s="22"/>
    </row>
    <row r="19" spans="2:35" ht="12.75">
      <c r="B19" s="20" t="s">
        <v>105</v>
      </c>
      <c r="D19" s="20" t="s">
        <v>51</v>
      </c>
      <c r="E19" s="24" t="s">
        <v>34</v>
      </c>
      <c r="F19" s="22">
        <v>0.3</v>
      </c>
      <c r="G19" s="24" t="s">
        <v>34</v>
      </c>
      <c r="H19" s="22">
        <v>0.3</v>
      </c>
      <c r="I19" s="24" t="s">
        <v>34</v>
      </c>
      <c r="J19" s="22">
        <v>0.3</v>
      </c>
      <c r="K19" s="24"/>
      <c r="L19" s="23">
        <v>0.3</v>
      </c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2"/>
      <c r="AC19" s="22"/>
      <c r="AD19" s="22"/>
      <c r="AE19" s="22"/>
      <c r="AF19" s="22"/>
      <c r="AG19" s="22"/>
      <c r="AH19" s="22"/>
      <c r="AI19" s="22"/>
    </row>
    <row r="20" spans="2:35" ht="12.75">
      <c r="B20" s="20" t="s">
        <v>109</v>
      </c>
      <c r="D20" s="20" t="s">
        <v>51</v>
      </c>
      <c r="E20" s="24" t="s">
        <v>34</v>
      </c>
      <c r="F20" s="22">
        <v>0.1</v>
      </c>
      <c r="G20" s="24" t="s">
        <v>34</v>
      </c>
      <c r="H20" s="22">
        <v>0.1</v>
      </c>
      <c r="I20" s="24" t="s">
        <v>34</v>
      </c>
      <c r="J20" s="22">
        <v>0.1</v>
      </c>
      <c r="K20" s="24"/>
      <c r="L20" s="23">
        <v>0.1</v>
      </c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2"/>
      <c r="AC20" s="22"/>
      <c r="AD20" s="22"/>
      <c r="AE20" s="22"/>
      <c r="AF20" s="22"/>
      <c r="AG20" s="22"/>
      <c r="AH20" s="22"/>
      <c r="AI20" s="22"/>
    </row>
    <row r="21" spans="2:35" ht="12.75">
      <c r="B21" s="20" t="s">
        <v>101</v>
      </c>
      <c r="D21" s="20" t="s">
        <v>51</v>
      </c>
      <c r="E21" s="24" t="s">
        <v>53</v>
      </c>
      <c r="F21" s="22">
        <v>8.4</v>
      </c>
      <c r="G21" s="24" t="s">
        <v>53</v>
      </c>
      <c r="H21" s="22">
        <v>12.6</v>
      </c>
      <c r="I21" s="24" t="s">
        <v>53</v>
      </c>
      <c r="J21" s="22">
        <v>7.6</v>
      </c>
      <c r="K21" s="24"/>
      <c r="L21" s="23">
        <v>9.5</v>
      </c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</row>
    <row r="22" spans="2:35" ht="12.75">
      <c r="B22" s="20" t="s">
        <v>108</v>
      </c>
      <c r="D22" s="20" t="s">
        <v>51</v>
      </c>
      <c r="E22" s="24" t="s">
        <v>34</v>
      </c>
      <c r="F22" s="22">
        <v>1</v>
      </c>
      <c r="G22" s="24" t="s">
        <v>34</v>
      </c>
      <c r="H22" s="22">
        <v>1</v>
      </c>
      <c r="I22" s="24" t="s">
        <v>34</v>
      </c>
      <c r="J22" s="22">
        <v>1</v>
      </c>
      <c r="K22" s="24"/>
      <c r="L22" s="23">
        <v>1</v>
      </c>
      <c r="M22" s="23"/>
      <c r="N22" s="23"/>
      <c r="O22" s="23"/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2"/>
      <c r="AC22" s="22"/>
      <c r="AD22" s="22"/>
      <c r="AE22" s="22"/>
      <c r="AF22" s="22"/>
      <c r="AG22" s="22"/>
      <c r="AH22" s="22"/>
      <c r="AI22" s="22"/>
    </row>
    <row r="23" spans="2:35" ht="12.75">
      <c r="B23" s="20" t="s">
        <v>113</v>
      </c>
      <c r="D23" s="20" t="s">
        <v>51</v>
      </c>
      <c r="E23" s="24" t="s">
        <v>34</v>
      </c>
      <c r="F23" s="22">
        <v>0.1</v>
      </c>
      <c r="G23" s="24" t="s">
        <v>34</v>
      </c>
      <c r="H23" s="22">
        <v>0.1</v>
      </c>
      <c r="I23" s="24" t="s">
        <v>34</v>
      </c>
      <c r="J23" s="22">
        <v>0.1</v>
      </c>
      <c r="K23" s="24"/>
      <c r="L23" s="23">
        <v>0.1</v>
      </c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2"/>
      <c r="AC23" s="22"/>
      <c r="AD23" s="22"/>
      <c r="AE23" s="22"/>
      <c r="AF23" s="22"/>
      <c r="AG23" s="22"/>
      <c r="AH23" s="22"/>
      <c r="AI23" s="22"/>
    </row>
    <row r="24" spans="2:35" ht="12.75">
      <c r="B24" s="20" t="s">
        <v>110</v>
      </c>
      <c r="D24" s="20" t="s">
        <v>51</v>
      </c>
      <c r="E24" s="24" t="s">
        <v>34</v>
      </c>
      <c r="F24" s="22">
        <v>1</v>
      </c>
      <c r="G24" s="24" t="s">
        <v>34</v>
      </c>
      <c r="H24" s="22">
        <v>1</v>
      </c>
      <c r="I24" s="24" t="s">
        <v>34</v>
      </c>
      <c r="J24" s="22">
        <v>1</v>
      </c>
      <c r="K24" s="24"/>
      <c r="L24" s="23">
        <v>1</v>
      </c>
      <c r="M24" s="23"/>
      <c r="N24" s="23"/>
      <c r="O24" s="2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2"/>
      <c r="AC24" s="22"/>
      <c r="AD24" s="22"/>
      <c r="AE24" s="22"/>
      <c r="AF24" s="22"/>
      <c r="AG24" s="22"/>
      <c r="AH24" s="22"/>
      <c r="AI24" s="22"/>
    </row>
    <row r="25" spans="2:35" ht="12.75">
      <c r="B25" s="20" t="s">
        <v>106</v>
      </c>
      <c r="D25" s="20" t="s">
        <v>51</v>
      </c>
      <c r="E25" s="24" t="s">
        <v>34</v>
      </c>
      <c r="F25" s="22">
        <v>1</v>
      </c>
      <c r="G25" s="24" t="s">
        <v>34</v>
      </c>
      <c r="H25" s="22">
        <v>1</v>
      </c>
      <c r="I25" s="24" t="s">
        <v>34</v>
      </c>
      <c r="J25" s="22">
        <v>1</v>
      </c>
      <c r="K25" s="24"/>
      <c r="L25" s="23">
        <v>1</v>
      </c>
      <c r="M25" s="23"/>
      <c r="N25" s="23"/>
      <c r="O25" s="2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2"/>
      <c r="AC25" s="22"/>
      <c r="AD25" s="22"/>
      <c r="AE25" s="22"/>
      <c r="AF25" s="22"/>
      <c r="AG25" s="22"/>
      <c r="AH25" s="22"/>
      <c r="AI25" s="22"/>
    </row>
    <row r="26" spans="5:35" ht="12.75">
      <c r="E26" s="24"/>
      <c r="F26" s="24"/>
      <c r="G26" s="24"/>
      <c r="H26" s="24"/>
      <c r="I26" s="24"/>
      <c r="J26" s="24"/>
      <c r="K26" s="24"/>
      <c r="T26" s="24"/>
      <c r="U26" s="24"/>
      <c r="V26" s="24"/>
      <c r="W26" s="24"/>
      <c r="X26" s="24"/>
      <c r="Y26" s="24"/>
      <c r="Z26" s="24"/>
      <c r="AA26" s="24"/>
      <c r="AB26" s="22"/>
      <c r="AC26" s="22"/>
      <c r="AD26" s="22"/>
      <c r="AE26" s="22"/>
      <c r="AF26" s="22"/>
      <c r="AG26" s="22"/>
      <c r="AH26" s="22"/>
      <c r="AI26" s="22"/>
    </row>
    <row r="27" spans="2:36" ht="12.75">
      <c r="B27" s="20" t="s">
        <v>63</v>
      </c>
      <c r="D27" s="20" t="s">
        <v>36</v>
      </c>
      <c r="E27" s="24"/>
      <c r="F27" s="22">
        <f>emiss!G17</f>
        <v>32257</v>
      </c>
      <c r="G27" s="24"/>
      <c r="H27" s="22">
        <f>emiss!I17</f>
        <v>32410</v>
      </c>
      <c r="I27" s="24"/>
      <c r="J27" s="22">
        <f>emiss!K17</f>
        <v>32305</v>
      </c>
      <c r="K27" s="24"/>
      <c r="L27" s="22">
        <f>emiss!O17</f>
        <v>32324</v>
      </c>
      <c r="M27" s="25"/>
      <c r="N27" s="25"/>
      <c r="O27" s="25"/>
      <c r="P27" s="25"/>
      <c r="Q27" s="25"/>
      <c r="R27" s="25"/>
      <c r="S27" s="25"/>
      <c r="T27" s="25">
        <v>32324</v>
      </c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  <c r="AF27" s="26"/>
      <c r="AG27" s="26"/>
      <c r="AH27" s="26"/>
      <c r="AI27" s="26"/>
      <c r="AJ27" s="25">
        <v>32324</v>
      </c>
    </row>
    <row r="28" spans="2:36" ht="12.75">
      <c r="B28" s="20" t="s">
        <v>64</v>
      </c>
      <c r="D28" s="20" t="s">
        <v>37</v>
      </c>
      <c r="F28" s="22">
        <f>emiss!G18</f>
        <v>3.8</v>
      </c>
      <c r="H28" s="22">
        <f>emiss!I18</f>
        <v>4.17</v>
      </c>
      <c r="J28" s="22">
        <f>emiss!K18</f>
        <v>3.3</v>
      </c>
      <c r="L28" s="25">
        <f>emiss!O18</f>
        <v>3.7566666666666664</v>
      </c>
      <c r="M28" s="25"/>
      <c r="N28" s="25"/>
      <c r="O28" s="25"/>
      <c r="P28" s="25"/>
      <c r="Q28" s="25"/>
      <c r="R28" s="25"/>
      <c r="S28" s="25"/>
      <c r="T28" s="25">
        <v>3.7566666666666664</v>
      </c>
      <c r="U28" s="25"/>
      <c r="V28" s="25"/>
      <c r="W28" s="25"/>
      <c r="X28" s="25"/>
      <c r="Y28" s="25"/>
      <c r="Z28" s="25"/>
      <c r="AA28" s="25"/>
      <c r="AB28" s="27"/>
      <c r="AC28" s="27"/>
      <c r="AD28" s="27"/>
      <c r="AE28" s="27"/>
      <c r="AF28" s="27"/>
      <c r="AG28" s="27"/>
      <c r="AH28" s="27"/>
      <c r="AI28" s="27"/>
      <c r="AJ28" s="25">
        <v>3.7566666666666664</v>
      </c>
    </row>
    <row r="30" spans="2:36" ht="12.75">
      <c r="B30" s="20" t="s">
        <v>112</v>
      </c>
      <c r="D30" s="20" t="s">
        <v>65</v>
      </c>
      <c r="F30" s="25">
        <f>F10*F12/1000000</f>
        <v>39.419226</v>
      </c>
      <c r="H30" s="25">
        <f>H10*H12/1000000</f>
        <v>40.12502</v>
      </c>
      <c r="J30" s="25">
        <f>J10*J12/1000000</f>
        <v>39.638274</v>
      </c>
      <c r="L30" s="25">
        <f>L10*L12/1000000</f>
        <v>39.726466666666674</v>
      </c>
      <c r="M30" s="25"/>
      <c r="N30" s="25"/>
      <c r="O30" s="25"/>
      <c r="P30" s="25"/>
      <c r="Q30" s="25"/>
      <c r="R30" s="25"/>
      <c r="S30" s="25"/>
      <c r="V30" s="21">
        <f>V11*1000/1000000</f>
        <v>117.1</v>
      </c>
      <c r="X30" s="21">
        <f>X11*1000/1000000</f>
        <v>1170</v>
      </c>
      <c r="Z30" s="21">
        <f>Z11*1000/1000000</f>
        <v>117.1</v>
      </c>
      <c r="AB30" s="21">
        <f>AB11*1000/1000000</f>
        <v>117.1</v>
      </c>
      <c r="AD30" s="27">
        <f>V30+F30+N30</f>
        <v>156.519226</v>
      </c>
      <c r="AF30" s="27">
        <f>X30+H30+P30</f>
        <v>1210.12502</v>
      </c>
      <c r="AH30" s="27">
        <f>Z30+J30+R30</f>
        <v>156.738274</v>
      </c>
      <c r="AJ30" s="27">
        <f>AB30+L30+T30</f>
        <v>156.82646666666668</v>
      </c>
    </row>
    <row r="31" spans="2:36" ht="12.75">
      <c r="B31" s="20" t="s">
        <v>149</v>
      </c>
      <c r="D31" s="20" t="s">
        <v>65</v>
      </c>
      <c r="F31" s="23"/>
      <c r="H31" s="23"/>
      <c r="J31" s="23"/>
      <c r="L31" s="23"/>
      <c r="M31" s="23"/>
      <c r="N31" s="23"/>
      <c r="O31" s="23"/>
      <c r="P31" s="23"/>
      <c r="Q31" s="23"/>
      <c r="R31" s="23"/>
      <c r="S31" s="23"/>
      <c r="AJ31" s="27">
        <f>AJ27/9000*(21-AJ28)/21*60</f>
        <v>176.94397037037035</v>
      </c>
    </row>
    <row r="32" spans="6:36" ht="12.75">
      <c r="F32" s="23"/>
      <c r="H32" s="23"/>
      <c r="J32" s="23"/>
      <c r="L32" s="23"/>
      <c r="M32" s="23"/>
      <c r="N32" s="23"/>
      <c r="O32" s="23"/>
      <c r="P32" s="23"/>
      <c r="Q32" s="23"/>
      <c r="R32" s="23"/>
      <c r="S32" s="23"/>
      <c r="AJ32" s="27"/>
    </row>
    <row r="33" spans="2:36" ht="12.75">
      <c r="B33" s="30" t="s">
        <v>88</v>
      </c>
      <c r="C33" s="30"/>
      <c r="F33" s="23"/>
      <c r="H33" s="23"/>
      <c r="J33" s="23"/>
      <c r="L33" s="23"/>
      <c r="M33" s="23"/>
      <c r="N33" s="23"/>
      <c r="O33" s="23"/>
      <c r="P33" s="23"/>
      <c r="Q33" s="23"/>
      <c r="R33" s="23"/>
      <c r="S33" s="23"/>
      <c r="AJ33" s="27"/>
    </row>
    <row r="34" spans="2:36" ht="12.75">
      <c r="B34" s="30"/>
      <c r="C34" s="30"/>
      <c r="F34" s="23"/>
      <c r="H34" s="23"/>
      <c r="J34" s="23"/>
      <c r="L34" s="23"/>
      <c r="M34" s="23"/>
      <c r="N34" s="23"/>
      <c r="O34" s="23"/>
      <c r="P34" s="23"/>
      <c r="Q34" s="23"/>
      <c r="R34" s="23"/>
      <c r="S34" s="23"/>
      <c r="AJ34" s="27"/>
    </row>
    <row r="35" spans="2:36" ht="12.75">
      <c r="B35" s="20" t="s">
        <v>49</v>
      </c>
      <c r="D35" s="20" t="s">
        <v>66</v>
      </c>
      <c r="F35" s="25">
        <f>F14/F27/60/0.0283*1000*(21-7)/(21-F28)</f>
        <v>37.06247158924207</v>
      </c>
      <c r="H35" s="25">
        <f>H14/H27/60/0.0283*1000*(21-7)/(21-H28)</f>
        <v>34.58463709517249</v>
      </c>
      <c r="J35" s="25">
        <f>J14/J27/60/0.0283*1000*(21-7)/(21-J28)</f>
        <v>37.93745437474977</v>
      </c>
      <c r="L35" s="25">
        <f aca="true" t="shared" si="0" ref="L35:L46">AVERAGE(F35,H35,J35)</f>
        <v>36.528187686388115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C35" s="37">
        <f aca="true" t="shared" si="1" ref="AC35:AI35">U35+E35+M35</f>
        <v>0</v>
      </c>
      <c r="AD35" s="27">
        <f t="shared" si="1"/>
        <v>37.06247158924207</v>
      </c>
      <c r="AE35" s="37">
        <f t="shared" si="1"/>
        <v>0</v>
      </c>
      <c r="AF35" s="27">
        <f t="shared" si="1"/>
        <v>34.58463709517249</v>
      </c>
      <c r="AG35" s="37">
        <f t="shared" si="1"/>
        <v>0</v>
      </c>
      <c r="AH35" s="27">
        <f t="shared" si="1"/>
        <v>37.93745437474977</v>
      </c>
      <c r="AI35" s="37">
        <f t="shared" si="1"/>
        <v>0</v>
      </c>
      <c r="AJ35" s="27">
        <f>AVERAGE(AD35,AF35,AH35)</f>
        <v>36.528187686388115</v>
      </c>
    </row>
    <row r="36" spans="2:36" ht="12.75">
      <c r="B36" s="20" t="s">
        <v>50</v>
      </c>
      <c r="D36" s="20" t="s">
        <v>62</v>
      </c>
      <c r="F36" s="28">
        <f>F15/F27/60/0.0283*1000000*(21-7)/(21-F28)</f>
        <v>4043.5840093956563</v>
      </c>
      <c r="H36" s="28">
        <f>H15/H27/60/0.0283*1000000*(21-7)/(21-H28)</f>
        <v>3286.145150564029</v>
      </c>
      <c r="J36" s="28">
        <f>J15/J27/60/0.0283*1000000*(21-7)/(21-J28)</f>
        <v>1616.4152928200112</v>
      </c>
      <c r="L36" s="25">
        <f t="shared" si="0"/>
        <v>2982.048150926565</v>
      </c>
      <c r="M36" s="28"/>
      <c r="N36" s="28"/>
      <c r="O36" s="28"/>
      <c r="P36" s="28"/>
      <c r="Q36" s="28"/>
      <c r="R36" s="28"/>
      <c r="S36" s="28"/>
      <c r="T36" s="23"/>
      <c r="U36" s="23"/>
      <c r="V36" s="23"/>
      <c r="W36" s="23"/>
      <c r="X36" s="23"/>
      <c r="Y36" s="23"/>
      <c r="Z36" s="23"/>
      <c r="AA36" s="23"/>
      <c r="AC36" s="37">
        <f aca="true" t="shared" si="2" ref="AC36:AI49">U36+E36+M36</f>
        <v>0</v>
      </c>
      <c r="AD36" s="27">
        <f aca="true" t="shared" si="3" ref="AD36:AD46">V36+F36+N36</f>
        <v>4043.5840093956563</v>
      </c>
      <c r="AE36" s="37">
        <f t="shared" si="2"/>
        <v>0</v>
      </c>
      <c r="AF36" s="27">
        <f aca="true" t="shared" si="4" ref="AF36:AF46">X36+H36+P36</f>
        <v>3286.145150564029</v>
      </c>
      <c r="AG36" s="37">
        <f t="shared" si="2"/>
        <v>0</v>
      </c>
      <c r="AH36" s="27">
        <f aca="true" t="shared" si="5" ref="AH36:AH46">Z36+J36+R36</f>
        <v>1616.4152928200112</v>
      </c>
      <c r="AI36" s="37">
        <f t="shared" si="2"/>
        <v>0</v>
      </c>
      <c r="AJ36" s="27">
        <f aca="true" t="shared" si="6" ref="AJ36:AJ46">AVERAGE(AD36,AF36,AH36)</f>
        <v>2982.048150926565</v>
      </c>
    </row>
    <row r="37" spans="2:36" ht="12.75">
      <c r="B37" s="20" t="s">
        <v>107</v>
      </c>
      <c r="D37" s="20" t="s">
        <v>62</v>
      </c>
      <c r="E37" s="24">
        <v>100</v>
      </c>
      <c r="F37" s="25">
        <f>F16*F$10*454/1000000/F$27/60/0.0283*1000000*(21-7)/(21-F$28)</f>
        <v>16.860095786563047</v>
      </c>
      <c r="G37" s="24">
        <v>100</v>
      </c>
      <c r="H37" s="25">
        <f>H16*H$10*454/1000000/H$27/60/0.0283*1000000*(21-7)/(21-H$28)</f>
        <v>17.30725282269552</v>
      </c>
      <c r="I37" s="24">
        <v>100</v>
      </c>
      <c r="J37" s="25">
        <f aca="true" t="shared" si="7" ref="J37:J46">J16*J$10*454/1000000/J$27/60/0.0283*1000000*(21-7)/(21-J$28)</f>
        <v>16.51004561369669</v>
      </c>
      <c r="K37" s="24">
        <v>100</v>
      </c>
      <c r="L37" s="25">
        <f t="shared" si="0"/>
        <v>16.892464740985087</v>
      </c>
      <c r="M37" s="25"/>
      <c r="N37" s="25"/>
      <c r="O37" s="25"/>
      <c r="P37" s="25"/>
      <c r="Q37" s="25"/>
      <c r="R37" s="25"/>
      <c r="S37" s="25"/>
      <c r="AC37" s="37">
        <f t="shared" si="2"/>
        <v>100</v>
      </c>
      <c r="AD37" s="27">
        <f t="shared" si="3"/>
        <v>16.860095786563047</v>
      </c>
      <c r="AE37" s="37">
        <f t="shared" si="2"/>
        <v>100</v>
      </c>
      <c r="AF37" s="27">
        <f t="shared" si="4"/>
        <v>17.30725282269552</v>
      </c>
      <c r="AG37" s="37">
        <f t="shared" si="2"/>
        <v>100</v>
      </c>
      <c r="AH37" s="27">
        <f t="shared" si="5"/>
        <v>16.51004561369669</v>
      </c>
      <c r="AI37" s="37">
        <f t="shared" si="2"/>
        <v>100</v>
      </c>
      <c r="AJ37" s="27">
        <f t="shared" si="6"/>
        <v>16.892464740985087</v>
      </c>
    </row>
    <row r="38" spans="2:36" ht="12.75">
      <c r="B38" s="20" t="s">
        <v>103</v>
      </c>
      <c r="D38" s="20" t="s">
        <v>62</v>
      </c>
      <c r="E38" s="24">
        <v>100</v>
      </c>
      <c r="F38" s="25">
        <f aca="true" t="shared" si="8" ref="F38:H46">F17*F$10*454/1000000/F$27/60/0.0283*1000000*(21-7)/(21-F$28)</f>
        <v>8.430047893281523</v>
      </c>
      <c r="G38" s="24">
        <v>100</v>
      </c>
      <c r="H38" s="25">
        <f t="shared" si="8"/>
        <v>8.65362641134776</v>
      </c>
      <c r="I38" s="24">
        <v>100</v>
      </c>
      <c r="J38" s="25">
        <f t="shared" si="7"/>
        <v>8.255022806848345</v>
      </c>
      <c r="K38" s="24">
        <v>100</v>
      </c>
      <c r="L38" s="25">
        <f t="shared" si="0"/>
        <v>8.446232370492543</v>
      </c>
      <c r="M38" s="25"/>
      <c r="N38" s="25"/>
      <c r="O38" s="25"/>
      <c r="P38" s="25"/>
      <c r="Q38" s="25"/>
      <c r="R38" s="25"/>
      <c r="S38" s="25"/>
      <c r="T38" s="22"/>
      <c r="U38" s="22"/>
      <c r="V38" s="22"/>
      <c r="W38" s="22"/>
      <c r="X38" s="22"/>
      <c r="Y38" s="22"/>
      <c r="Z38" s="22"/>
      <c r="AA38" s="22"/>
      <c r="AB38" s="22"/>
      <c r="AC38" s="37">
        <f t="shared" si="2"/>
        <v>100</v>
      </c>
      <c r="AD38" s="27">
        <f t="shared" si="3"/>
        <v>8.430047893281523</v>
      </c>
      <c r="AE38" s="37">
        <f t="shared" si="2"/>
        <v>100</v>
      </c>
      <c r="AF38" s="27">
        <f t="shared" si="4"/>
        <v>8.65362641134776</v>
      </c>
      <c r="AG38" s="37">
        <f t="shared" si="2"/>
        <v>100</v>
      </c>
      <c r="AH38" s="27">
        <f t="shared" si="5"/>
        <v>8.255022806848345</v>
      </c>
      <c r="AI38" s="37">
        <f t="shared" si="2"/>
        <v>100</v>
      </c>
      <c r="AJ38" s="27">
        <f t="shared" si="6"/>
        <v>8.446232370492543</v>
      </c>
    </row>
    <row r="39" spans="2:36" ht="12.75">
      <c r="B39" s="20" t="s">
        <v>104</v>
      </c>
      <c r="D39" s="20" t="s">
        <v>62</v>
      </c>
      <c r="E39" s="24">
        <v>100</v>
      </c>
      <c r="F39" s="25">
        <f t="shared" si="8"/>
        <v>16.860095786563047</v>
      </c>
      <c r="G39" s="24">
        <v>100</v>
      </c>
      <c r="H39" s="25">
        <f t="shared" si="8"/>
        <v>17.30725282269552</v>
      </c>
      <c r="I39" s="24">
        <v>100</v>
      </c>
      <c r="J39" s="25">
        <f t="shared" si="7"/>
        <v>16.51004561369669</v>
      </c>
      <c r="K39" s="24">
        <v>100</v>
      </c>
      <c r="L39" s="25">
        <f t="shared" si="0"/>
        <v>16.892464740985087</v>
      </c>
      <c r="M39" s="25"/>
      <c r="N39" s="25"/>
      <c r="O39" s="25"/>
      <c r="P39" s="25"/>
      <c r="Q39" s="25"/>
      <c r="R39" s="25"/>
      <c r="S39" s="25"/>
      <c r="T39" s="22"/>
      <c r="U39" s="22"/>
      <c r="V39" s="22"/>
      <c r="W39" s="22"/>
      <c r="X39" s="22"/>
      <c r="Y39" s="22"/>
      <c r="Z39" s="22"/>
      <c r="AA39" s="22"/>
      <c r="AB39" s="22"/>
      <c r="AC39" s="37">
        <f t="shared" si="2"/>
        <v>100</v>
      </c>
      <c r="AD39" s="27">
        <f t="shared" si="3"/>
        <v>16.860095786563047</v>
      </c>
      <c r="AE39" s="37">
        <f t="shared" si="2"/>
        <v>100</v>
      </c>
      <c r="AF39" s="27">
        <f t="shared" si="4"/>
        <v>17.30725282269552</v>
      </c>
      <c r="AG39" s="37">
        <f t="shared" si="2"/>
        <v>100</v>
      </c>
      <c r="AH39" s="27">
        <f t="shared" si="5"/>
        <v>16.51004561369669</v>
      </c>
      <c r="AI39" s="37">
        <f t="shared" si="2"/>
        <v>100</v>
      </c>
      <c r="AJ39" s="27">
        <f t="shared" si="6"/>
        <v>16.892464740985087</v>
      </c>
    </row>
    <row r="40" spans="2:36" ht="12.75">
      <c r="B40" s="20" t="s">
        <v>105</v>
      </c>
      <c r="D40" s="20" t="s">
        <v>62</v>
      </c>
      <c r="E40" s="24">
        <v>100</v>
      </c>
      <c r="F40" s="25">
        <f t="shared" si="8"/>
        <v>5.058028735968914</v>
      </c>
      <c r="G40" s="24">
        <v>100</v>
      </c>
      <c r="H40" s="25">
        <f t="shared" si="8"/>
        <v>5.192175846808657</v>
      </c>
      <c r="I40" s="24">
        <v>100</v>
      </c>
      <c r="J40" s="25">
        <f t="shared" si="7"/>
        <v>4.953013684109007</v>
      </c>
      <c r="K40" s="24">
        <v>100</v>
      </c>
      <c r="L40" s="25">
        <f t="shared" si="0"/>
        <v>5.067739422295525</v>
      </c>
      <c r="M40" s="25"/>
      <c r="N40" s="25"/>
      <c r="O40" s="25"/>
      <c r="P40" s="25"/>
      <c r="Q40" s="25"/>
      <c r="R40" s="25"/>
      <c r="S40" s="25"/>
      <c r="T40" s="24"/>
      <c r="U40" s="24"/>
      <c r="V40" s="24"/>
      <c r="W40" s="24"/>
      <c r="X40" s="24"/>
      <c r="Y40" s="24"/>
      <c r="Z40" s="24"/>
      <c r="AA40" s="24"/>
      <c r="AB40" s="22"/>
      <c r="AC40" s="37">
        <f t="shared" si="2"/>
        <v>100</v>
      </c>
      <c r="AD40" s="27">
        <f t="shared" si="3"/>
        <v>5.058028735968914</v>
      </c>
      <c r="AE40" s="37">
        <f t="shared" si="2"/>
        <v>100</v>
      </c>
      <c r="AF40" s="27">
        <f t="shared" si="4"/>
        <v>5.192175846808657</v>
      </c>
      <c r="AG40" s="37">
        <f t="shared" si="2"/>
        <v>100</v>
      </c>
      <c r="AH40" s="27">
        <f t="shared" si="5"/>
        <v>4.953013684109007</v>
      </c>
      <c r="AI40" s="37">
        <f t="shared" si="2"/>
        <v>100</v>
      </c>
      <c r="AJ40" s="27">
        <f t="shared" si="6"/>
        <v>5.067739422295525</v>
      </c>
    </row>
    <row r="41" spans="2:36" ht="12.75">
      <c r="B41" s="20" t="s">
        <v>109</v>
      </c>
      <c r="D41" s="20" t="s">
        <v>62</v>
      </c>
      <c r="E41" s="24">
        <v>100</v>
      </c>
      <c r="F41" s="25">
        <f t="shared" si="8"/>
        <v>1.6860095786563045</v>
      </c>
      <c r="G41" s="24">
        <v>100</v>
      </c>
      <c r="H41" s="25">
        <f t="shared" si="8"/>
        <v>1.730725282269552</v>
      </c>
      <c r="I41" s="24">
        <v>100</v>
      </c>
      <c r="J41" s="25">
        <f t="shared" si="7"/>
        <v>1.651004561369669</v>
      </c>
      <c r="K41" s="24">
        <v>100</v>
      </c>
      <c r="L41" s="25">
        <f t="shared" si="0"/>
        <v>1.6892464740985087</v>
      </c>
      <c r="M41" s="25"/>
      <c r="N41" s="25"/>
      <c r="O41" s="25"/>
      <c r="P41" s="25"/>
      <c r="Q41" s="25"/>
      <c r="R41" s="25"/>
      <c r="S41" s="25"/>
      <c r="T41" s="24"/>
      <c r="U41" s="24"/>
      <c r="V41" s="24"/>
      <c r="W41" s="24"/>
      <c r="X41" s="24"/>
      <c r="Y41" s="24"/>
      <c r="Z41" s="24"/>
      <c r="AA41" s="24"/>
      <c r="AB41" s="22"/>
      <c r="AC41" s="37">
        <f t="shared" si="2"/>
        <v>100</v>
      </c>
      <c r="AD41" s="27">
        <f t="shared" si="3"/>
        <v>1.6860095786563045</v>
      </c>
      <c r="AE41" s="37">
        <f t="shared" si="2"/>
        <v>100</v>
      </c>
      <c r="AF41" s="27">
        <f t="shared" si="4"/>
        <v>1.730725282269552</v>
      </c>
      <c r="AG41" s="37">
        <f t="shared" si="2"/>
        <v>100</v>
      </c>
      <c r="AH41" s="27">
        <f t="shared" si="5"/>
        <v>1.651004561369669</v>
      </c>
      <c r="AI41" s="37">
        <f t="shared" si="2"/>
        <v>100</v>
      </c>
      <c r="AJ41" s="27">
        <f t="shared" si="6"/>
        <v>1.6892464740985087</v>
      </c>
    </row>
    <row r="42" spans="2:36" ht="12.75">
      <c r="B42" s="20" t="s">
        <v>101</v>
      </c>
      <c r="D42" s="20" t="s">
        <v>62</v>
      </c>
      <c r="E42" s="24"/>
      <c r="F42" s="25">
        <f t="shared" si="8"/>
        <v>141.62480460712956</v>
      </c>
      <c r="G42" s="24"/>
      <c r="H42" s="25">
        <f t="shared" si="8"/>
        <v>218.07138556596362</v>
      </c>
      <c r="I42" s="24"/>
      <c r="J42" s="25">
        <f t="shared" si="7"/>
        <v>125.4763466640948</v>
      </c>
      <c r="K42" s="24"/>
      <c r="L42" s="25">
        <f t="shared" si="0"/>
        <v>161.72417894572934</v>
      </c>
      <c r="M42" s="25"/>
      <c r="N42" s="25"/>
      <c r="O42" s="25"/>
      <c r="P42" s="25"/>
      <c r="Q42" s="25"/>
      <c r="R42" s="25"/>
      <c r="S42" s="25"/>
      <c r="T42" s="24"/>
      <c r="U42" s="24"/>
      <c r="V42" s="24"/>
      <c r="W42" s="24"/>
      <c r="X42" s="24"/>
      <c r="Y42" s="24"/>
      <c r="Z42" s="24"/>
      <c r="AA42" s="24"/>
      <c r="AB42" s="22"/>
      <c r="AC42" s="37">
        <f t="shared" si="2"/>
        <v>0</v>
      </c>
      <c r="AD42" s="27">
        <f t="shared" si="3"/>
        <v>141.62480460712956</v>
      </c>
      <c r="AE42" s="37">
        <f t="shared" si="2"/>
        <v>0</v>
      </c>
      <c r="AF42" s="27">
        <f t="shared" si="4"/>
        <v>218.07138556596362</v>
      </c>
      <c r="AG42" s="37">
        <f t="shared" si="2"/>
        <v>0</v>
      </c>
      <c r="AH42" s="27">
        <f t="shared" si="5"/>
        <v>125.4763466640948</v>
      </c>
      <c r="AI42" s="37">
        <f t="shared" si="2"/>
        <v>0</v>
      </c>
      <c r="AJ42" s="27">
        <f t="shared" si="6"/>
        <v>161.72417894572934</v>
      </c>
    </row>
    <row r="43" spans="2:36" ht="12.75">
      <c r="B43" s="20" t="s">
        <v>108</v>
      </c>
      <c r="D43" s="20" t="s">
        <v>62</v>
      </c>
      <c r="E43" s="24">
        <v>100</v>
      </c>
      <c r="F43" s="25">
        <f t="shared" si="8"/>
        <v>16.860095786563047</v>
      </c>
      <c r="G43" s="24">
        <v>100</v>
      </c>
      <c r="H43" s="25">
        <f t="shared" si="8"/>
        <v>17.30725282269552</v>
      </c>
      <c r="I43" s="24">
        <v>100</v>
      </c>
      <c r="J43" s="25">
        <f t="shared" si="7"/>
        <v>16.51004561369669</v>
      </c>
      <c r="K43" s="24">
        <v>100</v>
      </c>
      <c r="L43" s="25">
        <f t="shared" si="0"/>
        <v>16.892464740985087</v>
      </c>
      <c r="M43" s="25"/>
      <c r="N43" s="25"/>
      <c r="O43" s="25"/>
      <c r="P43" s="25"/>
      <c r="Q43" s="25"/>
      <c r="R43" s="25"/>
      <c r="S43" s="25"/>
      <c r="T43" s="24"/>
      <c r="U43" s="24"/>
      <c r="V43" s="24"/>
      <c r="W43" s="24"/>
      <c r="X43" s="24"/>
      <c r="Y43" s="24"/>
      <c r="Z43" s="24"/>
      <c r="AA43" s="24"/>
      <c r="AB43" s="22"/>
      <c r="AC43" s="37">
        <f t="shared" si="2"/>
        <v>100</v>
      </c>
      <c r="AD43" s="27">
        <f t="shared" si="3"/>
        <v>16.860095786563047</v>
      </c>
      <c r="AE43" s="37">
        <f t="shared" si="2"/>
        <v>100</v>
      </c>
      <c r="AF43" s="27">
        <f t="shared" si="4"/>
        <v>17.30725282269552</v>
      </c>
      <c r="AG43" s="37">
        <f t="shared" si="2"/>
        <v>100</v>
      </c>
      <c r="AH43" s="27">
        <f t="shared" si="5"/>
        <v>16.51004561369669</v>
      </c>
      <c r="AI43" s="37">
        <f t="shared" si="2"/>
        <v>100</v>
      </c>
      <c r="AJ43" s="27">
        <f t="shared" si="6"/>
        <v>16.892464740985087</v>
      </c>
    </row>
    <row r="44" spans="2:36" ht="12.75">
      <c r="B44" s="20" t="s">
        <v>113</v>
      </c>
      <c r="D44" s="20" t="s">
        <v>62</v>
      </c>
      <c r="E44" s="24">
        <v>100</v>
      </c>
      <c r="F44" s="25">
        <f t="shared" si="8"/>
        <v>1.6860095786563045</v>
      </c>
      <c r="G44" s="24">
        <v>100</v>
      </c>
      <c r="H44" s="25">
        <f t="shared" si="8"/>
        <v>1.730725282269552</v>
      </c>
      <c r="I44" s="24">
        <v>100</v>
      </c>
      <c r="J44" s="25">
        <f t="shared" si="7"/>
        <v>1.651004561369669</v>
      </c>
      <c r="K44" s="24">
        <v>100</v>
      </c>
      <c r="L44" s="25">
        <f t="shared" si="0"/>
        <v>1.6892464740985087</v>
      </c>
      <c r="M44" s="25"/>
      <c r="N44" s="25"/>
      <c r="O44" s="25"/>
      <c r="P44" s="25"/>
      <c r="Q44" s="25"/>
      <c r="R44" s="25"/>
      <c r="S44" s="25"/>
      <c r="T44" s="24"/>
      <c r="U44" s="24"/>
      <c r="V44" s="24"/>
      <c r="W44" s="24"/>
      <c r="X44" s="24"/>
      <c r="Y44" s="24"/>
      <c r="Z44" s="24"/>
      <c r="AA44" s="24"/>
      <c r="AB44" s="22"/>
      <c r="AC44" s="37">
        <f t="shared" si="2"/>
        <v>100</v>
      </c>
      <c r="AD44" s="27">
        <f t="shared" si="3"/>
        <v>1.6860095786563045</v>
      </c>
      <c r="AE44" s="37">
        <f t="shared" si="2"/>
        <v>100</v>
      </c>
      <c r="AF44" s="27">
        <f t="shared" si="4"/>
        <v>1.730725282269552</v>
      </c>
      <c r="AG44" s="37">
        <f t="shared" si="2"/>
        <v>100</v>
      </c>
      <c r="AH44" s="27">
        <f t="shared" si="5"/>
        <v>1.651004561369669</v>
      </c>
      <c r="AI44" s="37">
        <f t="shared" si="2"/>
        <v>100</v>
      </c>
      <c r="AJ44" s="27">
        <f t="shared" si="6"/>
        <v>1.6892464740985087</v>
      </c>
    </row>
    <row r="45" spans="2:36" ht="12.75">
      <c r="B45" s="20" t="s">
        <v>110</v>
      </c>
      <c r="D45" s="20" t="s">
        <v>62</v>
      </c>
      <c r="E45" s="24">
        <v>100</v>
      </c>
      <c r="F45" s="25">
        <f t="shared" si="8"/>
        <v>16.860095786563047</v>
      </c>
      <c r="G45" s="24">
        <v>100</v>
      </c>
      <c r="H45" s="25">
        <f t="shared" si="8"/>
        <v>17.30725282269552</v>
      </c>
      <c r="I45" s="24">
        <v>100</v>
      </c>
      <c r="J45" s="25">
        <f t="shared" si="7"/>
        <v>16.51004561369669</v>
      </c>
      <c r="K45" s="24">
        <v>100</v>
      </c>
      <c r="L45" s="25">
        <f t="shared" si="0"/>
        <v>16.892464740985087</v>
      </c>
      <c r="M45" s="25"/>
      <c r="N45" s="25"/>
      <c r="O45" s="25"/>
      <c r="P45" s="25"/>
      <c r="Q45" s="25"/>
      <c r="R45" s="25"/>
      <c r="S45" s="25"/>
      <c r="T45" s="24"/>
      <c r="U45" s="24"/>
      <c r="V45" s="24"/>
      <c r="W45" s="24"/>
      <c r="X45" s="24"/>
      <c r="Y45" s="24"/>
      <c r="Z45" s="24"/>
      <c r="AA45" s="24"/>
      <c r="AB45" s="22"/>
      <c r="AC45" s="37">
        <f t="shared" si="2"/>
        <v>100</v>
      </c>
      <c r="AD45" s="27">
        <f t="shared" si="3"/>
        <v>16.860095786563047</v>
      </c>
      <c r="AE45" s="37">
        <f t="shared" si="2"/>
        <v>100</v>
      </c>
      <c r="AF45" s="27">
        <f t="shared" si="4"/>
        <v>17.30725282269552</v>
      </c>
      <c r="AG45" s="37">
        <f t="shared" si="2"/>
        <v>100</v>
      </c>
      <c r="AH45" s="27">
        <f t="shared" si="5"/>
        <v>16.51004561369669</v>
      </c>
      <c r="AI45" s="37">
        <f t="shared" si="2"/>
        <v>100</v>
      </c>
      <c r="AJ45" s="27">
        <f t="shared" si="6"/>
        <v>16.892464740985087</v>
      </c>
    </row>
    <row r="46" spans="2:36" ht="12.75">
      <c r="B46" s="20" t="s">
        <v>106</v>
      </c>
      <c r="D46" s="20" t="s">
        <v>62</v>
      </c>
      <c r="E46" s="24">
        <v>100</v>
      </c>
      <c r="F46" s="25">
        <f t="shared" si="8"/>
        <v>16.860095786563047</v>
      </c>
      <c r="G46" s="24">
        <v>100</v>
      </c>
      <c r="H46" s="25">
        <f t="shared" si="8"/>
        <v>17.30725282269552</v>
      </c>
      <c r="I46" s="24">
        <v>100</v>
      </c>
      <c r="J46" s="25">
        <f t="shared" si="7"/>
        <v>16.51004561369669</v>
      </c>
      <c r="K46" s="24">
        <v>100</v>
      </c>
      <c r="L46" s="25">
        <f t="shared" si="0"/>
        <v>16.892464740985087</v>
      </c>
      <c r="M46" s="25"/>
      <c r="N46" s="25"/>
      <c r="O46" s="25"/>
      <c r="P46" s="25"/>
      <c r="Q46" s="25"/>
      <c r="R46" s="25"/>
      <c r="S46" s="25"/>
      <c r="T46" s="24"/>
      <c r="U46" s="24"/>
      <c r="V46" s="24"/>
      <c r="W46" s="24"/>
      <c r="X46" s="24"/>
      <c r="Y46" s="24"/>
      <c r="Z46" s="24"/>
      <c r="AA46" s="24"/>
      <c r="AB46" s="22"/>
      <c r="AC46" s="37">
        <f t="shared" si="2"/>
        <v>100</v>
      </c>
      <c r="AD46" s="27">
        <f t="shared" si="3"/>
        <v>16.860095786563047</v>
      </c>
      <c r="AE46" s="37">
        <f t="shared" si="2"/>
        <v>100</v>
      </c>
      <c r="AF46" s="27">
        <f t="shared" si="4"/>
        <v>17.30725282269552</v>
      </c>
      <c r="AG46" s="37">
        <f t="shared" si="2"/>
        <v>100</v>
      </c>
      <c r="AH46" s="27">
        <f t="shared" si="5"/>
        <v>16.51004561369669</v>
      </c>
      <c r="AI46" s="37">
        <f t="shared" si="2"/>
        <v>100</v>
      </c>
      <c r="AJ46" s="27">
        <f t="shared" si="6"/>
        <v>16.892464740985087</v>
      </c>
    </row>
    <row r="47" spans="5:36" ht="12.75">
      <c r="E47" s="24"/>
      <c r="F47" s="25"/>
      <c r="G47" s="24"/>
      <c r="H47" s="25"/>
      <c r="I47" s="24"/>
      <c r="J47" s="25"/>
      <c r="K47" s="24"/>
      <c r="L47" s="25"/>
      <c r="M47" s="25"/>
      <c r="N47" s="25"/>
      <c r="O47" s="25"/>
      <c r="P47" s="25"/>
      <c r="Q47" s="25"/>
      <c r="R47" s="25"/>
      <c r="S47" s="25"/>
      <c r="T47" s="24"/>
      <c r="U47" s="24"/>
      <c r="V47" s="24"/>
      <c r="W47" s="24"/>
      <c r="X47" s="24"/>
      <c r="Y47" s="24"/>
      <c r="Z47" s="24"/>
      <c r="AA47" s="24"/>
      <c r="AB47" s="22"/>
      <c r="AC47" s="37"/>
      <c r="AD47" s="27"/>
      <c r="AE47" s="37"/>
      <c r="AF47" s="27"/>
      <c r="AG47" s="37"/>
      <c r="AH47" s="27"/>
      <c r="AI47" s="37"/>
      <c r="AJ47" s="27"/>
    </row>
    <row r="48" spans="2:36" ht="12.75">
      <c r="B48" s="20" t="s">
        <v>72</v>
      </c>
      <c r="D48" s="20" t="s">
        <v>62</v>
      </c>
      <c r="E48" s="28">
        <f>(E41*F41+E43*F43)/F48</f>
        <v>100</v>
      </c>
      <c r="F48" s="25">
        <f>(F41+F43)</f>
        <v>18.54610536521935</v>
      </c>
      <c r="G48" s="28">
        <f>(G41*H41+G43*H43)/H48</f>
        <v>100</v>
      </c>
      <c r="H48" s="25">
        <f>(H41+H43)</f>
        <v>19.037978104965074</v>
      </c>
      <c r="I48" s="28">
        <f>(I41*J41+I43*J43)/J48</f>
        <v>100</v>
      </c>
      <c r="J48" s="25">
        <f>(J41+J43)</f>
        <v>18.161050175066357</v>
      </c>
      <c r="K48" s="28">
        <f>(K41*L41+K43*L43)/L48</f>
        <v>100.00000000000001</v>
      </c>
      <c r="L48" s="25">
        <f>AVERAGE(F48,H48,J48)</f>
        <v>18.581711215083594</v>
      </c>
      <c r="M48" s="25"/>
      <c r="N48" s="25"/>
      <c r="O48" s="25"/>
      <c r="P48" s="25"/>
      <c r="Q48" s="25"/>
      <c r="R48" s="25"/>
      <c r="S48" s="25"/>
      <c r="T48" s="24"/>
      <c r="U48" s="24"/>
      <c r="V48" s="24"/>
      <c r="W48" s="24"/>
      <c r="X48" s="24"/>
      <c r="Y48" s="24"/>
      <c r="Z48" s="24"/>
      <c r="AA48" s="24"/>
      <c r="AB48" s="22"/>
      <c r="AC48" s="37">
        <f t="shared" si="2"/>
        <v>100</v>
      </c>
      <c r="AD48" s="27">
        <f>V48+F48+N48</f>
        <v>18.54610536521935</v>
      </c>
      <c r="AE48" s="37">
        <f t="shared" si="2"/>
        <v>100</v>
      </c>
      <c r="AF48" s="27">
        <f>X48+H48+P48</f>
        <v>19.037978104965074</v>
      </c>
      <c r="AG48" s="37">
        <f t="shared" si="2"/>
        <v>100</v>
      </c>
      <c r="AH48" s="27">
        <f>Z48+J48+R48</f>
        <v>18.161050175066357</v>
      </c>
      <c r="AI48" s="37">
        <f t="shared" si="2"/>
        <v>100.00000000000001</v>
      </c>
      <c r="AJ48" s="27">
        <f>L48</f>
        <v>18.581711215083594</v>
      </c>
    </row>
    <row r="49" spans="2:36" ht="12.75">
      <c r="B49" s="20" t="s">
        <v>73</v>
      </c>
      <c r="D49" s="20" t="s">
        <v>62</v>
      </c>
      <c r="E49" s="28">
        <f>(E38*F38+E40*F40+E42*F42)/F49</f>
        <v>8.695652173913045</v>
      </c>
      <c r="F49" s="25">
        <f>F38+F40+F42</f>
        <v>155.11288123638</v>
      </c>
      <c r="G49" s="28">
        <f>(G38*H38+G40*H40+G42*H42)/H49</f>
        <v>5.970149253731342</v>
      </c>
      <c r="H49" s="25">
        <f>H38+H40+H42</f>
        <v>231.91718782412005</v>
      </c>
      <c r="I49" s="28">
        <f>(I38*J38+I40*J40+I42*J42)/J49</f>
        <v>9.523809523809526</v>
      </c>
      <c r="J49" s="25">
        <f>J38+J40+J42</f>
        <v>138.68438315505216</v>
      </c>
      <c r="K49" s="28">
        <f>(K38*L38+K40*L40+K42*L42)/L49</f>
        <v>7.711774939324154</v>
      </c>
      <c r="L49" s="25">
        <f>AVERAGE(F49,H49,J49)</f>
        <v>175.23815073851742</v>
      </c>
      <c r="M49" s="25"/>
      <c r="N49" s="25"/>
      <c r="O49" s="25"/>
      <c r="P49" s="25"/>
      <c r="Q49" s="25"/>
      <c r="R49" s="25"/>
      <c r="S49" s="25"/>
      <c r="T49" s="24"/>
      <c r="U49" s="24"/>
      <c r="V49" s="24"/>
      <c r="W49" s="24"/>
      <c r="X49" s="24"/>
      <c r="Y49" s="24"/>
      <c r="Z49" s="24"/>
      <c r="AA49" s="24"/>
      <c r="AB49" s="22"/>
      <c r="AC49" s="37">
        <f t="shared" si="2"/>
        <v>8.695652173913045</v>
      </c>
      <c r="AD49" s="27">
        <f>V49+F49+N49</f>
        <v>155.11288123638</v>
      </c>
      <c r="AE49" s="37">
        <f t="shared" si="2"/>
        <v>5.970149253731342</v>
      </c>
      <c r="AF49" s="27">
        <f>X49+H49+P49</f>
        <v>231.91718782412005</v>
      </c>
      <c r="AG49" s="37">
        <f t="shared" si="2"/>
        <v>9.523809523809526</v>
      </c>
      <c r="AH49" s="27">
        <f>Z49+J49+R49</f>
        <v>138.68438315505216</v>
      </c>
      <c r="AI49" s="37">
        <f t="shared" si="2"/>
        <v>7.711774939324154</v>
      </c>
      <c r="AJ49" s="27">
        <f>L49</f>
        <v>175.23815073851742</v>
      </c>
    </row>
    <row r="50" spans="5:35" ht="12.75">
      <c r="E50" s="24"/>
      <c r="F50" s="24"/>
      <c r="G50" s="24"/>
      <c r="H50" s="24"/>
      <c r="I50" s="24"/>
      <c r="J50" s="24"/>
      <c r="K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5:35" ht="12.75">
      <c r="E51" s="24"/>
      <c r="F51" s="24"/>
      <c r="G51" s="24"/>
      <c r="H51" s="24"/>
      <c r="I51" s="24"/>
      <c r="J51" s="24"/>
      <c r="K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" ht="12.75">
      <c r="A52" s="21" t="s">
        <v>111</v>
      </c>
      <c r="B52" s="21"/>
      <c r="C52" s="19"/>
    </row>
    <row r="53" spans="2:36" ht="12.75">
      <c r="B53" s="19" t="s">
        <v>56</v>
      </c>
      <c r="F53" s="24" t="s">
        <v>117</v>
      </c>
      <c r="G53" s="24"/>
      <c r="H53" s="24" t="s">
        <v>118</v>
      </c>
      <c r="I53" s="24"/>
      <c r="J53" s="24" t="s">
        <v>119</v>
      </c>
      <c r="K53" s="24"/>
      <c r="L53" s="24" t="s">
        <v>39</v>
      </c>
      <c r="M53" s="24"/>
      <c r="N53" s="24" t="s">
        <v>117</v>
      </c>
      <c r="O53" s="24"/>
      <c r="P53" s="24" t="s">
        <v>118</v>
      </c>
      <c r="Q53" s="24"/>
      <c r="R53" s="24" t="s">
        <v>119</v>
      </c>
      <c r="S53" s="24"/>
      <c r="T53" s="24" t="s">
        <v>39</v>
      </c>
      <c r="U53" s="24"/>
      <c r="V53" s="24" t="s">
        <v>117</v>
      </c>
      <c r="W53" s="24"/>
      <c r="X53" s="24" t="s">
        <v>118</v>
      </c>
      <c r="Y53" s="24"/>
      <c r="Z53" s="24" t="s">
        <v>119</v>
      </c>
      <c r="AA53" s="24"/>
      <c r="AB53" s="24" t="s">
        <v>39</v>
      </c>
      <c r="AC53" s="24"/>
      <c r="AD53" s="24" t="s">
        <v>117</v>
      </c>
      <c r="AE53" s="24"/>
      <c r="AF53" s="24" t="s">
        <v>118</v>
      </c>
      <c r="AG53" s="24"/>
      <c r="AH53" s="24" t="s">
        <v>119</v>
      </c>
      <c r="AI53" s="24"/>
      <c r="AJ53" s="24" t="s">
        <v>39</v>
      </c>
    </row>
    <row r="54" spans="2:36" ht="12.75">
      <c r="B54" s="19"/>
      <c r="N54" s="21"/>
      <c r="O54" s="21"/>
      <c r="P54" s="21"/>
      <c r="Q54" s="21"/>
      <c r="R54" s="21"/>
      <c r="S54" s="21"/>
      <c r="T54" s="22"/>
      <c r="AB54" s="22"/>
      <c r="AJ54" s="22"/>
    </row>
    <row r="55" spans="2:36" ht="12.75">
      <c r="B55" s="20" t="s">
        <v>131</v>
      </c>
      <c r="F55" s="24" t="s">
        <v>142</v>
      </c>
      <c r="H55" s="24" t="s">
        <v>142</v>
      </c>
      <c r="J55" s="24" t="s">
        <v>142</v>
      </c>
      <c r="L55" s="24" t="s">
        <v>142</v>
      </c>
      <c r="N55" s="24" t="s">
        <v>143</v>
      </c>
      <c r="P55" s="24" t="s">
        <v>143</v>
      </c>
      <c r="R55" s="24" t="s">
        <v>143</v>
      </c>
      <c r="T55" s="24" t="s">
        <v>143</v>
      </c>
      <c r="V55" s="24" t="s">
        <v>144</v>
      </c>
      <c r="X55" s="24" t="s">
        <v>144</v>
      </c>
      <c r="Z55" s="24" t="s">
        <v>144</v>
      </c>
      <c r="AB55" s="24" t="s">
        <v>144</v>
      </c>
      <c r="AD55" s="24" t="s">
        <v>145</v>
      </c>
      <c r="AF55" s="24" t="s">
        <v>145</v>
      </c>
      <c r="AH55" s="24" t="s">
        <v>145</v>
      </c>
      <c r="AJ55" s="24" t="s">
        <v>145</v>
      </c>
    </row>
    <row r="56" spans="2:36" ht="12.75">
      <c r="B56" s="20" t="s">
        <v>132</v>
      </c>
      <c r="F56" s="24" t="s">
        <v>133</v>
      </c>
      <c r="H56" s="24" t="s">
        <v>133</v>
      </c>
      <c r="J56" s="24" t="s">
        <v>133</v>
      </c>
      <c r="L56" s="24" t="s">
        <v>133</v>
      </c>
      <c r="N56" s="22" t="s">
        <v>43</v>
      </c>
      <c r="P56" s="22" t="s">
        <v>43</v>
      </c>
      <c r="R56" s="22" t="s">
        <v>43</v>
      </c>
      <c r="T56" s="22" t="s">
        <v>43</v>
      </c>
      <c r="V56" s="24" t="s">
        <v>134</v>
      </c>
      <c r="X56" s="24" t="s">
        <v>134</v>
      </c>
      <c r="Z56" s="24" t="s">
        <v>134</v>
      </c>
      <c r="AB56" s="24" t="s">
        <v>134</v>
      </c>
      <c r="AD56" s="24" t="s">
        <v>86</v>
      </c>
      <c r="AF56" s="24" t="s">
        <v>86</v>
      </c>
      <c r="AH56" s="24" t="s">
        <v>86</v>
      </c>
      <c r="AJ56" s="24" t="s">
        <v>86</v>
      </c>
    </row>
    <row r="57" spans="2:36" ht="12.75">
      <c r="B57" s="20" t="s">
        <v>147</v>
      </c>
      <c r="F57" s="24" t="s">
        <v>71</v>
      </c>
      <c r="H57" s="24" t="s">
        <v>71</v>
      </c>
      <c r="J57" s="24" t="s">
        <v>71</v>
      </c>
      <c r="L57" s="24" t="s">
        <v>71</v>
      </c>
      <c r="N57" s="22" t="s">
        <v>43</v>
      </c>
      <c r="P57" s="22" t="s">
        <v>43</v>
      </c>
      <c r="R57" s="22" t="s">
        <v>43</v>
      </c>
      <c r="T57" s="22" t="s">
        <v>43</v>
      </c>
      <c r="V57" s="24" t="s">
        <v>148</v>
      </c>
      <c r="X57" s="24" t="s">
        <v>148</v>
      </c>
      <c r="Z57" s="24" t="s">
        <v>148</v>
      </c>
      <c r="AB57" s="24" t="s">
        <v>148</v>
      </c>
      <c r="AD57" s="24" t="s">
        <v>86</v>
      </c>
      <c r="AF57" s="24" t="s">
        <v>86</v>
      </c>
      <c r="AH57" s="24" t="s">
        <v>86</v>
      </c>
      <c r="AJ57" s="24" t="s">
        <v>86</v>
      </c>
    </row>
    <row r="58" spans="2:36" ht="12.75">
      <c r="B58" s="20" t="s">
        <v>40</v>
      </c>
      <c r="F58" s="22" t="s">
        <v>41</v>
      </c>
      <c r="H58" s="22" t="s">
        <v>41</v>
      </c>
      <c r="J58" s="22" t="s">
        <v>41</v>
      </c>
      <c r="L58" s="22" t="s">
        <v>41</v>
      </c>
      <c r="N58" s="22" t="s">
        <v>43</v>
      </c>
      <c r="P58" s="22" t="s">
        <v>43</v>
      </c>
      <c r="R58" s="22" t="s">
        <v>43</v>
      </c>
      <c r="T58" s="22" t="s">
        <v>43</v>
      </c>
      <c r="U58" s="22"/>
      <c r="V58" s="22" t="s">
        <v>42</v>
      </c>
      <c r="W58" s="22"/>
      <c r="X58" s="22" t="s">
        <v>42</v>
      </c>
      <c r="Y58" s="22"/>
      <c r="Z58" s="22" t="s">
        <v>42</v>
      </c>
      <c r="AA58" s="22"/>
      <c r="AB58" s="22" t="s">
        <v>42</v>
      </c>
      <c r="AC58" s="22"/>
      <c r="AD58" s="22" t="s">
        <v>86</v>
      </c>
      <c r="AE58" s="22"/>
      <c r="AF58" s="22" t="s">
        <v>86</v>
      </c>
      <c r="AG58" s="22"/>
      <c r="AH58" s="22" t="s">
        <v>86</v>
      </c>
      <c r="AI58" s="22"/>
      <c r="AJ58" s="22" t="s">
        <v>86</v>
      </c>
    </row>
    <row r="59" spans="2:19" ht="12.75">
      <c r="B59" s="20" t="s">
        <v>114</v>
      </c>
      <c r="D59" s="20" t="s">
        <v>44</v>
      </c>
      <c r="F59" s="21">
        <v>3923</v>
      </c>
      <c r="H59" s="21">
        <v>3923</v>
      </c>
      <c r="J59" s="21">
        <v>3923</v>
      </c>
      <c r="L59" s="23">
        <v>3923</v>
      </c>
      <c r="M59" s="23"/>
      <c r="N59" s="23"/>
      <c r="O59" s="23"/>
      <c r="P59" s="23"/>
      <c r="Q59" s="23"/>
      <c r="R59" s="23"/>
      <c r="S59" s="23"/>
    </row>
    <row r="60" spans="2:28" ht="12.75">
      <c r="B60" s="20" t="s">
        <v>114</v>
      </c>
      <c r="D60" s="20" t="s">
        <v>61</v>
      </c>
      <c r="L60" s="23"/>
      <c r="M60" s="23"/>
      <c r="N60" s="23"/>
      <c r="O60" s="23"/>
      <c r="P60" s="23"/>
      <c r="Q60" s="23"/>
      <c r="R60" s="23"/>
      <c r="S60" s="23"/>
      <c r="V60" s="21">
        <v>117100</v>
      </c>
      <c r="X60" s="21">
        <v>117000</v>
      </c>
      <c r="Z60" s="21">
        <v>106600</v>
      </c>
      <c r="AB60" s="21">
        <v>106933</v>
      </c>
    </row>
    <row r="61" spans="2:19" ht="12.75">
      <c r="B61" s="20" t="s">
        <v>45</v>
      </c>
      <c r="D61" s="20" t="s">
        <v>46</v>
      </c>
      <c r="F61" s="21">
        <v>15571</v>
      </c>
      <c r="H61" s="21">
        <v>15686</v>
      </c>
      <c r="J61" s="21">
        <v>15540</v>
      </c>
      <c r="L61" s="23">
        <v>15599</v>
      </c>
      <c r="M61" s="23"/>
      <c r="N61" s="23"/>
      <c r="O61" s="23"/>
      <c r="P61" s="23"/>
      <c r="Q61" s="23"/>
      <c r="R61" s="23"/>
      <c r="S61" s="23"/>
    </row>
    <row r="62" spans="2:19" ht="12.75">
      <c r="B62" s="20" t="s">
        <v>47</v>
      </c>
      <c r="D62" s="20" t="s">
        <v>48</v>
      </c>
      <c r="F62" s="21">
        <v>1.12</v>
      </c>
      <c r="H62" s="21">
        <v>1.12</v>
      </c>
      <c r="J62" s="21">
        <v>1.12</v>
      </c>
      <c r="L62" s="23">
        <v>1.12</v>
      </c>
      <c r="M62" s="23"/>
      <c r="N62" s="23"/>
      <c r="O62" s="23"/>
      <c r="P62" s="23"/>
      <c r="Q62" s="23"/>
      <c r="R62" s="23"/>
      <c r="S62" s="23"/>
    </row>
    <row r="63" spans="2:35" ht="12.75">
      <c r="B63" s="20" t="s">
        <v>49</v>
      </c>
      <c r="D63" s="20" t="s">
        <v>32</v>
      </c>
      <c r="E63" s="24"/>
      <c r="F63" s="24">
        <v>3915</v>
      </c>
      <c r="G63" s="24"/>
      <c r="H63" s="24">
        <v>3203</v>
      </c>
      <c r="I63" s="24"/>
      <c r="J63" s="24">
        <v>2313</v>
      </c>
      <c r="K63" s="24"/>
      <c r="L63" s="25">
        <f>AVERAGE(J63,H63,F63)</f>
        <v>3143.6666666666665</v>
      </c>
      <c r="M63" s="23"/>
      <c r="N63" s="23">
        <v>6287</v>
      </c>
      <c r="O63" s="23"/>
      <c r="P63" s="23">
        <v>6287</v>
      </c>
      <c r="Q63" s="23"/>
      <c r="R63" s="23">
        <v>6291</v>
      </c>
      <c r="S63" s="23"/>
      <c r="T63" s="22">
        <v>6288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ht="12.75">
      <c r="B64" s="20" t="s">
        <v>50</v>
      </c>
      <c r="D64" s="20" t="s">
        <v>32</v>
      </c>
      <c r="E64" s="24"/>
      <c r="F64" s="24">
        <v>391.5</v>
      </c>
      <c r="G64" s="24"/>
      <c r="H64" s="24">
        <v>391.5</v>
      </c>
      <c r="I64" s="24"/>
      <c r="J64" s="24">
        <v>113.5</v>
      </c>
      <c r="K64" s="24"/>
      <c r="L64" s="25">
        <f>AVERAGE(J64,H64,F64)</f>
        <v>298.8333333333333</v>
      </c>
      <c r="M64" s="23"/>
      <c r="N64" s="23">
        <v>712</v>
      </c>
      <c r="O64" s="23"/>
      <c r="P64" s="23">
        <v>712</v>
      </c>
      <c r="Q64" s="23"/>
      <c r="R64" s="23">
        <v>712</v>
      </c>
      <c r="S64" s="23"/>
      <c r="T64" s="22">
        <v>712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2:35" ht="12.75">
      <c r="B65" s="20" t="s">
        <v>107</v>
      </c>
      <c r="D65" s="20" t="s">
        <v>51</v>
      </c>
      <c r="E65" s="24" t="s">
        <v>34</v>
      </c>
      <c r="F65" s="22">
        <v>1</v>
      </c>
      <c r="G65" s="24" t="s">
        <v>34</v>
      </c>
      <c r="H65" s="22">
        <v>1</v>
      </c>
      <c r="I65" s="24" t="s">
        <v>34</v>
      </c>
      <c r="J65" s="22">
        <v>1</v>
      </c>
      <c r="K65" s="24"/>
      <c r="L65" s="23">
        <v>1</v>
      </c>
      <c r="M65" s="23"/>
      <c r="N65" s="23"/>
      <c r="O65" s="23"/>
      <c r="P65" s="23"/>
      <c r="Q65" s="23"/>
      <c r="R65" s="23"/>
      <c r="S65" s="23"/>
      <c r="T65" s="24"/>
      <c r="U65" s="24"/>
      <c r="V65" s="22"/>
      <c r="W65" s="24"/>
      <c r="X65" s="22"/>
      <c r="Y65" s="24"/>
      <c r="Z65" s="22"/>
      <c r="AA65" s="24"/>
      <c r="AB65" s="22"/>
      <c r="AC65" s="22"/>
      <c r="AD65" s="22"/>
      <c r="AE65" s="22"/>
      <c r="AF65" s="22"/>
      <c r="AG65" s="22"/>
      <c r="AH65" s="22"/>
      <c r="AI65" s="22"/>
    </row>
    <row r="66" spans="2:35" ht="12.75">
      <c r="B66" s="20" t="s">
        <v>103</v>
      </c>
      <c r="D66" s="20" t="s">
        <v>51</v>
      </c>
      <c r="E66" s="24" t="s">
        <v>34</v>
      </c>
      <c r="F66" s="22">
        <v>0.5</v>
      </c>
      <c r="G66" s="24" t="s">
        <v>34</v>
      </c>
      <c r="H66" s="22">
        <v>0.5</v>
      </c>
      <c r="I66" s="24" t="s">
        <v>34</v>
      </c>
      <c r="J66" s="22">
        <v>0.5</v>
      </c>
      <c r="K66" s="24"/>
      <c r="L66" s="23">
        <v>0.5</v>
      </c>
      <c r="M66" s="23"/>
      <c r="N66" s="23"/>
      <c r="O66" s="23"/>
      <c r="P66" s="23"/>
      <c r="Q66" s="23"/>
      <c r="R66" s="23"/>
      <c r="S66" s="23"/>
      <c r="T66" s="24"/>
      <c r="U66" s="24"/>
      <c r="V66" s="22"/>
      <c r="W66" s="24"/>
      <c r="X66" s="22"/>
      <c r="Y66" s="24"/>
      <c r="Z66" s="22"/>
      <c r="AA66" s="24"/>
      <c r="AB66" s="22"/>
      <c r="AC66" s="22"/>
      <c r="AD66" s="22"/>
      <c r="AE66" s="22"/>
      <c r="AF66" s="22"/>
      <c r="AG66" s="22"/>
      <c r="AH66" s="22"/>
      <c r="AI66" s="22"/>
    </row>
    <row r="67" spans="2:35" ht="12.75">
      <c r="B67" s="20" t="s">
        <v>104</v>
      </c>
      <c r="D67" s="20" t="s">
        <v>51</v>
      </c>
      <c r="E67" s="24" t="s">
        <v>34</v>
      </c>
      <c r="F67" s="22">
        <v>1</v>
      </c>
      <c r="G67" s="24" t="s">
        <v>34</v>
      </c>
      <c r="H67" s="22">
        <v>1</v>
      </c>
      <c r="I67" s="24" t="s">
        <v>34</v>
      </c>
      <c r="J67" s="22">
        <v>1</v>
      </c>
      <c r="K67" s="24"/>
      <c r="L67" s="23">
        <v>1</v>
      </c>
      <c r="M67" s="23"/>
      <c r="N67" s="23"/>
      <c r="O67" s="23"/>
      <c r="P67" s="23"/>
      <c r="Q67" s="23"/>
      <c r="R67" s="23"/>
      <c r="S67" s="23"/>
      <c r="T67" s="24"/>
      <c r="U67" s="24"/>
      <c r="V67" s="22"/>
      <c r="W67" s="24"/>
      <c r="X67" s="22"/>
      <c r="Y67" s="24"/>
      <c r="Z67" s="22"/>
      <c r="AA67" s="24"/>
      <c r="AB67" s="22"/>
      <c r="AC67" s="22"/>
      <c r="AD67" s="22"/>
      <c r="AE67" s="22"/>
      <c r="AF67" s="22"/>
      <c r="AG67" s="22"/>
      <c r="AH67" s="22"/>
      <c r="AI67" s="22"/>
    </row>
    <row r="68" spans="2:35" ht="12.75">
      <c r="B68" s="20" t="s">
        <v>105</v>
      </c>
      <c r="D68" s="20" t="s">
        <v>51</v>
      </c>
      <c r="E68" s="24" t="s">
        <v>34</v>
      </c>
      <c r="F68" s="22">
        <v>0.3</v>
      </c>
      <c r="G68" s="24" t="s">
        <v>34</v>
      </c>
      <c r="H68" s="22">
        <v>0.3</v>
      </c>
      <c r="I68" s="24" t="s">
        <v>34</v>
      </c>
      <c r="J68" s="22">
        <v>0.3</v>
      </c>
      <c r="K68" s="24"/>
      <c r="L68" s="23">
        <v>0.3</v>
      </c>
      <c r="M68" s="23"/>
      <c r="N68" s="23"/>
      <c r="O68" s="23"/>
      <c r="P68" s="23"/>
      <c r="Q68" s="23"/>
      <c r="R68" s="23"/>
      <c r="S68" s="23"/>
      <c r="T68" s="24"/>
      <c r="U68" s="24"/>
      <c r="V68" s="22"/>
      <c r="W68" s="24"/>
      <c r="X68" s="22"/>
      <c r="Y68" s="24"/>
      <c r="Z68" s="22"/>
      <c r="AA68" s="24"/>
      <c r="AB68" s="22"/>
      <c r="AC68" s="22"/>
      <c r="AD68" s="22"/>
      <c r="AE68" s="22"/>
      <c r="AF68" s="22"/>
      <c r="AG68" s="22"/>
      <c r="AH68" s="22"/>
      <c r="AI68" s="22"/>
    </row>
    <row r="69" spans="2:35" ht="12.75">
      <c r="B69" s="20" t="s">
        <v>109</v>
      </c>
      <c r="D69" s="20" t="s">
        <v>51</v>
      </c>
      <c r="E69" s="24" t="s">
        <v>34</v>
      </c>
      <c r="F69" s="22">
        <v>0.1</v>
      </c>
      <c r="G69" s="24" t="s">
        <v>34</v>
      </c>
      <c r="H69" s="22">
        <v>0.1</v>
      </c>
      <c r="I69" s="24" t="s">
        <v>34</v>
      </c>
      <c r="J69" s="22">
        <v>0.1</v>
      </c>
      <c r="K69" s="24"/>
      <c r="L69" s="23">
        <v>0.1</v>
      </c>
      <c r="M69" s="23"/>
      <c r="N69" s="23"/>
      <c r="O69" s="23"/>
      <c r="P69" s="23"/>
      <c r="Q69" s="23"/>
      <c r="R69" s="23"/>
      <c r="S69" s="23"/>
      <c r="T69" s="24"/>
      <c r="U69" s="24"/>
      <c r="V69" s="22"/>
      <c r="W69" s="24"/>
      <c r="X69" s="22"/>
      <c r="Y69" s="24"/>
      <c r="Z69" s="22"/>
      <c r="AA69" s="24"/>
      <c r="AB69" s="22"/>
      <c r="AC69" s="22"/>
      <c r="AD69" s="22"/>
      <c r="AE69" s="22"/>
      <c r="AF69" s="22"/>
      <c r="AG69" s="22"/>
      <c r="AH69" s="22"/>
      <c r="AI69" s="22"/>
    </row>
    <row r="70" spans="2:35" ht="12.75">
      <c r="B70" s="20" t="s">
        <v>101</v>
      </c>
      <c r="D70" s="20" t="s">
        <v>51</v>
      </c>
      <c r="E70" s="24" t="s">
        <v>53</v>
      </c>
      <c r="F70" s="22">
        <v>7.6</v>
      </c>
      <c r="G70" s="24" t="s">
        <v>53</v>
      </c>
      <c r="H70" s="22">
        <v>6.6</v>
      </c>
      <c r="I70" s="24" t="s">
        <v>53</v>
      </c>
      <c r="J70" s="22">
        <v>4.4</v>
      </c>
      <c r="K70" s="24"/>
      <c r="L70" s="23">
        <v>6.2</v>
      </c>
      <c r="M70" s="23"/>
      <c r="N70" s="23"/>
      <c r="O70" s="23"/>
      <c r="P70" s="23"/>
      <c r="Q70" s="23"/>
      <c r="R70" s="23"/>
      <c r="S70" s="23"/>
      <c r="T70" s="24"/>
      <c r="U70" s="24"/>
      <c r="V70" s="22"/>
      <c r="W70" s="24"/>
      <c r="X70" s="22"/>
      <c r="Y70" s="24"/>
      <c r="Z70" s="22"/>
      <c r="AA70" s="24"/>
      <c r="AB70" s="22"/>
      <c r="AC70" s="22"/>
      <c r="AD70" s="22"/>
      <c r="AE70" s="22"/>
      <c r="AF70" s="22"/>
      <c r="AG70" s="22"/>
      <c r="AH70" s="22"/>
      <c r="AI70" s="22"/>
    </row>
    <row r="71" spans="2:35" ht="12.75">
      <c r="B71" s="20" t="s">
        <v>108</v>
      </c>
      <c r="D71" s="20" t="s">
        <v>51</v>
      </c>
      <c r="E71" s="24" t="s">
        <v>34</v>
      </c>
      <c r="F71" s="22">
        <v>1</v>
      </c>
      <c r="G71" s="24" t="s">
        <v>34</v>
      </c>
      <c r="H71" s="22">
        <v>1</v>
      </c>
      <c r="I71" s="24" t="s">
        <v>34</v>
      </c>
      <c r="J71" s="22">
        <v>1</v>
      </c>
      <c r="K71" s="24"/>
      <c r="L71" s="23">
        <v>1</v>
      </c>
      <c r="M71" s="23"/>
      <c r="N71" s="23"/>
      <c r="O71" s="23"/>
      <c r="P71" s="23"/>
      <c r="Q71" s="23"/>
      <c r="R71" s="23"/>
      <c r="S71" s="23"/>
      <c r="T71" s="24"/>
      <c r="U71" s="24"/>
      <c r="V71" s="22"/>
      <c r="W71" s="24"/>
      <c r="X71" s="22"/>
      <c r="Y71" s="24"/>
      <c r="Z71" s="22"/>
      <c r="AA71" s="24"/>
      <c r="AB71" s="22"/>
      <c r="AC71" s="22"/>
      <c r="AD71" s="22"/>
      <c r="AE71" s="22"/>
      <c r="AF71" s="22"/>
      <c r="AG71" s="22"/>
      <c r="AH71" s="22"/>
      <c r="AI71" s="22"/>
    </row>
    <row r="72" spans="2:35" ht="12.75">
      <c r="B72" s="20" t="s">
        <v>113</v>
      </c>
      <c r="D72" s="20" t="s">
        <v>51</v>
      </c>
      <c r="E72" s="24" t="s">
        <v>34</v>
      </c>
      <c r="F72" s="22">
        <v>0.1</v>
      </c>
      <c r="G72" s="24" t="s">
        <v>34</v>
      </c>
      <c r="H72" s="22">
        <v>0.1</v>
      </c>
      <c r="I72" s="24" t="s">
        <v>34</v>
      </c>
      <c r="J72" s="22">
        <v>0.1</v>
      </c>
      <c r="K72" s="24"/>
      <c r="L72" s="23">
        <v>0.1</v>
      </c>
      <c r="M72" s="23"/>
      <c r="N72" s="23"/>
      <c r="O72" s="23"/>
      <c r="P72" s="23"/>
      <c r="Q72" s="23"/>
      <c r="R72" s="23"/>
      <c r="S72" s="23"/>
      <c r="T72" s="24"/>
      <c r="U72" s="24"/>
      <c r="V72" s="22"/>
      <c r="W72" s="24"/>
      <c r="X72" s="22"/>
      <c r="Y72" s="24"/>
      <c r="Z72" s="22"/>
      <c r="AA72" s="24"/>
      <c r="AB72" s="22"/>
      <c r="AC72" s="22"/>
      <c r="AD72" s="22"/>
      <c r="AE72" s="22"/>
      <c r="AF72" s="22"/>
      <c r="AG72" s="22"/>
      <c r="AH72" s="22"/>
      <c r="AI72" s="22"/>
    </row>
    <row r="73" spans="2:35" ht="12.75">
      <c r="B73" s="20" t="s">
        <v>110</v>
      </c>
      <c r="D73" s="20" t="s">
        <v>51</v>
      </c>
      <c r="E73" s="24" t="s">
        <v>34</v>
      </c>
      <c r="F73" s="22">
        <v>1</v>
      </c>
      <c r="G73" s="24" t="s">
        <v>34</v>
      </c>
      <c r="H73" s="22">
        <v>1</v>
      </c>
      <c r="I73" s="24" t="s">
        <v>34</v>
      </c>
      <c r="J73" s="22">
        <v>1</v>
      </c>
      <c r="K73" s="24"/>
      <c r="L73" s="23">
        <v>1</v>
      </c>
      <c r="M73" s="23"/>
      <c r="N73" s="23"/>
      <c r="O73" s="23"/>
      <c r="P73" s="23"/>
      <c r="Q73" s="23"/>
      <c r="R73" s="23"/>
      <c r="S73" s="23"/>
      <c r="T73" s="24"/>
      <c r="U73" s="24"/>
      <c r="V73" s="22"/>
      <c r="W73" s="24"/>
      <c r="X73" s="22"/>
      <c r="Y73" s="24"/>
      <c r="Z73" s="22"/>
      <c r="AA73" s="24"/>
      <c r="AB73" s="22"/>
      <c r="AC73" s="22"/>
      <c r="AD73" s="22"/>
      <c r="AE73" s="22"/>
      <c r="AF73" s="22"/>
      <c r="AG73" s="22"/>
      <c r="AH73" s="22"/>
      <c r="AI73" s="22"/>
    </row>
    <row r="74" spans="2:35" ht="12.75">
      <c r="B74" s="20" t="s">
        <v>106</v>
      </c>
      <c r="D74" s="20" t="s">
        <v>51</v>
      </c>
      <c r="E74" s="24" t="s">
        <v>34</v>
      </c>
      <c r="F74" s="22">
        <v>1</v>
      </c>
      <c r="G74" s="24" t="s">
        <v>34</v>
      </c>
      <c r="H74" s="22">
        <v>1</v>
      </c>
      <c r="I74" s="24" t="s">
        <v>34</v>
      </c>
      <c r="J74" s="22">
        <v>1</v>
      </c>
      <c r="K74" s="24"/>
      <c r="L74" s="23">
        <v>1</v>
      </c>
      <c r="M74" s="23"/>
      <c r="N74" s="23"/>
      <c r="O74" s="23"/>
      <c r="P74" s="23"/>
      <c r="Q74" s="23"/>
      <c r="R74" s="23"/>
      <c r="S74" s="23"/>
      <c r="T74" s="24"/>
      <c r="U74" s="24"/>
      <c r="V74" s="22"/>
      <c r="W74" s="24"/>
      <c r="X74" s="22"/>
      <c r="Y74" s="24"/>
      <c r="Z74" s="22"/>
      <c r="AA74" s="24"/>
      <c r="AB74" s="22"/>
      <c r="AC74" s="22"/>
      <c r="AD74" s="22"/>
      <c r="AE74" s="22"/>
      <c r="AF74" s="22"/>
      <c r="AG74" s="22"/>
      <c r="AH74" s="22"/>
      <c r="AI74" s="22"/>
    </row>
    <row r="75" spans="5:35" ht="12.75">
      <c r="E75" s="24"/>
      <c r="F75" s="24"/>
      <c r="G75" s="24"/>
      <c r="H75" s="24"/>
      <c r="I75" s="24"/>
      <c r="J75" s="24"/>
      <c r="K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2:36" ht="12.75">
      <c r="B76" s="20" t="s">
        <v>63</v>
      </c>
      <c r="D76" s="20" t="s">
        <v>36</v>
      </c>
      <c r="E76" s="24"/>
      <c r="F76" s="22">
        <f>emiss!$G$52</f>
        <v>30500</v>
      </c>
      <c r="G76" s="24"/>
      <c r="H76" s="28">
        <f>emiss!$I$52</f>
        <v>31292</v>
      </c>
      <c r="I76" s="24"/>
      <c r="J76" s="22">
        <f>emiss!$K$52</f>
        <v>31695</v>
      </c>
      <c r="K76" s="24"/>
      <c r="L76" s="25">
        <f>emiss!$O$52</f>
        <v>31162.333333333332</v>
      </c>
      <c r="M76" s="25"/>
      <c r="N76" s="22">
        <f>emiss!$G$52</f>
        <v>30500</v>
      </c>
      <c r="O76" s="24"/>
      <c r="P76" s="28">
        <f>emiss!$I$52</f>
        <v>31292</v>
      </c>
      <c r="Q76" s="24"/>
      <c r="R76" s="22">
        <f>emiss!$K$52</f>
        <v>31695</v>
      </c>
      <c r="S76" s="24"/>
      <c r="T76" s="25">
        <f>emiss!$O$52</f>
        <v>31162.333333333332</v>
      </c>
      <c r="U76" s="25"/>
      <c r="V76" s="26"/>
      <c r="W76" s="25"/>
      <c r="X76" s="26"/>
      <c r="Y76" s="25"/>
      <c r="Z76" s="26"/>
      <c r="AA76" s="25"/>
      <c r="AB76" s="26"/>
      <c r="AC76" s="26"/>
      <c r="AD76" s="22">
        <f>emiss!$G$52</f>
        <v>30500</v>
      </c>
      <c r="AE76" s="24"/>
      <c r="AF76" s="28">
        <f>emiss!$I$52</f>
        <v>31292</v>
      </c>
      <c r="AG76" s="24"/>
      <c r="AH76" s="22">
        <f>emiss!$K$52</f>
        <v>31695</v>
      </c>
      <c r="AI76" s="24"/>
      <c r="AJ76" s="25">
        <f>emiss!$O$52</f>
        <v>31162.333333333332</v>
      </c>
    </row>
    <row r="77" spans="2:36" ht="12.75">
      <c r="B77" s="20" t="s">
        <v>64</v>
      </c>
      <c r="D77" s="20" t="s">
        <v>37</v>
      </c>
      <c r="F77" s="22">
        <f>emiss!$G$53</f>
        <v>3.2</v>
      </c>
      <c r="H77" s="22">
        <f>emiss!$I$53</f>
        <v>3.67</v>
      </c>
      <c r="J77" s="22">
        <f>emiss!$K$53</f>
        <v>3.2</v>
      </c>
      <c r="L77" s="25">
        <f>emiss!$O$53</f>
        <v>3.356666666666667</v>
      </c>
      <c r="M77" s="25"/>
      <c r="N77" s="22">
        <f>emiss!$G$53</f>
        <v>3.2</v>
      </c>
      <c r="O77" s="21"/>
      <c r="P77" s="22">
        <f>emiss!$I$53</f>
        <v>3.67</v>
      </c>
      <c r="Q77" s="21"/>
      <c r="R77" s="22">
        <f>emiss!$K$53</f>
        <v>3.2</v>
      </c>
      <c r="S77" s="21"/>
      <c r="T77" s="25">
        <f>emiss!$O$53</f>
        <v>3.356666666666667</v>
      </c>
      <c r="U77" s="25"/>
      <c r="V77" s="27"/>
      <c r="W77" s="25"/>
      <c r="X77" s="27"/>
      <c r="Y77" s="25"/>
      <c r="Z77" s="27"/>
      <c r="AA77" s="25"/>
      <c r="AB77" s="27"/>
      <c r="AC77" s="27"/>
      <c r="AD77" s="22">
        <f>emiss!$G$53</f>
        <v>3.2</v>
      </c>
      <c r="AF77" s="22">
        <f>emiss!$I$53</f>
        <v>3.67</v>
      </c>
      <c r="AH77" s="22">
        <f>emiss!$K$53</f>
        <v>3.2</v>
      </c>
      <c r="AJ77" s="25">
        <f>emiss!$O$53</f>
        <v>3.356666666666667</v>
      </c>
    </row>
    <row r="79" spans="2:36" ht="12.75">
      <c r="B79" s="20" t="s">
        <v>112</v>
      </c>
      <c r="D79" s="20" t="s">
        <v>65</v>
      </c>
      <c r="F79" s="25">
        <f>F59*F61/1000000</f>
        <v>61.085033</v>
      </c>
      <c r="H79" s="25">
        <f>H59*H61/1000000</f>
        <v>61.536178</v>
      </c>
      <c r="J79" s="25">
        <f>J59*J61/1000000</f>
        <v>60.96342</v>
      </c>
      <c r="L79" s="25">
        <f>L59*L61/1000000</f>
        <v>61.194877</v>
      </c>
      <c r="M79" s="25"/>
      <c r="N79" s="25"/>
      <c r="O79" s="25"/>
      <c r="P79" s="25"/>
      <c r="Q79" s="25"/>
      <c r="R79" s="25"/>
      <c r="S79" s="25"/>
      <c r="V79" s="21">
        <f>V60*1000/1000000</f>
        <v>117.1</v>
      </c>
      <c r="X79" s="21">
        <f>X60*1000/1000000</f>
        <v>117</v>
      </c>
      <c r="Z79" s="21">
        <f>Z60*1000/1000000</f>
        <v>106.6</v>
      </c>
      <c r="AB79" s="21">
        <f>AB60*1000/1000000</f>
        <v>106.933</v>
      </c>
      <c r="AD79" s="27">
        <f>V79+F79+N79</f>
        <v>178.185033</v>
      </c>
      <c r="AF79" s="27">
        <f>X79+H79+P79</f>
        <v>178.536178</v>
      </c>
      <c r="AH79" s="27">
        <f>Z79+J79+R79</f>
        <v>167.56342</v>
      </c>
      <c r="AJ79" s="27">
        <f>AB79+L79+T79</f>
        <v>168.127877</v>
      </c>
    </row>
    <row r="80" spans="2:36" ht="12.75">
      <c r="B80" s="20" t="s">
        <v>149</v>
      </c>
      <c r="D80" s="20" t="s">
        <v>65</v>
      </c>
      <c r="F80" s="23"/>
      <c r="H80" s="23"/>
      <c r="J80" s="23"/>
      <c r="L80" s="23"/>
      <c r="M80" s="23"/>
      <c r="N80" s="23"/>
      <c r="O80" s="23"/>
      <c r="P80" s="23"/>
      <c r="Q80" s="23"/>
      <c r="R80" s="23"/>
      <c r="S80" s="23"/>
      <c r="AD80" s="27">
        <f>AD76/9000*(21-AD77)/21*60</f>
        <v>172.34920634920636</v>
      </c>
      <c r="AF80" s="27">
        <f>AF76/9000*(21-AF77)/21*60</f>
        <v>172.15566984126983</v>
      </c>
      <c r="AH80" s="27">
        <f>AH76/9000*(21-AH77)/21*60</f>
        <v>179.1019047619048</v>
      </c>
      <c r="AJ80" s="27">
        <f>AJ76/9000*(21-AJ77)/21*60</f>
        <v>174.542042680776</v>
      </c>
    </row>
    <row r="81" spans="6:36" ht="12.75">
      <c r="F81" s="23"/>
      <c r="H81" s="23"/>
      <c r="J81" s="23"/>
      <c r="L81" s="23"/>
      <c r="M81" s="23"/>
      <c r="N81" s="23"/>
      <c r="O81" s="23"/>
      <c r="P81" s="23"/>
      <c r="Q81" s="23"/>
      <c r="R81" s="23"/>
      <c r="S81" s="23"/>
      <c r="AJ81" s="27"/>
    </row>
    <row r="82" spans="2:36" ht="12.75">
      <c r="B82" s="30" t="s">
        <v>88</v>
      </c>
      <c r="C82" s="30"/>
      <c r="F82" s="23"/>
      <c r="H82" s="23"/>
      <c r="J82" s="23"/>
      <c r="L82" s="23"/>
      <c r="M82" s="23"/>
      <c r="N82" s="23"/>
      <c r="O82" s="23"/>
      <c r="P82" s="23"/>
      <c r="Q82" s="23"/>
      <c r="R82" s="23"/>
      <c r="S82" s="23"/>
      <c r="AJ82" s="27"/>
    </row>
    <row r="83" spans="2:36" ht="12.75">
      <c r="B83" s="20" t="s">
        <v>49</v>
      </c>
      <c r="D83" s="20" t="s">
        <v>66</v>
      </c>
      <c r="F83" s="25">
        <f>F63/F76/60/0.0283*1000*(21-7)/(21-F77)</f>
        <v>59.45690171940118</v>
      </c>
      <c r="H83" s="25">
        <f>H63/H76/60/0.0283*1000*(21-7)/(21-H77)</f>
        <v>48.69847978974094</v>
      </c>
      <c r="J83" s="25">
        <f>J63/J76/60/0.0283*1000*(21-7)/(21-J77)</f>
        <v>33.80299834286391</v>
      </c>
      <c r="L83" s="25">
        <f>AVERAGE(F83,H83,J83)</f>
        <v>47.31945995066868</v>
      </c>
      <c r="M83" s="25"/>
      <c r="N83" s="25">
        <f>N63/N76/60/0.0283*1000*(21-7)/(21-N77)</f>
        <v>95.4803425568008</v>
      </c>
      <c r="O83" s="25"/>
      <c r="P83" s="25">
        <f>P63/P76/60/0.0283*1000*(21-7)/(21-P77)</f>
        <v>95.58768106091203</v>
      </c>
      <c r="Q83" s="25"/>
      <c r="R83" s="25">
        <f>R63/R76/60/0.0283*1000*(21-7)/(21-R77)</f>
        <v>91.93889432553257</v>
      </c>
      <c r="S83" s="25"/>
      <c r="T83" s="25">
        <f>T63/T76/60/0.0283*1000*(21-7)/(21-T77)</f>
        <v>94.29578379671136</v>
      </c>
      <c r="U83" s="25"/>
      <c r="V83" s="25"/>
      <c r="W83" s="25"/>
      <c r="X83" s="25"/>
      <c r="Y83" s="25"/>
      <c r="Z83" s="25"/>
      <c r="AA83" s="25"/>
      <c r="AC83" s="21">
        <v>0</v>
      </c>
      <c r="AD83" s="27">
        <f>V83+F83+N83</f>
        <v>154.937244276202</v>
      </c>
      <c r="AE83" s="21">
        <v>0</v>
      </c>
      <c r="AF83" s="27">
        <f>X83+H83+P83</f>
        <v>144.28616085065298</v>
      </c>
      <c r="AG83" s="21">
        <v>0</v>
      </c>
      <c r="AH83" s="27">
        <f>Z83+J83+R83</f>
        <v>125.74189266839647</v>
      </c>
      <c r="AI83" s="21">
        <v>0</v>
      </c>
      <c r="AJ83" s="27">
        <f>AB83+L83+T83</f>
        <v>141.61524374738005</v>
      </c>
    </row>
    <row r="84" spans="2:36" ht="12.75">
      <c r="B84" s="20" t="s">
        <v>50</v>
      </c>
      <c r="D84" s="20" t="s">
        <v>62</v>
      </c>
      <c r="F84" s="28">
        <f>F64/F76/60/0.0283*1000000*(21-7)/(21-F77)</f>
        <v>5945.6901719401185</v>
      </c>
      <c r="H84" s="28">
        <f>H64/H76/60/0.0283*1000000*(21-7)/(21-H77)</f>
        <v>5952.374285883102</v>
      </c>
      <c r="J84" s="28">
        <f>J64/J76/60/0.0283*1000000*(21-7)/(21-J77)</f>
        <v>1658.7290583290333</v>
      </c>
      <c r="L84" s="25">
        <f aca="true" t="shared" si="9" ref="L84:L97">AVERAGE(F84,H84,J84)</f>
        <v>4518.931172050751</v>
      </c>
      <c r="M84" s="28"/>
      <c r="N84" s="28">
        <f>N64/N76/60/0.0283*1000000*(21-7)/(21-N77)</f>
        <v>10813.107030450481</v>
      </c>
      <c r="O84" s="28"/>
      <c r="P84" s="28">
        <f>P64/P76/60/0.0283*1000000*(21-7)/(21-P77)</f>
        <v>10825.263069090086</v>
      </c>
      <c r="Q84" s="28"/>
      <c r="R84" s="28">
        <f>R64/R76/60/0.0283*1000000*(21-7)/(21-R77)</f>
        <v>10405.419291015607</v>
      </c>
      <c r="S84" s="28"/>
      <c r="T84" s="28">
        <f>T64/T76/60/0.0283*1000000*(21-7)/(21-T77)</f>
        <v>10677.257961714136</v>
      </c>
      <c r="U84" s="28"/>
      <c r="V84" s="28"/>
      <c r="W84" s="28"/>
      <c r="X84" s="28"/>
      <c r="Y84" s="28"/>
      <c r="Z84" s="28"/>
      <c r="AA84" s="28"/>
      <c r="AC84" s="21">
        <v>0</v>
      </c>
      <c r="AD84" s="27">
        <f>V84+F84+N84</f>
        <v>16758.7972023906</v>
      </c>
      <c r="AE84" s="21">
        <v>0</v>
      </c>
      <c r="AF84" s="27">
        <f>X84+H84+P84</f>
        <v>16777.637354973187</v>
      </c>
      <c r="AG84" s="21">
        <v>0</v>
      </c>
      <c r="AH84" s="27">
        <f>Z84+J84+R84</f>
        <v>12064.14834934464</v>
      </c>
      <c r="AI84" s="21">
        <v>0</v>
      </c>
      <c r="AJ84" s="27">
        <f>AB84+L84+T84</f>
        <v>15196.189133764889</v>
      </c>
    </row>
    <row r="85" spans="2:36" ht="12.75">
      <c r="B85" s="20" t="s">
        <v>107</v>
      </c>
      <c r="D85" s="20" t="s">
        <v>62</v>
      </c>
      <c r="E85" s="24">
        <v>100</v>
      </c>
      <c r="F85" s="25">
        <f aca="true" t="shared" si="10" ref="F85:F94">F65*F$59*454/1000000/F$76/60/0.0283*1000000*(21-7)/(21-F$77)</f>
        <v>27.048592376021897</v>
      </c>
      <c r="G85" s="24">
        <v>100</v>
      </c>
      <c r="H85" s="25">
        <f aca="true" t="shared" si="11" ref="H85:H94">H65*H$59*454/1000000/H$76/60/0.0283*1000000*(21-7)/(21-H$77)</f>
        <v>27.079000262778578</v>
      </c>
      <c r="I85" s="24">
        <v>100</v>
      </c>
      <c r="J85" s="25">
        <f aca="true" t="shared" si="12" ref="J85:J94">J65*J$59*454/1000000/J$76/60/0.0283*1000000*(21-7)/(21-J$77)</f>
        <v>26.02877638329918</v>
      </c>
      <c r="K85" s="24">
        <v>100</v>
      </c>
      <c r="L85" s="25">
        <f t="shared" si="9"/>
        <v>26.718789674033218</v>
      </c>
      <c r="M85" s="25"/>
      <c r="N85" s="25"/>
      <c r="O85" s="25"/>
      <c r="P85" s="25"/>
      <c r="Q85" s="25"/>
      <c r="R85" s="25"/>
      <c r="S85" s="25"/>
      <c r="AC85" s="21">
        <v>100</v>
      </c>
      <c r="AD85" s="27">
        <f>(V85+F85+N85)</f>
        <v>27.048592376021897</v>
      </c>
      <c r="AE85" s="21">
        <v>100</v>
      </c>
      <c r="AF85" s="27">
        <f>(X85+H85+P85)</f>
        <v>27.079000262778578</v>
      </c>
      <c r="AG85" s="21">
        <v>100</v>
      </c>
      <c r="AH85" s="27">
        <f>(Z85+J85+R85)</f>
        <v>26.02877638329918</v>
      </c>
      <c r="AI85" s="21">
        <v>100</v>
      </c>
      <c r="AJ85" s="27">
        <f aca="true" t="shared" si="13" ref="AJ85:AJ97">AB85+L85+T85</f>
        <v>26.718789674033218</v>
      </c>
    </row>
    <row r="86" spans="2:36" ht="12.75">
      <c r="B86" s="20" t="s">
        <v>103</v>
      </c>
      <c r="D86" s="20" t="s">
        <v>62</v>
      </c>
      <c r="E86" s="24">
        <v>100</v>
      </c>
      <c r="F86" s="25">
        <f t="shared" si="10"/>
        <v>13.524296188010949</v>
      </c>
      <c r="G86" s="24">
        <v>100</v>
      </c>
      <c r="H86" s="25">
        <f t="shared" si="11"/>
        <v>13.539500131389289</v>
      </c>
      <c r="I86" s="24">
        <v>100</v>
      </c>
      <c r="J86" s="25">
        <f t="shared" si="12"/>
        <v>13.01438819164959</v>
      </c>
      <c r="K86" s="24">
        <v>100</v>
      </c>
      <c r="L86" s="25">
        <f t="shared" si="9"/>
        <v>13.359394837016609</v>
      </c>
      <c r="M86" s="25"/>
      <c r="N86" s="25"/>
      <c r="O86" s="25"/>
      <c r="P86" s="25"/>
      <c r="Q86" s="25"/>
      <c r="R86" s="25"/>
      <c r="S86" s="25"/>
      <c r="T86" s="22"/>
      <c r="U86" s="22"/>
      <c r="V86" s="22"/>
      <c r="W86" s="22"/>
      <c r="X86" s="22"/>
      <c r="Y86" s="22"/>
      <c r="Z86" s="22"/>
      <c r="AA86" s="22"/>
      <c r="AB86" s="22"/>
      <c r="AC86" s="21">
        <v>100</v>
      </c>
      <c r="AD86" s="27">
        <f aca="true" t="shared" si="14" ref="AD86:AH97">(V86+F86+N86)</f>
        <v>13.524296188010949</v>
      </c>
      <c r="AE86" s="21">
        <v>100</v>
      </c>
      <c r="AF86" s="27">
        <f t="shared" si="14"/>
        <v>13.539500131389289</v>
      </c>
      <c r="AG86" s="21">
        <v>100</v>
      </c>
      <c r="AH86" s="27">
        <f t="shared" si="14"/>
        <v>13.01438819164959</v>
      </c>
      <c r="AI86" s="21">
        <v>100</v>
      </c>
      <c r="AJ86" s="27">
        <f t="shared" si="13"/>
        <v>13.359394837016609</v>
      </c>
    </row>
    <row r="87" spans="2:36" ht="12.75">
      <c r="B87" s="20" t="s">
        <v>104</v>
      </c>
      <c r="D87" s="20" t="s">
        <v>62</v>
      </c>
      <c r="E87" s="24">
        <v>100</v>
      </c>
      <c r="F87" s="25">
        <f t="shared" si="10"/>
        <v>27.048592376021897</v>
      </c>
      <c r="G87" s="24">
        <v>100</v>
      </c>
      <c r="H87" s="25">
        <f t="shared" si="11"/>
        <v>27.079000262778578</v>
      </c>
      <c r="I87" s="24">
        <v>100</v>
      </c>
      <c r="J87" s="25">
        <f t="shared" si="12"/>
        <v>26.02877638329918</v>
      </c>
      <c r="K87" s="24">
        <v>100</v>
      </c>
      <c r="L87" s="25">
        <f t="shared" si="9"/>
        <v>26.718789674033218</v>
      </c>
      <c r="M87" s="25"/>
      <c r="N87" s="25"/>
      <c r="O87" s="25"/>
      <c r="P87" s="25"/>
      <c r="Q87" s="25"/>
      <c r="R87" s="25"/>
      <c r="S87" s="25"/>
      <c r="T87" s="22"/>
      <c r="U87" s="22"/>
      <c r="V87" s="22"/>
      <c r="W87" s="22"/>
      <c r="X87" s="22"/>
      <c r="Y87" s="22"/>
      <c r="Z87" s="22"/>
      <c r="AA87" s="22"/>
      <c r="AB87" s="22"/>
      <c r="AC87" s="21">
        <v>100</v>
      </c>
      <c r="AD87" s="27">
        <f t="shared" si="14"/>
        <v>27.048592376021897</v>
      </c>
      <c r="AE87" s="21">
        <v>100</v>
      </c>
      <c r="AF87" s="27">
        <f t="shared" si="14"/>
        <v>27.079000262778578</v>
      </c>
      <c r="AG87" s="21">
        <v>100</v>
      </c>
      <c r="AH87" s="27">
        <f t="shared" si="14"/>
        <v>26.02877638329918</v>
      </c>
      <c r="AI87" s="21">
        <v>100</v>
      </c>
      <c r="AJ87" s="27">
        <f t="shared" si="13"/>
        <v>26.718789674033218</v>
      </c>
    </row>
    <row r="88" spans="2:36" ht="12.75">
      <c r="B88" s="20" t="s">
        <v>105</v>
      </c>
      <c r="D88" s="20" t="s">
        <v>62</v>
      </c>
      <c r="E88" s="24">
        <v>100</v>
      </c>
      <c r="F88" s="25">
        <f t="shared" si="10"/>
        <v>8.114577712806568</v>
      </c>
      <c r="G88" s="24">
        <v>100</v>
      </c>
      <c r="H88" s="25">
        <f t="shared" si="11"/>
        <v>8.12370007883357</v>
      </c>
      <c r="I88" s="24">
        <v>100</v>
      </c>
      <c r="J88" s="25">
        <f t="shared" si="12"/>
        <v>7.808632914989756</v>
      </c>
      <c r="K88" s="24">
        <v>100</v>
      </c>
      <c r="L88" s="25">
        <f t="shared" si="9"/>
        <v>8.015636902209964</v>
      </c>
      <c r="M88" s="25"/>
      <c r="N88" s="25"/>
      <c r="O88" s="25"/>
      <c r="P88" s="25"/>
      <c r="Q88" s="25"/>
      <c r="R88" s="25"/>
      <c r="S88" s="25"/>
      <c r="T88" s="24"/>
      <c r="U88" s="24"/>
      <c r="V88" s="24"/>
      <c r="W88" s="24"/>
      <c r="X88" s="24"/>
      <c r="Y88" s="24"/>
      <c r="Z88" s="24"/>
      <c r="AA88" s="24"/>
      <c r="AB88" s="22"/>
      <c r="AC88" s="21">
        <v>100</v>
      </c>
      <c r="AD88" s="27">
        <f t="shared" si="14"/>
        <v>8.114577712806568</v>
      </c>
      <c r="AE88" s="21">
        <v>100</v>
      </c>
      <c r="AF88" s="27">
        <f t="shared" si="14"/>
        <v>8.12370007883357</v>
      </c>
      <c r="AG88" s="21">
        <v>100</v>
      </c>
      <c r="AH88" s="27">
        <f t="shared" si="14"/>
        <v>7.808632914989756</v>
      </c>
      <c r="AI88" s="21">
        <v>100</v>
      </c>
      <c r="AJ88" s="27">
        <f t="shared" si="13"/>
        <v>8.015636902209964</v>
      </c>
    </row>
    <row r="89" spans="2:36" ht="12.75">
      <c r="B89" s="20" t="s">
        <v>109</v>
      </c>
      <c r="D89" s="20" t="s">
        <v>62</v>
      </c>
      <c r="E89" s="24">
        <v>100</v>
      </c>
      <c r="F89" s="25">
        <f t="shared" si="10"/>
        <v>2.70485923760219</v>
      </c>
      <c r="G89" s="24">
        <v>100</v>
      </c>
      <c r="H89" s="25">
        <f t="shared" si="11"/>
        <v>2.707900026277857</v>
      </c>
      <c r="I89" s="24">
        <v>100</v>
      </c>
      <c r="J89" s="25">
        <f t="shared" si="12"/>
        <v>2.602877638329919</v>
      </c>
      <c r="K89" s="24">
        <v>100</v>
      </c>
      <c r="L89" s="25">
        <f t="shared" si="9"/>
        <v>2.671878967403322</v>
      </c>
      <c r="M89" s="25"/>
      <c r="N89" s="25"/>
      <c r="O89" s="25"/>
      <c r="P89" s="25"/>
      <c r="Q89" s="25"/>
      <c r="R89" s="25"/>
      <c r="S89" s="25"/>
      <c r="T89" s="24"/>
      <c r="U89" s="24"/>
      <c r="V89" s="24"/>
      <c r="W89" s="24"/>
      <c r="X89" s="24"/>
      <c r="Y89" s="24"/>
      <c r="Z89" s="24"/>
      <c r="AA89" s="24"/>
      <c r="AB89" s="22"/>
      <c r="AC89" s="21">
        <v>100</v>
      </c>
      <c r="AD89" s="27">
        <f t="shared" si="14"/>
        <v>2.70485923760219</v>
      </c>
      <c r="AE89" s="21">
        <v>100</v>
      </c>
      <c r="AF89" s="27">
        <f t="shared" si="14"/>
        <v>2.707900026277857</v>
      </c>
      <c r="AG89" s="21">
        <v>100</v>
      </c>
      <c r="AH89" s="27">
        <f t="shared" si="14"/>
        <v>2.602877638329919</v>
      </c>
      <c r="AI89" s="21">
        <v>100</v>
      </c>
      <c r="AJ89" s="27">
        <f t="shared" si="13"/>
        <v>2.671878967403322</v>
      </c>
    </row>
    <row r="90" spans="2:36" ht="12.75">
      <c r="B90" s="20" t="s">
        <v>101</v>
      </c>
      <c r="D90" s="20" t="s">
        <v>62</v>
      </c>
      <c r="E90" s="24"/>
      <c r="F90" s="25">
        <f t="shared" si="10"/>
        <v>205.56930205776635</v>
      </c>
      <c r="G90" s="24"/>
      <c r="H90" s="25">
        <f t="shared" si="11"/>
        <v>178.72140173433857</v>
      </c>
      <c r="I90" s="24"/>
      <c r="J90" s="25">
        <f t="shared" si="12"/>
        <v>114.52661608651644</v>
      </c>
      <c r="K90" s="24"/>
      <c r="L90" s="25">
        <f t="shared" si="9"/>
        <v>166.27243995954043</v>
      </c>
      <c r="M90" s="25"/>
      <c r="N90" s="25"/>
      <c r="O90" s="25"/>
      <c r="P90" s="25"/>
      <c r="Q90" s="25"/>
      <c r="R90" s="25"/>
      <c r="S90" s="25"/>
      <c r="T90" s="24"/>
      <c r="U90" s="24"/>
      <c r="V90" s="24"/>
      <c r="W90" s="24"/>
      <c r="X90" s="24"/>
      <c r="Y90" s="24"/>
      <c r="Z90" s="24"/>
      <c r="AA90" s="24"/>
      <c r="AB90" s="22"/>
      <c r="AD90" s="27">
        <f t="shared" si="14"/>
        <v>205.56930205776635</v>
      </c>
      <c r="AF90" s="27">
        <f t="shared" si="14"/>
        <v>178.72140173433857</v>
      </c>
      <c r="AH90" s="27">
        <f t="shared" si="14"/>
        <v>114.52661608651644</v>
      </c>
      <c r="AJ90" s="27">
        <f t="shared" si="13"/>
        <v>166.27243995954043</v>
      </c>
    </row>
    <row r="91" spans="2:36" ht="12.75">
      <c r="B91" s="20" t="s">
        <v>108</v>
      </c>
      <c r="D91" s="20" t="s">
        <v>62</v>
      </c>
      <c r="E91" s="24">
        <v>100</v>
      </c>
      <c r="F91" s="25">
        <f t="shared" si="10"/>
        <v>27.048592376021897</v>
      </c>
      <c r="G91" s="24">
        <v>100</v>
      </c>
      <c r="H91" s="25">
        <f t="shared" si="11"/>
        <v>27.079000262778578</v>
      </c>
      <c r="I91" s="24">
        <v>100</v>
      </c>
      <c r="J91" s="25">
        <f t="shared" si="12"/>
        <v>26.02877638329918</v>
      </c>
      <c r="K91" s="24">
        <v>100</v>
      </c>
      <c r="L91" s="25">
        <f t="shared" si="9"/>
        <v>26.718789674033218</v>
      </c>
      <c r="M91" s="25"/>
      <c r="N91" s="25"/>
      <c r="O91" s="25"/>
      <c r="P91" s="25"/>
      <c r="Q91" s="25"/>
      <c r="R91" s="25"/>
      <c r="S91" s="25"/>
      <c r="T91" s="24"/>
      <c r="U91" s="24"/>
      <c r="V91" s="24"/>
      <c r="W91" s="24"/>
      <c r="X91" s="24"/>
      <c r="Y91" s="24"/>
      <c r="Z91" s="24"/>
      <c r="AA91" s="24"/>
      <c r="AB91" s="22"/>
      <c r="AC91" s="21">
        <v>100</v>
      </c>
      <c r="AD91" s="27">
        <f t="shared" si="14"/>
        <v>27.048592376021897</v>
      </c>
      <c r="AE91" s="21">
        <v>100</v>
      </c>
      <c r="AF91" s="27">
        <f t="shared" si="14"/>
        <v>27.079000262778578</v>
      </c>
      <c r="AG91" s="21">
        <v>100</v>
      </c>
      <c r="AH91" s="27">
        <f t="shared" si="14"/>
        <v>26.02877638329918</v>
      </c>
      <c r="AI91" s="21">
        <v>100</v>
      </c>
      <c r="AJ91" s="27">
        <f t="shared" si="13"/>
        <v>26.718789674033218</v>
      </c>
    </row>
    <row r="92" spans="2:36" ht="12.75">
      <c r="B92" s="20" t="s">
        <v>113</v>
      </c>
      <c r="D92" s="20" t="s">
        <v>62</v>
      </c>
      <c r="E92" s="24">
        <v>100</v>
      </c>
      <c r="F92" s="25">
        <f t="shared" si="10"/>
        <v>2.70485923760219</v>
      </c>
      <c r="G92" s="24">
        <v>100</v>
      </c>
      <c r="H92" s="25">
        <f t="shared" si="11"/>
        <v>2.707900026277857</v>
      </c>
      <c r="I92" s="24">
        <v>100</v>
      </c>
      <c r="J92" s="25">
        <f t="shared" si="12"/>
        <v>2.602877638329919</v>
      </c>
      <c r="K92" s="24">
        <v>100</v>
      </c>
      <c r="L92" s="25">
        <f t="shared" si="9"/>
        <v>2.671878967403322</v>
      </c>
      <c r="M92" s="25"/>
      <c r="N92" s="25"/>
      <c r="O92" s="25"/>
      <c r="P92" s="25"/>
      <c r="Q92" s="25"/>
      <c r="R92" s="25"/>
      <c r="S92" s="25"/>
      <c r="T92" s="24"/>
      <c r="U92" s="24"/>
      <c r="V92" s="24"/>
      <c r="W92" s="24"/>
      <c r="X92" s="24"/>
      <c r="Y92" s="24"/>
      <c r="Z92" s="24"/>
      <c r="AA92" s="24"/>
      <c r="AB92" s="22"/>
      <c r="AC92" s="21">
        <v>100</v>
      </c>
      <c r="AD92" s="27">
        <f t="shared" si="14"/>
        <v>2.70485923760219</v>
      </c>
      <c r="AE92" s="21">
        <v>100</v>
      </c>
      <c r="AF92" s="27">
        <f t="shared" si="14"/>
        <v>2.707900026277857</v>
      </c>
      <c r="AG92" s="21">
        <v>100</v>
      </c>
      <c r="AH92" s="27">
        <f t="shared" si="14"/>
        <v>2.602877638329919</v>
      </c>
      <c r="AI92" s="21">
        <v>100</v>
      </c>
      <c r="AJ92" s="27">
        <f t="shared" si="13"/>
        <v>2.671878967403322</v>
      </c>
    </row>
    <row r="93" spans="2:36" ht="12.75">
      <c r="B93" s="20" t="s">
        <v>110</v>
      </c>
      <c r="D93" s="20" t="s">
        <v>62</v>
      </c>
      <c r="E93" s="24">
        <v>100</v>
      </c>
      <c r="F93" s="25">
        <f t="shared" si="10"/>
        <v>27.048592376021897</v>
      </c>
      <c r="G93" s="24">
        <v>100</v>
      </c>
      <c r="H93" s="25">
        <f t="shared" si="11"/>
        <v>27.079000262778578</v>
      </c>
      <c r="I93" s="24">
        <v>100</v>
      </c>
      <c r="J93" s="25">
        <f t="shared" si="12"/>
        <v>26.02877638329918</v>
      </c>
      <c r="K93" s="24">
        <v>100</v>
      </c>
      <c r="L93" s="25">
        <f t="shared" si="9"/>
        <v>26.718789674033218</v>
      </c>
      <c r="M93" s="25"/>
      <c r="N93" s="25"/>
      <c r="O93" s="25"/>
      <c r="P93" s="25"/>
      <c r="Q93" s="25"/>
      <c r="R93" s="25"/>
      <c r="S93" s="25"/>
      <c r="T93" s="24"/>
      <c r="U93" s="24"/>
      <c r="V93" s="24"/>
      <c r="W93" s="24"/>
      <c r="X93" s="24"/>
      <c r="Y93" s="24"/>
      <c r="Z93" s="24"/>
      <c r="AA93" s="24"/>
      <c r="AB93" s="22"/>
      <c r="AC93" s="21">
        <v>100</v>
      </c>
      <c r="AD93" s="27">
        <f t="shared" si="14"/>
        <v>27.048592376021897</v>
      </c>
      <c r="AE93" s="21">
        <v>100</v>
      </c>
      <c r="AF93" s="27">
        <f t="shared" si="14"/>
        <v>27.079000262778578</v>
      </c>
      <c r="AG93" s="21">
        <v>100</v>
      </c>
      <c r="AH93" s="27">
        <f t="shared" si="14"/>
        <v>26.02877638329918</v>
      </c>
      <c r="AI93" s="21">
        <v>100</v>
      </c>
      <c r="AJ93" s="27">
        <f t="shared" si="13"/>
        <v>26.718789674033218</v>
      </c>
    </row>
    <row r="94" spans="2:36" ht="12.75">
      <c r="B94" s="20" t="s">
        <v>106</v>
      </c>
      <c r="D94" s="20" t="s">
        <v>62</v>
      </c>
      <c r="E94" s="24">
        <v>100</v>
      </c>
      <c r="F94" s="25">
        <f t="shared" si="10"/>
        <v>27.048592376021897</v>
      </c>
      <c r="G94" s="24">
        <v>100</v>
      </c>
      <c r="H94" s="25">
        <f t="shared" si="11"/>
        <v>27.079000262778578</v>
      </c>
      <c r="I94" s="24">
        <v>100</v>
      </c>
      <c r="J94" s="25">
        <f t="shared" si="12"/>
        <v>26.02877638329918</v>
      </c>
      <c r="K94" s="24">
        <v>100</v>
      </c>
      <c r="L94" s="25">
        <f t="shared" si="9"/>
        <v>26.718789674033218</v>
      </c>
      <c r="M94" s="25"/>
      <c r="N94" s="25"/>
      <c r="O94" s="25"/>
      <c r="P94" s="25"/>
      <c r="Q94" s="25"/>
      <c r="R94" s="25"/>
      <c r="S94" s="25"/>
      <c r="T94" s="24"/>
      <c r="U94" s="24"/>
      <c r="V94" s="24"/>
      <c r="W94" s="24"/>
      <c r="X94" s="24"/>
      <c r="Y94" s="24"/>
      <c r="Z94" s="24"/>
      <c r="AA94" s="24"/>
      <c r="AB94" s="22"/>
      <c r="AC94" s="21">
        <v>100</v>
      </c>
      <c r="AD94" s="27">
        <f t="shared" si="14"/>
        <v>27.048592376021897</v>
      </c>
      <c r="AE94" s="21">
        <v>100</v>
      </c>
      <c r="AF94" s="27">
        <f t="shared" si="14"/>
        <v>27.079000262778578</v>
      </c>
      <c r="AG94" s="21">
        <v>100</v>
      </c>
      <c r="AH94" s="27">
        <f t="shared" si="14"/>
        <v>26.02877638329918</v>
      </c>
      <c r="AI94" s="21">
        <v>100</v>
      </c>
      <c r="AJ94" s="27">
        <f t="shared" si="13"/>
        <v>26.718789674033218</v>
      </c>
    </row>
    <row r="95" spans="5:36" ht="12.75">
      <c r="E95" s="24"/>
      <c r="F95" s="25"/>
      <c r="G95" s="24"/>
      <c r="H95" s="25"/>
      <c r="I95" s="24"/>
      <c r="J95" s="25"/>
      <c r="K95" s="24"/>
      <c r="L95" s="25"/>
      <c r="M95" s="25"/>
      <c r="N95" s="25"/>
      <c r="O95" s="25"/>
      <c r="P95" s="25"/>
      <c r="Q95" s="25"/>
      <c r="R95" s="25"/>
      <c r="S95" s="25"/>
      <c r="T95" s="24"/>
      <c r="U95" s="24"/>
      <c r="V95" s="24"/>
      <c r="W95" s="24"/>
      <c r="X95" s="24"/>
      <c r="Y95" s="24"/>
      <c r="Z95" s="24"/>
      <c r="AA95" s="24"/>
      <c r="AB95" s="22"/>
      <c r="AC95" s="22"/>
      <c r="AD95" s="27"/>
      <c r="AF95" s="27"/>
      <c r="AH95" s="27"/>
      <c r="AI95" s="22"/>
      <c r="AJ95" s="27"/>
    </row>
    <row r="96" spans="2:36" ht="12.75">
      <c r="B96" s="20" t="s">
        <v>72</v>
      </c>
      <c r="D96" s="20" t="s">
        <v>62</v>
      </c>
      <c r="E96" s="28">
        <f>(E89*F89+E91*F91)/F96</f>
        <v>100</v>
      </c>
      <c r="F96" s="25">
        <f>(F89+F91)</f>
        <v>29.753451613624087</v>
      </c>
      <c r="G96" s="28">
        <f>(G89*H89+G91*H91)/H96</f>
        <v>99.99999999999999</v>
      </c>
      <c r="H96" s="25">
        <f>(H89+H91)</f>
        <v>29.786900289056437</v>
      </c>
      <c r="I96" s="28">
        <f>(I89*J89+I91*J91)/J96</f>
        <v>100</v>
      </c>
      <c r="J96" s="25">
        <f>(J89+J91)</f>
        <v>28.6316540216291</v>
      </c>
      <c r="K96" s="28">
        <f>(K89*L89+K91*L91)/L96</f>
        <v>99.99999999999999</v>
      </c>
      <c r="L96" s="25">
        <f t="shared" si="9"/>
        <v>29.390668641436545</v>
      </c>
      <c r="M96" s="25"/>
      <c r="N96" s="25"/>
      <c r="O96" s="25"/>
      <c r="P96" s="25"/>
      <c r="Q96" s="25"/>
      <c r="R96" s="25"/>
      <c r="S96" s="25"/>
      <c r="T96" s="24"/>
      <c r="U96" s="24"/>
      <c r="V96" s="24"/>
      <c r="W96" s="24"/>
      <c r="X96" s="24"/>
      <c r="Y96" s="24"/>
      <c r="Z96" s="24"/>
      <c r="AA96" s="24"/>
      <c r="AB96" s="22"/>
      <c r="AC96" s="28">
        <f>(AC89*AD89+AC91*AD91)/AD96</f>
        <v>100</v>
      </c>
      <c r="AD96" s="27">
        <f t="shared" si="14"/>
        <v>29.753451613624087</v>
      </c>
      <c r="AE96" s="28">
        <f>(AE89*AF89+AE91*AF91)/AF96</f>
        <v>99.99999999999999</v>
      </c>
      <c r="AF96" s="27">
        <f t="shared" si="14"/>
        <v>29.786900289056437</v>
      </c>
      <c r="AG96" s="28">
        <f>(AG89*AH89+AG91*AH91)/AH96</f>
        <v>100</v>
      </c>
      <c r="AH96" s="27">
        <f t="shared" si="14"/>
        <v>28.6316540216291</v>
      </c>
      <c r="AI96" s="28">
        <f>(AI89*AJ89+AI91*AJ91)/AJ96</f>
        <v>99.99999999999999</v>
      </c>
      <c r="AJ96" s="27">
        <f t="shared" si="13"/>
        <v>29.390668641436545</v>
      </c>
    </row>
    <row r="97" spans="2:36" ht="12.75">
      <c r="B97" s="20" t="s">
        <v>73</v>
      </c>
      <c r="D97" s="20" t="s">
        <v>62</v>
      </c>
      <c r="E97" s="28">
        <f>(E86*F86+E88*F88+E90*F90)/F97</f>
        <v>9.523809523809526</v>
      </c>
      <c r="F97" s="25">
        <f>F86+F88+F90</f>
        <v>227.20817595858387</v>
      </c>
      <c r="G97" s="28">
        <f>(G86*H86+G88*H88+G90*H90)/H97</f>
        <v>10.81081081081081</v>
      </c>
      <c r="H97" s="25">
        <f>H86+H88+H90</f>
        <v>200.38460194456144</v>
      </c>
      <c r="I97" s="28">
        <f>(I86*J86+I88*J88+I90*J90)/J97</f>
        <v>15.384615384615381</v>
      </c>
      <c r="J97" s="25">
        <f>J86+J88+J90</f>
        <v>135.3496371931558</v>
      </c>
      <c r="K97" s="28">
        <f>(K86*L86+K88*L88+K90*L90)/L97</f>
        <v>11.391057681576543</v>
      </c>
      <c r="L97" s="25">
        <f t="shared" si="9"/>
        <v>187.64747169876705</v>
      </c>
      <c r="M97" s="25"/>
      <c r="N97" s="25"/>
      <c r="O97" s="25"/>
      <c r="P97" s="25"/>
      <c r="Q97" s="25"/>
      <c r="R97" s="25"/>
      <c r="S97" s="25"/>
      <c r="T97" s="24"/>
      <c r="U97" s="24"/>
      <c r="V97" s="24"/>
      <c r="W97" s="24"/>
      <c r="X97" s="24"/>
      <c r="Y97" s="24"/>
      <c r="Z97" s="24"/>
      <c r="AA97" s="24"/>
      <c r="AB97" s="22"/>
      <c r="AC97" s="28">
        <f>(AC86*AD86+AC88*AD88+AC90*AD90)/AD97</f>
        <v>9.523809523809526</v>
      </c>
      <c r="AD97" s="27">
        <f t="shared" si="14"/>
        <v>227.20817595858387</v>
      </c>
      <c r="AE97" s="28">
        <f>(AE86*AF86+AE88*AF88+AE90*AF90)/AF97</f>
        <v>10.81081081081081</v>
      </c>
      <c r="AF97" s="27">
        <f t="shared" si="14"/>
        <v>200.38460194456144</v>
      </c>
      <c r="AG97" s="28">
        <f>(AG86*AH86+AG88*AH88+AG90*AH90)/AH97</f>
        <v>15.384615384615381</v>
      </c>
      <c r="AH97" s="27">
        <f t="shared" si="14"/>
        <v>135.3496371931558</v>
      </c>
      <c r="AI97" s="28">
        <f>(AI86*AJ86+AI88*AJ88+AI90*AJ90)/AJ97</f>
        <v>11.391057681576543</v>
      </c>
      <c r="AJ97" s="27">
        <f t="shared" si="13"/>
        <v>187.64747169876705</v>
      </c>
    </row>
    <row r="98" spans="30:36" ht="12.75">
      <c r="AD98" s="27"/>
      <c r="AF98" s="27"/>
      <c r="AH98" s="27"/>
      <c r="AJ98" s="27"/>
    </row>
    <row r="99" spans="30:36" ht="12.75">
      <c r="AD99" s="27"/>
      <c r="AF99" s="27"/>
      <c r="AH99" s="27"/>
      <c r="AJ99" s="27"/>
    </row>
    <row r="100" spans="1:36" ht="12.75">
      <c r="A100" s="21" t="s">
        <v>111</v>
      </c>
      <c r="B100" s="19" t="s">
        <v>57</v>
      </c>
      <c r="C100" s="19"/>
      <c r="F100" s="24" t="s">
        <v>117</v>
      </c>
      <c r="G100" s="24"/>
      <c r="H100" s="24" t="s">
        <v>118</v>
      </c>
      <c r="I100" s="24"/>
      <c r="J100" s="24" t="s">
        <v>119</v>
      </c>
      <c r="K100" s="24"/>
      <c r="L100" s="24" t="s">
        <v>39</v>
      </c>
      <c r="M100" s="24"/>
      <c r="N100" s="24" t="s">
        <v>117</v>
      </c>
      <c r="O100" s="24"/>
      <c r="P100" s="24" t="s">
        <v>118</v>
      </c>
      <c r="Q100" s="24"/>
      <c r="R100" s="24" t="s">
        <v>119</v>
      </c>
      <c r="S100" s="24"/>
      <c r="T100" s="24" t="s">
        <v>39</v>
      </c>
      <c r="U100" s="24"/>
      <c r="V100" s="24" t="s">
        <v>117</v>
      </c>
      <c r="W100" s="24"/>
      <c r="X100" s="24" t="s">
        <v>118</v>
      </c>
      <c r="Y100" s="24"/>
      <c r="Z100" s="24" t="s">
        <v>119</v>
      </c>
      <c r="AA100" s="24"/>
      <c r="AB100" s="24" t="s">
        <v>39</v>
      </c>
      <c r="AC100" s="24"/>
      <c r="AD100" s="24" t="s">
        <v>117</v>
      </c>
      <c r="AE100" s="24"/>
      <c r="AF100" s="24" t="s">
        <v>118</v>
      </c>
      <c r="AG100" s="24"/>
      <c r="AH100" s="24" t="s">
        <v>119</v>
      </c>
      <c r="AI100" s="24"/>
      <c r="AJ100" s="24" t="s">
        <v>39</v>
      </c>
    </row>
    <row r="101" spans="2:3" ht="12.75">
      <c r="B101" s="19"/>
      <c r="C101" s="19"/>
    </row>
    <row r="102" spans="2:36" ht="12.75">
      <c r="B102" s="20" t="s">
        <v>131</v>
      </c>
      <c r="F102" s="24" t="s">
        <v>142</v>
      </c>
      <c r="H102" s="24" t="s">
        <v>142</v>
      </c>
      <c r="J102" s="24" t="s">
        <v>142</v>
      </c>
      <c r="L102" s="24" t="s">
        <v>142</v>
      </c>
      <c r="N102" s="24" t="s">
        <v>143</v>
      </c>
      <c r="P102" s="24" t="s">
        <v>143</v>
      </c>
      <c r="R102" s="24" t="s">
        <v>143</v>
      </c>
      <c r="T102" s="24" t="s">
        <v>143</v>
      </c>
      <c r="V102" s="24" t="s">
        <v>144</v>
      </c>
      <c r="X102" s="24" t="s">
        <v>144</v>
      </c>
      <c r="Z102" s="24" t="s">
        <v>144</v>
      </c>
      <c r="AB102" s="24" t="s">
        <v>144</v>
      </c>
      <c r="AD102" s="24" t="s">
        <v>145</v>
      </c>
      <c r="AF102" s="24" t="s">
        <v>145</v>
      </c>
      <c r="AH102" s="24" t="s">
        <v>145</v>
      </c>
      <c r="AJ102" s="24" t="s">
        <v>145</v>
      </c>
    </row>
    <row r="103" spans="2:36" ht="12.75">
      <c r="B103" s="20" t="s">
        <v>132</v>
      </c>
      <c r="F103" s="24" t="s">
        <v>133</v>
      </c>
      <c r="H103" s="24" t="s">
        <v>133</v>
      </c>
      <c r="J103" s="24" t="s">
        <v>133</v>
      </c>
      <c r="L103" s="24" t="s">
        <v>133</v>
      </c>
      <c r="N103" s="22" t="s">
        <v>43</v>
      </c>
      <c r="P103" s="22" t="s">
        <v>43</v>
      </c>
      <c r="R103" s="22" t="s">
        <v>43</v>
      </c>
      <c r="T103" s="22" t="s">
        <v>43</v>
      </c>
      <c r="V103" s="24" t="s">
        <v>134</v>
      </c>
      <c r="X103" s="24" t="s">
        <v>134</v>
      </c>
      <c r="Z103" s="24" t="s">
        <v>134</v>
      </c>
      <c r="AB103" s="24" t="s">
        <v>134</v>
      </c>
      <c r="AD103" s="24" t="s">
        <v>86</v>
      </c>
      <c r="AF103" s="24" t="s">
        <v>86</v>
      </c>
      <c r="AH103" s="24" t="s">
        <v>86</v>
      </c>
      <c r="AJ103" s="24" t="s">
        <v>86</v>
      </c>
    </row>
    <row r="104" spans="2:36" ht="12.75">
      <c r="B104" s="20" t="s">
        <v>147</v>
      </c>
      <c r="F104" s="24" t="s">
        <v>71</v>
      </c>
      <c r="H104" s="24" t="s">
        <v>71</v>
      </c>
      <c r="J104" s="24" t="s">
        <v>71</v>
      </c>
      <c r="L104" s="24" t="s">
        <v>71</v>
      </c>
      <c r="N104" s="22" t="s">
        <v>43</v>
      </c>
      <c r="P104" s="22" t="s">
        <v>43</v>
      </c>
      <c r="R104" s="22" t="s">
        <v>43</v>
      </c>
      <c r="T104" s="22" t="s">
        <v>43</v>
      </c>
      <c r="V104" s="24" t="s">
        <v>148</v>
      </c>
      <c r="X104" s="24" t="s">
        <v>148</v>
      </c>
      <c r="Z104" s="24" t="s">
        <v>148</v>
      </c>
      <c r="AB104" s="24" t="s">
        <v>148</v>
      </c>
      <c r="AD104" s="24" t="s">
        <v>86</v>
      </c>
      <c r="AF104" s="24" t="s">
        <v>86</v>
      </c>
      <c r="AH104" s="24" t="s">
        <v>86</v>
      </c>
      <c r="AJ104" s="24" t="s">
        <v>86</v>
      </c>
    </row>
    <row r="105" spans="2:36" ht="12.75">
      <c r="B105" s="20" t="s">
        <v>40</v>
      </c>
      <c r="F105" s="22" t="s">
        <v>41</v>
      </c>
      <c r="H105" s="22" t="s">
        <v>41</v>
      </c>
      <c r="J105" s="22" t="s">
        <v>41</v>
      </c>
      <c r="L105" s="22" t="s">
        <v>41</v>
      </c>
      <c r="N105" s="22" t="s">
        <v>43</v>
      </c>
      <c r="P105" s="22" t="s">
        <v>43</v>
      </c>
      <c r="R105" s="22" t="s">
        <v>43</v>
      </c>
      <c r="T105" s="22" t="s">
        <v>43</v>
      </c>
      <c r="U105" s="22"/>
      <c r="V105" s="22" t="s">
        <v>42</v>
      </c>
      <c r="W105" s="22"/>
      <c r="X105" s="22" t="s">
        <v>42</v>
      </c>
      <c r="Y105" s="22"/>
      <c r="Z105" s="22" t="s">
        <v>42</v>
      </c>
      <c r="AA105" s="22"/>
      <c r="AB105" s="22" t="s">
        <v>42</v>
      </c>
      <c r="AC105" s="22"/>
      <c r="AD105" s="22"/>
      <c r="AE105" s="22"/>
      <c r="AF105" s="22"/>
      <c r="AG105" s="22"/>
      <c r="AH105" s="22"/>
      <c r="AI105" s="22"/>
      <c r="AJ105" s="22" t="s">
        <v>86</v>
      </c>
    </row>
    <row r="106" spans="2:19" ht="12.75">
      <c r="B106" s="20" t="s">
        <v>114</v>
      </c>
      <c r="D106" s="20" t="s">
        <v>44</v>
      </c>
      <c r="F106" s="21">
        <v>5604</v>
      </c>
      <c r="H106" s="21">
        <v>5604</v>
      </c>
      <c r="J106" s="21">
        <v>5655</v>
      </c>
      <c r="L106" s="25">
        <f>AVERAGE(J106,H106,F106)</f>
        <v>5621</v>
      </c>
      <c r="M106" s="23"/>
      <c r="N106" s="23"/>
      <c r="O106" s="23"/>
      <c r="P106" s="23"/>
      <c r="Q106" s="23"/>
      <c r="R106" s="23"/>
      <c r="S106" s="23"/>
    </row>
    <row r="107" spans="2:28" ht="12.75">
      <c r="B107" s="20" t="s">
        <v>114</v>
      </c>
      <c r="D107" s="20" t="s">
        <v>61</v>
      </c>
      <c r="L107" s="23"/>
      <c r="M107" s="23"/>
      <c r="N107" s="23"/>
      <c r="O107" s="23"/>
      <c r="P107" s="23"/>
      <c r="Q107" s="23"/>
      <c r="R107" s="23"/>
      <c r="S107" s="23"/>
      <c r="V107" s="21">
        <v>90100</v>
      </c>
      <c r="X107" s="21">
        <v>90100</v>
      </c>
      <c r="Z107" s="21">
        <v>90200</v>
      </c>
      <c r="AB107" s="21">
        <v>90100</v>
      </c>
    </row>
    <row r="108" spans="2:19" ht="12.75">
      <c r="B108" s="20" t="s">
        <v>45</v>
      </c>
      <c r="D108" s="20" t="s">
        <v>46</v>
      </c>
      <c r="F108" s="21">
        <v>15299</v>
      </c>
      <c r="H108" s="21">
        <v>15427</v>
      </c>
      <c r="J108" s="21">
        <v>15700</v>
      </c>
      <c r="L108" s="23">
        <v>15475</v>
      </c>
      <c r="M108" s="23"/>
      <c r="N108" s="23"/>
      <c r="O108" s="23"/>
      <c r="P108" s="23"/>
      <c r="Q108" s="23"/>
      <c r="R108" s="23"/>
      <c r="S108" s="23"/>
    </row>
    <row r="109" spans="2:19" ht="12.75">
      <c r="B109" s="20" t="s">
        <v>47</v>
      </c>
      <c r="D109" s="20" t="s">
        <v>48</v>
      </c>
      <c r="F109" s="21">
        <v>1.12</v>
      </c>
      <c r="H109" s="21">
        <v>1.12</v>
      </c>
      <c r="J109" s="21">
        <v>1.13</v>
      </c>
      <c r="L109" s="23">
        <v>1.12</v>
      </c>
      <c r="M109" s="23"/>
      <c r="N109" s="23"/>
      <c r="O109" s="23"/>
      <c r="P109" s="23"/>
      <c r="Q109" s="23"/>
      <c r="R109" s="23"/>
      <c r="S109" s="23"/>
    </row>
    <row r="110" spans="2:35" ht="12.75">
      <c r="B110" s="20" t="s">
        <v>49</v>
      </c>
      <c r="D110" s="20" t="s">
        <v>32</v>
      </c>
      <c r="E110" s="24"/>
      <c r="F110" s="22">
        <v>3305</v>
      </c>
      <c r="G110" s="22"/>
      <c r="H110" s="22">
        <v>3051</v>
      </c>
      <c r="I110" s="22"/>
      <c r="J110" s="22">
        <v>3334</v>
      </c>
      <c r="K110" s="24"/>
      <c r="L110" s="25">
        <f>AVERAGE(J110,H110,F110)</f>
        <v>3230</v>
      </c>
      <c r="M110" s="23"/>
      <c r="N110" s="23">
        <v>4681</v>
      </c>
      <c r="O110" s="23"/>
      <c r="P110" s="23">
        <v>4690</v>
      </c>
      <c r="Q110" s="23"/>
      <c r="R110" s="23">
        <v>4690</v>
      </c>
      <c r="S110" s="23"/>
      <c r="T110" s="25">
        <f>AVERAGE(R110,P110,N110)</f>
        <v>4687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2:35" ht="12.75">
      <c r="B111" s="20" t="s">
        <v>50</v>
      </c>
      <c r="D111" s="20" t="s">
        <v>32</v>
      </c>
      <c r="E111" s="24"/>
      <c r="F111" s="22">
        <v>381.3</v>
      </c>
      <c r="G111" s="22"/>
      <c r="H111" s="22">
        <v>254.2</v>
      </c>
      <c r="I111" s="22"/>
      <c r="J111" s="22">
        <v>179.5</v>
      </c>
      <c r="K111" s="24"/>
      <c r="L111" s="25">
        <f>AVERAGE(J111,H111,F111)</f>
        <v>271.6666666666667</v>
      </c>
      <c r="M111" s="23"/>
      <c r="N111" s="23">
        <v>1012</v>
      </c>
      <c r="O111" s="23"/>
      <c r="P111" s="23">
        <v>1016</v>
      </c>
      <c r="Q111" s="23"/>
      <c r="R111" s="23">
        <v>1016</v>
      </c>
      <c r="S111" s="23"/>
      <c r="T111" s="25">
        <f>AVERAGE(R111,P111,N111)</f>
        <v>1014.6666666666666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2:35" ht="12.75">
      <c r="B112" s="20" t="s">
        <v>107</v>
      </c>
      <c r="D112" s="20" t="s">
        <v>51</v>
      </c>
      <c r="E112" s="24" t="s">
        <v>34</v>
      </c>
      <c r="F112" s="22">
        <v>1</v>
      </c>
      <c r="G112" s="24" t="s">
        <v>34</v>
      </c>
      <c r="H112" s="22">
        <v>1</v>
      </c>
      <c r="I112" s="24" t="s">
        <v>34</v>
      </c>
      <c r="J112" s="22">
        <v>1</v>
      </c>
      <c r="K112" s="24"/>
      <c r="L112" s="23">
        <v>1</v>
      </c>
      <c r="M112" s="23"/>
      <c r="N112" s="23"/>
      <c r="O112" s="23"/>
      <c r="P112" s="23"/>
      <c r="Q112" s="23"/>
      <c r="R112" s="23"/>
      <c r="S112" s="23"/>
      <c r="T112" s="24"/>
      <c r="U112" s="24"/>
      <c r="V112" s="22"/>
      <c r="W112" s="24"/>
      <c r="X112" s="22"/>
      <c r="Y112" s="24"/>
      <c r="Z112" s="22"/>
      <c r="AA112" s="24"/>
      <c r="AB112" s="22"/>
      <c r="AC112" s="22"/>
      <c r="AD112" s="22"/>
      <c r="AE112" s="22"/>
      <c r="AF112" s="22"/>
      <c r="AG112" s="22"/>
      <c r="AH112" s="22"/>
      <c r="AI112" s="22"/>
    </row>
    <row r="113" spans="2:35" ht="12.75">
      <c r="B113" s="20" t="s">
        <v>103</v>
      </c>
      <c r="D113" s="20" t="s">
        <v>51</v>
      </c>
      <c r="E113" s="24" t="s">
        <v>34</v>
      </c>
      <c r="F113" s="22">
        <v>0.5</v>
      </c>
      <c r="G113" s="24" t="s">
        <v>34</v>
      </c>
      <c r="H113" s="22">
        <v>0.5</v>
      </c>
      <c r="I113" s="24" t="s">
        <v>34</v>
      </c>
      <c r="J113" s="22">
        <v>0.5</v>
      </c>
      <c r="K113" s="24"/>
      <c r="L113" s="23">
        <v>0.5</v>
      </c>
      <c r="M113" s="23"/>
      <c r="N113" s="23"/>
      <c r="O113" s="23"/>
      <c r="P113" s="23"/>
      <c r="Q113" s="23"/>
      <c r="R113" s="23"/>
      <c r="S113" s="23"/>
      <c r="T113" s="24"/>
      <c r="U113" s="24"/>
      <c r="V113" s="22"/>
      <c r="W113" s="24"/>
      <c r="X113" s="22"/>
      <c r="Y113" s="24"/>
      <c r="Z113" s="22"/>
      <c r="AA113" s="24"/>
      <c r="AB113" s="22"/>
      <c r="AC113" s="22"/>
      <c r="AD113" s="22"/>
      <c r="AE113" s="22"/>
      <c r="AF113" s="22"/>
      <c r="AG113" s="22"/>
      <c r="AH113" s="22"/>
      <c r="AI113" s="22"/>
    </row>
    <row r="114" spans="2:35" ht="12.75">
      <c r="B114" s="20" t="s">
        <v>104</v>
      </c>
      <c r="D114" s="20" t="s">
        <v>51</v>
      </c>
      <c r="E114" s="24" t="s">
        <v>34</v>
      </c>
      <c r="F114" s="22">
        <v>1</v>
      </c>
      <c r="G114" s="24" t="s">
        <v>34</v>
      </c>
      <c r="H114" s="22">
        <v>1</v>
      </c>
      <c r="I114" s="24" t="s">
        <v>34</v>
      </c>
      <c r="J114" s="22">
        <v>1</v>
      </c>
      <c r="K114" s="24"/>
      <c r="L114" s="23">
        <v>1</v>
      </c>
      <c r="M114" s="23"/>
      <c r="N114" s="23"/>
      <c r="O114" s="23"/>
      <c r="P114" s="23"/>
      <c r="Q114" s="23"/>
      <c r="R114" s="23"/>
      <c r="S114" s="23"/>
      <c r="T114" s="24"/>
      <c r="U114" s="24"/>
      <c r="V114" s="22"/>
      <c r="W114" s="24"/>
      <c r="X114" s="22"/>
      <c r="Y114" s="24"/>
      <c r="Z114" s="22"/>
      <c r="AA114" s="24"/>
      <c r="AB114" s="22"/>
      <c r="AC114" s="22"/>
      <c r="AD114" s="22"/>
      <c r="AE114" s="22"/>
      <c r="AF114" s="22"/>
      <c r="AG114" s="22"/>
      <c r="AH114" s="22"/>
      <c r="AI114" s="22"/>
    </row>
    <row r="115" spans="2:35" ht="12.75">
      <c r="B115" s="20" t="s">
        <v>105</v>
      </c>
      <c r="D115" s="20" t="s">
        <v>51</v>
      </c>
      <c r="E115" s="24" t="s">
        <v>34</v>
      </c>
      <c r="F115" s="22">
        <v>0.3</v>
      </c>
      <c r="G115" s="24" t="s">
        <v>34</v>
      </c>
      <c r="H115" s="22">
        <v>0.3</v>
      </c>
      <c r="I115" s="24" t="s">
        <v>34</v>
      </c>
      <c r="J115" s="22">
        <v>0.3</v>
      </c>
      <c r="K115" s="24"/>
      <c r="L115" s="23">
        <v>0.3</v>
      </c>
      <c r="M115" s="23"/>
      <c r="N115" s="23"/>
      <c r="O115" s="23"/>
      <c r="P115" s="23"/>
      <c r="Q115" s="23"/>
      <c r="R115" s="23"/>
      <c r="S115" s="23"/>
      <c r="T115" s="24"/>
      <c r="U115" s="24"/>
      <c r="V115" s="22"/>
      <c r="W115" s="24"/>
      <c r="X115" s="22"/>
      <c r="Y115" s="24"/>
      <c r="Z115" s="22"/>
      <c r="AA115" s="24"/>
      <c r="AB115" s="22"/>
      <c r="AC115" s="22"/>
      <c r="AD115" s="22"/>
      <c r="AE115" s="22"/>
      <c r="AF115" s="22"/>
      <c r="AG115" s="22"/>
      <c r="AH115" s="22"/>
      <c r="AI115" s="22"/>
    </row>
    <row r="116" spans="2:35" ht="12.75">
      <c r="B116" s="20" t="s">
        <v>109</v>
      </c>
      <c r="D116" s="20" t="s">
        <v>51</v>
      </c>
      <c r="E116" s="24" t="s">
        <v>34</v>
      </c>
      <c r="F116" s="22">
        <v>0.1</v>
      </c>
      <c r="G116" s="24" t="s">
        <v>34</v>
      </c>
      <c r="H116" s="22">
        <v>0.1</v>
      </c>
      <c r="I116" s="24" t="s">
        <v>34</v>
      </c>
      <c r="J116" s="22">
        <v>0.1</v>
      </c>
      <c r="K116" s="24"/>
      <c r="L116" s="23">
        <v>0.1</v>
      </c>
      <c r="M116" s="23"/>
      <c r="N116" s="23"/>
      <c r="O116" s="23"/>
      <c r="P116" s="23"/>
      <c r="Q116" s="23"/>
      <c r="R116" s="23"/>
      <c r="S116" s="23"/>
      <c r="T116" s="24"/>
      <c r="U116" s="24"/>
      <c r="V116" s="22"/>
      <c r="W116" s="24"/>
      <c r="X116" s="22"/>
      <c r="Y116" s="24"/>
      <c r="Z116" s="22"/>
      <c r="AA116" s="24"/>
      <c r="AB116" s="22"/>
      <c r="AC116" s="22"/>
      <c r="AD116" s="22"/>
      <c r="AE116" s="22"/>
      <c r="AF116" s="22"/>
      <c r="AG116" s="22"/>
      <c r="AH116" s="22"/>
      <c r="AI116" s="22"/>
    </row>
    <row r="117" spans="2:35" ht="12.75">
      <c r="B117" s="20" t="s">
        <v>101</v>
      </c>
      <c r="D117" s="20" t="s">
        <v>51</v>
      </c>
      <c r="E117" s="24" t="s">
        <v>53</v>
      </c>
      <c r="F117" s="22">
        <v>4.2</v>
      </c>
      <c r="G117" s="24" t="s">
        <v>53</v>
      </c>
      <c r="H117" s="22">
        <v>4.6</v>
      </c>
      <c r="I117" s="24" t="s">
        <v>53</v>
      </c>
      <c r="J117" s="22">
        <v>4.5</v>
      </c>
      <c r="K117" s="24"/>
      <c r="L117" s="23">
        <v>4.4</v>
      </c>
      <c r="M117" s="23"/>
      <c r="N117" s="23"/>
      <c r="O117" s="23"/>
      <c r="P117" s="23"/>
      <c r="Q117" s="23"/>
      <c r="R117" s="23"/>
      <c r="S117" s="23"/>
      <c r="T117" s="24"/>
      <c r="U117" s="24"/>
      <c r="V117" s="22"/>
      <c r="W117" s="24"/>
      <c r="X117" s="22"/>
      <c r="Y117" s="24"/>
      <c r="Z117" s="22"/>
      <c r="AA117" s="24"/>
      <c r="AB117" s="22"/>
      <c r="AC117" s="22"/>
      <c r="AD117" s="22"/>
      <c r="AE117" s="22"/>
      <c r="AF117" s="22"/>
      <c r="AG117" s="22"/>
      <c r="AH117" s="22"/>
      <c r="AI117" s="22"/>
    </row>
    <row r="118" spans="2:35" ht="12.75">
      <c r="B118" s="20" t="s">
        <v>108</v>
      </c>
      <c r="D118" s="20" t="s">
        <v>51</v>
      </c>
      <c r="E118" s="24" t="s">
        <v>34</v>
      </c>
      <c r="F118" s="22">
        <v>1</v>
      </c>
      <c r="G118" s="24" t="s">
        <v>34</v>
      </c>
      <c r="H118" s="22">
        <v>1</v>
      </c>
      <c r="I118" s="24" t="s">
        <v>34</v>
      </c>
      <c r="J118" s="22">
        <v>1</v>
      </c>
      <c r="K118" s="24"/>
      <c r="L118" s="23">
        <v>1</v>
      </c>
      <c r="M118" s="23"/>
      <c r="N118" s="23"/>
      <c r="O118" s="23"/>
      <c r="P118" s="23"/>
      <c r="Q118" s="23"/>
      <c r="R118" s="23"/>
      <c r="S118" s="23"/>
      <c r="T118" s="24"/>
      <c r="U118" s="24"/>
      <c r="V118" s="22"/>
      <c r="W118" s="24"/>
      <c r="X118" s="22"/>
      <c r="Y118" s="24"/>
      <c r="Z118" s="22"/>
      <c r="AA118" s="24"/>
      <c r="AB118" s="22"/>
      <c r="AC118" s="22"/>
      <c r="AD118" s="22"/>
      <c r="AE118" s="22"/>
      <c r="AF118" s="22"/>
      <c r="AG118" s="22"/>
      <c r="AH118" s="22"/>
      <c r="AI118" s="22"/>
    </row>
    <row r="119" spans="2:35" ht="12.75">
      <c r="B119" s="20" t="s">
        <v>113</v>
      </c>
      <c r="D119" s="20" t="s">
        <v>51</v>
      </c>
      <c r="E119" s="24" t="s">
        <v>34</v>
      </c>
      <c r="F119" s="22">
        <v>0.1</v>
      </c>
      <c r="G119" s="24" t="s">
        <v>34</v>
      </c>
      <c r="H119" s="22">
        <v>0.1</v>
      </c>
      <c r="I119" s="24" t="s">
        <v>34</v>
      </c>
      <c r="J119" s="22">
        <v>0.1</v>
      </c>
      <c r="K119" s="24"/>
      <c r="L119" s="23">
        <v>0.1</v>
      </c>
      <c r="M119" s="23"/>
      <c r="N119" s="23"/>
      <c r="O119" s="23"/>
      <c r="P119" s="23"/>
      <c r="Q119" s="23"/>
      <c r="R119" s="23"/>
      <c r="S119" s="23"/>
      <c r="T119" s="24"/>
      <c r="U119" s="24"/>
      <c r="V119" s="22"/>
      <c r="W119" s="24"/>
      <c r="X119" s="22"/>
      <c r="Y119" s="24"/>
      <c r="Z119" s="22"/>
      <c r="AA119" s="24"/>
      <c r="AB119" s="22"/>
      <c r="AC119" s="22"/>
      <c r="AD119" s="22"/>
      <c r="AE119" s="22"/>
      <c r="AF119" s="22"/>
      <c r="AG119" s="22"/>
      <c r="AH119" s="22"/>
      <c r="AI119" s="22"/>
    </row>
    <row r="120" spans="2:35" ht="12.75">
      <c r="B120" s="20" t="s">
        <v>110</v>
      </c>
      <c r="D120" s="20" t="s">
        <v>51</v>
      </c>
      <c r="E120" s="24" t="s">
        <v>34</v>
      </c>
      <c r="F120" s="22">
        <v>1</v>
      </c>
      <c r="G120" s="24" t="s">
        <v>34</v>
      </c>
      <c r="H120" s="22">
        <v>1</v>
      </c>
      <c r="I120" s="24" t="s">
        <v>34</v>
      </c>
      <c r="J120" s="22">
        <v>1</v>
      </c>
      <c r="K120" s="24"/>
      <c r="L120" s="23">
        <v>1</v>
      </c>
      <c r="M120" s="23"/>
      <c r="N120" s="23"/>
      <c r="O120" s="23"/>
      <c r="P120" s="23"/>
      <c r="Q120" s="23"/>
      <c r="R120" s="23"/>
      <c r="S120" s="23"/>
      <c r="T120" s="24"/>
      <c r="U120" s="24"/>
      <c r="V120" s="22"/>
      <c r="W120" s="24"/>
      <c r="X120" s="22"/>
      <c r="Y120" s="24"/>
      <c r="Z120" s="22"/>
      <c r="AA120" s="24"/>
      <c r="AB120" s="22"/>
      <c r="AC120" s="22"/>
      <c r="AD120" s="22"/>
      <c r="AE120" s="22"/>
      <c r="AF120" s="22"/>
      <c r="AG120" s="22"/>
      <c r="AH120" s="22"/>
      <c r="AI120" s="22"/>
    </row>
    <row r="121" spans="2:35" ht="12.75">
      <c r="B121" s="20" t="s">
        <v>106</v>
      </c>
      <c r="D121" s="20" t="s">
        <v>51</v>
      </c>
      <c r="E121" s="24" t="s">
        <v>34</v>
      </c>
      <c r="F121" s="22">
        <v>1</v>
      </c>
      <c r="G121" s="24" t="s">
        <v>34</v>
      </c>
      <c r="H121" s="22">
        <v>1</v>
      </c>
      <c r="I121" s="24" t="s">
        <v>34</v>
      </c>
      <c r="J121" s="22">
        <v>1</v>
      </c>
      <c r="K121" s="24"/>
      <c r="L121" s="23">
        <v>1</v>
      </c>
      <c r="M121" s="23"/>
      <c r="N121" s="23"/>
      <c r="O121" s="23"/>
      <c r="P121" s="23"/>
      <c r="Q121" s="23"/>
      <c r="R121" s="23"/>
      <c r="S121" s="23"/>
      <c r="T121" s="24"/>
      <c r="U121" s="24"/>
      <c r="V121" s="22"/>
      <c r="W121" s="24"/>
      <c r="X121" s="22"/>
      <c r="Y121" s="24"/>
      <c r="Z121" s="22"/>
      <c r="AA121" s="24"/>
      <c r="AB121" s="22"/>
      <c r="AC121" s="22"/>
      <c r="AD121" s="22"/>
      <c r="AE121" s="22"/>
      <c r="AF121" s="22"/>
      <c r="AG121" s="22"/>
      <c r="AH121" s="22"/>
      <c r="AI121" s="22"/>
    </row>
    <row r="123" spans="2:36" ht="12.75">
      <c r="B123" s="20" t="s">
        <v>63</v>
      </c>
      <c r="D123" s="20" t="s">
        <v>36</v>
      </c>
      <c r="E123" s="24"/>
      <c r="F123" s="22">
        <f>emiss!$G$86</f>
        <v>32250</v>
      </c>
      <c r="G123" s="24"/>
      <c r="H123" s="22">
        <f>emiss!$I$86</f>
        <v>32301</v>
      </c>
      <c r="I123" s="24"/>
      <c r="J123" s="22">
        <f>emiss!$K$86</f>
        <v>31451</v>
      </c>
      <c r="K123" s="24"/>
      <c r="L123" s="22">
        <f>emiss!$O$86</f>
        <v>32000.666666666668</v>
      </c>
      <c r="M123" s="25"/>
      <c r="N123" s="22">
        <f>emiss!$G$86</f>
        <v>32250</v>
      </c>
      <c r="O123" s="24"/>
      <c r="P123" s="22">
        <f>emiss!$I$86</f>
        <v>32301</v>
      </c>
      <c r="Q123" s="24"/>
      <c r="R123" s="22">
        <f>emiss!$K$86</f>
        <v>31451</v>
      </c>
      <c r="S123" s="24"/>
      <c r="T123" s="22">
        <f>emiss!$O$86</f>
        <v>32000.666666666668</v>
      </c>
      <c r="U123" s="25"/>
      <c r="V123" s="26"/>
      <c r="W123" s="25"/>
      <c r="X123" s="26"/>
      <c r="Y123" s="25"/>
      <c r="Z123" s="26"/>
      <c r="AA123" s="25"/>
      <c r="AB123" s="26"/>
      <c r="AC123" s="26"/>
      <c r="AD123" s="22">
        <f>emiss!$G$86</f>
        <v>32250</v>
      </c>
      <c r="AE123" s="24"/>
      <c r="AF123" s="22">
        <f>emiss!$I$86</f>
        <v>32301</v>
      </c>
      <c r="AG123" s="24"/>
      <c r="AH123" s="22">
        <f>emiss!$K$86</f>
        <v>31451</v>
      </c>
      <c r="AI123" s="24"/>
      <c r="AJ123" s="22">
        <f>emiss!$O$86</f>
        <v>32000.666666666668</v>
      </c>
    </row>
    <row r="124" spans="2:36" ht="12.75">
      <c r="B124" s="20" t="s">
        <v>64</v>
      </c>
      <c r="D124" s="20" t="s">
        <v>37</v>
      </c>
      <c r="F124" s="22">
        <f>emiss!$G$87</f>
        <v>3.2</v>
      </c>
      <c r="H124" s="22">
        <f>emiss!$I$87</f>
        <v>3.53</v>
      </c>
      <c r="J124" s="22">
        <f>emiss!$K$87</f>
        <v>3.8</v>
      </c>
      <c r="L124" s="22">
        <f>emiss!$O$87</f>
        <v>3.5100000000000002</v>
      </c>
      <c r="M124" s="25"/>
      <c r="N124" s="22">
        <f>emiss!$G$87</f>
        <v>3.2</v>
      </c>
      <c r="O124" s="21"/>
      <c r="P124" s="22">
        <f>emiss!$I$87</f>
        <v>3.53</v>
      </c>
      <c r="Q124" s="21"/>
      <c r="R124" s="22">
        <f>emiss!$K$87</f>
        <v>3.8</v>
      </c>
      <c r="S124" s="21"/>
      <c r="T124" s="22">
        <f>emiss!$O$87</f>
        <v>3.5100000000000002</v>
      </c>
      <c r="U124" s="25"/>
      <c r="V124" s="27"/>
      <c r="W124" s="25"/>
      <c r="X124" s="27"/>
      <c r="Y124" s="25"/>
      <c r="Z124" s="27"/>
      <c r="AA124" s="25"/>
      <c r="AB124" s="27"/>
      <c r="AC124" s="27"/>
      <c r="AD124" s="22">
        <f>emiss!$G$87</f>
        <v>3.2</v>
      </c>
      <c r="AF124" s="22">
        <f>emiss!$I$87</f>
        <v>3.53</v>
      </c>
      <c r="AH124" s="22">
        <f>emiss!$K$87</f>
        <v>3.8</v>
      </c>
      <c r="AJ124" s="22">
        <f>emiss!$O$87</f>
        <v>3.5100000000000002</v>
      </c>
    </row>
    <row r="126" spans="2:36" ht="12.75">
      <c r="B126" s="20" t="s">
        <v>112</v>
      </c>
      <c r="D126" s="20" t="s">
        <v>65</v>
      </c>
      <c r="F126" s="25">
        <f>F106*F108/1000000</f>
        <v>85.735596</v>
      </c>
      <c r="H126" s="25">
        <f>H106*H108/1000000</f>
        <v>86.452908</v>
      </c>
      <c r="J126" s="25">
        <f>J106*J108/1000000</f>
        <v>88.7835</v>
      </c>
      <c r="L126" s="25">
        <f>L106*L108/1000000</f>
        <v>86.984975</v>
      </c>
      <c r="M126" s="25"/>
      <c r="N126" s="25"/>
      <c r="O126" s="25"/>
      <c r="P126" s="25"/>
      <c r="Q126" s="25"/>
      <c r="R126" s="25"/>
      <c r="S126" s="25"/>
      <c r="V126" s="21">
        <f>V107*1000/1000000</f>
        <v>90.1</v>
      </c>
      <c r="X126" s="21">
        <f>X107*1000/1000000</f>
        <v>90.1</v>
      </c>
      <c r="Z126" s="21">
        <f>Z107*1000/1000000</f>
        <v>90.2</v>
      </c>
      <c r="AB126" s="21">
        <f>AB107*1000/1000000</f>
        <v>90.1</v>
      </c>
      <c r="AD126" s="27">
        <f>V126+F126+N126</f>
        <v>175.835596</v>
      </c>
      <c r="AF126" s="27">
        <f>X126+H126+P126</f>
        <v>176.552908</v>
      </c>
      <c r="AH126" s="27">
        <f>Z126+J126+R126</f>
        <v>178.9835</v>
      </c>
      <c r="AJ126" s="27">
        <f>AB126+L126+T126</f>
        <v>177.084975</v>
      </c>
    </row>
    <row r="127" spans="2:36" ht="12.75">
      <c r="B127" s="20" t="s">
        <v>149</v>
      </c>
      <c r="D127" s="20" t="s">
        <v>65</v>
      </c>
      <c r="F127" s="23"/>
      <c r="H127" s="23"/>
      <c r="J127" s="23"/>
      <c r="L127" s="23"/>
      <c r="M127" s="23"/>
      <c r="N127" s="23"/>
      <c r="O127" s="23"/>
      <c r="P127" s="23"/>
      <c r="Q127" s="23"/>
      <c r="R127" s="23"/>
      <c r="S127" s="23"/>
      <c r="AD127" s="27">
        <f>AD123/9000*(21-AD124)/21*60</f>
        <v>182.23809523809527</v>
      </c>
      <c r="AF127" s="27">
        <f>AF123/9000*(21-AF124)/21*60</f>
        <v>179.1423714285714</v>
      </c>
      <c r="AH127" s="27">
        <f>AH123/9000*(21-AH124)/21*60</f>
        <v>171.7324444444444</v>
      </c>
      <c r="AJ127" s="27">
        <f>AJ123/9000*(21-AJ124)/21*60</f>
        <v>177.67989206349208</v>
      </c>
    </row>
    <row r="128" spans="6:36" ht="12.75">
      <c r="F128" s="23"/>
      <c r="H128" s="23"/>
      <c r="J128" s="23"/>
      <c r="L128" s="23"/>
      <c r="M128" s="23"/>
      <c r="N128" s="23"/>
      <c r="O128" s="23"/>
      <c r="P128" s="23"/>
      <c r="Q128" s="23"/>
      <c r="R128" s="23"/>
      <c r="S128" s="23"/>
      <c r="AJ128" s="27"/>
    </row>
    <row r="129" spans="2:36" ht="12.75">
      <c r="B129" s="30" t="s">
        <v>88</v>
      </c>
      <c r="C129" s="30"/>
      <c r="F129" s="23"/>
      <c r="H129" s="23"/>
      <c r="J129" s="23"/>
      <c r="L129" s="23"/>
      <c r="M129" s="23"/>
      <c r="N129" s="25"/>
      <c r="O129" s="23"/>
      <c r="P129" s="23"/>
      <c r="Q129" s="23"/>
      <c r="R129" s="23"/>
      <c r="S129" s="23"/>
      <c r="AJ129" s="27"/>
    </row>
    <row r="130" spans="2:36" ht="12.75">
      <c r="B130" s="20" t="s">
        <v>49</v>
      </c>
      <c r="D130" s="20" t="s">
        <v>66</v>
      </c>
      <c r="F130" s="25">
        <f>F110/F123/60/0.0283*1000*(21-7)/(21-F124)</f>
        <v>47.46921964275693</v>
      </c>
      <c r="H130" s="25">
        <f>H110/H123/60/0.0283*1000*(21-7)/(21-H124)</f>
        <v>44.57831868975671</v>
      </c>
      <c r="J130" s="25">
        <f>J110/J123/60/0.0283*1000*(21-7)/(21-J124)</f>
        <v>50.81512985710415</v>
      </c>
      <c r="L130" s="25">
        <f>AVERAGE(F130,H130,J130)</f>
        <v>47.62088939653927</v>
      </c>
      <c r="M130" s="25"/>
      <c r="N130" s="25">
        <f>N110/N123/60/0.0283*1000*(21-7)/(21-N124)</f>
        <v>67.23250140627692</v>
      </c>
      <c r="O130" s="25"/>
      <c r="P130" s="25">
        <f>P110/P123/60/0.0283*1000*(21-7)/(21-P124)</f>
        <v>68.52583240083872</v>
      </c>
      <c r="Q130" s="25"/>
      <c r="R130" s="25">
        <f>R110/R123/60/0.0283*1000*(21-7)/(21-R124)</f>
        <v>71.48259119070738</v>
      </c>
      <c r="S130" s="25"/>
      <c r="T130" s="25">
        <f>T110/T123/60/0.0283*1000*(21-7)/(21-T124)</f>
        <v>69.04567310675593</v>
      </c>
      <c r="U130" s="25"/>
      <c r="V130" s="25"/>
      <c r="W130" s="25"/>
      <c r="X130" s="25"/>
      <c r="Y130" s="25"/>
      <c r="Z130" s="25"/>
      <c r="AA130" s="25"/>
      <c r="AD130" s="27">
        <f>V130+F130+N130</f>
        <v>114.70172104903386</v>
      </c>
      <c r="AF130" s="27">
        <f>X130+H130+P130</f>
        <v>113.10415109059544</v>
      </c>
      <c r="AH130" s="27">
        <f>Z130+J130+R130</f>
        <v>122.29772104781154</v>
      </c>
      <c r="AJ130" s="27">
        <f aca="true" t="shared" si="15" ref="AJ130:AJ138">AB130+L130+T130</f>
        <v>116.6665625032952</v>
      </c>
    </row>
    <row r="131" spans="2:36" ht="12.75">
      <c r="B131" s="20" t="s">
        <v>50</v>
      </c>
      <c r="D131" s="20" t="s">
        <v>62</v>
      </c>
      <c r="F131" s="28">
        <f>F111/F123/60/0.0283*1000000*(21-7)/(21-F124)</f>
        <v>5476.554750312624</v>
      </c>
      <c r="H131" s="28">
        <f>H111/H123/60/0.0283*1000000*(21-7)/(21-H124)</f>
        <v>3714.129338228829</v>
      </c>
      <c r="J131" s="28">
        <f>J111/J123/60/0.0283*1000000*(21-7)/(21-J124)</f>
        <v>2735.8475732904</v>
      </c>
      <c r="L131" s="25">
        <f>AVERAGE(F131,H131,J131)</f>
        <v>3975.5105539439514</v>
      </c>
      <c r="M131" s="28"/>
      <c r="N131" s="28">
        <f>N111/N123/60/0.0283*1000000*(21-7)/(21-N124)</f>
        <v>14535.204320263243</v>
      </c>
      <c r="O131" s="28"/>
      <c r="P131" s="28">
        <f>P111/P123/60/0.0283*1000000*(21-7)/(21-P124)</f>
        <v>14844.828511567626</v>
      </c>
      <c r="Q131" s="28"/>
      <c r="R131" s="28">
        <f>R111/R123/60/0.0283*1000000*(21-7)/(21-R124)</f>
        <v>15485.354509543437</v>
      </c>
      <c r="S131" s="28"/>
      <c r="T131" s="28">
        <f>T111/T123/60/0.0283*1000000*(21-7)/(21-T124)</f>
        <v>14947.3742221012</v>
      </c>
      <c r="U131" s="28"/>
      <c r="V131" s="28"/>
      <c r="W131" s="28"/>
      <c r="X131" s="28"/>
      <c r="Y131" s="28"/>
      <c r="Z131" s="28"/>
      <c r="AA131" s="28"/>
      <c r="AD131" s="27">
        <f aca="true" t="shared" si="16" ref="AD131:AH141">V131+F131+N131</f>
        <v>20011.759070575867</v>
      </c>
      <c r="AF131" s="27">
        <f t="shared" si="16"/>
        <v>18558.957849796454</v>
      </c>
      <c r="AH131" s="27">
        <f t="shared" si="16"/>
        <v>18221.202082833835</v>
      </c>
      <c r="AJ131" s="27">
        <f t="shared" si="15"/>
        <v>18922.88477604515</v>
      </c>
    </row>
    <row r="132" spans="2:36" ht="12.75">
      <c r="B132" s="20" t="s">
        <v>107</v>
      </c>
      <c r="D132" s="20" t="s">
        <v>62</v>
      </c>
      <c r="E132" s="24">
        <v>100</v>
      </c>
      <c r="F132" s="25">
        <f>F112*F$106*454/1000000/F$123/60/0.0283*1000000*(21-7)/(21-F$124)</f>
        <v>36.542193077947495</v>
      </c>
      <c r="G132" s="24">
        <v>100</v>
      </c>
      <c r="H132" s="25">
        <f>H112*H$106*454/1000000/H$123/60/0.0283*1000000*(21-7)/(21-H$124)</f>
        <v>37.1736714728214</v>
      </c>
      <c r="I132" s="24">
        <v>100</v>
      </c>
      <c r="J132" s="25">
        <f aca="true" t="shared" si="17" ref="J132:J141">J112*J$106*454/1000000/J$123/60/0.0283*1000000*(21-7)/(21-J$124)</f>
        <v>39.1305458731954</v>
      </c>
      <c r="K132" s="24">
        <v>100</v>
      </c>
      <c r="L132" s="25">
        <f>AVERAGE(F132,H132,J132)</f>
        <v>37.61547014132143</v>
      </c>
      <c r="M132" s="25"/>
      <c r="N132" s="25"/>
      <c r="O132" s="25"/>
      <c r="P132" s="25"/>
      <c r="Q132" s="25"/>
      <c r="R132" s="25"/>
      <c r="S132" s="25"/>
      <c r="AC132" s="24">
        <v>100</v>
      </c>
      <c r="AD132" s="27">
        <f t="shared" si="16"/>
        <v>36.542193077947495</v>
      </c>
      <c r="AE132" s="24">
        <v>100</v>
      </c>
      <c r="AF132" s="27">
        <f t="shared" si="16"/>
        <v>37.1736714728214</v>
      </c>
      <c r="AG132" s="24">
        <v>100</v>
      </c>
      <c r="AH132" s="27">
        <f t="shared" si="16"/>
        <v>39.1305458731954</v>
      </c>
      <c r="AI132" s="24">
        <v>100</v>
      </c>
      <c r="AJ132" s="27">
        <f t="shared" si="15"/>
        <v>37.61547014132143</v>
      </c>
    </row>
    <row r="133" spans="2:36" ht="12.75">
      <c r="B133" s="20" t="s">
        <v>103</v>
      </c>
      <c r="D133" s="20" t="s">
        <v>62</v>
      </c>
      <c r="E133" s="24">
        <v>100</v>
      </c>
      <c r="F133" s="25">
        <f aca="true" t="shared" si="18" ref="F133:H141">F113*F$106*454/1000000/F$123/60/0.0283*1000000*(21-7)/(21-F$124)</f>
        <v>18.271096538973747</v>
      </c>
      <c r="G133" s="24">
        <v>100</v>
      </c>
      <c r="H133" s="25">
        <f t="shared" si="18"/>
        <v>18.5868357364107</v>
      </c>
      <c r="I133" s="24">
        <v>100</v>
      </c>
      <c r="J133" s="25">
        <f t="shared" si="17"/>
        <v>19.5652729365977</v>
      </c>
      <c r="K133" s="24">
        <v>100</v>
      </c>
      <c r="L133" s="25">
        <f aca="true" t="shared" si="19" ref="L133:L141">AVERAGE(F133,H133,J133)</f>
        <v>18.807735070660716</v>
      </c>
      <c r="M133" s="25"/>
      <c r="N133" s="25"/>
      <c r="O133" s="25"/>
      <c r="P133" s="25"/>
      <c r="Q133" s="25"/>
      <c r="R133" s="25"/>
      <c r="S133" s="25"/>
      <c r="T133" s="22"/>
      <c r="U133" s="22"/>
      <c r="V133" s="22"/>
      <c r="W133" s="22"/>
      <c r="X133" s="22"/>
      <c r="Y133" s="22"/>
      <c r="Z133" s="22"/>
      <c r="AA133" s="22"/>
      <c r="AB133" s="22"/>
      <c r="AC133" s="24">
        <v>100</v>
      </c>
      <c r="AD133" s="27">
        <f t="shared" si="16"/>
        <v>18.271096538973747</v>
      </c>
      <c r="AE133" s="24">
        <v>100</v>
      </c>
      <c r="AF133" s="27">
        <f t="shared" si="16"/>
        <v>18.5868357364107</v>
      </c>
      <c r="AG133" s="24">
        <v>100</v>
      </c>
      <c r="AH133" s="27">
        <f t="shared" si="16"/>
        <v>19.5652729365977</v>
      </c>
      <c r="AI133" s="24">
        <v>100</v>
      </c>
      <c r="AJ133" s="27">
        <f t="shared" si="15"/>
        <v>18.807735070660716</v>
      </c>
    </row>
    <row r="134" spans="2:36" ht="12.75">
      <c r="B134" s="20" t="s">
        <v>104</v>
      </c>
      <c r="D134" s="20" t="s">
        <v>62</v>
      </c>
      <c r="E134" s="24">
        <v>100</v>
      </c>
      <c r="F134" s="25">
        <f t="shared" si="18"/>
        <v>36.542193077947495</v>
      </c>
      <c r="G134" s="24">
        <v>100</v>
      </c>
      <c r="H134" s="25">
        <f t="shared" si="18"/>
        <v>37.1736714728214</v>
      </c>
      <c r="I134" s="24">
        <v>100</v>
      </c>
      <c r="J134" s="25">
        <f t="shared" si="17"/>
        <v>39.1305458731954</v>
      </c>
      <c r="K134" s="24">
        <v>100</v>
      </c>
      <c r="L134" s="25">
        <f t="shared" si="19"/>
        <v>37.61547014132143</v>
      </c>
      <c r="M134" s="25"/>
      <c r="N134" s="25"/>
      <c r="O134" s="25"/>
      <c r="P134" s="25"/>
      <c r="Q134" s="25"/>
      <c r="R134" s="25"/>
      <c r="S134" s="25"/>
      <c r="T134" s="22"/>
      <c r="U134" s="22"/>
      <c r="V134" s="22"/>
      <c r="W134" s="22"/>
      <c r="X134" s="22"/>
      <c r="Y134" s="22"/>
      <c r="Z134" s="22"/>
      <c r="AA134" s="22"/>
      <c r="AB134" s="22"/>
      <c r="AC134" s="24">
        <v>100</v>
      </c>
      <c r="AD134" s="27">
        <f t="shared" si="16"/>
        <v>36.542193077947495</v>
      </c>
      <c r="AE134" s="24">
        <v>100</v>
      </c>
      <c r="AF134" s="27">
        <f t="shared" si="16"/>
        <v>37.1736714728214</v>
      </c>
      <c r="AG134" s="24">
        <v>100</v>
      </c>
      <c r="AH134" s="27">
        <f t="shared" si="16"/>
        <v>39.1305458731954</v>
      </c>
      <c r="AI134" s="24">
        <v>100</v>
      </c>
      <c r="AJ134" s="27">
        <f t="shared" si="15"/>
        <v>37.61547014132143</v>
      </c>
    </row>
    <row r="135" spans="2:36" ht="12.75">
      <c r="B135" s="20" t="s">
        <v>105</v>
      </c>
      <c r="D135" s="20" t="s">
        <v>62</v>
      </c>
      <c r="E135" s="24">
        <v>100</v>
      </c>
      <c r="F135" s="25">
        <f t="shared" si="18"/>
        <v>10.962657923384251</v>
      </c>
      <c r="G135" s="24">
        <v>100</v>
      </c>
      <c r="H135" s="25">
        <f t="shared" si="18"/>
        <v>11.152101441846423</v>
      </c>
      <c r="I135" s="24">
        <v>100</v>
      </c>
      <c r="J135" s="25">
        <f t="shared" si="17"/>
        <v>11.739163761958618</v>
      </c>
      <c r="K135" s="24">
        <v>100</v>
      </c>
      <c r="L135" s="25">
        <f t="shared" si="19"/>
        <v>11.28464104239643</v>
      </c>
      <c r="M135" s="25"/>
      <c r="N135" s="25"/>
      <c r="O135" s="25"/>
      <c r="P135" s="25"/>
      <c r="Q135" s="25"/>
      <c r="R135" s="25"/>
      <c r="S135" s="25"/>
      <c r="T135" s="24"/>
      <c r="U135" s="24"/>
      <c r="V135" s="24"/>
      <c r="W135" s="24"/>
      <c r="X135" s="24"/>
      <c r="Y135" s="24"/>
      <c r="Z135" s="24"/>
      <c r="AA135" s="24"/>
      <c r="AB135" s="22"/>
      <c r="AC135" s="24">
        <v>100</v>
      </c>
      <c r="AD135" s="27">
        <f t="shared" si="16"/>
        <v>10.962657923384251</v>
      </c>
      <c r="AE135" s="24">
        <v>100</v>
      </c>
      <c r="AF135" s="27">
        <f t="shared" si="16"/>
        <v>11.152101441846423</v>
      </c>
      <c r="AG135" s="24">
        <v>100</v>
      </c>
      <c r="AH135" s="27">
        <f t="shared" si="16"/>
        <v>11.739163761958618</v>
      </c>
      <c r="AI135" s="24">
        <v>100</v>
      </c>
      <c r="AJ135" s="27">
        <f t="shared" si="15"/>
        <v>11.28464104239643</v>
      </c>
    </row>
    <row r="136" spans="2:36" ht="12.75">
      <c r="B136" s="20" t="s">
        <v>109</v>
      </c>
      <c r="D136" s="20" t="s">
        <v>62</v>
      </c>
      <c r="E136" s="24">
        <v>100</v>
      </c>
      <c r="F136" s="25">
        <f t="shared" si="18"/>
        <v>3.6542193077947487</v>
      </c>
      <c r="G136" s="24">
        <v>100</v>
      </c>
      <c r="H136" s="25">
        <f t="shared" si="18"/>
        <v>3.7173671472821392</v>
      </c>
      <c r="I136" s="24">
        <v>100</v>
      </c>
      <c r="J136" s="25">
        <f t="shared" si="17"/>
        <v>3.9130545873195404</v>
      </c>
      <c r="K136" s="24">
        <v>100</v>
      </c>
      <c r="L136" s="25">
        <f t="shared" si="19"/>
        <v>3.7615470141321428</v>
      </c>
      <c r="M136" s="25"/>
      <c r="N136" s="25"/>
      <c r="O136" s="25"/>
      <c r="P136" s="25"/>
      <c r="Q136" s="25"/>
      <c r="R136" s="25"/>
      <c r="S136" s="25"/>
      <c r="T136" s="24"/>
      <c r="U136" s="24"/>
      <c r="V136" s="24"/>
      <c r="W136" s="24"/>
      <c r="X136" s="24"/>
      <c r="Y136" s="24"/>
      <c r="Z136" s="24"/>
      <c r="AA136" s="24"/>
      <c r="AB136" s="22"/>
      <c r="AC136" s="24">
        <v>100</v>
      </c>
      <c r="AD136" s="27">
        <f t="shared" si="16"/>
        <v>3.6542193077947487</v>
      </c>
      <c r="AE136" s="24">
        <v>100</v>
      </c>
      <c r="AF136" s="27">
        <f t="shared" si="16"/>
        <v>3.7173671472821392</v>
      </c>
      <c r="AG136" s="24">
        <v>100</v>
      </c>
      <c r="AH136" s="27">
        <f t="shared" si="16"/>
        <v>3.9130545873195404</v>
      </c>
      <c r="AI136" s="24">
        <v>100</v>
      </c>
      <c r="AJ136" s="27">
        <f t="shared" si="15"/>
        <v>3.7615470141321428</v>
      </c>
    </row>
    <row r="137" spans="2:36" ht="12.75">
      <c r="B137" s="20" t="s">
        <v>101</v>
      </c>
      <c r="D137" s="20" t="s">
        <v>62</v>
      </c>
      <c r="E137" s="24"/>
      <c r="F137" s="25">
        <f t="shared" si="18"/>
        <v>153.47721092737947</v>
      </c>
      <c r="G137" s="24"/>
      <c r="H137" s="25">
        <f t="shared" si="18"/>
        <v>170.99888877497847</v>
      </c>
      <c r="I137" s="24"/>
      <c r="J137" s="25">
        <f t="shared" si="17"/>
        <v>176.0874564293793</v>
      </c>
      <c r="K137" s="24"/>
      <c r="L137" s="25">
        <f t="shared" si="19"/>
        <v>166.85451871057907</v>
      </c>
      <c r="M137" s="25"/>
      <c r="N137" s="25"/>
      <c r="O137" s="25"/>
      <c r="P137" s="25"/>
      <c r="Q137" s="25"/>
      <c r="R137" s="25"/>
      <c r="S137" s="25"/>
      <c r="T137" s="24"/>
      <c r="U137" s="24"/>
      <c r="V137" s="24"/>
      <c r="W137" s="24"/>
      <c r="X137" s="24"/>
      <c r="Y137" s="24"/>
      <c r="Z137" s="24"/>
      <c r="AA137" s="24"/>
      <c r="AB137" s="22"/>
      <c r="AC137" s="24"/>
      <c r="AD137" s="27">
        <f t="shared" si="16"/>
        <v>153.47721092737947</v>
      </c>
      <c r="AE137" s="24"/>
      <c r="AF137" s="27">
        <f t="shared" si="16"/>
        <v>170.99888877497847</v>
      </c>
      <c r="AG137" s="24"/>
      <c r="AH137" s="27">
        <f t="shared" si="16"/>
        <v>176.0874564293793</v>
      </c>
      <c r="AI137" s="24"/>
      <c r="AJ137" s="27">
        <f t="shared" si="15"/>
        <v>166.85451871057907</v>
      </c>
    </row>
    <row r="138" spans="2:36" ht="12.75">
      <c r="B138" s="20" t="s">
        <v>108</v>
      </c>
      <c r="D138" s="20" t="s">
        <v>62</v>
      </c>
      <c r="E138" s="24">
        <v>100</v>
      </c>
      <c r="F138" s="25">
        <f t="shared" si="18"/>
        <v>36.542193077947495</v>
      </c>
      <c r="G138" s="24">
        <v>100</v>
      </c>
      <c r="H138" s="25">
        <f t="shared" si="18"/>
        <v>37.1736714728214</v>
      </c>
      <c r="I138" s="24">
        <v>100</v>
      </c>
      <c r="J138" s="25">
        <f t="shared" si="17"/>
        <v>39.1305458731954</v>
      </c>
      <c r="K138" s="24">
        <v>100</v>
      </c>
      <c r="L138" s="25">
        <f t="shared" si="19"/>
        <v>37.61547014132143</v>
      </c>
      <c r="M138" s="25"/>
      <c r="N138" s="25"/>
      <c r="O138" s="25"/>
      <c r="P138" s="25"/>
      <c r="Q138" s="25"/>
      <c r="R138" s="25"/>
      <c r="S138" s="25"/>
      <c r="T138" s="24"/>
      <c r="U138" s="24"/>
      <c r="V138" s="24"/>
      <c r="W138" s="24"/>
      <c r="X138" s="24"/>
      <c r="Y138" s="24"/>
      <c r="Z138" s="24"/>
      <c r="AA138" s="24"/>
      <c r="AB138" s="22"/>
      <c r="AC138" s="24">
        <v>100</v>
      </c>
      <c r="AD138" s="27">
        <f t="shared" si="16"/>
        <v>36.542193077947495</v>
      </c>
      <c r="AE138" s="24">
        <v>100</v>
      </c>
      <c r="AF138" s="27">
        <f t="shared" si="16"/>
        <v>37.1736714728214</v>
      </c>
      <c r="AG138" s="24">
        <v>100</v>
      </c>
      <c r="AH138" s="27">
        <f t="shared" si="16"/>
        <v>39.1305458731954</v>
      </c>
      <c r="AI138" s="24">
        <v>100</v>
      </c>
      <c r="AJ138" s="27">
        <f t="shared" si="15"/>
        <v>37.61547014132143</v>
      </c>
    </row>
    <row r="139" spans="2:36" ht="12.75">
      <c r="B139" s="20" t="s">
        <v>113</v>
      </c>
      <c r="D139" s="20" t="s">
        <v>62</v>
      </c>
      <c r="E139" s="24">
        <v>100</v>
      </c>
      <c r="F139" s="25">
        <f t="shared" si="18"/>
        <v>3.6542193077947487</v>
      </c>
      <c r="G139" s="24">
        <v>100</v>
      </c>
      <c r="H139" s="25">
        <f t="shared" si="18"/>
        <v>3.7173671472821392</v>
      </c>
      <c r="I139" s="24">
        <v>100</v>
      </c>
      <c r="J139" s="25">
        <f t="shared" si="17"/>
        <v>3.9130545873195404</v>
      </c>
      <c r="K139" s="24">
        <v>100</v>
      </c>
      <c r="L139" s="25">
        <f t="shared" si="19"/>
        <v>3.7615470141321428</v>
      </c>
      <c r="M139" s="25"/>
      <c r="N139" s="25"/>
      <c r="O139" s="25"/>
      <c r="P139" s="25"/>
      <c r="Q139" s="25"/>
      <c r="R139" s="25"/>
      <c r="S139" s="25"/>
      <c r="T139" s="24"/>
      <c r="U139" s="24"/>
      <c r="V139" s="24"/>
      <c r="W139" s="24"/>
      <c r="X139" s="24"/>
      <c r="Y139" s="24"/>
      <c r="Z139" s="24"/>
      <c r="AA139" s="24"/>
      <c r="AB139" s="22"/>
      <c r="AC139" s="24">
        <v>100</v>
      </c>
      <c r="AD139" s="27">
        <f t="shared" si="16"/>
        <v>3.6542193077947487</v>
      </c>
      <c r="AE139" s="24">
        <v>100</v>
      </c>
      <c r="AF139" s="27">
        <f>X139+H139+P139</f>
        <v>3.7173671472821392</v>
      </c>
      <c r="AG139" s="24">
        <v>100</v>
      </c>
      <c r="AH139" s="27">
        <f t="shared" si="16"/>
        <v>3.9130545873195404</v>
      </c>
      <c r="AI139" s="24">
        <v>100</v>
      </c>
      <c r="AJ139" s="27">
        <f>(AB139+L139+T139)/2</f>
        <v>1.8807735070660714</v>
      </c>
    </row>
    <row r="140" spans="2:36" ht="12.75">
      <c r="B140" s="20" t="s">
        <v>110</v>
      </c>
      <c r="D140" s="20" t="s">
        <v>62</v>
      </c>
      <c r="E140" s="24">
        <v>100</v>
      </c>
      <c r="F140" s="25">
        <f t="shared" si="18"/>
        <v>36.542193077947495</v>
      </c>
      <c r="G140" s="24">
        <v>100</v>
      </c>
      <c r="H140" s="25">
        <f t="shared" si="18"/>
        <v>37.1736714728214</v>
      </c>
      <c r="I140" s="24">
        <v>100</v>
      </c>
      <c r="J140" s="25">
        <f t="shared" si="17"/>
        <v>39.1305458731954</v>
      </c>
      <c r="K140" s="24">
        <v>100</v>
      </c>
      <c r="L140" s="25">
        <f t="shared" si="19"/>
        <v>37.61547014132143</v>
      </c>
      <c r="M140" s="25"/>
      <c r="N140" s="25"/>
      <c r="O140" s="25"/>
      <c r="P140" s="25"/>
      <c r="Q140" s="25"/>
      <c r="R140" s="25"/>
      <c r="S140" s="25"/>
      <c r="T140" s="24"/>
      <c r="U140" s="24"/>
      <c r="V140" s="24"/>
      <c r="W140" s="24"/>
      <c r="X140" s="24"/>
      <c r="Y140" s="24"/>
      <c r="Z140" s="24"/>
      <c r="AA140" s="24"/>
      <c r="AB140" s="22"/>
      <c r="AC140" s="24">
        <v>100</v>
      </c>
      <c r="AD140" s="27">
        <f t="shared" si="16"/>
        <v>36.542193077947495</v>
      </c>
      <c r="AE140" s="24">
        <v>100</v>
      </c>
      <c r="AF140" s="27">
        <f t="shared" si="16"/>
        <v>37.1736714728214</v>
      </c>
      <c r="AG140" s="24">
        <v>100</v>
      </c>
      <c r="AH140" s="27">
        <f t="shared" si="16"/>
        <v>39.1305458731954</v>
      </c>
      <c r="AI140" s="24">
        <v>100</v>
      </c>
      <c r="AJ140" s="27">
        <f>AB140+L140+T140</f>
        <v>37.61547014132143</v>
      </c>
    </row>
    <row r="141" spans="2:36" ht="12.75">
      <c r="B141" s="20" t="s">
        <v>106</v>
      </c>
      <c r="D141" s="20" t="s">
        <v>62</v>
      </c>
      <c r="E141" s="24">
        <v>100</v>
      </c>
      <c r="F141" s="25">
        <f t="shared" si="18"/>
        <v>36.542193077947495</v>
      </c>
      <c r="G141" s="24">
        <v>100</v>
      </c>
      <c r="H141" s="25">
        <f t="shared" si="18"/>
        <v>37.1736714728214</v>
      </c>
      <c r="I141" s="24">
        <v>100</v>
      </c>
      <c r="J141" s="25">
        <f t="shared" si="17"/>
        <v>39.1305458731954</v>
      </c>
      <c r="K141" s="24">
        <v>100</v>
      </c>
      <c r="L141" s="25">
        <f t="shared" si="19"/>
        <v>37.61547014132143</v>
      </c>
      <c r="M141" s="25"/>
      <c r="N141" s="25"/>
      <c r="O141" s="25"/>
      <c r="P141" s="25"/>
      <c r="Q141" s="25"/>
      <c r="R141" s="25"/>
      <c r="S141" s="25"/>
      <c r="T141" s="24"/>
      <c r="U141" s="24"/>
      <c r="V141" s="24"/>
      <c r="W141" s="24"/>
      <c r="X141" s="24"/>
      <c r="Y141" s="24"/>
      <c r="Z141" s="24"/>
      <c r="AA141" s="24"/>
      <c r="AB141" s="22"/>
      <c r="AC141" s="24">
        <v>100</v>
      </c>
      <c r="AD141" s="27">
        <f t="shared" si="16"/>
        <v>36.542193077947495</v>
      </c>
      <c r="AE141" s="24">
        <v>100</v>
      </c>
      <c r="AF141" s="27">
        <f t="shared" si="16"/>
        <v>37.1736714728214</v>
      </c>
      <c r="AG141" s="24">
        <v>100</v>
      </c>
      <c r="AH141" s="27">
        <f t="shared" si="16"/>
        <v>39.1305458731954</v>
      </c>
      <c r="AI141" s="24">
        <v>100</v>
      </c>
      <c r="AJ141" s="27">
        <f>AB141+L141+T141</f>
        <v>37.61547014132143</v>
      </c>
    </row>
    <row r="142" spans="5:36" ht="12.75">
      <c r="E142" s="24"/>
      <c r="F142" s="25"/>
      <c r="G142" s="24"/>
      <c r="H142" s="25"/>
      <c r="I142" s="24"/>
      <c r="J142" s="25"/>
      <c r="K142" s="24"/>
      <c r="L142" s="25"/>
      <c r="M142" s="25"/>
      <c r="N142" s="25"/>
      <c r="O142" s="25"/>
      <c r="P142" s="25"/>
      <c r="Q142" s="25"/>
      <c r="R142" s="25"/>
      <c r="S142" s="25"/>
      <c r="T142" s="24"/>
      <c r="U142" s="24"/>
      <c r="V142" s="24"/>
      <c r="W142" s="24"/>
      <c r="X142" s="24"/>
      <c r="Y142" s="24"/>
      <c r="Z142" s="24"/>
      <c r="AA142" s="24"/>
      <c r="AB142" s="22"/>
      <c r="AC142" s="22"/>
      <c r="AD142" s="27"/>
      <c r="AF142" s="27"/>
      <c r="AH142" s="27"/>
      <c r="AI142" s="22"/>
      <c r="AJ142" s="27"/>
    </row>
    <row r="143" spans="2:36" ht="12.75">
      <c r="B143" s="20" t="s">
        <v>72</v>
      </c>
      <c r="D143" s="20" t="s">
        <v>62</v>
      </c>
      <c r="E143" s="28">
        <f>(E136*F136+E138*F138)/F143</f>
        <v>100</v>
      </c>
      <c r="F143" s="25">
        <f>(F136+F138)</f>
        <v>40.19641238574224</v>
      </c>
      <c r="G143" s="28">
        <f>(G136*H136+G138*H138)/H143</f>
        <v>100</v>
      </c>
      <c r="H143" s="25">
        <f>(H136+H138)</f>
        <v>40.89103862010354</v>
      </c>
      <c r="I143" s="28">
        <f>(I136*J136+I138*J138)/J143</f>
        <v>100</v>
      </c>
      <c r="J143" s="25">
        <f>(J136+J138)</f>
        <v>43.043600460514945</v>
      </c>
      <c r="K143" s="28">
        <f>(K136*L136+K138*L138)/L143</f>
        <v>100</v>
      </c>
      <c r="L143" s="25">
        <f>AVERAGE(F143,H143,J143)</f>
        <v>41.37701715545358</v>
      </c>
      <c r="M143" s="25"/>
      <c r="N143" s="25"/>
      <c r="O143" s="25"/>
      <c r="P143" s="25"/>
      <c r="Q143" s="25"/>
      <c r="R143" s="25"/>
      <c r="S143" s="25"/>
      <c r="T143" s="24"/>
      <c r="U143" s="24"/>
      <c r="V143" s="24"/>
      <c r="W143" s="24"/>
      <c r="X143" s="24"/>
      <c r="Y143" s="24"/>
      <c r="Z143" s="24"/>
      <c r="AA143" s="24"/>
      <c r="AB143" s="22"/>
      <c r="AC143" s="28">
        <f>(AC136*AD136+AC138*AD138)/AD143</f>
        <v>100</v>
      </c>
      <c r="AD143" s="27">
        <f>V143+F143+N143</f>
        <v>40.19641238574224</v>
      </c>
      <c r="AE143" s="28">
        <f>(AE136*AF136+AE138*AF138)/AF143</f>
        <v>100</v>
      </c>
      <c r="AF143" s="27">
        <f>X143+H143+P143</f>
        <v>40.89103862010354</v>
      </c>
      <c r="AG143" s="28">
        <f>(AG136*AH136+AG138*AH138)/AH143</f>
        <v>100</v>
      </c>
      <c r="AH143" s="27">
        <f>Z143+J143+R143</f>
        <v>43.043600460514945</v>
      </c>
      <c r="AI143" s="28">
        <f>(AI136*AJ136+AI138*AJ138)/AJ143</f>
        <v>100</v>
      </c>
      <c r="AJ143" s="27">
        <f>AB143+L143+T143</f>
        <v>41.37701715545358</v>
      </c>
    </row>
    <row r="144" spans="2:36" ht="12.75">
      <c r="B144" s="20" t="s">
        <v>73</v>
      </c>
      <c r="D144" s="20" t="s">
        <v>62</v>
      </c>
      <c r="E144" s="28">
        <f>(E133*F133+E135*F135+E137*F137)/F144</f>
        <v>16.000000000000004</v>
      </c>
      <c r="F144" s="25">
        <f>F133+F135+F137</f>
        <v>182.71096538973748</v>
      </c>
      <c r="G144" s="28">
        <f>(G133*H133+G135*H135+G137*H137)/H144</f>
        <v>14.814814814814813</v>
      </c>
      <c r="H144" s="25">
        <f>H133+H135+H137</f>
        <v>200.73782595323559</v>
      </c>
      <c r="I144" s="28">
        <f>(I133*J133+I135*J135+I137*J137)/J144</f>
        <v>15.09433962264151</v>
      </c>
      <c r="J144" s="25">
        <f>J133+J135+J137</f>
        <v>207.39189312793562</v>
      </c>
      <c r="K144" s="28">
        <f>(K133*L133+K135*L135+K137*L137)/L144</f>
        <v>15.279436692822463</v>
      </c>
      <c r="L144" s="25">
        <f>AVERAGE(F144,H144,J144)</f>
        <v>196.94689482363626</v>
      </c>
      <c r="M144" s="25"/>
      <c r="N144" s="25"/>
      <c r="O144" s="25"/>
      <c r="P144" s="25"/>
      <c r="Q144" s="25"/>
      <c r="R144" s="25"/>
      <c r="S144" s="25"/>
      <c r="T144" s="24"/>
      <c r="U144" s="24"/>
      <c r="V144" s="24"/>
      <c r="W144" s="24"/>
      <c r="X144" s="24"/>
      <c r="Y144" s="24"/>
      <c r="Z144" s="24"/>
      <c r="AA144" s="24"/>
      <c r="AB144" s="22"/>
      <c r="AC144" s="28">
        <f>(AC133*AD133+AC135*AD135+AC137*AD137)/AD144</f>
        <v>16.000000000000004</v>
      </c>
      <c r="AD144" s="27">
        <f>V144+F144+N144</f>
        <v>182.71096538973748</v>
      </c>
      <c r="AE144" s="28">
        <f>(AE133*AF133+AE135*AF135+AE137*AF137)/AF144</f>
        <v>14.814814814814813</v>
      </c>
      <c r="AF144" s="27">
        <f>X144+H144+P144</f>
        <v>200.73782595323559</v>
      </c>
      <c r="AG144" s="28">
        <f>(AG133*AH133+AG135*AH135+AG137*AH137)/AH144</f>
        <v>15.09433962264151</v>
      </c>
      <c r="AH144" s="27">
        <f>Z144+J144+R144</f>
        <v>207.39189312793562</v>
      </c>
      <c r="AI144" s="28">
        <f>(AI133*AJ133+AI135*AJ135+AI137*AJ137)/AJ144</f>
        <v>15.279436692822463</v>
      </c>
      <c r="AJ144" s="27">
        <f>AB144+L144+T144</f>
        <v>196.94689482363626</v>
      </c>
    </row>
    <row r="148" spans="1:36" ht="12.75">
      <c r="A148" s="21" t="s">
        <v>111</v>
      </c>
      <c r="B148" s="19" t="s">
        <v>58</v>
      </c>
      <c r="C148" s="19"/>
      <c r="F148" s="24" t="s">
        <v>117</v>
      </c>
      <c r="G148" s="24"/>
      <c r="H148" s="24" t="s">
        <v>118</v>
      </c>
      <c r="I148" s="24"/>
      <c r="J148" s="24" t="s">
        <v>119</v>
      </c>
      <c r="K148" s="24"/>
      <c r="L148" s="24" t="s">
        <v>39</v>
      </c>
      <c r="M148" s="24"/>
      <c r="N148" s="24" t="s">
        <v>117</v>
      </c>
      <c r="O148" s="24"/>
      <c r="P148" s="24" t="s">
        <v>118</v>
      </c>
      <c r="Q148" s="24"/>
      <c r="R148" s="24" t="s">
        <v>119</v>
      </c>
      <c r="S148" s="24"/>
      <c r="T148" s="24" t="s">
        <v>39</v>
      </c>
      <c r="U148" s="24"/>
      <c r="V148" s="24" t="s">
        <v>117</v>
      </c>
      <c r="W148" s="24"/>
      <c r="X148" s="24" t="s">
        <v>118</v>
      </c>
      <c r="Y148" s="24"/>
      <c r="Z148" s="24" t="s">
        <v>119</v>
      </c>
      <c r="AA148" s="24"/>
      <c r="AB148" s="24" t="s">
        <v>39</v>
      </c>
      <c r="AC148" s="24"/>
      <c r="AD148" s="24" t="s">
        <v>117</v>
      </c>
      <c r="AE148" s="24"/>
      <c r="AF148" s="24" t="s">
        <v>118</v>
      </c>
      <c r="AG148" s="24"/>
      <c r="AH148" s="24" t="s">
        <v>119</v>
      </c>
      <c r="AI148" s="24"/>
      <c r="AJ148" s="24" t="s">
        <v>39</v>
      </c>
    </row>
    <row r="149" spans="2:36" ht="12.75">
      <c r="B149" s="19"/>
      <c r="C149" s="19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</row>
    <row r="150" spans="2:36" ht="12.75">
      <c r="B150" s="20" t="s">
        <v>131</v>
      </c>
      <c r="F150" s="24" t="s">
        <v>142</v>
      </c>
      <c r="H150" s="24" t="s">
        <v>142</v>
      </c>
      <c r="J150" s="24" t="s">
        <v>142</v>
      </c>
      <c r="L150" s="24" t="s">
        <v>142</v>
      </c>
      <c r="N150" s="24" t="s">
        <v>143</v>
      </c>
      <c r="P150" s="24" t="s">
        <v>143</v>
      </c>
      <c r="R150" s="24" t="s">
        <v>143</v>
      </c>
      <c r="T150" s="24" t="s">
        <v>143</v>
      </c>
      <c r="V150" s="24" t="s">
        <v>144</v>
      </c>
      <c r="X150" s="24" t="s">
        <v>144</v>
      </c>
      <c r="Z150" s="24" t="s">
        <v>144</v>
      </c>
      <c r="AB150" s="24" t="s">
        <v>144</v>
      </c>
      <c r="AD150" s="24" t="s">
        <v>145</v>
      </c>
      <c r="AF150" s="24" t="s">
        <v>145</v>
      </c>
      <c r="AH150" s="24" t="s">
        <v>145</v>
      </c>
      <c r="AJ150" s="24" t="s">
        <v>145</v>
      </c>
    </row>
    <row r="151" spans="2:36" ht="12.75">
      <c r="B151" s="20" t="s">
        <v>132</v>
      </c>
      <c r="F151" s="24" t="s">
        <v>133</v>
      </c>
      <c r="H151" s="24" t="s">
        <v>133</v>
      </c>
      <c r="J151" s="24" t="s">
        <v>133</v>
      </c>
      <c r="L151" s="24" t="s">
        <v>133</v>
      </c>
      <c r="N151" s="22" t="s">
        <v>43</v>
      </c>
      <c r="P151" s="22" t="s">
        <v>43</v>
      </c>
      <c r="R151" s="22" t="s">
        <v>43</v>
      </c>
      <c r="T151" s="22" t="s">
        <v>43</v>
      </c>
      <c r="V151" s="24" t="s">
        <v>134</v>
      </c>
      <c r="X151" s="24" t="s">
        <v>134</v>
      </c>
      <c r="Z151" s="24" t="s">
        <v>134</v>
      </c>
      <c r="AB151" s="24" t="s">
        <v>134</v>
      </c>
      <c r="AD151" s="24" t="s">
        <v>86</v>
      </c>
      <c r="AF151" s="24" t="s">
        <v>86</v>
      </c>
      <c r="AH151" s="24" t="s">
        <v>86</v>
      </c>
      <c r="AJ151" s="24" t="s">
        <v>86</v>
      </c>
    </row>
    <row r="152" spans="2:36" ht="12.75">
      <c r="B152" s="20" t="s">
        <v>147</v>
      </c>
      <c r="F152" s="24" t="s">
        <v>71</v>
      </c>
      <c r="H152" s="24" t="s">
        <v>71</v>
      </c>
      <c r="J152" s="24" t="s">
        <v>71</v>
      </c>
      <c r="L152" s="24" t="s">
        <v>71</v>
      </c>
      <c r="N152" s="22" t="s">
        <v>43</v>
      </c>
      <c r="P152" s="22" t="s">
        <v>43</v>
      </c>
      <c r="R152" s="22" t="s">
        <v>43</v>
      </c>
      <c r="T152" s="22" t="s">
        <v>43</v>
      </c>
      <c r="V152" s="24" t="s">
        <v>148</v>
      </c>
      <c r="X152" s="24" t="s">
        <v>148</v>
      </c>
      <c r="Z152" s="24" t="s">
        <v>148</v>
      </c>
      <c r="AB152" s="24" t="s">
        <v>148</v>
      </c>
      <c r="AD152" s="24" t="s">
        <v>86</v>
      </c>
      <c r="AF152" s="24" t="s">
        <v>86</v>
      </c>
      <c r="AH152" s="24" t="s">
        <v>86</v>
      </c>
      <c r="AJ152" s="24" t="s">
        <v>86</v>
      </c>
    </row>
    <row r="153" spans="2:36" ht="12.75">
      <c r="B153" s="20" t="s">
        <v>40</v>
      </c>
      <c r="F153" s="22" t="s">
        <v>54</v>
      </c>
      <c r="H153" s="22" t="s">
        <v>54</v>
      </c>
      <c r="J153" s="22" t="s">
        <v>54</v>
      </c>
      <c r="L153" s="22" t="s">
        <v>54</v>
      </c>
      <c r="N153" s="21" t="s">
        <v>43</v>
      </c>
      <c r="P153" s="21" t="s">
        <v>43</v>
      </c>
      <c r="R153" s="21" t="s">
        <v>43</v>
      </c>
      <c r="T153" s="21" t="s">
        <v>43</v>
      </c>
      <c r="V153" s="21" t="s">
        <v>42</v>
      </c>
      <c r="X153" s="21" t="s">
        <v>42</v>
      </c>
      <c r="Z153" s="21" t="s">
        <v>42</v>
      </c>
      <c r="AB153" s="21" t="s">
        <v>42</v>
      </c>
      <c r="AD153" s="21" t="s">
        <v>86</v>
      </c>
      <c r="AF153" s="21" t="s">
        <v>86</v>
      </c>
      <c r="AH153" s="21" t="s">
        <v>86</v>
      </c>
      <c r="AJ153" s="21" t="s">
        <v>86</v>
      </c>
    </row>
    <row r="154" spans="2:19" ht="12.75">
      <c r="B154" s="20" t="s">
        <v>114</v>
      </c>
      <c r="D154" s="20" t="s">
        <v>44</v>
      </c>
      <c r="F154" s="21">
        <v>9555</v>
      </c>
      <c r="H154" s="21">
        <v>9611</v>
      </c>
      <c r="J154" s="21">
        <v>9475</v>
      </c>
      <c r="L154" s="23">
        <v>9547</v>
      </c>
      <c r="M154" s="23"/>
      <c r="N154" s="23"/>
      <c r="O154" s="23"/>
      <c r="P154" s="23"/>
      <c r="Q154" s="23"/>
      <c r="R154" s="23"/>
      <c r="S154" s="23"/>
    </row>
    <row r="155" spans="2:28" ht="12.75">
      <c r="B155" s="20" t="s">
        <v>114</v>
      </c>
      <c r="D155" s="20" t="s">
        <v>61</v>
      </c>
      <c r="L155" s="23"/>
      <c r="M155" s="23"/>
      <c r="N155" s="23"/>
      <c r="O155" s="23"/>
      <c r="P155" s="23"/>
      <c r="Q155" s="23"/>
      <c r="R155" s="23"/>
      <c r="S155" s="23"/>
      <c r="V155" s="21">
        <v>22300</v>
      </c>
      <c r="X155" s="21">
        <v>21400</v>
      </c>
      <c r="Z155" s="21">
        <v>27400</v>
      </c>
      <c r="AB155" s="21">
        <v>23700</v>
      </c>
    </row>
    <row r="156" spans="2:19" ht="12.75">
      <c r="B156" s="20" t="s">
        <v>45</v>
      </c>
      <c r="D156" s="20" t="s">
        <v>46</v>
      </c>
      <c r="F156" s="21">
        <v>17277</v>
      </c>
      <c r="H156" s="21">
        <v>17287</v>
      </c>
      <c r="J156" s="21">
        <v>17018</v>
      </c>
      <c r="L156" s="23">
        <v>17144</v>
      </c>
      <c r="M156" s="23"/>
      <c r="N156" s="23"/>
      <c r="O156" s="23"/>
      <c r="P156" s="23"/>
      <c r="Q156" s="23"/>
      <c r="R156" s="23"/>
      <c r="S156" s="23"/>
    </row>
    <row r="157" spans="2:19" ht="12.75">
      <c r="B157" s="20" t="s">
        <v>47</v>
      </c>
      <c r="D157" s="20" t="s">
        <v>48</v>
      </c>
      <c r="F157" s="21">
        <v>0.905</v>
      </c>
      <c r="H157" s="21">
        <v>0.906</v>
      </c>
      <c r="J157" s="21">
        <v>0.906</v>
      </c>
      <c r="L157" s="23">
        <v>0.906</v>
      </c>
      <c r="M157" s="23"/>
      <c r="N157" s="23"/>
      <c r="O157" s="23"/>
      <c r="P157" s="23"/>
      <c r="Q157" s="23"/>
      <c r="R157" s="23"/>
      <c r="S157" s="23"/>
    </row>
    <row r="158" spans="2:35" ht="12.75">
      <c r="B158" s="20" t="s">
        <v>49</v>
      </c>
      <c r="D158" s="20" t="s">
        <v>32</v>
      </c>
      <c r="E158" s="24"/>
      <c r="F158" s="24"/>
      <c r="G158" s="24"/>
      <c r="H158" s="24"/>
      <c r="I158" s="24"/>
      <c r="J158" s="24"/>
      <c r="K158" s="24"/>
      <c r="L158" s="23">
        <v>0</v>
      </c>
      <c r="M158" s="23"/>
      <c r="N158" s="23">
        <v>9562</v>
      </c>
      <c r="O158" s="23"/>
      <c r="P158" s="23">
        <v>9553</v>
      </c>
      <c r="Q158" s="23"/>
      <c r="R158" s="23">
        <v>9562</v>
      </c>
      <c r="S158" s="23"/>
      <c r="T158" s="25">
        <f>AVERAGE(R158,P158,N158)</f>
        <v>9559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2:35" ht="12.75">
      <c r="B159" s="20" t="s">
        <v>50</v>
      </c>
      <c r="D159" s="20" t="s">
        <v>32</v>
      </c>
      <c r="E159" s="24"/>
      <c r="F159" s="22">
        <v>1907</v>
      </c>
      <c r="G159" s="22"/>
      <c r="H159" s="22">
        <v>959</v>
      </c>
      <c r="I159" s="22"/>
      <c r="J159" s="22">
        <v>1633</v>
      </c>
      <c r="K159" s="24"/>
      <c r="L159" s="23">
        <v>1500</v>
      </c>
      <c r="M159" s="23"/>
      <c r="N159" s="23">
        <v>1288</v>
      </c>
      <c r="O159" s="23"/>
      <c r="P159" s="23">
        <v>1288</v>
      </c>
      <c r="Q159" s="23"/>
      <c r="R159" s="23">
        <v>1288</v>
      </c>
      <c r="S159" s="23"/>
      <c r="T159" s="22">
        <v>1288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2:35" ht="12.75">
      <c r="B160" s="20" t="s">
        <v>107</v>
      </c>
      <c r="D160" s="20" t="s">
        <v>51</v>
      </c>
      <c r="E160" s="24" t="s">
        <v>34</v>
      </c>
      <c r="F160" s="22">
        <v>1</v>
      </c>
      <c r="G160" s="24" t="s">
        <v>34</v>
      </c>
      <c r="H160" s="22">
        <v>1</v>
      </c>
      <c r="I160" s="24" t="s">
        <v>34</v>
      </c>
      <c r="J160" s="22">
        <v>1</v>
      </c>
      <c r="K160" s="24"/>
      <c r="L160" s="23">
        <v>1</v>
      </c>
      <c r="M160" s="23"/>
      <c r="N160" s="23"/>
      <c r="O160" s="23"/>
      <c r="P160" s="23"/>
      <c r="Q160" s="23"/>
      <c r="R160" s="23"/>
      <c r="S160" s="23"/>
      <c r="T160" s="24"/>
      <c r="U160" s="24"/>
      <c r="V160" s="22"/>
      <c r="W160" s="24"/>
      <c r="X160" s="22"/>
      <c r="Y160" s="24"/>
      <c r="Z160" s="22"/>
      <c r="AA160" s="24"/>
      <c r="AB160" s="22"/>
      <c r="AC160" s="22"/>
      <c r="AD160" s="22"/>
      <c r="AE160" s="22"/>
      <c r="AF160" s="22"/>
      <c r="AG160" s="22"/>
      <c r="AH160" s="22"/>
      <c r="AI160" s="22"/>
    </row>
    <row r="161" spans="2:35" ht="12.75">
      <c r="B161" s="20" t="s">
        <v>103</v>
      </c>
      <c r="D161" s="20" t="s">
        <v>51</v>
      </c>
      <c r="E161" s="24" t="s">
        <v>34</v>
      </c>
      <c r="F161" s="22">
        <v>0.5</v>
      </c>
      <c r="G161" s="24" t="s">
        <v>34</v>
      </c>
      <c r="H161" s="22">
        <v>0.5</v>
      </c>
      <c r="I161" s="24" t="s">
        <v>34</v>
      </c>
      <c r="J161" s="22">
        <v>0.5</v>
      </c>
      <c r="K161" s="24"/>
      <c r="L161" s="23">
        <v>0.5</v>
      </c>
      <c r="M161" s="23"/>
      <c r="N161" s="23"/>
      <c r="O161" s="23"/>
      <c r="P161" s="23"/>
      <c r="Q161" s="23"/>
      <c r="R161" s="23"/>
      <c r="S161" s="23"/>
      <c r="T161" s="24"/>
      <c r="U161" s="24"/>
      <c r="V161" s="22"/>
      <c r="W161" s="24"/>
      <c r="X161" s="22"/>
      <c r="Y161" s="24"/>
      <c r="Z161" s="22"/>
      <c r="AA161" s="24"/>
      <c r="AB161" s="22"/>
      <c r="AC161" s="22"/>
      <c r="AD161" s="22"/>
      <c r="AE161" s="22"/>
      <c r="AF161" s="22"/>
      <c r="AG161" s="22"/>
      <c r="AH161" s="22"/>
      <c r="AI161" s="22"/>
    </row>
    <row r="162" spans="2:35" ht="12.75">
      <c r="B162" s="20" t="s">
        <v>104</v>
      </c>
      <c r="D162" s="20" t="s">
        <v>51</v>
      </c>
      <c r="E162" s="24" t="s">
        <v>34</v>
      </c>
      <c r="F162" s="22">
        <v>1</v>
      </c>
      <c r="G162" s="24" t="s">
        <v>34</v>
      </c>
      <c r="H162" s="22">
        <v>1</v>
      </c>
      <c r="I162" s="24" t="s">
        <v>34</v>
      </c>
      <c r="J162" s="22">
        <v>1</v>
      </c>
      <c r="K162" s="24"/>
      <c r="L162" s="23">
        <v>1</v>
      </c>
      <c r="M162" s="23"/>
      <c r="N162" s="23"/>
      <c r="O162" s="23"/>
      <c r="P162" s="23"/>
      <c r="Q162" s="23"/>
      <c r="R162" s="23"/>
      <c r="S162" s="23"/>
      <c r="T162" s="24"/>
      <c r="U162" s="24"/>
      <c r="V162" s="22"/>
      <c r="W162" s="24"/>
      <c r="X162" s="22"/>
      <c r="Y162" s="24"/>
      <c r="Z162" s="22"/>
      <c r="AA162" s="24"/>
      <c r="AB162" s="22"/>
      <c r="AC162" s="22"/>
      <c r="AD162" s="22"/>
      <c r="AE162" s="22"/>
      <c r="AF162" s="22"/>
      <c r="AG162" s="22"/>
      <c r="AH162" s="22"/>
      <c r="AI162" s="22"/>
    </row>
    <row r="163" spans="2:35" ht="12.75">
      <c r="B163" s="20" t="s">
        <v>105</v>
      </c>
      <c r="D163" s="20" t="s">
        <v>51</v>
      </c>
      <c r="E163" s="24" t="s">
        <v>34</v>
      </c>
      <c r="F163" s="22">
        <v>0.3</v>
      </c>
      <c r="G163" s="24" t="s">
        <v>34</v>
      </c>
      <c r="H163" s="22">
        <v>0.3</v>
      </c>
      <c r="I163" s="24" t="s">
        <v>34</v>
      </c>
      <c r="J163" s="22">
        <v>0.3</v>
      </c>
      <c r="K163" s="24"/>
      <c r="L163" s="23">
        <v>0.3</v>
      </c>
      <c r="M163" s="23"/>
      <c r="N163" s="23"/>
      <c r="O163" s="23"/>
      <c r="P163" s="23"/>
      <c r="Q163" s="23"/>
      <c r="R163" s="23"/>
      <c r="S163" s="23"/>
      <c r="T163" s="24"/>
      <c r="U163" s="24"/>
      <c r="V163" s="22"/>
      <c r="W163" s="24"/>
      <c r="X163" s="22"/>
      <c r="Y163" s="24"/>
      <c r="Z163" s="22"/>
      <c r="AA163" s="24"/>
      <c r="AB163" s="22"/>
      <c r="AC163" s="22"/>
      <c r="AD163" s="22"/>
      <c r="AE163" s="22"/>
      <c r="AF163" s="22"/>
      <c r="AG163" s="22"/>
      <c r="AH163" s="22"/>
      <c r="AI163" s="22"/>
    </row>
    <row r="164" spans="2:35" ht="12.75">
      <c r="B164" s="20" t="s">
        <v>109</v>
      </c>
      <c r="D164" s="20" t="s">
        <v>51</v>
      </c>
      <c r="E164" s="24" t="s">
        <v>34</v>
      </c>
      <c r="F164" s="22">
        <v>0.1</v>
      </c>
      <c r="G164" s="24" t="s">
        <v>34</v>
      </c>
      <c r="H164" s="22">
        <v>0.1</v>
      </c>
      <c r="I164" s="24" t="s">
        <v>34</v>
      </c>
      <c r="J164" s="22">
        <v>0.1</v>
      </c>
      <c r="K164" s="24"/>
      <c r="L164" s="23">
        <v>0.1</v>
      </c>
      <c r="M164" s="23"/>
      <c r="N164" s="23"/>
      <c r="O164" s="23"/>
      <c r="P164" s="23"/>
      <c r="Q164" s="23"/>
      <c r="R164" s="23"/>
      <c r="S164" s="23"/>
      <c r="T164" s="24"/>
      <c r="U164" s="24"/>
      <c r="V164" s="22"/>
      <c r="W164" s="24"/>
      <c r="X164" s="22"/>
      <c r="Y164" s="24"/>
      <c r="Z164" s="22"/>
      <c r="AA164" s="24"/>
      <c r="AB164" s="22"/>
      <c r="AC164" s="22"/>
      <c r="AD164" s="22"/>
      <c r="AE164" s="22"/>
      <c r="AF164" s="22"/>
      <c r="AG164" s="22"/>
      <c r="AH164" s="22"/>
      <c r="AI164" s="22"/>
    </row>
    <row r="165" spans="2:35" ht="12.75">
      <c r="B165" s="20" t="s">
        <v>101</v>
      </c>
      <c r="D165" s="20" t="s">
        <v>51</v>
      </c>
      <c r="E165" s="24" t="s">
        <v>53</v>
      </c>
      <c r="F165" s="22">
        <v>0.1</v>
      </c>
      <c r="G165" s="24" t="s">
        <v>53</v>
      </c>
      <c r="H165" s="22">
        <v>0.1</v>
      </c>
      <c r="I165" s="24" t="s">
        <v>53</v>
      </c>
      <c r="J165" s="22">
        <v>0.1</v>
      </c>
      <c r="K165" s="24"/>
      <c r="L165" s="23">
        <v>0.1</v>
      </c>
      <c r="M165" s="23"/>
      <c r="N165" s="23"/>
      <c r="O165" s="23"/>
      <c r="P165" s="23"/>
      <c r="Q165" s="23"/>
      <c r="R165" s="23"/>
      <c r="S165" s="23"/>
      <c r="T165" s="24"/>
      <c r="U165" s="24"/>
      <c r="V165" s="22"/>
      <c r="W165" s="24"/>
      <c r="X165" s="22"/>
      <c r="Y165" s="24"/>
      <c r="Z165" s="22"/>
      <c r="AA165" s="24"/>
      <c r="AB165" s="22"/>
      <c r="AC165" s="22"/>
      <c r="AD165" s="22"/>
      <c r="AE165" s="22"/>
      <c r="AF165" s="22"/>
      <c r="AG165" s="22"/>
      <c r="AH165" s="22"/>
      <c r="AI165" s="22"/>
    </row>
    <row r="166" spans="2:35" ht="12.75">
      <c r="B166" s="20" t="s">
        <v>108</v>
      </c>
      <c r="D166" s="20" t="s">
        <v>51</v>
      </c>
      <c r="E166" s="24" t="s">
        <v>34</v>
      </c>
      <c r="F166" s="22">
        <v>1</v>
      </c>
      <c r="G166" s="24" t="s">
        <v>34</v>
      </c>
      <c r="H166" s="22">
        <v>1</v>
      </c>
      <c r="I166" s="24" t="s">
        <v>34</v>
      </c>
      <c r="J166" s="22">
        <v>1</v>
      </c>
      <c r="K166" s="24"/>
      <c r="L166" s="23">
        <v>1</v>
      </c>
      <c r="M166" s="23"/>
      <c r="N166" s="23"/>
      <c r="O166" s="23"/>
      <c r="P166" s="23"/>
      <c r="Q166" s="23"/>
      <c r="R166" s="23"/>
      <c r="S166" s="23"/>
      <c r="T166" s="24"/>
      <c r="U166" s="24"/>
      <c r="V166" s="22"/>
      <c r="W166" s="24"/>
      <c r="X166" s="22"/>
      <c r="Y166" s="24"/>
      <c r="Z166" s="22"/>
      <c r="AA166" s="24"/>
      <c r="AB166" s="22"/>
      <c r="AC166" s="22"/>
      <c r="AD166" s="22"/>
      <c r="AE166" s="22"/>
      <c r="AF166" s="22"/>
      <c r="AG166" s="22"/>
      <c r="AH166" s="22"/>
      <c r="AI166" s="22"/>
    </row>
    <row r="167" spans="2:35" ht="12.75">
      <c r="B167" s="20" t="s">
        <v>113</v>
      </c>
      <c r="D167" s="20" t="s">
        <v>51</v>
      </c>
      <c r="E167" s="24" t="s">
        <v>34</v>
      </c>
      <c r="F167" s="22">
        <v>0.1</v>
      </c>
      <c r="G167" s="24" t="s">
        <v>34</v>
      </c>
      <c r="H167" s="22">
        <v>0.1</v>
      </c>
      <c r="I167" s="24" t="s">
        <v>34</v>
      </c>
      <c r="J167" s="22">
        <v>0.1</v>
      </c>
      <c r="K167" s="24"/>
      <c r="L167" s="23">
        <v>0.1</v>
      </c>
      <c r="M167" s="23"/>
      <c r="N167" s="23"/>
      <c r="O167" s="23"/>
      <c r="P167" s="23"/>
      <c r="Q167" s="23"/>
      <c r="R167" s="23"/>
      <c r="S167" s="23"/>
      <c r="T167" s="24"/>
      <c r="U167" s="24"/>
      <c r="V167" s="22"/>
      <c r="W167" s="24"/>
      <c r="X167" s="22"/>
      <c r="Y167" s="24"/>
      <c r="Z167" s="22"/>
      <c r="AA167" s="24"/>
      <c r="AB167" s="22"/>
      <c r="AC167" s="22"/>
      <c r="AD167" s="22"/>
      <c r="AE167" s="22"/>
      <c r="AF167" s="22"/>
      <c r="AG167" s="22"/>
      <c r="AH167" s="22"/>
      <c r="AI167" s="22"/>
    </row>
    <row r="168" spans="2:35" ht="12.75">
      <c r="B168" s="20" t="s">
        <v>110</v>
      </c>
      <c r="D168" s="20" t="s">
        <v>51</v>
      </c>
      <c r="E168" s="24" t="s">
        <v>34</v>
      </c>
      <c r="F168" s="22">
        <v>1</v>
      </c>
      <c r="G168" s="24" t="s">
        <v>34</v>
      </c>
      <c r="H168" s="22">
        <v>1</v>
      </c>
      <c r="I168" s="24" t="s">
        <v>34</v>
      </c>
      <c r="J168" s="22">
        <v>1</v>
      </c>
      <c r="K168" s="24"/>
      <c r="L168" s="23">
        <v>1</v>
      </c>
      <c r="M168" s="23"/>
      <c r="N168" s="23"/>
      <c r="O168" s="23"/>
      <c r="P168" s="23"/>
      <c r="Q168" s="23"/>
      <c r="R168" s="23"/>
      <c r="S168" s="23"/>
      <c r="T168" s="24"/>
      <c r="U168" s="24"/>
      <c r="V168" s="22"/>
      <c r="W168" s="24"/>
      <c r="X168" s="22"/>
      <c r="Y168" s="24"/>
      <c r="Z168" s="22"/>
      <c r="AA168" s="24"/>
      <c r="AB168" s="22"/>
      <c r="AC168" s="22"/>
      <c r="AD168" s="22"/>
      <c r="AE168" s="22"/>
      <c r="AF168" s="22"/>
      <c r="AG168" s="22"/>
      <c r="AH168" s="22"/>
      <c r="AI168" s="22"/>
    </row>
    <row r="169" spans="2:35" ht="12.75">
      <c r="B169" s="20" t="s">
        <v>106</v>
      </c>
      <c r="D169" s="20" t="s">
        <v>51</v>
      </c>
      <c r="E169" s="24" t="s">
        <v>34</v>
      </c>
      <c r="F169" s="22">
        <v>1</v>
      </c>
      <c r="G169" s="24" t="s">
        <v>34</v>
      </c>
      <c r="H169" s="22">
        <v>1</v>
      </c>
      <c r="I169" s="24" t="s">
        <v>34</v>
      </c>
      <c r="J169" s="22">
        <v>1</v>
      </c>
      <c r="K169" s="24"/>
      <c r="L169" s="23">
        <v>1</v>
      </c>
      <c r="M169" s="23"/>
      <c r="N169" s="23"/>
      <c r="O169" s="23"/>
      <c r="P169" s="23"/>
      <c r="Q169" s="23"/>
      <c r="R169" s="23"/>
      <c r="S169" s="23"/>
      <c r="T169" s="24"/>
      <c r="U169" s="24"/>
      <c r="V169" s="22"/>
      <c r="W169" s="24"/>
      <c r="X169" s="22"/>
      <c r="Y169" s="24"/>
      <c r="Z169" s="22"/>
      <c r="AA169" s="24"/>
      <c r="AB169" s="22"/>
      <c r="AC169" s="22"/>
      <c r="AD169" s="22"/>
      <c r="AE169" s="22"/>
      <c r="AF169" s="22"/>
      <c r="AG169" s="22"/>
      <c r="AH169" s="22"/>
      <c r="AI169" s="22"/>
    </row>
    <row r="171" spans="2:36" ht="12.75">
      <c r="B171" s="20" t="s">
        <v>63</v>
      </c>
      <c r="D171" s="20" t="s">
        <v>36</v>
      </c>
      <c r="E171" s="24"/>
      <c r="F171" s="22">
        <v>32000</v>
      </c>
      <c r="G171" s="24"/>
      <c r="H171" s="22">
        <v>33243</v>
      </c>
      <c r="I171" s="24"/>
      <c r="J171" s="22">
        <v>32819</v>
      </c>
      <c r="K171" s="24"/>
      <c r="L171" s="25">
        <v>32687.333333333332</v>
      </c>
      <c r="M171" s="25"/>
      <c r="N171" s="22">
        <v>32000</v>
      </c>
      <c r="O171" s="24"/>
      <c r="P171" s="22">
        <v>33243</v>
      </c>
      <c r="Q171" s="24"/>
      <c r="R171" s="22">
        <v>32819</v>
      </c>
      <c r="S171" s="24"/>
      <c r="T171" s="25">
        <v>32687.333333333332</v>
      </c>
      <c r="U171" s="25"/>
      <c r="V171" s="26"/>
      <c r="W171" s="25"/>
      <c r="X171" s="26"/>
      <c r="Y171" s="25"/>
      <c r="Z171" s="26"/>
      <c r="AA171" s="25"/>
      <c r="AB171" s="26"/>
      <c r="AC171" s="26"/>
      <c r="AD171" s="22">
        <v>32000</v>
      </c>
      <c r="AE171" s="24"/>
      <c r="AF171" s="22">
        <v>33243</v>
      </c>
      <c r="AG171" s="24"/>
      <c r="AH171" s="22">
        <v>32819</v>
      </c>
      <c r="AI171" s="24"/>
      <c r="AJ171" s="25">
        <v>32687.333333333332</v>
      </c>
    </row>
    <row r="172" spans="2:36" ht="12.75">
      <c r="B172" s="20" t="s">
        <v>64</v>
      </c>
      <c r="D172" s="20" t="s">
        <v>37</v>
      </c>
      <c r="F172" s="22">
        <v>4.4</v>
      </c>
      <c r="H172" s="22">
        <v>4.6</v>
      </c>
      <c r="J172" s="22">
        <v>4.37</v>
      </c>
      <c r="L172" s="25">
        <v>4.456666666666666</v>
      </c>
      <c r="M172" s="25"/>
      <c r="N172" s="22">
        <v>4.4</v>
      </c>
      <c r="O172" s="21"/>
      <c r="P172" s="22">
        <v>4.6</v>
      </c>
      <c r="Q172" s="21"/>
      <c r="R172" s="22">
        <v>4.37</v>
      </c>
      <c r="S172" s="21"/>
      <c r="T172" s="25">
        <v>4.456666666666666</v>
      </c>
      <c r="U172" s="25"/>
      <c r="V172" s="27"/>
      <c r="W172" s="25"/>
      <c r="X172" s="27"/>
      <c r="Y172" s="25"/>
      <c r="Z172" s="27"/>
      <c r="AA172" s="25"/>
      <c r="AB172" s="27"/>
      <c r="AC172" s="27"/>
      <c r="AD172" s="22">
        <v>4.4</v>
      </c>
      <c r="AF172" s="22">
        <v>4.6</v>
      </c>
      <c r="AH172" s="22">
        <v>4.37</v>
      </c>
      <c r="AJ172" s="25">
        <v>4.456666666666666</v>
      </c>
    </row>
    <row r="174" spans="2:36" ht="12.75">
      <c r="B174" s="20" t="s">
        <v>112</v>
      </c>
      <c r="D174" s="20" t="s">
        <v>65</v>
      </c>
      <c r="F174" s="25">
        <f>F154*F156/1000000</f>
        <v>165.081735</v>
      </c>
      <c r="H174" s="25">
        <f>H154*H156/1000000</f>
        <v>166.145357</v>
      </c>
      <c r="J174" s="25">
        <f>J154*J156/1000000</f>
        <v>161.24555</v>
      </c>
      <c r="L174" s="25">
        <f>L154*L156/1000000</f>
        <v>163.673768</v>
      </c>
      <c r="M174" s="25"/>
      <c r="N174" s="25"/>
      <c r="O174" s="25"/>
      <c r="P174" s="25"/>
      <c r="Q174" s="25"/>
      <c r="R174" s="25"/>
      <c r="S174" s="25"/>
      <c r="V174" s="21">
        <f>V155*1000/1000000</f>
        <v>22.3</v>
      </c>
      <c r="X174" s="21">
        <f>X155*1000/1000000</f>
        <v>21.4</v>
      </c>
      <c r="Z174" s="21">
        <f>Z155*1000/1000000</f>
        <v>27.4</v>
      </c>
      <c r="AB174" s="21">
        <f>AB155*1000/1000000</f>
        <v>23.7</v>
      </c>
      <c r="AD174" s="27">
        <f>V174+F174+N174</f>
        <v>187.38173500000002</v>
      </c>
      <c r="AF174" s="27">
        <f>X174+H174+P174</f>
        <v>187.545357</v>
      </c>
      <c r="AH174" s="27">
        <f>Z174+J174+R174</f>
        <v>188.64555000000001</v>
      </c>
      <c r="AJ174" s="27">
        <f>AB174+L174+T174</f>
        <v>187.37376799999998</v>
      </c>
    </row>
    <row r="175" spans="2:36" ht="12.75">
      <c r="B175" s="20" t="s">
        <v>149</v>
      </c>
      <c r="D175" s="20" t="s">
        <v>65</v>
      </c>
      <c r="F175" s="23"/>
      <c r="H175" s="23"/>
      <c r="J175" s="23"/>
      <c r="L175" s="23"/>
      <c r="M175" s="23"/>
      <c r="N175" s="23"/>
      <c r="O175" s="23"/>
      <c r="P175" s="23"/>
      <c r="Q175" s="23"/>
      <c r="R175" s="23"/>
      <c r="S175" s="23"/>
      <c r="AD175" s="27">
        <f>AD171/9000*(21-AD172)/21*60</f>
        <v>168.63492063492066</v>
      </c>
      <c r="AF175" s="27">
        <f>AF171/9000*(21-AF172)/21*60</f>
        <v>173.07466666666664</v>
      </c>
      <c r="AH175" s="27">
        <f>AH171/9000*(21-AH172)/21*60</f>
        <v>173.2634825396825</v>
      </c>
      <c r="AJ175" s="27">
        <f>AJ171/9000*(21-AJ172)/21*60</f>
        <v>171.66903209876543</v>
      </c>
    </row>
    <row r="176" spans="6:36" ht="12.75">
      <c r="F176" s="23"/>
      <c r="H176" s="23"/>
      <c r="J176" s="23"/>
      <c r="L176" s="23"/>
      <c r="M176" s="23"/>
      <c r="N176" s="23"/>
      <c r="O176" s="23"/>
      <c r="P176" s="23"/>
      <c r="Q176" s="23"/>
      <c r="R176" s="23"/>
      <c r="S176" s="23"/>
      <c r="AJ176" s="27"/>
    </row>
    <row r="177" spans="2:36" ht="12.75">
      <c r="B177" s="30" t="s">
        <v>88</v>
      </c>
      <c r="C177" s="30"/>
      <c r="F177" s="23"/>
      <c r="H177" s="23"/>
      <c r="J177" s="23"/>
      <c r="L177" s="23"/>
      <c r="M177" s="23"/>
      <c r="N177" s="25"/>
      <c r="O177" s="23"/>
      <c r="P177" s="23"/>
      <c r="Q177" s="23"/>
      <c r="R177" s="23"/>
      <c r="S177" s="23"/>
      <c r="AJ177" s="27"/>
    </row>
    <row r="178" spans="2:36" ht="12.75">
      <c r="B178" s="20" t="s">
        <v>49</v>
      </c>
      <c r="D178" s="20" t="s">
        <v>66</v>
      </c>
      <c r="F178" s="25">
        <f>F158/F171/60/0.0283*1000*(21-7)/(21-F172)</f>
        <v>0</v>
      </c>
      <c r="H178" s="25">
        <f>H158/H171/60/0.0283*1000*(21-7)/(21-H172)</f>
        <v>0</v>
      </c>
      <c r="J178" s="25">
        <f>J158/J171/60/0.0283*1000*(21-7)/(21-J172)</f>
        <v>0</v>
      </c>
      <c r="L178" s="25">
        <f>AVERAGE(F178,H178,J178)</f>
        <v>0</v>
      </c>
      <c r="M178" s="25"/>
      <c r="N178" s="25">
        <f>N158/N171/60/0.0283*1000*(21-7)/(21-N172)</f>
        <v>148.4161025728355</v>
      </c>
      <c r="O178" s="25"/>
      <c r="P178" s="25">
        <f>P158/P171/60/0.0283*1000*(21-7)/(21-P172)</f>
        <v>144.47279335479715</v>
      </c>
      <c r="Q178" s="25"/>
      <c r="R178" s="25">
        <f>R158/R171/60/0.0283*1000*(21-7)/(21-R172)</f>
        <v>144.45131375321498</v>
      </c>
      <c r="S178" s="25"/>
      <c r="T178" s="25">
        <f>T158/T171/60/0.0283*1000*(21-7)/(21-T172)</f>
        <v>145.74722649205614</v>
      </c>
      <c r="U178" s="25"/>
      <c r="V178" s="25"/>
      <c r="W178" s="25"/>
      <c r="X178" s="25"/>
      <c r="Y178" s="25"/>
      <c r="Z178" s="25"/>
      <c r="AA178" s="25"/>
      <c r="AD178" s="27">
        <f>V178+F178+N178</f>
        <v>148.4161025728355</v>
      </c>
      <c r="AF178" s="27">
        <f>X178+H178+P178</f>
        <v>144.47279335479715</v>
      </c>
      <c r="AH178" s="27">
        <f>Z178+J178+R178</f>
        <v>144.45131375321498</v>
      </c>
      <c r="AJ178" s="27">
        <f aca="true" t="shared" si="20" ref="AJ178:AJ191">AB178+L178+T178</f>
        <v>145.74722649205614</v>
      </c>
    </row>
    <row r="179" spans="2:36" ht="12.75">
      <c r="B179" s="20" t="s">
        <v>50</v>
      </c>
      <c r="D179" s="20" t="s">
        <v>62</v>
      </c>
      <c r="F179" s="28">
        <f>F159/F171/60/0.0283*1000000*(21-7)/(21-F172)</f>
        <v>29599.404685881338</v>
      </c>
      <c r="H179" s="28">
        <f>H159/H171/60/0.0283*1000000*(21-7)/(21-H172)</f>
        <v>14503.23551002308</v>
      </c>
      <c r="J179" s="28">
        <f>J159/J171/60/0.0283*1000000*(21-7)/(21-J172)</f>
        <v>24669.42013794185</v>
      </c>
      <c r="L179" s="25">
        <f>AVERAGE(F179,H179,J179)</f>
        <v>22924.02011128209</v>
      </c>
      <c r="M179" s="28"/>
      <c r="N179" s="28">
        <f>N159/N171/60/0.0283*1000000*(21-7)/(21-N172)</f>
        <v>19991.627286531286</v>
      </c>
      <c r="O179" s="28"/>
      <c r="P179" s="28">
        <f>P159/P171/60/0.0283*1000000*(21-7)/(21-P172)</f>
        <v>19478.798057257278</v>
      </c>
      <c r="Q179" s="28"/>
      <c r="R179" s="28">
        <f>R159/R171/60/0.0283*1000000*(21-7)/(21-R172)</f>
        <v>19457.57081302456</v>
      </c>
      <c r="S179" s="28"/>
      <c r="T179" s="28">
        <f>T159/T171/60/0.0283*1000000*(21-7)/(21-T172)</f>
        <v>19638.291423974086</v>
      </c>
      <c r="U179" s="28"/>
      <c r="V179" s="28"/>
      <c r="W179" s="28"/>
      <c r="X179" s="28"/>
      <c r="Y179" s="28"/>
      <c r="Z179" s="28"/>
      <c r="AA179" s="28"/>
      <c r="AD179" s="27">
        <f>V179+F179+N179</f>
        <v>49591.031972412624</v>
      </c>
      <c r="AF179" s="27">
        <f>X179+H179+P179</f>
        <v>33982.033567280356</v>
      </c>
      <c r="AH179" s="27">
        <f>Z179+J179+R179</f>
        <v>44126.99095096641</v>
      </c>
      <c r="AJ179" s="27">
        <f t="shared" si="20"/>
        <v>42562.31153525617</v>
      </c>
    </row>
    <row r="180" spans="2:36" ht="12.75">
      <c r="B180" s="20" t="s">
        <v>107</v>
      </c>
      <c r="D180" s="20" t="s">
        <v>62</v>
      </c>
      <c r="E180" s="24" t="s">
        <v>34</v>
      </c>
      <c r="F180" s="25">
        <f aca="true" t="shared" si="21" ref="F180:F189">F160*F$154*454/1000000/F$171/60/0.0283*1000000*(21-7)/(21-F$172)</f>
        <v>67.33158340074077</v>
      </c>
      <c r="G180" s="24" t="s">
        <v>34</v>
      </c>
      <c r="H180" s="25">
        <f aca="true" t="shared" si="22" ref="H180:H189">H160*H$154*454/1000000/H$171/60/0.0283*1000000*(21-7)/(21-H$172)</f>
        <v>65.98887466634167</v>
      </c>
      <c r="I180" s="24" t="s">
        <v>34</v>
      </c>
      <c r="J180" s="25">
        <f aca="true" t="shared" si="23" ref="J180:J189">J160*J$154*454/1000000/J$171/60/0.0283*1000000*(21-7)/(21-J$172)</f>
        <v>64.98420767689993</v>
      </c>
      <c r="K180" s="24"/>
      <c r="L180" s="25">
        <f>AVERAGE(F180,H180,J180)/2</f>
        <v>33.05077762399706</v>
      </c>
      <c r="M180" s="25"/>
      <c r="N180" s="25"/>
      <c r="O180" s="25"/>
      <c r="P180" s="25"/>
      <c r="Q180" s="25"/>
      <c r="R180" s="25"/>
      <c r="S180" s="25"/>
      <c r="AD180" s="27">
        <f>(V180+F180+N180)/2</f>
        <v>33.665791700370384</v>
      </c>
      <c r="AF180" s="27">
        <f>(X180+H180+P180)/2</f>
        <v>32.994437333170836</v>
      </c>
      <c r="AH180" s="27">
        <f>(Z180+J180+R180)/2</f>
        <v>32.492103838449964</v>
      </c>
      <c r="AJ180" s="27">
        <f t="shared" si="20"/>
        <v>33.05077762399706</v>
      </c>
    </row>
    <row r="181" spans="2:36" ht="12.75">
      <c r="B181" s="20" t="s">
        <v>103</v>
      </c>
      <c r="D181" s="20" t="s">
        <v>62</v>
      </c>
      <c r="E181" s="24" t="s">
        <v>34</v>
      </c>
      <c r="F181" s="25">
        <f t="shared" si="21"/>
        <v>33.665791700370384</v>
      </c>
      <c r="G181" s="24" t="s">
        <v>34</v>
      </c>
      <c r="H181" s="25">
        <f t="shared" si="22"/>
        <v>32.994437333170836</v>
      </c>
      <c r="I181" s="24" t="s">
        <v>34</v>
      </c>
      <c r="J181" s="25">
        <f t="shared" si="23"/>
        <v>32.492103838449964</v>
      </c>
      <c r="K181" s="24"/>
      <c r="L181" s="25">
        <f>AVERAGE(F181,H181,J181)/2</f>
        <v>16.52538881199853</v>
      </c>
      <c r="M181" s="25"/>
      <c r="N181" s="25"/>
      <c r="O181" s="25"/>
      <c r="P181" s="25"/>
      <c r="Q181" s="25"/>
      <c r="R181" s="25"/>
      <c r="S181" s="25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7">
        <f>(V181+F181+N181)/2</f>
        <v>16.832895850185192</v>
      </c>
      <c r="AF181" s="27">
        <f>(X181+H181+P181)/2</f>
        <v>16.497218666585418</v>
      </c>
      <c r="AH181" s="27">
        <f>(Z181+J181+R181)/2</f>
        <v>16.246051919224982</v>
      </c>
      <c r="AJ181" s="27">
        <f t="shared" si="20"/>
        <v>16.52538881199853</v>
      </c>
    </row>
    <row r="182" spans="2:36" ht="12.75">
      <c r="B182" s="20" t="s">
        <v>104</v>
      </c>
      <c r="D182" s="20" t="s">
        <v>62</v>
      </c>
      <c r="E182" s="24" t="s">
        <v>34</v>
      </c>
      <c r="F182" s="25">
        <f t="shared" si="21"/>
        <v>67.33158340074077</v>
      </c>
      <c r="G182" s="24" t="s">
        <v>34</v>
      </c>
      <c r="H182" s="25">
        <f t="shared" si="22"/>
        <v>65.98887466634167</v>
      </c>
      <c r="I182" s="24" t="s">
        <v>34</v>
      </c>
      <c r="J182" s="25">
        <f t="shared" si="23"/>
        <v>64.98420767689993</v>
      </c>
      <c r="K182" s="24"/>
      <c r="L182" s="25">
        <f>AVERAGE(F182,H182,J182)/2</f>
        <v>33.05077762399706</v>
      </c>
      <c r="M182" s="25"/>
      <c r="N182" s="25"/>
      <c r="O182" s="25"/>
      <c r="P182" s="25"/>
      <c r="Q182" s="25"/>
      <c r="R182" s="25"/>
      <c r="S182" s="25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7">
        <f>(V182+F182+N182)/2</f>
        <v>33.665791700370384</v>
      </c>
      <c r="AF182" s="27">
        <f>(X182+H182+P182)/2</f>
        <v>32.994437333170836</v>
      </c>
      <c r="AH182" s="27">
        <f>(Z182+J182+R182)/2</f>
        <v>32.492103838449964</v>
      </c>
      <c r="AI182" s="22"/>
      <c r="AJ182" s="27">
        <f t="shared" si="20"/>
        <v>33.05077762399706</v>
      </c>
    </row>
    <row r="183" spans="2:36" ht="12.75">
      <c r="B183" s="20" t="s">
        <v>105</v>
      </c>
      <c r="D183" s="20" t="s">
        <v>62</v>
      </c>
      <c r="E183" s="24" t="s">
        <v>34</v>
      </c>
      <c r="F183" s="25">
        <f t="shared" si="21"/>
        <v>20.199475020222234</v>
      </c>
      <c r="G183" s="24" t="s">
        <v>34</v>
      </c>
      <c r="H183" s="25">
        <f t="shared" si="22"/>
        <v>19.796662399902495</v>
      </c>
      <c r="I183" s="24" t="s">
        <v>34</v>
      </c>
      <c r="J183" s="25">
        <f t="shared" si="23"/>
        <v>19.495262303069975</v>
      </c>
      <c r="K183" s="24"/>
      <c r="L183" s="25">
        <f>AVERAGE(F183,H183,J183)/2</f>
        <v>9.915233287199117</v>
      </c>
      <c r="M183" s="25"/>
      <c r="N183" s="25"/>
      <c r="O183" s="25"/>
      <c r="P183" s="25"/>
      <c r="Q183" s="25"/>
      <c r="R183" s="25"/>
      <c r="S183" s="25"/>
      <c r="T183" s="24"/>
      <c r="U183" s="24"/>
      <c r="V183" s="24"/>
      <c r="W183" s="24"/>
      <c r="X183" s="24"/>
      <c r="Y183" s="24"/>
      <c r="Z183" s="24"/>
      <c r="AA183" s="24"/>
      <c r="AB183" s="22"/>
      <c r="AC183" s="22"/>
      <c r="AD183" s="27">
        <f>(V183+F183+N183)/2</f>
        <v>10.099737510111117</v>
      </c>
      <c r="AF183" s="27">
        <f>(X183+H183+P183)/2</f>
        <v>9.898331199951247</v>
      </c>
      <c r="AH183" s="27">
        <f>(Z183+J183+R183)/2</f>
        <v>9.747631151534987</v>
      </c>
      <c r="AI183" s="22"/>
      <c r="AJ183" s="27">
        <f t="shared" si="20"/>
        <v>9.915233287199117</v>
      </c>
    </row>
    <row r="184" spans="2:36" ht="12.75">
      <c r="B184" s="20" t="s">
        <v>109</v>
      </c>
      <c r="D184" s="20" t="s">
        <v>62</v>
      </c>
      <c r="E184" s="24" t="s">
        <v>34</v>
      </c>
      <c r="F184" s="25">
        <f t="shared" si="21"/>
        <v>6.733158340074076</v>
      </c>
      <c r="G184" s="24" t="s">
        <v>34</v>
      </c>
      <c r="H184" s="25">
        <f t="shared" si="22"/>
        <v>6.598887466634166</v>
      </c>
      <c r="I184" s="24" t="s">
        <v>34</v>
      </c>
      <c r="J184" s="25">
        <f t="shared" si="23"/>
        <v>6.498420767689992</v>
      </c>
      <c r="K184" s="24"/>
      <c r="L184" s="25">
        <f>AVERAGE(F184,H184,J184)/2</f>
        <v>3.3050777623997054</v>
      </c>
      <c r="M184" s="25"/>
      <c r="N184" s="25"/>
      <c r="O184" s="25"/>
      <c r="P184" s="25"/>
      <c r="Q184" s="25"/>
      <c r="R184" s="25"/>
      <c r="S184" s="25"/>
      <c r="T184" s="24"/>
      <c r="U184" s="24"/>
      <c r="V184" s="24"/>
      <c r="W184" s="24"/>
      <c r="X184" s="24"/>
      <c r="Y184" s="24"/>
      <c r="Z184" s="24"/>
      <c r="AA184" s="24"/>
      <c r="AB184" s="22"/>
      <c r="AC184" s="22"/>
      <c r="AD184" s="27">
        <f>(V184+F184+N184)/2</f>
        <v>3.366579170037038</v>
      </c>
      <c r="AF184" s="27">
        <f>(X184+H184+P184)/2</f>
        <v>3.299443733317083</v>
      </c>
      <c r="AH184" s="27">
        <f>(Z184+J184+R184)/2</f>
        <v>3.249210383844996</v>
      </c>
      <c r="AI184" s="22"/>
      <c r="AJ184" s="27">
        <f t="shared" si="20"/>
        <v>3.3050777623997054</v>
      </c>
    </row>
    <row r="185" spans="2:36" ht="12.75">
      <c r="B185" s="20" t="s">
        <v>101</v>
      </c>
      <c r="D185" s="20" t="s">
        <v>62</v>
      </c>
      <c r="E185" s="24" t="s">
        <v>53</v>
      </c>
      <c r="F185" s="25">
        <f t="shared" si="21"/>
        <v>6.733158340074076</v>
      </c>
      <c r="G185" s="24" t="s">
        <v>53</v>
      </c>
      <c r="H185" s="25">
        <f t="shared" si="22"/>
        <v>6.598887466634166</v>
      </c>
      <c r="I185" s="24" t="s">
        <v>53</v>
      </c>
      <c r="J185" s="25">
        <f t="shared" si="23"/>
        <v>6.498420767689992</v>
      </c>
      <c r="K185" s="24"/>
      <c r="L185" s="25">
        <f>AVERAGE(F185,H185,J185)</f>
        <v>6.610155524799411</v>
      </c>
      <c r="M185" s="25"/>
      <c r="N185" s="25"/>
      <c r="O185" s="25"/>
      <c r="P185" s="25"/>
      <c r="Q185" s="25"/>
      <c r="R185" s="25"/>
      <c r="S185" s="25"/>
      <c r="T185" s="24"/>
      <c r="U185" s="24"/>
      <c r="V185" s="24"/>
      <c r="W185" s="24"/>
      <c r="X185" s="24"/>
      <c r="Y185" s="24"/>
      <c r="Z185" s="24"/>
      <c r="AA185" s="24"/>
      <c r="AB185" s="22"/>
      <c r="AC185" s="22"/>
      <c r="AD185" s="27">
        <f>V185+F185+N185</f>
        <v>6.733158340074076</v>
      </c>
      <c r="AF185" s="27">
        <f>X185+H185+P185</f>
        <v>6.598887466634166</v>
      </c>
      <c r="AH185" s="27">
        <f>Z185+J185+R185</f>
        <v>6.498420767689992</v>
      </c>
      <c r="AI185" s="22"/>
      <c r="AJ185" s="27">
        <f t="shared" si="20"/>
        <v>6.610155524799411</v>
      </c>
    </row>
    <row r="186" spans="2:36" ht="12.75">
      <c r="B186" s="20" t="s">
        <v>108</v>
      </c>
      <c r="D186" s="20" t="s">
        <v>62</v>
      </c>
      <c r="E186" s="24" t="s">
        <v>34</v>
      </c>
      <c r="F186" s="25">
        <f t="shared" si="21"/>
        <v>67.33158340074077</v>
      </c>
      <c r="G186" s="24" t="s">
        <v>34</v>
      </c>
      <c r="H186" s="25">
        <f t="shared" si="22"/>
        <v>65.98887466634167</v>
      </c>
      <c r="I186" s="24" t="s">
        <v>34</v>
      </c>
      <c r="J186" s="25">
        <f t="shared" si="23"/>
        <v>64.98420767689993</v>
      </c>
      <c r="K186" s="24"/>
      <c r="L186" s="25">
        <f>AVERAGE(F186,H186,J186)/2</f>
        <v>33.05077762399706</v>
      </c>
      <c r="M186" s="25"/>
      <c r="N186" s="25"/>
      <c r="O186" s="25"/>
      <c r="P186" s="25"/>
      <c r="Q186" s="25"/>
      <c r="R186" s="25"/>
      <c r="S186" s="25"/>
      <c r="T186" s="24"/>
      <c r="U186" s="24"/>
      <c r="V186" s="24"/>
      <c r="W186" s="24"/>
      <c r="X186" s="24"/>
      <c r="Y186" s="24"/>
      <c r="Z186" s="24"/>
      <c r="AA186" s="24"/>
      <c r="AB186" s="22"/>
      <c r="AC186" s="22"/>
      <c r="AD186" s="27">
        <f>(V186+F186+N186)/2</f>
        <v>33.665791700370384</v>
      </c>
      <c r="AF186" s="27">
        <f>(X186+H186+P186)/2</f>
        <v>32.994437333170836</v>
      </c>
      <c r="AH186" s="27">
        <f>(Z186+J186+R186)/2</f>
        <v>32.492103838449964</v>
      </c>
      <c r="AI186" s="22"/>
      <c r="AJ186" s="27">
        <f t="shared" si="20"/>
        <v>33.05077762399706</v>
      </c>
    </row>
    <row r="187" spans="2:36" ht="12.75">
      <c r="B187" s="20" t="s">
        <v>113</v>
      </c>
      <c r="D187" s="20" t="s">
        <v>62</v>
      </c>
      <c r="E187" s="24" t="s">
        <v>34</v>
      </c>
      <c r="F187" s="25">
        <f t="shared" si="21"/>
        <v>6.733158340074076</v>
      </c>
      <c r="G187" s="24" t="s">
        <v>34</v>
      </c>
      <c r="H187" s="25">
        <f t="shared" si="22"/>
        <v>6.598887466634166</v>
      </c>
      <c r="I187" s="24" t="s">
        <v>34</v>
      </c>
      <c r="J187" s="25">
        <f t="shared" si="23"/>
        <v>6.498420767689992</v>
      </c>
      <c r="K187" s="24"/>
      <c r="L187" s="25">
        <f>AVERAGE(F187,H187,J187)/2</f>
        <v>3.3050777623997054</v>
      </c>
      <c r="M187" s="25"/>
      <c r="N187" s="25"/>
      <c r="O187" s="25"/>
      <c r="P187" s="25"/>
      <c r="Q187" s="25"/>
      <c r="R187" s="25"/>
      <c r="S187" s="25"/>
      <c r="T187" s="24"/>
      <c r="U187" s="24"/>
      <c r="V187" s="24"/>
      <c r="W187" s="24"/>
      <c r="X187" s="24"/>
      <c r="Y187" s="24"/>
      <c r="Z187" s="24"/>
      <c r="AA187" s="24"/>
      <c r="AB187" s="22"/>
      <c r="AC187" s="22"/>
      <c r="AD187" s="27">
        <f>(V187+F187+N187)/2</f>
        <v>3.366579170037038</v>
      </c>
      <c r="AF187" s="27">
        <f>(X187+H187+P187)/2</f>
        <v>3.299443733317083</v>
      </c>
      <c r="AH187" s="27">
        <f>(Z187+J187+R187)/2</f>
        <v>3.249210383844996</v>
      </c>
      <c r="AJ187" s="27">
        <f t="shared" si="20"/>
        <v>3.3050777623997054</v>
      </c>
    </row>
    <row r="188" spans="2:36" ht="12.75">
      <c r="B188" s="20" t="s">
        <v>110</v>
      </c>
      <c r="D188" s="20" t="s">
        <v>62</v>
      </c>
      <c r="E188" s="24" t="s">
        <v>34</v>
      </c>
      <c r="F188" s="25">
        <f t="shared" si="21"/>
        <v>67.33158340074077</v>
      </c>
      <c r="G188" s="24" t="s">
        <v>34</v>
      </c>
      <c r="H188" s="25">
        <f t="shared" si="22"/>
        <v>65.98887466634167</v>
      </c>
      <c r="I188" s="24" t="s">
        <v>34</v>
      </c>
      <c r="J188" s="25">
        <f t="shared" si="23"/>
        <v>64.98420767689993</v>
      </c>
      <c r="K188" s="24"/>
      <c r="L188" s="25">
        <f>AVERAGE(F188,H188,J188)/2</f>
        <v>33.05077762399706</v>
      </c>
      <c r="M188" s="25"/>
      <c r="N188" s="25"/>
      <c r="O188" s="25"/>
      <c r="P188" s="25"/>
      <c r="Q188" s="25"/>
      <c r="R188" s="25"/>
      <c r="S188" s="25"/>
      <c r="T188" s="24"/>
      <c r="U188" s="24"/>
      <c r="V188" s="24"/>
      <c r="W188" s="24"/>
      <c r="X188" s="24"/>
      <c r="Y188" s="24"/>
      <c r="Z188" s="24"/>
      <c r="AA188" s="24"/>
      <c r="AB188" s="22"/>
      <c r="AC188" s="22"/>
      <c r="AD188" s="27">
        <f>(V188+F188+N188)/2</f>
        <v>33.665791700370384</v>
      </c>
      <c r="AF188" s="27">
        <f>(X188+H188+P188)/2</f>
        <v>32.994437333170836</v>
      </c>
      <c r="AH188" s="27">
        <f>(Z188+J188+R188)/2</f>
        <v>32.492103838449964</v>
      </c>
      <c r="AJ188" s="27">
        <f t="shared" si="20"/>
        <v>33.05077762399706</v>
      </c>
    </row>
    <row r="189" spans="2:36" ht="12.75">
      <c r="B189" s="20" t="s">
        <v>106</v>
      </c>
      <c r="D189" s="20" t="s">
        <v>62</v>
      </c>
      <c r="E189" s="24" t="s">
        <v>34</v>
      </c>
      <c r="F189" s="25">
        <f t="shared" si="21"/>
        <v>67.33158340074077</v>
      </c>
      <c r="G189" s="24" t="s">
        <v>34</v>
      </c>
      <c r="H189" s="25">
        <f t="shared" si="22"/>
        <v>65.98887466634167</v>
      </c>
      <c r="I189" s="24" t="s">
        <v>34</v>
      </c>
      <c r="J189" s="25">
        <f t="shared" si="23"/>
        <v>64.98420767689993</v>
      </c>
      <c r="K189" s="24"/>
      <c r="L189" s="25">
        <f>AVERAGE(F189,H189,J189)/2</f>
        <v>33.05077762399706</v>
      </c>
      <c r="M189" s="25"/>
      <c r="N189" s="25"/>
      <c r="O189" s="25"/>
      <c r="P189" s="25"/>
      <c r="Q189" s="25"/>
      <c r="R189" s="25"/>
      <c r="S189" s="25"/>
      <c r="T189" s="24"/>
      <c r="U189" s="24"/>
      <c r="V189" s="24"/>
      <c r="W189" s="24"/>
      <c r="X189" s="24"/>
      <c r="Y189" s="24"/>
      <c r="Z189" s="24"/>
      <c r="AA189" s="24"/>
      <c r="AB189" s="22"/>
      <c r="AC189" s="22"/>
      <c r="AD189" s="27">
        <f>(V189+F189+N189)/2</f>
        <v>33.665791700370384</v>
      </c>
      <c r="AF189" s="27">
        <f>(X189+H189+P189)/2</f>
        <v>32.994437333170836</v>
      </c>
      <c r="AH189" s="27">
        <f>(Z189+J189+R189)/2</f>
        <v>32.492103838449964</v>
      </c>
      <c r="AI189" s="22"/>
      <c r="AJ189" s="27">
        <f t="shared" si="20"/>
        <v>33.05077762399706</v>
      </c>
    </row>
    <row r="190" spans="2:36" ht="12.75">
      <c r="B190" s="20" t="s">
        <v>72</v>
      </c>
      <c r="D190" s="20" t="s">
        <v>62</v>
      </c>
      <c r="E190" s="24"/>
      <c r="F190" s="25">
        <f>(F184+F186)/2</f>
        <v>37.03237087040742</v>
      </c>
      <c r="G190" s="24"/>
      <c r="H190" s="25">
        <f>(H184+H186)/2</f>
        <v>36.29388106648792</v>
      </c>
      <c r="I190" s="24"/>
      <c r="J190" s="25">
        <f>(J184+J186)/2</f>
        <v>35.74131422229496</v>
      </c>
      <c r="K190" s="24"/>
      <c r="L190" s="25">
        <f>AVERAGE(F190,H190,J190)</f>
        <v>36.35585538639677</v>
      </c>
      <c r="M190" s="25"/>
      <c r="N190" s="25"/>
      <c r="O190" s="25"/>
      <c r="P190" s="25"/>
      <c r="Q190" s="25"/>
      <c r="R190" s="25"/>
      <c r="S190" s="25"/>
      <c r="AD190" s="27">
        <f>V190+F190+N190</f>
        <v>37.03237087040742</v>
      </c>
      <c r="AF190" s="27">
        <f>X190+H190+P190</f>
        <v>36.29388106648792</v>
      </c>
      <c r="AH190" s="27">
        <f>Z190+J190+R190</f>
        <v>35.74131422229496</v>
      </c>
      <c r="AJ190" s="27">
        <f t="shared" si="20"/>
        <v>36.35585538639677</v>
      </c>
    </row>
    <row r="191" spans="2:36" ht="12.75">
      <c r="B191" s="20" t="s">
        <v>73</v>
      </c>
      <c r="D191" s="20" t="s">
        <v>62</v>
      </c>
      <c r="E191" s="24"/>
      <c r="F191" s="25">
        <f>(F181+F183)/2+F185</f>
        <v>33.665791700370384</v>
      </c>
      <c r="G191" s="24"/>
      <c r="H191" s="25">
        <f>(H181+H183)/2+H185</f>
        <v>32.99443733317083</v>
      </c>
      <c r="I191" s="24"/>
      <c r="J191" s="25">
        <f>(J181+J183)/2+J185</f>
        <v>32.492103838449964</v>
      </c>
      <c r="K191" s="24"/>
      <c r="L191" s="25">
        <f>AVERAGE(F191,H191,J191)</f>
        <v>33.05077762399706</v>
      </c>
      <c r="M191" s="25"/>
      <c r="N191" s="25"/>
      <c r="O191" s="25"/>
      <c r="P191" s="25"/>
      <c r="Q191" s="25"/>
      <c r="R191" s="25"/>
      <c r="S191" s="25"/>
      <c r="AD191" s="27">
        <f>V191+F191+N191</f>
        <v>33.665791700370384</v>
      </c>
      <c r="AF191" s="27">
        <f>X191+H191+P191</f>
        <v>32.99443733317083</v>
      </c>
      <c r="AH191" s="27">
        <f>Z191+J191+R191</f>
        <v>32.492103838449964</v>
      </c>
      <c r="AJ191" s="27">
        <f t="shared" si="20"/>
        <v>33.05077762399706</v>
      </c>
    </row>
    <row r="194" ht="12.75">
      <c r="B194" s="19" t="s">
        <v>158</v>
      </c>
    </row>
    <row r="195" spans="2:12" ht="12.75">
      <c r="B195" s="19"/>
      <c r="C195" s="19"/>
      <c r="F195" s="24" t="s">
        <v>117</v>
      </c>
      <c r="G195" s="24"/>
      <c r="H195" s="24" t="s">
        <v>118</v>
      </c>
      <c r="I195" s="24"/>
      <c r="J195" s="24" t="s">
        <v>119</v>
      </c>
      <c r="K195" s="24"/>
      <c r="L195" s="24" t="s">
        <v>39</v>
      </c>
    </row>
    <row r="196" spans="2:3" ht="12.75">
      <c r="B196" s="19"/>
      <c r="C196" s="19"/>
    </row>
    <row r="197" spans="2:12" ht="12.75">
      <c r="B197" s="20" t="s">
        <v>131</v>
      </c>
      <c r="C197" s="19"/>
      <c r="F197" s="24" t="s">
        <v>142</v>
      </c>
      <c r="H197" s="24" t="s">
        <v>142</v>
      </c>
      <c r="J197" s="24" t="s">
        <v>142</v>
      </c>
      <c r="L197" s="24" t="s">
        <v>142</v>
      </c>
    </row>
    <row r="198" spans="2:12" ht="12.75">
      <c r="B198" s="20" t="s">
        <v>132</v>
      </c>
      <c r="F198" s="24" t="s">
        <v>133</v>
      </c>
      <c r="H198" s="24" t="s">
        <v>133</v>
      </c>
      <c r="J198" s="24" t="s">
        <v>133</v>
      </c>
      <c r="L198" s="24" t="s">
        <v>133</v>
      </c>
    </row>
    <row r="199" spans="2:12" ht="12.75">
      <c r="B199" s="20" t="s">
        <v>147</v>
      </c>
      <c r="F199" s="24" t="s">
        <v>86</v>
      </c>
      <c r="H199" s="24" t="s">
        <v>86</v>
      </c>
      <c r="J199" s="24" t="s">
        <v>86</v>
      </c>
      <c r="L199" s="24" t="s">
        <v>86</v>
      </c>
    </row>
    <row r="200" spans="2:12" ht="12.75">
      <c r="B200" s="20" t="s">
        <v>40</v>
      </c>
      <c r="F200" s="22" t="s">
        <v>54</v>
      </c>
      <c r="H200" s="22" t="s">
        <v>54</v>
      </c>
      <c r="J200" s="22" t="s">
        <v>54</v>
      </c>
      <c r="L200" s="22" t="s">
        <v>54</v>
      </c>
    </row>
    <row r="201" spans="2:12" ht="12.75">
      <c r="B201" s="20" t="s">
        <v>114</v>
      </c>
      <c r="D201" s="20" t="s">
        <v>44</v>
      </c>
      <c r="F201" s="21">
        <v>4534</v>
      </c>
      <c r="H201" s="21">
        <v>4534</v>
      </c>
      <c r="J201" s="21">
        <v>4534</v>
      </c>
      <c r="L201" s="23">
        <f>AVERAGE(F201,H201,J201)</f>
        <v>4534</v>
      </c>
    </row>
    <row r="202" spans="2:12" ht="12.75">
      <c r="B202" s="20" t="s">
        <v>45</v>
      </c>
      <c r="D202" s="20" t="s">
        <v>46</v>
      </c>
      <c r="L202" s="23"/>
    </row>
    <row r="203" spans="2:12" ht="12.75">
      <c r="B203" s="20" t="s">
        <v>47</v>
      </c>
      <c r="D203" s="20" t="s">
        <v>48</v>
      </c>
      <c r="F203" s="21">
        <v>0.906</v>
      </c>
      <c r="H203" s="21">
        <v>0.906</v>
      </c>
      <c r="J203" s="21">
        <v>0.906</v>
      </c>
      <c r="L203" s="23"/>
    </row>
    <row r="204" spans="2:12" ht="12.75">
      <c r="B204" s="20" t="s">
        <v>49</v>
      </c>
      <c r="D204" s="20" t="s">
        <v>32</v>
      </c>
      <c r="E204" s="24" t="s">
        <v>34</v>
      </c>
      <c r="F204" s="24">
        <f>4.53/2</f>
        <v>2.265</v>
      </c>
      <c r="G204" s="24" t="s">
        <v>34</v>
      </c>
      <c r="H204" s="24">
        <f>4.53/2</f>
        <v>2.265</v>
      </c>
      <c r="I204" s="24" t="s">
        <v>34</v>
      </c>
      <c r="J204" s="24">
        <f>4.53/2</f>
        <v>2.265</v>
      </c>
      <c r="K204" s="24"/>
      <c r="L204" s="23"/>
    </row>
    <row r="205" spans="2:12" ht="12.75">
      <c r="B205" s="20" t="s">
        <v>50</v>
      </c>
      <c r="D205" s="20" t="s">
        <v>32</v>
      </c>
      <c r="E205" s="24"/>
      <c r="F205" s="24">
        <v>502</v>
      </c>
      <c r="G205" s="24"/>
      <c r="H205" s="24">
        <v>564</v>
      </c>
      <c r="I205" s="24"/>
      <c r="J205" s="24">
        <v>589</v>
      </c>
      <c r="K205" s="24"/>
      <c r="L205" s="23"/>
    </row>
    <row r="206" spans="2:12" ht="12.75">
      <c r="B206" s="20" t="s">
        <v>107</v>
      </c>
      <c r="D206" s="20" t="s">
        <v>32</v>
      </c>
      <c r="E206" s="24" t="s">
        <v>34</v>
      </c>
      <c r="F206" s="23">
        <v>2.06</v>
      </c>
      <c r="G206" s="24" t="s">
        <v>34</v>
      </c>
      <c r="H206" s="23">
        <v>2.06</v>
      </c>
      <c r="I206" s="24" t="s">
        <v>34</v>
      </c>
      <c r="J206" s="23">
        <v>2.06</v>
      </c>
      <c r="K206" s="24"/>
      <c r="L206" s="23"/>
    </row>
    <row r="207" spans="2:12" ht="12.75">
      <c r="B207" s="20" t="s">
        <v>103</v>
      </c>
      <c r="D207" s="20" t="s">
        <v>32</v>
      </c>
      <c r="E207" s="24" t="s">
        <v>34</v>
      </c>
      <c r="F207" s="23">
        <v>1.03</v>
      </c>
      <c r="G207" s="24" t="s">
        <v>34</v>
      </c>
      <c r="H207" s="23">
        <v>1.03</v>
      </c>
      <c r="I207" s="24" t="s">
        <v>34</v>
      </c>
      <c r="J207" s="23">
        <v>1.03</v>
      </c>
      <c r="K207" s="24"/>
      <c r="L207" s="23"/>
    </row>
    <row r="208" spans="2:12" ht="12.75">
      <c r="B208" s="20" t="s">
        <v>104</v>
      </c>
      <c r="D208" s="20" t="s">
        <v>32</v>
      </c>
      <c r="E208" s="24" t="s">
        <v>34</v>
      </c>
      <c r="F208" s="23">
        <v>2.06</v>
      </c>
      <c r="G208" s="24" t="s">
        <v>34</v>
      </c>
      <c r="H208" s="23">
        <v>2.06</v>
      </c>
      <c r="I208" s="24" t="s">
        <v>34</v>
      </c>
      <c r="J208" s="23">
        <v>2.06</v>
      </c>
      <c r="K208" s="24"/>
      <c r="L208" s="23"/>
    </row>
    <row r="209" spans="2:12" ht="12.75">
      <c r="B209" s="20" t="s">
        <v>105</v>
      </c>
      <c r="D209" s="20" t="s">
        <v>32</v>
      </c>
      <c r="E209" s="24" t="s">
        <v>34</v>
      </c>
      <c r="F209" s="23">
        <v>2.06</v>
      </c>
      <c r="G209" s="24" t="s">
        <v>34</v>
      </c>
      <c r="H209" s="23">
        <v>2.06</v>
      </c>
      <c r="I209" s="24" t="s">
        <v>34</v>
      </c>
      <c r="J209" s="23">
        <v>2.06</v>
      </c>
      <c r="K209" s="24"/>
      <c r="L209" s="23"/>
    </row>
    <row r="210" spans="2:12" ht="12.75">
      <c r="B210" s="20" t="s">
        <v>109</v>
      </c>
      <c r="D210" s="20" t="s">
        <v>32</v>
      </c>
      <c r="E210" s="24" t="s">
        <v>34</v>
      </c>
      <c r="F210" s="23">
        <v>2.06</v>
      </c>
      <c r="G210" s="24" t="s">
        <v>34</v>
      </c>
      <c r="H210" s="23">
        <v>2.06</v>
      </c>
      <c r="I210" s="24" t="s">
        <v>34</v>
      </c>
      <c r="J210" s="23">
        <v>2.06</v>
      </c>
      <c r="K210" s="24"/>
      <c r="L210" s="23"/>
    </row>
    <row r="211" spans="2:12" ht="12.75">
      <c r="B211" s="20" t="s">
        <v>101</v>
      </c>
      <c r="D211" s="20" t="s">
        <v>32</v>
      </c>
      <c r="E211" s="24" t="s">
        <v>34</v>
      </c>
      <c r="F211" s="23">
        <v>2.06</v>
      </c>
      <c r="G211" s="24" t="s">
        <v>34</v>
      </c>
      <c r="H211" s="23">
        <v>2.06</v>
      </c>
      <c r="I211" s="24" t="s">
        <v>34</v>
      </c>
      <c r="J211" s="23">
        <v>2.06</v>
      </c>
      <c r="K211" s="24"/>
      <c r="L211" s="23"/>
    </row>
    <row r="212" spans="2:12" ht="12.75">
      <c r="B212" s="20" t="s">
        <v>108</v>
      </c>
      <c r="D212" s="20" t="s">
        <v>32</v>
      </c>
      <c r="E212" s="24" t="s">
        <v>34</v>
      </c>
      <c r="F212" s="23">
        <v>2.06</v>
      </c>
      <c r="G212" s="24" t="s">
        <v>34</v>
      </c>
      <c r="H212" s="23">
        <v>2.06</v>
      </c>
      <c r="I212" s="24" t="s">
        <v>34</v>
      </c>
      <c r="J212" s="23">
        <v>2.06</v>
      </c>
      <c r="K212" s="24"/>
      <c r="L212" s="23"/>
    </row>
    <row r="213" spans="2:12" ht="12.75">
      <c r="B213" s="20" t="s">
        <v>113</v>
      </c>
      <c r="D213" s="20" t="s">
        <v>32</v>
      </c>
      <c r="E213" s="24" t="s">
        <v>34</v>
      </c>
      <c r="F213" s="23">
        <v>2.06</v>
      </c>
      <c r="G213" s="24" t="s">
        <v>34</v>
      </c>
      <c r="H213" s="23">
        <v>2.06</v>
      </c>
      <c r="I213" s="24" t="s">
        <v>34</v>
      </c>
      <c r="J213" s="23">
        <v>2.06</v>
      </c>
      <c r="K213" s="24"/>
      <c r="L213" s="23"/>
    </row>
    <row r="214" spans="2:12" ht="12.75">
      <c r="B214" s="20" t="s">
        <v>110</v>
      </c>
      <c r="D214" s="20" t="s">
        <v>32</v>
      </c>
      <c r="E214" s="24" t="s">
        <v>34</v>
      </c>
      <c r="F214" s="23">
        <v>2.06</v>
      </c>
      <c r="G214" s="24" t="s">
        <v>34</v>
      </c>
      <c r="H214" s="23">
        <v>2.06</v>
      </c>
      <c r="I214" s="24" t="s">
        <v>34</v>
      </c>
      <c r="J214" s="23">
        <v>2.06</v>
      </c>
      <c r="K214" s="24"/>
      <c r="L214" s="23"/>
    </row>
    <row r="215" spans="2:12" ht="12.75">
      <c r="B215" s="20" t="s">
        <v>106</v>
      </c>
      <c r="D215" s="20" t="s">
        <v>32</v>
      </c>
      <c r="E215" s="24" t="s">
        <v>34</v>
      </c>
      <c r="F215" s="23">
        <v>2.06</v>
      </c>
      <c r="G215" s="24" t="s">
        <v>34</v>
      </c>
      <c r="H215" s="23">
        <v>2.06</v>
      </c>
      <c r="I215" s="24" t="s">
        <v>34</v>
      </c>
      <c r="J215" s="23">
        <v>2.06</v>
      </c>
      <c r="K215" s="24"/>
      <c r="L215" s="23"/>
    </row>
    <row r="216" spans="5:11" ht="12.75">
      <c r="E216" s="24"/>
      <c r="F216" s="24"/>
      <c r="G216" s="24"/>
      <c r="H216" s="24"/>
      <c r="I216" s="24"/>
      <c r="J216" s="24"/>
      <c r="K216" s="24"/>
    </row>
    <row r="217" spans="2:12" ht="12.75">
      <c r="B217" s="20" t="s">
        <v>63</v>
      </c>
      <c r="D217" s="20" t="s">
        <v>36</v>
      </c>
      <c r="E217" s="24"/>
      <c r="F217" s="11">
        <v>33499</v>
      </c>
      <c r="G217" s="11"/>
      <c r="H217" s="14">
        <v>32993</v>
      </c>
      <c r="I217" s="14"/>
      <c r="J217" s="11">
        <v>32674</v>
      </c>
      <c r="K217" s="11"/>
      <c r="L217" s="14">
        <f>AVERAGE(J217,H217,F217)</f>
        <v>33055.333333333336</v>
      </c>
    </row>
    <row r="218" spans="2:12" ht="12.75">
      <c r="B218" s="20" t="s">
        <v>64</v>
      </c>
      <c r="D218" s="20" t="s">
        <v>37</v>
      </c>
      <c r="F218" s="11">
        <v>3.97</v>
      </c>
      <c r="G218" s="11"/>
      <c r="H218" s="11">
        <v>3.95</v>
      </c>
      <c r="I218" s="11"/>
      <c r="J218" s="11">
        <v>3.88</v>
      </c>
      <c r="K218" s="11"/>
      <c r="L218" s="13">
        <f>AVERAGE(J218,H218,F218)</f>
        <v>3.9333333333333336</v>
      </c>
    </row>
    <row r="220" spans="2:12" ht="12.75">
      <c r="B220" s="20" t="s">
        <v>112</v>
      </c>
      <c r="D220" s="20" t="s">
        <v>65</v>
      </c>
      <c r="F220" s="25">
        <v>75.5</v>
      </c>
      <c r="H220" s="25">
        <v>74</v>
      </c>
      <c r="J220" s="25">
        <v>75.3</v>
      </c>
      <c r="L220" s="28">
        <f>AVERAGE(F220,H220,J220)</f>
        <v>74.93333333333334</v>
      </c>
    </row>
    <row r="221" spans="6:12" ht="12.75">
      <c r="F221" s="23"/>
      <c r="H221" s="23"/>
      <c r="J221" s="23"/>
      <c r="L221" s="23"/>
    </row>
    <row r="222" spans="2:12" ht="12.75">
      <c r="B222" s="30" t="s">
        <v>88</v>
      </c>
      <c r="C222" s="30"/>
      <c r="F222" s="23"/>
      <c r="H222" s="23"/>
      <c r="J222" s="23"/>
      <c r="L222" s="23"/>
    </row>
    <row r="223" spans="2:12" ht="12.75">
      <c r="B223" s="20" t="s">
        <v>49</v>
      </c>
      <c r="D223" s="20" t="s">
        <v>66</v>
      </c>
      <c r="F223" s="40">
        <f>F204/F217/60/0.0283*1000*(21-7)/(21-F218)</f>
        <v>0.03273497890021658</v>
      </c>
      <c r="H223" s="40">
        <f>H204/H217/60/0.0283*1000*(21-7)/(21-H218)</f>
        <v>0.03319803402850563</v>
      </c>
      <c r="I223" s="41"/>
      <c r="J223" s="40">
        <f>J204/J217/60/0.0283*1000*(21-7)/(21-J218)</f>
        <v>0.033385085366071356</v>
      </c>
      <c r="K223" s="41"/>
      <c r="L223" s="40">
        <f>AVERAGE(F223,H223,J223)</f>
        <v>0.03310603276493119</v>
      </c>
    </row>
    <row r="224" spans="2:12" ht="12.75">
      <c r="B224" s="20" t="s">
        <v>50</v>
      </c>
      <c r="D224" s="20" t="s">
        <v>62</v>
      </c>
      <c r="F224" s="28">
        <f aca="true" t="shared" si="24" ref="F224:F234">F205/F$217/60/0.0283*1000000*(21-7)/(21-F$218)</f>
        <v>7255.169716515991</v>
      </c>
      <c r="G224" s="28"/>
      <c r="H224" s="28">
        <f aca="true" t="shared" si="25" ref="H224:H234">H205/H$217/60/0.0283*1000000*(21-7)/(21-H$218)</f>
        <v>8266.53032762789</v>
      </c>
      <c r="I224" s="28"/>
      <c r="J224" s="28">
        <f aca="true" t="shared" si="26" ref="J224:J234">J205/J$217/60/0.0283*1000000*(21-7)/(21-J$218)</f>
        <v>8681.596150382351</v>
      </c>
      <c r="K224" s="27"/>
      <c r="L224" s="28">
        <f>AVERAGE(F224,H224,J224)</f>
        <v>8067.765398175411</v>
      </c>
    </row>
    <row r="225" spans="2:12" ht="12.75">
      <c r="B225" s="20" t="s">
        <v>107</v>
      </c>
      <c r="D225" s="20" t="s">
        <v>62</v>
      </c>
      <c r="E225" s="24" t="s">
        <v>34</v>
      </c>
      <c r="F225" s="28">
        <f t="shared" si="24"/>
        <v>29.772210390483952</v>
      </c>
      <c r="G225" s="26" t="s">
        <v>34</v>
      </c>
      <c r="H225" s="28">
        <f t="shared" si="25"/>
        <v>30.193355451974217</v>
      </c>
      <c r="I225" s="26" t="s">
        <v>34</v>
      </c>
      <c r="J225" s="28">
        <f t="shared" si="26"/>
        <v>30.363477198281235</v>
      </c>
      <c r="K225" s="26"/>
      <c r="L225" s="28">
        <f>AVERAGE(F225,H225,J225)/2</f>
        <v>15.054840506789901</v>
      </c>
    </row>
    <row r="226" spans="2:12" ht="12.75">
      <c r="B226" s="20" t="s">
        <v>103</v>
      </c>
      <c r="D226" s="20" t="s">
        <v>62</v>
      </c>
      <c r="E226" s="24" t="s">
        <v>34</v>
      </c>
      <c r="F226" s="28">
        <f t="shared" si="24"/>
        <v>14.886105195241976</v>
      </c>
      <c r="G226" s="26" t="s">
        <v>34</v>
      </c>
      <c r="H226" s="28">
        <f t="shared" si="25"/>
        <v>15.096677725987108</v>
      </c>
      <c r="I226" s="26" t="s">
        <v>34</v>
      </c>
      <c r="J226" s="28">
        <f t="shared" si="26"/>
        <v>15.181738599140617</v>
      </c>
      <c r="K226" s="26"/>
      <c r="L226" s="28">
        <f>AVERAGE(F226,H226,J226)/2</f>
        <v>7.527420253394951</v>
      </c>
    </row>
    <row r="227" spans="2:12" ht="12.75">
      <c r="B227" s="20" t="s">
        <v>104</v>
      </c>
      <c r="D227" s="20" t="s">
        <v>62</v>
      </c>
      <c r="E227" s="24" t="s">
        <v>34</v>
      </c>
      <c r="F227" s="28">
        <f t="shared" si="24"/>
        <v>29.772210390483952</v>
      </c>
      <c r="G227" s="26" t="s">
        <v>34</v>
      </c>
      <c r="H227" s="28">
        <f t="shared" si="25"/>
        <v>30.193355451974217</v>
      </c>
      <c r="I227" s="26" t="s">
        <v>34</v>
      </c>
      <c r="J227" s="28">
        <f t="shared" si="26"/>
        <v>30.363477198281235</v>
      </c>
      <c r="K227" s="26"/>
      <c r="L227" s="28">
        <f>AVERAGE(F227,H227,J227)/2</f>
        <v>15.054840506789901</v>
      </c>
    </row>
    <row r="228" spans="2:12" ht="12.75">
      <c r="B228" s="20" t="s">
        <v>105</v>
      </c>
      <c r="D228" s="20" t="s">
        <v>62</v>
      </c>
      <c r="E228" s="24" t="s">
        <v>34</v>
      </c>
      <c r="F228" s="28">
        <f t="shared" si="24"/>
        <v>29.772210390483952</v>
      </c>
      <c r="G228" s="26" t="s">
        <v>34</v>
      </c>
      <c r="H228" s="28">
        <f t="shared" si="25"/>
        <v>30.193355451974217</v>
      </c>
      <c r="I228" s="26" t="s">
        <v>34</v>
      </c>
      <c r="J228" s="28">
        <f t="shared" si="26"/>
        <v>30.363477198281235</v>
      </c>
      <c r="K228" s="26"/>
      <c r="L228" s="28">
        <f>AVERAGE(F228,H228,J228)/2</f>
        <v>15.054840506789901</v>
      </c>
    </row>
    <row r="229" spans="2:12" ht="12.75">
      <c r="B229" s="20" t="s">
        <v>109</v>
      </c>
      <c r="D229" s="20" t="s">
        <v>62</v>
      </c>
      <c r="E229" s="24" t="s">
        <v>34</v>
      </c>
      <c r="F229" s="28">
        <f t="shared" si="24"/>
        <v>29.772210390483952</v>
      </c>
      <c r="G229" s="26" t="s">
        <v>34</v>
      </c>
      <c r="H229" s="28">
        <f t="shared" si="25"/>
        <v>30.193355451974217</v>
      </c>
      <c r="I229" s="26" t="s">
        <v>34</v>
      </c>
      <c r="J229" s="28">
        <f t="shared" si="26"/>
        <v>30.363477198281235</v>
      </c>
      <c r="K229" s="26"/>
      <c r="L229" s="28">
        <f>AVERAGE(F229/2,H229/2,J229)</f>
        <v>20.115420039836774</v>
      </c>
    </row>
    <row r="230" spans="2:12" ht="12.75">
      <c r="B230" s="20" t="s">
        <v>101</v>
      </c>
      <c r="D230" s="20" t="s">
        <v>62</v>
      </c>
      <c r="E230" s="24" t="s">
        <v>34</v>
      </c>
      <c r="F230" s="28">
        <f t="shared" si="24"/>
        <v>29.772210390483952</v>
      </c>
      <c r="G230" s="26" t="s">
        <v>34</v>
      </c>
      <c r="H230" s="28">
        <f t="shared" si="25"/>
        <v>30.193355451974217</v>
      </c>
      <c r="I230" s="26"/>
      <c r="J230" s="28">
        <f t="shared" si="26"/>
        <v>30.363477198281235</v>
      </c>
      <c r="K230" s="26"/>
      <c r="L230" s="28">
        <f>AVERAGE(F230,H230,J230)</f>
        <v>30.109681013579802</v>
      </c>
    </row>
    <row r="231" spans="2:12" ht="12.75">
      <c r="B231" s="20" t="s">
        <v>108</v>
      </c>
      <c r="D231" s="20" t="s">
        <v>62</v>
      </c>
      <c r="E231" s="24" t="s">
        <v>34</v>
      </c>
      <c r="F231" s="28">
        <f t="shared" si="24"/>
        <v>29.772210390483952</v>
      </c>
      <c r="G231" s="26" t="s">
        <v>34</v>
      </c>
      <c r="H231" s="28">
        <f t="shared" si="25"/>
        <v>30.193355451974217</v>
      </c>
      <c r="I231" s="26" t="s">
        <v>34</v>
      </c>
      <c r="J231" s="28">
        <f t="shared" si="26"/>
        <v>30.363477198281235</v>
      </c>
      <c r="K231" s="26"/>
      <c r="L231" s="28">
        <f>AVERAGE(F231,H231,J231)/2</f>
        <v>15.054840506789901</v>
      </c>
    </row>
    <row r="232" spans="2:12" ht="12.75">
      <c r="B232" s="20" t="s">
        <v>113</v>
      </c>
      <c r="D232" s="20" t="s">
        <v>62</v>
      </c>
      <c r="E232" s="24" t="s">
        <v>34</v>
      </c>
      <c r="F232" s="28">
        <f t="shared" si="24"/>
        <v>29.772210390483952</v>
      </c>
      <c r="G232" s="26" t="s">
        <v>34</v>
      </c>
      <c r="H232" s="28">
        <f t="shared" si="25"/>
        <v>30.193355451974217</v>
      </c>
      <c r="I232" s="26" t="s">
        <v>34</v>
      </c>
      <c r="J232" s="28">
        <f t="shared" si="26"/>
        <v>30.363477198281235</v>
      </c>
      <c r="K232" s="26"/>
      <c r="L232" s="28">
        <f>AVERAGE(F232,H232,J232)/2</f>
        <v>15.054840506789901</v>
      </c>
    </row>
    <row r="233" spans="2:12" ht="12.75">
      <c r="B233" s="20" t="s">
        <v>110</v>
      </c>
      <c r="D233" s="20" t="s">
        <v>62</v>
      </c>
      <c r="E233" s="24" t="s">
        <v>34</v>
      </c>
      <c r="F233" s="28">
        <f t="shared" si="24"/>
        <v>29.772210390483952</v>
      </c>
      <c r="G233" s="26" t="s">
        <v>34</v>
      </c>
      <c r="H233" s="28">
        <f t="shared" si="25"/>
        <v>30.193355451974217</v>
      </c>
      <c r="I233" s="26" t="s">
        <v>34</v>
      </c>
      <c r="J233" s="28">
        <f t="shared" si="26"/>
        <v>30.363477198281235</v>
      </c>
      <c r="K233" s="26"/>
      <c r="L233" s="28">
        <f>AVERAGE(F233,H233,J233)/2</f>
        <v>15.054840506789901</v>
      </c>
    </row>
    <row r="234" spans="2:12" ht="12.75">
      <c r="B234" s="20" t="s">
        <v>106</v>
      </c>
      <c r="D234" s="20" t="s">
        <v>62</v>
      </c>
      <c r="E234" s="24" t="s">
        <v>34</v>
      </c>
      <c r="F234" s="28">
        <f t="shared" si="24"/>
        <v>29.772210390483952</v>
      </c>
      <c r="G234" s="26" t="s">
        <v>34</v>
      </c>
      <c r="H234" s="28">
        <f t="shared" si="25"/>
        <v>30.193355451974217</v>
      </c>
      <c r="I234" s="26" t="s">
        <v>34</v>
      </c>
      <c r="J234" s="28">
        <f t="shared" si="26"/>
        <v>30.363477198281235</v>
      </c>
      <c r="K234" s="26"/>
      <c r="L234" s="28">
        <f>AVERAGE(F234,H234,J234)/2</f>
        <v>15.054840506789901</v>
      </c>
    </row>
    <row r="235" spans="2:12" ht="12.75">
      <c r="B235" s="20" t="s">
        <v>72</v>
      </c>
      <c r="D235" s="20" t="s">
        <v>62</v>
      </c>
      <c r="E235" s="24"/>
      <c r="F235" s="25">
        <f>F229+F231/2</f>
        <v>44.65831558572593</v>
      </c>
      <c r="G235" s="26"/>
      <c r="H235" s="25">
        <f>H229+H231/2</f>
        <v>45.29003317796133</v>
      </c>
      <c r="I235" s="26"/>
      <c r="J235" s="25">
        <f>J229+J231/2</f>
        <v>45.545215797421854</v>
      </c>
      <c r="K235" s="26"/>
      <c r="L235" s="28">
        <f>AVERAGE(F235,H235,J235)</f>
        <v>45.1645215203697</v>
      </c>
    </row>
    <row r="236" spans="2:12" ht="12.75">
      <c r="B236" s="20" t="s">
        <v>73</v>
      </c>
      <c r="D236" s="20" t="s">
        <v>62</v>
      </c>
      <c r="E236" s="24"/>
      <c r="F236" s="25">
        <f>(F226+F228+F230)/2</f>
        <v>37.21526298810494</v>
      </c>
      <c r="G236" s="26"/>
      <c r="H236" s="25">
        <f>(H226+H228+H230)/2</f>
        <v>37.74169431496777</v>
      </c>
      <c r="I236" s="26"/>
      <c r="J236" s="25">
        <f>(J226/2+J228/2+J230)</f>
        <v>53.13608509699216</v>
      </c>
      <c r="K236" s="26"/>
      <c r="L236" s="28">
        <f>AVERAGE(F236,H236,J236)</f>
        <v>42.69768080002162</v>
      </c>
    </row>
    <row r="237" spans="5:12" ht="12.75">
      <c r="E237" s="24"/>
      <c r="F237" s="24"/>
      <c r="G237" s="24"/>
      <c r="H237" s="24"/>
      <c r="I237" s="24"/>
      <c r="J237" s="24"/>
      <c r="K237" s="24"/>
      <c r="L237" s="23"/>
    </row>
    <row r="239" spans="2:12" ht="12.75">
      <c r="B239" s="19" t="s">
        <v>162</v>
      </c>
      <c r="C239" s="19" t="s">
        <v>196</v>
      </c>
      <c r="F239" s="24" t="s">
        <v>117</v>
      </c>
      <c r="G239" s="24"/>
      <c r="H239" s="24" t="s">
        <v>118</v>
      </c>
      <c r="I239" s="24"/>
      <c r="J239" s="24" t="s">
        <v>119</v>
      </c>
      <c r="K239" s="24"/>
      <c r="L239" s="24" t="s">
        <v>39</v>
      </c>
    </row>
    <row r="240" spans="2:3" ht="12.75">
      <c r="B240" s="19"/>
      <c r="C240" s="19"/>
    </row>
    <row r="241" spans="2:12" ht="12.75">
      <c r="B241" s="20" t="s">
        <v>131</v>
      </c>
      <c r="C241" s="19"/>
      <c r="F241" s="24" t="s">
        <v>142</v>
      </c>
      <c r="H241" s="24" t="s">
        <v>142</v>
      </c>
      <c r="J241" s="24" t="s">
        <v>142</v>
      </c>
      <c r="L241" s="24" t="s">
        <v>142</v>
      </c>
    </row>
    <row r="242" spans="2:12" ht="12.75">
      <c r="B242" s="20" t="s">
        <v>132</v>
      </c>
      <c r="F242" s="24" t="s">
        <v>133</v>
      </c>
      <c r="H242" s="24" t="s">
        <v>133</v>
      </c>
      <c r="J242" s="24" t="s">
        <v>133</v>
      </c>
      <c r="L242" s="24" t="s">
        <v>133</v>
      </c>
    </row>
    <row r="243" spans="2:12" ht="12.75">
      <c r="B243" s="20" t="s">
        <v>147</v>
      </c>
      <c r="F243" s="24" t="s">
        <v>86</v>
      </c>
      <c r="H243" s="24" t="s">
        <v>86</v>
      </c>
      <c r="J243" s="24" t="s">
        <v>86</v>
      </c>
      <c r="L243" s="24" t="s">
        <v>86</v>
      </c>
    </row>
    <row r="244" spans="2:12" ht="12.75">
      <c r="B244" s="20" t="s">
        <v>40</v>
      </c>
      <c r="F244" s="22" t="s">
        <v>54</v>
      </c>
      <c r="H244" s="22" t="s">
        <v>54</v>
      </c>
      <c r="J244" s="22" t="s">
        <v>54</v>
      </c>
      <c r="L244" s="22" t="s">
        <v>54</v>
      </c>
    </row>
    <row r="245" spans="2:12" ht="12.75">
      <c r="B245" s="20" t="s">
        <v>114</v>
      </c>
      <c r="D245" s="20" t="s">
        <v>44</v>
      </c>
      <c r="F245" s="21">
        <f>4534/2</f>
        <v>2267</v>
      </c>
      <c r="H245" s="21">
        <f>4534/2</f>
        <v>2267</v>
      </c>
      <c r="J245" s="21">
        <f>4534/2</f>
        <v>2267</v>
      </c>
      <c r="L245" s="23">
        <f>AVERAGE(F245,H245,J245)</f>
        <v>2267</v>
      </c>
    </row>
    <row r="246" ht="12.75">
      <c r="L246" s="23"/>
    </row>
    <row r="247" spans="2:12" ht="12.75">
      <c r="B247" s="20" t="s">
        <v>112</v>
      </c>
      <c r="D247" s="20" t="s">
        <v>65</v>
      </c>
      <c r="F247" s="23">
        <v>37</v>
      </c>
      <c r="H247" s="23">
        <v>37</v>
      </c>
      <c r="J247" s="23">
        <v>37</v>
      </c>
      <c r="L247" s="28">
        <f>74.3/2</f>
        <v>37.15</v>
      </c>
    </row>
    <row r="248" ht="12.75">
      <c r="L248" s="23"/>
    </row>
    <row r="250" ht="12.75">
      <c r="B250" s="19" t="s">
        <v>164</v>
      </c>
    </row>
    <row r="251" spans="2:28" ht="12.75">
      <c r="B251" s="19"/>
      <c r="C251" s="19"/>
      <c r="F251" s="24" t="s">
        <v>117</v>
      </c>
      <c r="G251" s="24"/>
      <c r="H251" s="24" t="s">
        <v>118</v>
      </c>
      <c r="I251" s="24"/>
      <c r="J251" s="24" t="s">
        <v>119</v>
      </c>
      <c r="K251" s="24"/>
      <c r="L251" s="24" t="s">
        <v>39</v>
      </c>
      <c r="N251" s="24" t="s">
        <v>117</v>
      </c>
      <c r="O251" s="24"/>
      <c r="P251" s="24" t="s">
        <v>118</v>
      </c>
      <c r="Q251" s="24"/>
      <c r="R251" s="24" t="s">
        <v>119</v>
      </c>
      <c r="S251" s="24"/>
      <c r="T251" s="24" t="s">
        <v>39</v>
      </c>
      <c r="V251" s="24" t="s">
        <v>117</v>
      </c>
      <c r="W251" s="24"/>
      <c r="X251" s="24" t="s">
        <v>118</v>
      </c>
      <c r="Y251" s="24"/>
      <c r="Z251" s="24" t="s">
        <v>119</v>
      </c>
      <c r="AA251" s="24"/>
      <c r="AB251" s="24" t="s">
        <v>39</v>
      </c>
    </row>
    <row r="252" spans="2:28" ht="12.75">
      <c r="B252" s="19"/>
      <c r="C252" s="19"/>
      <c r="N252" s="24"/>
      <c r="O252" s="24"/>
      <c r="P252" s="24"/>
      <c r="Q252" s="24"/>
      <c r="R252" s="24"/>
      <c r="S252" s="24"/>
      <c r="T252" s="24"/>
      <c r="V252" s="24"/>
      <c r="W252" s="24"/>
      <c r="X252" s="24"/>
      <c r="Y252" s="24"/>
      <c r="Z252" s="24"/>
      <c r="AA252" s="24"/>
      <c r="AB252" s="24"/>
    </row>
    <row r="253" spans="2:28" ht="12.75">
      <c r="B253" s="20" t="s">
        <v>131</v>
      </c>
      <c r="C253" s="19"/>
      <c r="F253" s="24" t="s">
        <v>142</v>
      </c>
      <c r="H253" s="24" t="s">
        <v>142</v>
      </c>
      <c r="J253" s="24" t="s">
        <v>142</v>
      </c>
      <c r="L253" s="24" t="s">
        <v>142</v>
      </c>
      <c r="N253" s="24" t="s">
        <v>143</v>
      </c>
      <c r="P253" s="24" t="s">
        <v>143</v>
      </c>
      <c r="R253" s="24" t="s">
        <v>143</v>
      </c>
      <c r="T253" s="24" t="s">
        <v>143</v>
      </c>
      <c r="V253" s="24" t="s">
        <v>144</v>
      </c>
      <c r="X253" s="24" t="s">
        <v>144</v>
      </c>
      <c r="Z253" s="24" t="s">
        <v>144</v>
      </c>
      <c r="AB253" s="24" t="s">
        <v>144</v>
      </c>
    </row>
    <row r="254" spans="2:28" ht="12.75">
      <c r="B254" s="20" t="s">
        <v>132</v>
      </c>
      <c r="F254" s="24" t="s">
        <v>133</v>
      </c>
      <c r="H254" s="24" t="s">
        <v>133</v>
      </c>
      <c r="J254" s="24" t="s">
        <v>133</v>
      </c>
      <c r="L254" s="24" t="s">
        <v>133</v>
      </c>
      <c r="N254" s="22" t="s">
        <v>43</v>
      </c>
      <c r="P254" s="22" t="s">
        <v>43</v>
      </c>
      <c r="R254" s="22" t="s">
        <v>43</v>
      </c>
      <c r="T254" s="22" t="s">
        <v>43</v>
      </c>
      <c r="V254" s="24" t="s">
        <v>86</v>
      </c>
      <c r="X254" s="24" t="s">
        <v>86</v>
      </c>
      <c r="Z254" s="24" t="s">
        <v>86</v>
      </c>
      <c r="AB254" s="24" t="s">
        <v>86</v>
      </c>
    </row>
    <row r="255" spans="2:28" ht="12.75">
      <c r="B255" s="20" t="s">
        <v>147</v>
      </c>
      <c r="F255" s="24" t="s">
        <v>71</v>
      </c>
      <c r="H255" s="24" t="s">
        <v>71</v>
      </c>
      <c r="J255" s="24" t="s">
        <v>71</v>
      </c>
      <c r="L255" s="24" t="s">
        <v>71</v>
      </c>
      <c r="N255" s="22" t="s">
        <v>43</v>
      </c>
      <c r="P255" s="22" t="s">
        <v>43</v>
      </c>
      <c r="R255" s="22" t="s">
        <v>43</v>
      </c>
      <c r="T255" s="22" t="s">
        <v>43</v>
      </c>
      <c r="V255" s="24" t="s">
        <v>86</v>
      </c>
      <c r="X255" s="24" t="s">
        <v>86</v>
      </c>
      <c r="Z255" s="24" t="s">
        <v>86</v>
      </c>
      <c r="AB255" s="24" t="s">
        <v>86</v>
      </c>
    </row>
    <row r="256" spans="2:28" ht="12.75">
      <c r="B256" s="20" t="s">
        <v>40</v>
      </c>
      <c r="F256" s="22" t="s">
        <v>41</v>
      </c>
      <c r="H256" s="22" t="s">
        <v>41</v>
      </c>
      <c r="J256" s="22" t="s">
        <v>41</v>
      </c>
      <c r="L256" s="22" t="s">
        <v>41</v>
      </c>
      <c r="N256" s="21" t="s">
        <v>43</v>
      </c>
      <c r="P256" s="21" t="s">
        <v>43</v>
      </c>
      <c r="R256" s="21" t="s">
        <v>43</v>
      </c>
      <c r="T256" s="21" t="s">
        <v>43</v>
      </c>
      <c r="V256" s="21" t="s">
        <v>86</v>
      </c>
      <c r="X256" s="21" t="s">
        <v>86</v>
      </c>
      <c r="Z256" s="21" t="s">
        <v>86</v>
      </c>
      <c r="AB256" s="21" t="s">
        <v>86</v>
      </c>
    </row>
    <row r="257" spans="2:12" ht="12.75">
      <c r="B257" s="20" t="s">
        <v>114</v>
      </c>
      <c r="D257" s="20" t="s">
        <v>44</v>
      </c>
      <c r="F257" s="21">
        <v>4534</v>
      </c>
      <c r="H257" s="21">
        <v>4534</v>
      </c>
      <c r="J257" s="21">
        <v>4534</v>
      </c>
      <c r="L257" s="23">
        <f>AVERAGE(F257,H257,J257)</f>
        <v>4534</v>
      </c>
    </row>
    <row r="258" spans="2:12" ht="12.75">
      <c r="B258" s="20" t="s">
        <v>47</v>
      </c>
      <c r="D258" s="20" t="s">
        <v>48</v>
      </c>
      <c r="F258" s="21">
        <v>0.906</v>
      </c>
      <c r="H258" s="21">
        <v>0.906</v>
      </c>
      <c r="J258" s="21">
        <v>0.906</v>
      </c>
      <c r="L258" s="23"/>
    </row>
    <row r="259" spans="2:28" ht="12.75">
      <c r="B259" s="20" t="s">
        <v>49</v>
      </c>
      <c r="D259" s="20" t="s">
        <v>32</v>
      </c>
      <c r="E259" s="24"/>
      <c r="F259" s="24">
        <v>254</v>
      </c>
      <c r="G259" s="24"/>
      <c r="H259" s="24">
        <v>509</v>
      </c>
      <c r="I259" s="24"/>
      <c r="J259" s="24">
        <v>254</v>
      </c>
      <c r="K259" s="24"/>
      <c r="L259" s="23">
        <f>AVERAGE(F259,H259,J259)</f>
        <v>339</v>
      </c>
      <c r="N259" s="22">
        <v>7670</v>
      </c>
      <c r="P259" s="22">
        <v>7670</v>
      </c>
      <c r="R259" s="22">
        <v>7660</v>
      </c>
      <c r="T259" s="28">
        <f>AVERAGE(N259,P259,R259)</f>
        <v>7666.666666666667</v>
      </c>
      <c r="V259" s="21">
        <f>F259+N259</f>
        <v>7924</v>
      </c>
      <c r="X259" s="21">
        <f>H259+P259</f>
        <v>8179</v>
      </c>
      <c r="Z259" s="21">
        <f>J259+R259</f>
        <v>7914</v>
      </c>
      <c r="AB259" s="28">
        <f>AVERAGE(V259,X259,Z259)</f>
        <v>8005.666666666667</v>
      </c>
    </row>
    <row r="260" spans="2:12" ht="12.75">
      <c r="B260" s="20" t="s">
        <v>50</v>
      </c>
      <c r="D260" s="20" t="s">
        <v>32</v>
      </c>
      <c r="E260" s="24"/>
      <c r="F260" s="24">
        <v>549</v>
      </c>
      <c r="G260" s="24"/>
      <c r="H260" s="24">
        <v>318</v>
      </c>
      <c r="I260" s="24"/>
      <c r="J260" s="24">
        <v>321</v>
      </c>
      <c r="K260" s="24"/>
      <c r="L260" s="23"/>
    </row>
    <row r="261" spans="2:12" ht="12.75">
      <c r="B261" s="20" t="s">
        <v>107</v>
      </c>
      <c r="D261" s="20" t="s">
        <v>32</v>
      </c>
      <c r="E261" s="24" t="s">
        <v>34</v>
      </c>
      <c r="F261" s="23">
        <v>2.54</v>
      </c>
      <c r="G261" s="24" t="s">
        <v>34</v>
      </c>
      <c r="H261" s="23">
        <v>2.54</v>
      </c>
      <c r="I261" s="24" t="s">
        <v>34</v>
      </c>
      <c r="J261" s="23">
        <v>2.54</v>
      </c>
      <c r="K261" s="24"/>
      <c r="L261" s="23"/>
    </row>
    <row r="262" spans="2:12" ht="12.75">
      <c r="B262" s="20" t="s">
        <v>103</v>
      </c>
      <c r="D262" s="20" t="s">
        <v>32</v>
      </c>
      <c r="E262" s="24" t="s">
        <v>34</v>
      </c>
      <c r="F262" s="23">
        <v>1.27</v>
      </c>
      <c r="G262" s="24" t="s">
        <v>34</v>
      </c>
      <c r="H262" s="23">
        <v>1.27</v>
      </c>
      <c r="I262" s="24" t="s">
        <v>34</v>
      </c>
      <c r="J262" s="23">
        <v>1.27</v>
      </c>
      <c r="K262" s="24"/>
      <c r="L262" s="23"/>
    </row>
    <row r="263" spans="2:12" ht="12.75">
      <c r="B263" s="20" t="s">
        <v>104</v>
      </c>
      <c r="D263" s="20" t="s">
        <v>32</v>
      </c>
      <c r="E263" s="24" t="s">
        <v>34</v>
      </c>
      <c r="F263" s="23">
        <v>2.54</v>
      </c>
      <c r="G263" s="24" t="s">
        <v>34</v>
      </c>
      <c r="H263" s="23">
        <v>2.54</v>
      </c>
      <c r="I263" s="24" t="s">
        <v>34</v>
      </c>
      <c r="J263" s="23">
        <v>2.54</v>
      </c>
      <c r="K263" s="24"/>
      <c r="L263" s="23"/>
    </row>
    <row r="264" spans="2:12" ht="12.75">
      <c r="B264" s="20" t="s">
        <v>105</v>
      </c>
      <c r="D264" s="20" t="s">
        <v>32</v>
      </c>
      <c r="E264" s="24" t="s">
        <v>34</v>
      </c>
      <c r="F264" s="23">
        <v>0.254</v>
      </c>
      <c r="G264" s="24" t="s">
        <v>34</v>
      </c>
      <c r="H264" s="23">
        <v>0.254</v>
      </c>
      <c r="I264" s="24" t="s">
        <v>34</v>
      </c>
      <c r="J264" s="23">
        <v>0.254</v>
      </c>
      <c r="K264" s="24"/>
      <c r="L264" s="23"/>
    </row>
    <row r="265" spans="2:12" ht="12.75">
      <c r="B265" s="20" t="s">
        <v>109</v>
      </c>
      <c r="D265" s="20" t="s">
        <v>32</v>
      </c>
      <c r="E265" s="24" t="s">
        <v>34</v>
      </c>
      <c r="F265" s="23">
        <v>0.254</v>
      </c>
      <c r="G265" s="24" t="s">
        <v>34</v>
      </c>
      <c r="H265" s="23">
        <v>0.254</v>
      </c>
      <c r="I265" s="24" t="s">
        <v>34</v>
      </c>
      <c r="J265" s="23">
        <v>0.254</v>
      </c>
      <c r="K265" s="24"/>
      <c r="L265" s="23"/>
    </row>
    <row r="266" spans="2:12" ht="12.75">
      <c r="B266" s="20" t="s">
        <v>101</v>
      </c>
      <c r="D266" s="20" t="s">
        <v>32</v>
      </c>
      <c r="E266" s="24"/>
      <c r="F266" s="23">
        <v>1.02</v>
      </c>
      <c r="G266" s="24"/>
      <c r="H266" s="23">
        <v>0.763</v>
      </c>
      <c r="I266" s="24"/>
      <c r="J266" s="23">
        <v>1.02</v>
      </c>
      <c r="K266" s="24"/>
      <c r="L266" s="23"/>
    </row>
    <row r="267" spans="2:12" ht="12.75">
      <c r="B267" s="20" t="s">
        <v>108</v>
      </c>
      <c r="D267" s="20" t="s">
        <v>32</v>
      </c>
      <c r="E267" s="24" t="s">
        <v>34</v>
      </c>
      <c r="F267" s="23">
        <v>2.54</v>
      </c>
      <c r="G267" s="24" t="s">
        <v>34</v>
      </c>
      <c r="H267" s="23">
        <v>2.54</v>
      </c>
      <c r="I267" s="24" t="s">
        <v>34</v>
      </c>
      <c r="J267" s="23">
        <v>2.54</v>
      </c>
      <c r="K267" s="24"/>
      <c r="L267" s="23"/>
    </row>
    <row r="268" spans="2:12" ht="12.75">
      <c r="B268" s="20" t="s">
        <v>113</v>
      </c>
      <c r="D268" s="20" t="s">
        <v>32</v>
      </c>
      <c r="E268" s="24" t="s">
        <v>34</v>
      </c>
      <c r="F268" s="23">
        <v>0.254</v>
      </c>
      <c r="G268" s="24" t="s">
        <v>34</v>
      </c>
      <c r="H268" s="23">
        <v>0.254</v>
      </c>
      <c r="I268" s="24" t="s">
        <v>34</v>
      </c>
      <c r="J268" s="23">
        <v>0.254</v>
      </c>
      <c r="K268" s="24"/>
      <c r="L268" s="23"/>
    </row>
    <row r="269" spans="2:12" ht="12.75">
      <c r="B269" s="20" t="s">
        <v>110</v>
      </c>
      <c r="D269" s="20" t="s">
        <v>32</v>
      </c>
      <c r="E269" s="24" t="s">
        <v>34</v>
      </c>
      <c r="F269" s="23">
        <v>2.54</v>
      </c>
      <c r="G269" s="24" t="s">
        <v>34</v>
      </c>
      <c r="H269" s="23">
        <v>2.54</v>
      </c>
      <c r="I269" s="24" t="s">
        <v>34</v>
      </c>
      <c r="J269" s="23">
        <v>2.54</v>
      </c>
      <c r="K269" s="24"/>
      <c r="L269" s="23"/>
    </row>
    <row r="270" spans="2:12" ht="12.75">
      <c r="B270" s="20" t="s">
        <v>106</v>
      </c>
      <c r="D270" s="20" t="s">
        <v>32</v>
      </c>
      <c r="E270" s="24" t="s">
        <v>34</v>
      </c>
      <c r="F270" s="23">
        <v>2.54</v>
      </c>
      <c r="G270" s="24" t="s">
        <v>34</v>
      </c>
      <c r="H270" s="23">
        <v>2.54</v>
      </c>
      <c r="I270" s="24" t="s">
        <v>34</v>
      </c>
      <c r="J270" s="23">
        <v>2.54</v>
      </c>
      <c r="K270" s="24"/>
      <c r="L270" s="23"/>
    </row>
    <row r="271" spans="5:11" ht="12.75">
      <c r="E271" s="24"/>
      <c r="F271" s="24"/>
      <c r="G271" s="24"/>
      <c r="H271" s="24"/>
      <c r="I271" s="24"/>
      <c r="J271" s="24"/>
      <c r="K271" s="24"/>
    </row>
    <row r="272" spans="2:12" ht="12.75">
      <c r="B272" s="20" t="s">
        <v>63</v>
      </c>
      <c r="D272" s="20" t="s">
        <v>36</v>
      </c>
      <c r="E272" s="24"/>
      <c r="F272" s="11">
        <v>32302</v>
      </c>
      <c r="G272" s="11"/>
      <c r="H272" s="14">
        <v>31918</v>
      </c>
      <c r="I272" s="14"/>
      <c r="J272" s="11">
        <v>33179</v>
      </c>
      <c r="K272" s="11"/>
      <c r="L272" s="14">
        <f>AVERAGE(J272,H272,F272)</f>
        <v>32466.333333333332</v>
      </c>
    </row>
    <row r="273" spans="2:12" ht="12.75">
      <c r="B273" s="20" t="s">
        <v>64</v>
      </c>
      <c r="D273" s="20" t="s">
        <v>37</v>
      </c>
      <c r="F273" s="11">
        <v>2.8</v>
      </c>
      <c r="G273" s="11"/>
      <c r="H273" s="11">
        <v>3.3</v>
      </c>
      <c r="I273" s="11"/>
      <c r="J273" s="11">
        <v>3.3</v>
      </c>
      <c r="K273" s="11"/>
      <c r="L273" s="13">
        <f>AVERAGE(J273,H273,F273)</f>
        <v>3.133333333333333</v>
      </c>
    </row>
    <row r="275" spans="2:28" ht="12.75">
      <c r="B275" s="20" t="s">
        <v>112</v>
      </c>
      <c r="D275" s="20" t="s">
        <v>65</v>
      </c>
      <c r="F275" s="25">
        <v>88.5</v>
      </c>
      <c r="H275" s="25">
        <v>88.4</v>
      </c>
      <c r="J275" s="25">
        <v>88.6</v>
      </c>
      <c r="L275" s="28">
        <f>AVERAGE(F275,H275,J275)</f>
        <v>88.5</v>
      </c>
      <c r="V275" s="27">
        <f>F275</f>
        <v>88.5</v>
      </c>
      <c r="X275" s="27">
        <f>H275</f>
        <v>88.4</v>
      </c>
      <c r="Z275" s="27">
        <f>J275</f>
        <v>88.6</v>
      </c>
      <c r="AB275" s="27">
        <f>L275</f>
        <v>88.5</v>
      </c>
    </row>
    <row r="276" spans="6:12" ht="12.75">
      <c r="F276" s="23"/>
      <c r="H276" s="23"/>
      <c r="J276" s="23"/>
      <c r="L276" s="23"/>
    </row>
    <row r="277" spans="2:12" ht="12.75">
      <c r="B277" s="30" t="s">
        <v>88</v>
      </c>
      <c r="C277" s="30"/>
      <c r="F277" s="23"/>
      <c r="H277" s="23"/>
      <c r="J277" s="23"/>
      <c r="L277" s="23"/>
    </row>
    <row r="278" spans="2:28" ht="12.75">
      <c r="B278" s="20" t="s">
        <v>49</v>
      </c>
      <c r="D278" s="20" t="s">
        <v>66</v>
      </c>
      <c r="F278" s="25">
        <f>F259/F$272/60/0.0283*1000*(21-7)/(21-F$273)</f>
        <v>3.562240735140575</v>
      </c>
      <c r="G278" s="25"/>
      <c r="H278" s="25">
        <f>H259/$H$272/60/0.0283*1000*(21-7)/(21-$H$273)</f>
        <v>7.428466947888203</v>
      </c>
      <c r="I278" s="25"/>
      <c r="J278" s="25">
        <f>J259/$J$272/60/0.0283*1000*(21-7)/(21-$J$273)</f>
        <v>3.566050652014586</v>
      </c>
      <c r="K278" s="27"/>
      <c r="L278" s="25">
        <f>AVERAGE(F278,H278,J278)</f>
        <v>4.852252778347787</v>
      </c>
      <c r="N278" s="28">
        <f>N259/F$272/60/0.0283*1000*(21-7)/(21-F$273)</f>
        <v>107.56845054538663</v>
      </c>
      <c r="O278" s="28"/>
      <c r="P278" s="28">
        <f>P259/$H$272/60/0.0283*1000*(21-7)/(21-$H$273)</f>
        <v>111.93780253497548</v>
      </c>
      <c r="Q278" s="28"/>
      <c r="R278" s="28">
        <f>R259/$J$272/60/0.0283*1000*(21-7)/(21-$J$273)</f>
        <v>107.54310234028237</v>
      </c>
      <c r="T278" s="28">
        <f>AVERAGE(N278,P278,R278)</f>
        <v>109.01645180688149</v>
      </c>
      <c r="V278" s="37">
        <f>F278+N278</f>
        <v>111.1306912805272</v>
      </c>
      <c r="W278" s="37"/>
      <c r="X278" s="37">
        <f>H278+P278</f>
        <v>119.36626948286367</v>
      </c>
      <c r="Y278" s="37"/>
      <c r="Z278" s="37">
        <f>J278+R278</f>
        <v>111.10915299229696</v>
      </c>
      <c r="AB278" s="28">
        <f>AVERAGE(V278,X278,Z278)</f>
        <v>113.86870458522928</v>
      </c>
    </row>
    <row r="279" spans="2:28" ht="12.75">
      <c r="B279" s="20" t="s">
        <v>50</v>
      </c>
      <c r="D279" s="20" t="s">
        <v>62</v>
      </c>
      <c r="F279" s="28">
        <f aca="true" t="shared" si="27" ref="F279:F289">F260/F$272/60/0.0283*1000000*(21-7)/(21-F$273)</f>
        <v>7699.488833040061</v>
      </c>
      <c r="G279" s="28"/>
      <c r="H279" s="28">
        <f aca="true" t="shared" si="28" ref="H279:H289">H260/H$272/60/0.0283*1000000*(21-7)/(21-H$273)</f>
        <v>4640.967562727797</v>
      </c>
      <c r="I279" s="28"/>
      <c r="J279" s="28">
        <f aca="true" t="shared" si="29" ref="J279:J289">J260/J$272/60/0.0283*1000000*(21-7)/(21-J$273)</f>
        <v>4506.701808254653</v>
      </c>
      <c r="K279" s="27"/>
      <c r="L279" s="28">
        <f>AVERAGE(F279,H279,J279)</f>
        <v>5615.719401340837</v>
      </c>
      <c r="V279" s="37">
        <f aca="true" t="shared" si="30" ref="V279:V291">F279+N279</f>
        <v>7699.488833040061</v>
      </c>
      <c r="W279" s="37"/>
      <c r="X279" s="37">
        <f aca="true" t="shared" si="31" ref="X279:X291">H279+P279</f>
        <v>4640.967562727797</v>
      </c>
      <c r="Y279" s="37"/>
      <c r="Z279" s="37">
        <f aca="true" t="shared" si="32" ref="Z279:Z291">J279+R279</f>
        <v>4506.701808254653</v>
      </c>
      <c r="AB279" s="28">
        <f aca="true" t="shared" si="33" ref="AB279:AB291">AVERAGE(V279,X279,Z279)</f>
        <v>5615.719401340837</v>
      </c>
    </row>
    <row r="280" spans="2:28" ht="12.75">
      <c r="B280" s="20" t="s">
        <v>107</v>
      </c>
      <c r="D280" s="20" t="s">
        <v>62</v>
      </c>
      <c r="E280" s="24" t="s">
        <v>34</v>
      </c>
      <c r="F280" s="28">
        <f t="shared" si="27"/>
        <v>35.62240735140575</v>
      </c>
      <c r="G280" s="26" t="s">
        <v>34</v>
      </c>
      <c r="H280" s="28">
        <f t="shared" si="28"/>
        <v>37.06936355134781</v>
      </c>
      <c r="I280" s="26" t="s">
        <v>34</v>
      </c>
      <c r="J280" s="28">
        <f t="shared" si="29"/>
        <v>35.66050652014586</v>
      </c>
      <c r="K280" s="26"/>
      <c r="L280" s="28">
        <f>AVERAGE(F280,H280,J280)/2</f>
        <v>18.05871290381657</v>
      </c>
      <c r="V280" s="37">
        <f t="shared" si="30"/>
        <v>35.62240735140575</v>
      </c>
      <c r="W280" s="37"/>
      <c r="X280" s="37">
        <f t="shared" si="31"/>
        <v>37.06936355134781</v>
      </c>
      <c r="Y280" s="37"/>
      <c r="Z280" s="37">
        <f t="shared" si="32"/>
        <v>35.66050652014586</v>
      </c>
      <c r="AB280" s="28">
        <f t="shared" si="33"/>
        <v>36.11742580763314</v>
      </c>
    </row>
    <row r="281" spans="2:28" ht="12.75">
      <c r="B281" s="20" t="s">
        <v>103</v>
      </c>
      <c r="D281" s="20" t="s">
        <v>62</v>
      </c>
      <c r="E281" s="24" t="s">
        <v>34</v>
      </c>
      <c r="F281" s="28">
        <f t="shared" si="27"/>
        <v>17.811203675702874</v>
      </c>
      <c r="G281" s="26" t="s">
        <v>34</v>
      </c>
      <c r="H281" s="28">
        <f t="shared" si="28"/>
        <v>18.534681775673906</v>
      </c>
      <c r="I281" s="26" t="s">
        <v>34</v>
      </c>
      <c r="J281" s="28">
        <f t="shared" si="29"/>
        <v>17.83025326007293</v>
      </c>
      <c r="K281" s="26"/>
      <c r="L281" s="28">
        <f>AVERAGE(F281,H281,J281)/2</f>
        <v>9.029356451908285</v>
      </c>
      <c r="V281" s="37">
        <f t="shared" si="30"/>
        <v>17.811203675702874</v>
      </c>
      <c r="W281" s="37"/>
      <c r="X281" s="37">
        <f t="shared" si="31"/>
        <v>18.534681775673906</v>
      </c>
      <c r="Y281" s="37"/>
      <c r="Z281" s="37">
        <f t="shared" si="32"/>
        <v>17.83025326007293</v>
      </c>
      <c r="AB281" s="28">
        <f t="shared" si="33"/>
        <v>18.05871290381657</v>
      </c>
    </row>
    <row r="282" spans="2:28" ht="12.75">
      <c r="B282" s="20" t="s">
        <v>104</v>
      </c>
      <c r="D282" s="20" t="s">
        <v>62</v>
      </c>
      <c r="E282" s="24" t="s">
        <v>34</v>
      </c>
      <c r="F282" s="28">
        <f t="shared" si="27"/>
        <v>35.62240735140575</v>
      </c>
      <c r="G282" s="26" t="s">
        <v>34</v>
      </c>
      <c r="H282" s="28">
        <f t="shared" si="28"/>
        <v>37.06936355134781</v>
      </c>
      <c r="I282" s="26" t="s">
        <v>34</v>
      </c>
      <c r="J282" s="28">
        <f t="shared" si="29"/>
        <v>35.66050652014586</v>
      </c>
      <c r="K282" s="26"/>
      <c r="L282" s="28">
        <f>AVERAGE(F282,H282,J282)/2</f>
        <v>18.05871290381657</v>
      </c>
      <c r="V282" s="37">
        <f t="shared" si="30"/>
        <v>35.62240735140575</v>
      </c>
      <c r="W282" s="37"/>
      <c r="X282" s="37">
        <f t="shared" si="31"/>
        <v>37.06936355134781</v>
      </c>
      <c r="Y282" s="37"/>
      <c r="Z282" s="37">
        <f t="shared" si="32"/>
        <v>35.66050652014586</v>
      </c>
      <c r="AB282" s="28">
        <f t="shared" si="33"/>
        <v>36.11742580763314</v>
      </c>
    </row>
    <row r="283" spans="2:28" ht="12.75">
      <c r="B283" s="20" t="s">
        <v>105</v>
      </c>
      <c r="D283" s="20" t="s">
        <v>62</v>
      </c>
      <c r="E283" s="24" t="s">
        <v>34</v>
      </c>
      <c r="F283" s="28">
        <f t="shared" si="27"/>
        <v>3.562240735140575</v>
      </c>
      <c r="G283" s="26" t="s">
        <v>34</v>
      </c>
      <c r="H283" s="28">
        <f t="shared" si="28"/>
        <v>3.7069363551347805</v>
      </c>
      <c r="I283" s="26" t="s">
        <v>34</v>
      </c>
      <c r="J283" s="28">
        <f t="shared" si="29"/>
        <v>3.566050652014586</v>
      </c>
      <c r="K283" s="26"/>
      <c r="L283" s="28">
        <f>AVERAGE(F283,H283,J283)/2</f>
        <v>1.805871290381657</v>
      </c>
      <c r="V283" s="37">
        <f t="shared" si="30"/>
        <v>3.562240735140575</v>
      </c>
      <c r="W283" s="37"/>
      <c r="X283" s="37">
        <f t="shared" si="31"/>
        <v>3.7069363551347805</v>
      </c>
      <c r="Y283" s="37"/>
      <c r="Z283" s="37">
        <f t="shared" si="32"/>
        <v>3.566050652014586</v>
      </c>
      <c r="AB283" s="28">
        <f t="shared" si="33"/>
        <v>3.611742580763314</v>
      </c>
    </row>
    <row r="284" spans="2:28" ht="12.75">
      <c r="B284" s="20" t="s">
        <v>109</v>
      </c>
      <c r="D284" s="20" t="s">
        <v>62</v>
      </c>
      <c r="E284" s="24" t="s">
        <v>34</v>
      </c>
      <c r="F284" s="28">
        <f t="shared" si="27"/>
        <v>3.562240735140575</v>
      </c>
      <c r="G284" s="26" t="s">
        <v>34</v>
      </c>
      <c r="H284" s="28">
        <f t="shared" si="28"/>
        <v>3.7069363551347805</v>
      </c>
      <c r="I284" s="26" t="s">
        <v>34</v>
      </c>
      <c r="J284" s="28">
        <f t="shared" si="29"/>
        <v>3.566050652014586</v>
      </c>
      <c r="K284" s="26"/>
      <c r="L284" s="28">
        <f>AVERAGE(F284,H284,J284)/2</f>
        <v>1.805871290381657</v>
      </c>
      <c r="V284" s="37">
        <f t="shared" si="30"/>
        <v>3.562240735140575</v>
      </c>
      <c r="W284" s="37"/>
      <c r="X284" s="37">
        <f t="shared" si="31"/>
        <v>3.7069363551347805</v>
      </c>
      <c r="Y284" s="37"/>
      <c r="Z284" s="37">
        <f t="shared" si="32"/>
        <v>3.566050652014586</v>
      </c>
      <c r="AB284" s="28">
        <f t="shared" si="33"/>
        <v>3.611742580763314</v>
      </c>
    </row>
    <row r="285" spans="2:28" ht="12.75">
      <c r="B285" s="20" t="s">
        <v>101</v>
      </c>
      <c r="D285" s="20" t="s">
        <v>62</v>
      </c>
      <c r="E285" s="24"/>
      <c r="F285" s="28">
        <f t="shared" si="27"/>
        <v>14.305061219855851</v>
      </c>
      <c r="G285" s="26"/>
      <c r="H285" s="28">
        <f t="shared" si="28"/>
        <v>11.135403303022983</v>
      </c>
      <c r="I285" s="26"/>
      <c r="J285" s="28">
        <f t="shared" si="29"/>
        <v>14.320360886042826</v>
      </c>
      <c r="K285" s="26"/>
      <c r="L285" s="28">
        <f>AVERAGE(F285,H285,J285)</f>
        <v>13.253608469640554</v>
      </c>
      <c r="V285" s="37">
        <f t="shared" si="30"/>
        <v>14.305061219855851</v>
      </c>
      <c r="W285" s="37"/>
      <c r="X285" s="37">
        <f t="shared" si="31"/>
        <v>11.135403303022983</v>
      </c>
      <c r="Y285" s="37"/>
      <c r="Z285" s="37">
        <f t="shared" si="32"/>
        <v>14.320360886042826</v>
      </c>
      <c r="AB285" s="28">
        <f t="shared" si="33"/>
        <v>13.253608469640554</v>
      </c>
    </row>
    <row r="286" spans="2:28" ht="12.75">
      <c r="B286" s="20" t="s">
        <v>108</v>
      </c>
      <c r="D286" s="20" t="s">
        <v>62</v>
      </c>
      <c r="E286" s="24" t="s">
        <v>34</v>
      </c>
      <c r="F286" s="28">
        <f t="shared" si="27"/>
        <v>35.62240735140575</v>
      </c>
      <c r="G286" s="26" t="s">
        <v>34</v>
      </c>
      <c r="H286" s="28">
        <f t="shared" si="28"/>
        <v>37.06936355134781</v>
      </c>
      <c r="I286" s="26" t="s">
        <v>34</v>
      </c>
      <c r="J286" s="28">
        <f t="shared" si="29"/>
        <v>35.66050652014586</v>
      </c>
      <c r="K286" s="26"/>
      <c r="L286" s="28">
        <f>AVERAGE(F286,H286,J286)/2</f>
        <v>18.05871290381657</v>
      </c>
      <c r="V286" s="37">
        <f t="shared" si="30"/>
        <v>35.62240735140575</v>
      </c>
      <c r="W286" s="37"/>
      <c r="X286" s="37">
        <f t="shared" si="31"/>
        <v>37.06936355134781</v>
      </c>
      <c r="Y286" s="37"/>
      <c r="Z286" s="37">
        <f t="shared" si="32"/>
        <v>35.66050652014586</v>
      </c>
      <c r="AB286" s="28">
        <f t="shared" si="33"/>
        <v>36.11742580763314</v>
      </c>
    </row>
    <row r="287" spans="2:28" ht="12.75">
      <c r="B287" s="20" t="s">
        <v>113</v>
      </c>
      <c r="D287" s="20" t="s">
        <v>62</v>
      </c>
      <c r="E287" s="24" t="s">
        <v>34</v>
      </c>
      <c r="F287" s="28">
        <f t="shared" si="27"/>
        <v>3.562240735140575</v>
      </c>
      <c r="G287" s="26" t="s">
        <v>34</v>
      </c>
      <c r="H287" s="28">
        <f t="shared" si="28"/>
        <v>3.7069363551347805</v>
      </c>
      <c r="I287" s="26" t="s">
        <v>34</v>
      </c>
      <c r="J287" s="28">
        <f t="shared" si="29"/>
        <v>3.566050652014586</v>
      </c>
      <c r="K287" s="26"/>
      <c r="L287" s="28">
        <f>AVERAGE(F287,H287,J287)/2</f>
        <v>1.805871290381657</v>
      </c>
      <c r="V287" s="37">
        <f t="shared" si="30"/>
        <v>3.562240735140575</v>
      </c>
      <c r="W287" s="37"/>
      <c r="X287" s="37">
        <f t="shared" si="31"/>
        <v>3.7069363551347805</v>
      </c>
      <c r="Y287" s="37"/>
      <c r="Z287" s="37">
        <f t="shared" si="32"/>
        <v>3.566050652014586</v>
      </c>
      <c r="AB287" s="28">
        <f t="shared" si="33"/>
        <v>3.611742580763314</v>
      </c>
    </row>
    <row r="288" spans="2:28" ht="12.75">
      <c r="B288" s="20" t="s">
        <v>110</v>
      </c>
      <c r="D288" s="20" t="s">
        <v>62</v>
      </c>
      <c r="E288" s="24" t="s">
        <v>34</v>
      </c>
      <c r="F288" s="28">
        <f t="shared" si="27"/>
        <v>35.62240735140575</v>
      </c>
      <c r="G288" s="26" t="s">
        <v>34</v>
      </c>
      <c r="H288" s="28">
        <f t="shared" si="28"/>
        <v>37.06936355134781</v>
      </c>
      <c r="I288" s="26" t="s">
        <v>34</v>
      </c>
      <c r="J288" s="28">
        <f t="shared" si="29"/>
        <v>35.66050652014586</v>
      </c>
      <c r="K288" s="26"/>
      <c r="L288" s="28">
        <f>AVERAGE(F288,H288,J288)/2</f>
        <v>18.05871290381657</v>
      </c>
      <c r="V288" s="37">
        <f t="shared" si="30"/>
        <v>35.62240735140575</v>
      </c>
      <c r="W288" s="37"/>
      <c r="X288" s="37">
        <f t="shared" si="31"/>
        <v>37.06936355134781</v>
      </c>
      <c r="Y288" s="37"/>
      <c r="Z288" s="37">
        <f t="shared" si="32"/>
        <v>35.66050652014586</v>
      </c>
      <c r="AB288" s="28">
        <f t="shared" si="33"/>
        <v>36.11742580763314</v>
      </c>
    </row>
    <row r="289" spans="2:28" ht="12.75">
      <c r="B289" s="20" t="s">
        <v>106</v>
      </c>
      <c r="D289" s="20" t="s">
        <v>62</v>
      </c>
      <c r="E289" s="24" t="s">
        <v>34</v>
      </c>
      <c r="F289" s="28">
        <f t="shared" si="27"/>
        <v>35.62240735140575</v>
      </c>
      <c r="G289" s="26" t="s">
        <v>34</v>
      </c>
      <c r="H289" s="28">
        <f t="shared" si="28"/>
        <v>37.06936355134781</v>
      </c>
      <c r="I289" s="26" t="s">
        <v>34</v>
      </c>
      <c r="J289" s="28">
        <f t="shared" si="29"/>
        <v>35.66050652014586</v>
      </c>
      <c r="K289" s="26"/>
      <c r="L289" s="28">
        <f>AVERAGE(F289,H289,J289)/2</f>
        <v>18.05871290381657</v>
      </c>
      <c r="V289" s="37">
        <f t="shared" si="30"/>
        <v>35.62240735140575</v>
      </c>
      <c r="W289" s="37"/>
      <c r="X289" s="37">
        <f t="shared" si="31"/>
        <v>37.06936355134781</v>
      </c>
      <c r="Y289" s="37"/>
      <c r="Z289" s="37">
        <f t="shared" si="32"/>
        <v>35.66050652014586</v>
      </c>
      <c r="AB289" s="28">
        <f t="shared" si="33"/>
        <v>36.11742580763314</v>
      </c>
    </row>
    <row r="290" spans="2:28" ht="12.75">
      <c r="B290" s="20" t="s">
        <v>72</v>
      </c>
      <c r="D290" s="20" t="s">
        <v>62</v>
      </c>
      <c r="E290" s="24"/>
      <c r="F290" s="25">
        <f>F284/2+F286/2</f>
        <v>19.592324043273162</v>
      </c>
      <c r="G290" s="26"/>
      <c r="H290" s="25">
        <f>H284/2+H286/2</f>
        <v>20.388149953241296</v>
      </c>
      <c r="I290" s="26"/>
      <c r="J290" s="25">
        <f>J284/2+J286/2</f>
        <v>19.613278586080224</v>
      </c>
      <c r="K290" s="26"/>
      <c r="L290" s="28">
        <f>AVERAGE(F290,H290,J290)</f>
        <v>19.86458419419823</v>
      </c>
      <c r="V290" s="37">
        <f t="shared" si="30"/>
        <v>19.592324043273162</v>
      </c>
      <c r="W290" s="37"/>
      <c r="X290" s="37">
        <f t="shared" si="31"/>
        <v>20.388149953241296</v>
      </c>
      <c r="Y290" s="37"/>
      <c r="Z290" s="37">
        <f t="shared" si="32"/>
        <v>19.613278586080224</v>
      </c>
      <c r="AB290" s="28">
        <f t="shared" si="33"/>
        <v>19.86458419419823</v>
      </c>
    </row>
    <row r="291" spans="2:28" ht="12.75">
      <c r="B291" s="20" t="s">
        <v>73</v>
      </c>
      <c r="D291" s="20" t="s">
        <v>62</v>
      </c>
      <c r="E291" s="24"/>
      <c r="F291" s="25">
        <f>(F281/2+F283/2+F285)</f>
        <v>24.991783425277575</v>
      </c>
      <c r="G291" s="26"/>
      <c r="H291" s="25">
        <f>(H281/2+H283/2+H285)</f>
        <v>22.256212368427327</v>
      </c>
      <c r="I291" s="26"/>
      <c r="J291" s="25">
        <f>(J281/2+J283/2+J285)</f>
        <v>25.018512842086583</v>
      </c>
      <c r="K291" s="26"/>
      <c r="L291" s="28">
        <f>AVERAGE(F291,H291,J291)</f>
        <v>24.088836211930495</v>
      </c>
      <c r="V291" s="37">
        <f t="shared" si="30"/>
        <v>24.991783425277575</v>
      </c>
      <c r="W291" s="37"/>
      <c r="X291" s="37">
        <f t="shared" si="31"/>
        <v>22.256212368427327</v>
      </c>
      <c r="Y291" s="37"/>
      <c r="Z291" s="37">
        <f t="shared" si="32"/>
        <v>25.018512842086583</v>
      </c>
      <c r="AB291" s="28">
        <f t="shared" si="33"/>
        <v>24.088836211930495</v>
      </c>
    </row>
    <row r="292" spans="2:12" ht="12.75">
      <c r="B292"/>
      <c r="C292"/>
      <c r="D292"/>
      <c r="E292"/>
      <c r="F292"/>
      <c r="G292"/>
      <c r="H292"/>
      <c r="I292"/>
      <c r="J292"/>
      <c r="K292"/>
      <c r="L292"/>
    </row>
    <row r="294" ht="12.75">
      <c r="B294" s="19" t="s">
        <v>166</v>
      </c>
    </row>
    <row r="295" spans="2:28" ht="12.75">
      <c r="B295" s="19"/>
      <c r="C295" s="19"/>
      <c r="F295" s="24" t="s">
        <v>117</v>
      </c>
      <c r="G295" s="24"/>
      <c r="H295" s="24" t="s">
        <v>118</v>
      </c>
      <c r="I295" s="24"/>
      <c r="J295" s="24" t="s">
        <v>119</v>
      </c>
      <c r="K295" s="24"/>
      <c r="L295" s="24" t="s">
        <v>39</v>
      </c>
      <c r="N295" s="24" t="s">
        <v>117</v>
      </c>
      <c r="O295" s="24"/>
      <c r="P295" s="24" t="s">
        <v>118</v>
      </c>
      <c r="Q295" s="24"/>
      <c r="R295" s="24" t="s">
        <v>119</v>
      </c>
      <c r="S295" s="24"/>
      <c r="T295" s="24" t="s">
        <v>39</v>
      </c>
      <c r="V295" s="24" t="s">
        <v>117</v>
      </c>
      <c r="W295" s="24"/>
      <c r="X295" s="24" t="s">
        <v>118</v>
      </c>
      <c r="Y295" s="24"/>
      <c r="Z295" s="24" t="s">
        <v>119</v>
      </c>
      <c r="AA295" s="24"/>
      <c r="AB295" s="24" t="s">
        <v>39</v>
      </c>
    </row>
    <row r="296" spans="2:28" ht="12.75">
      <c r="B296" s="19"/>
      <c r="C296" s="19"/>
      <c r="N296" s="21"/>
      <c r="O296" s="21"/>
      <c r="P296" s="21"/>
      <c r="Q296" s="21"/>
      <c r="R296" s="21"/>
      <c r="S296" s="21"/>
      <c r="T296" s="22"/>
      <c r="AB296" s="22"/>
    </row>
    <row r="297" spans="2:28" ht="12.75">
      <c r="B297" s="20" t="s">
        <v>131</v>
      </c>
      <c r="C297" s="19"/>
      <c r="F297" s="24" t="s">
        <v>142</v>
      </c>
      <c r="H297" s="24" t="s">
        <v>142</v>
      </c>
      <c r="J297" s="24" t="s">
        <v>142</v>
      </c>
      <c r="L297" s="24" t="s">
        <v>142</v>
      </c>
      <c r="N297" s="24" t="s">
        <v>143</v>
      </c>
      <c r="O297" s="21"/>
      <c r="P297" s="24" t="s">
        <v>143</v>
      </c>
      <c r="Q297" s="21"/>
      <c r="R297" s="24" t="s">
        <v>143</v>
      </c>
      <c r="S297" s="21"/>
      <c r="T297" s="24" t="s">
        <v>143</v>
      </c>
      <c r="V297" s="24" t="s">
        <v>144</v>
      </c>
      <c r="X297" s="24" t="s">
        <v>144</v>
      </c>
      <c r="Z297" s="24" t="s">
        <v>144</v>
      </c>
      <c r="AB297" s="24" t="s">
        <v>144</v>
      </c>
    </row>
    <row r="298" spans="2:28" ht="12.75">
      <c r="B298" s="20" t="s">
        <v>132</v>
      </c>
      <c r="F298" s="24" t="s">
        <v>133</v>
      </c>
      <c r="H298" s="24" t="s">
        <v>133</v>
      </c>
      <c r="J298" s="24" t="s">
        <v>133</v>
      </c>
      <c r="L298" s="24" t="s">
        <v>133</v>
      </c>
      <c r="N298" s="24" t="s">
        <v>134</v>
      </c>
      <c r="O298" s="21"/>
      <c r="P298" s="24" t="s">
        <v>134</v>
      </c>
      <c r="Q298" s="21"/>
      <c r="R298" s="24" t="s">
        <v>134</v>
      </c>
      <c r="S298" s="21"/>
      <c r="T298" s="24" t="s">
        <v>134</v>
      </c>
      <c r="V298" s="24" t="s">
        <v>86</v>
      </c>
      <c r="X298" s="24" t="s">
        <v>86</v>
      </c>
      <c r="Z298" s="24" t="s">
        <v>86</v>
      </c>
      <c r="AB298" s="24" t="s">
        <v>86</v>
      </c>
    </row>
    <row r="299" spans="2:28" ht="12.75">
      <c r="B299" s="20" t="s">
        <v>147</v>
      </c>
      <c r="F299" s="24" t="s">
        <v>71</v>
      </c>
      <c r="H299" s="24" t="s">
        <v>71</v>
      </c>
      <c r="J299" s="24" t="s">
        <v>71</v>
      </c>
      <c r="L299" s="24" t="s">
        <v>71</v>
      </c>
      <c r="N299" s="24" t="s">
        <v>148</v>
      </c>
      <c r="O299" s="21"/>
      <c r="P299" s="24" t="s">
        <v>148</v>
      </c>
      <c r="Q299" s="21"/>
      <c r="R299" s="24" t="s">
        <v>148</v>
      </c>
      <c r="S299" s="21"/>
      <c r="T299" s="24" t="s">
        <v>148</v>
      </c>
      <c r="V299" s="24" t="s">
        <v>86</v>
      </c>
      <c r="X299" s="24" t="s">
        <v>86</v>
      </c>
      <c r="Z299" s="24" t="s">
        <v>86</v>
      </c>
      <c r="AB299" s="24" t="s">
        <v>86</v>
      </c>
    </row>
    <row r="300" spans="2:28" ht="12.75">
      <c r="B300" s="20" t="s">
        <v>40</v>
      </c>
      <c r="F300" s="22" t="s">
        <v>41</v>
      </c>
      <c r="H300" s="22" t="s">
        <v>41</v>
      </c>
      <c r="J300" s="22" t="s">
        <v>41</v>
      </c>
      <c r="L300" s="22" t="s">
        <v>41</v>
      </c>
      <c r="N300" s="22" t="s">
        <v>42</v>
      </c>
      <c r="P300" s="22" t="s">
        <v>42</v>
      </c>
      <c r="R300" s="22" t="s">
        <v>42</v>
      </c>
      <c r="T300" s="22" t="s">
        <v>42</v>
      </c>
      <c r="V300" s="22" t="s">
        <v>86</v>
      </c>
      <c r="W300" s="22"/>
      <c r="X300" s="22" t="s">
        <v>86</v>
      </c>
      <c r="Y300" s="22"/>
      <c r="Z300" s="22" t="s">
        <v>86</v>
      </c>
      <c r="AA300" s="22"/>
      <c r="AB300" s="22" t="s">
        <v>86</v>
      </c>
    </row>
    <row r="301" spans="2:12" ht="12.75">
      <c r="B301" s="20" t="s">
        <v>114</v>
      </c>
      <c r="D301" s="20" t="s">
        <v>44</v>
      </c>
      <c r="F301" s="21">
        <f>90.8*60</f>
        <v>5448</v>
      </c>
      <c r="H301" s="21">
        <f>93.2*60</f>
        <v>5592</v>
      </c>
      <c r="J301" s="21">
        <f>92.9*60</f>
        <v>5574</v>
      </c>
      <c r="L301" s="23">
        <f>AVERAGE(F301,H301,J301)</f>
        <v>5538</v>
      </c>
    </row>
    <row r="302" spans="2:12" ht="12.75">
      <c r="B302" s="20" t="s">
        <v>45</v>
      </c>
      <c r="D302" s="20" t="s">
        <v>46</v>
      </c>
      <c r="F302" s="21">
        <v>15620</v>
      </c>
      <c r="H302" s="21">
        <v>15620</v>
      </c>
      <c r="J302" s="21">
        <v>15620</v>
      </c>
      <c r="L302" s="23">
        <f>AVERAGE(F302,H302,J302)</f>
        <v>15620</v>
      </c>
    </row>
    <row r="303" spans="2:12" ht="12.75">
      <c r="B303" s="20" t="s">
        <v>198</v>
      </c>
      <c r="D303" s="20" t="s">
        <v>32</v>
      </c>
      <c r="E303" s="24"/>
      <c r="F303" s="42">
        <f>4.8*453.6</f>
        <v>2177.28</v>
      </c>
      <c r="G303" s="42"/>
      <c r="H303" s="42">
        <f>7.8*453.6</f>
        <v>3538.08</v>
      </c>
      <c r="I303" s="42"/>
      <c r="J303" s="42">
        <f>4.8*453.6</f>
        <v>2177.28</v>
      </c>
      <c r="K303" s="24"/>
      <c r="L303" s="28">
        <f>AVERAGE(F303,H303,J303)</f>
        <v>2630.8800000000006</v>
      </c>
    </row>
    <row r="304" spans="5:12" ht="12.75">
      <c r="E304" s="24"/>
      <c r="F304" s="42"/>
      <c r="G304" s="42"/>
      <c r="H304" s="42"/>
      <c r="I304" s="42"/>
      <c r="J304" s="42"/>
      <c r="K304" s="24"/>
      <c r="L304" s="28"/>
    </row>
    <row r="305" spans="2:28" ht="12.75">
      <c r="B305" s="20" t="s">
        <v>198</v>
      </c>
      <c r="D305" s="20" t="s">
        <v>66</v>
      </c>
      <c r="E305" s="21" t="s">
        <v>29</v>
      </c>
      <c r="F305" s="25">
        <f>F303/F$307/60/0.0283*1000*(21-7)/(21-F$308)</f>
        <v>62.64783093624946</v>
      </c>
      <c r="G305" s="25"/>
      <c r="H305" s="25">
        <f>H303/H$307/60/0.0283*1000*(21-7)/(21-H$308)</f>
        <v>91.39589332072659</v>
      </c>
      <c r="I305" s="25"/>
      <c r="J305" s="25">
        <f>J303/J$307/60/0.0283*1000*(21-7)/(21-J$308)</f>
        <v>66.02419159067597</v>
      </c>
      <c r="K305" s="27"/>
      <c r="L305" s="25">
        <f>AVERAGE(F305,H305,J305)</f>
        <v>73.35597194921733</v>
      </c>
      <c r="V305" s="27">
        <f>F305</f>
        <v>62.64783093624946</v>
      </c>
      <c r="X305" s="27">
        <f>H305</f>
        <v>91.39589332072659</v>
      </c>
      <c r="Z305" s="27">
        <f>J305</f>
        <v>66.02419159067597</v>
      </c>
      <c r="AB305" s="27">
        <f>L305</f>
        <v>73.35597194921733</v>
      </c>
    </row>
    <row r="306" spans="6:12" ht="12.75">
      <c r="F306" s="25"/>
      <c r="G306" s="25"/>
      <c r="H306" s="25"/>
      <c r="I306" s="25"/>
      <c r="J306" s="25"/>
      <c r="K306" s="27"/>
      <c r="L306" s="25"/>
    </row>
    <row r="307" spans="2:12" ht="12.75">
      <c r="B307" s="20" t="s">
        <v>63</v>
      </c>
      <c r="C307" s="20" t="s">
        <v>128</v>
      </c>
      <c r="D307" s="20" t="s">
        <v>36</v>
      </c>
      <c r="E307" s="24"/>
      <c r="F307" s="11">
        <v>18136</v>
      </c>
      <c r="G307" s="11"/>
      <c r="H307" s="14">
        <v>19462</v>
      </c>
      <c r="I307" s="14"/>
      <c r="J307" s="11">
        <v>18248</v>
      </c>
      <c r="K307" s="11"/>
      <c r="L307" s="14">
        <f>AVERAGE(J307,H307,F307)</f>
        <v>18615.333333333332</v>
      </c>
    </row>
    <row r="308" spans="2:12" ht="12.75">
      <c r="B308" s="20" t="s">
        <v>64</v>
      </c>
      <c r="D308" s="20" t="s">
        <v>37</v>
      </c>
      <c r="F308" s="11">
        <v>5.2</v>
      </c>
      <c r="G308" s="11"/>
      <c r="H308" s="11">
        <v>4.6</v>
      </c>
      <c r="I308" s="11"/>
      <c r="J308" s="11">
        <v>6.1</v>
      </c>
      <c r="K308" s="11"/>
      <c r="L308" s="13">
        <f>AVERAGE(J308,H308,F308)</f>
        <v>5.3</v>
      </c>
    </row>
    <row r="310" spans="2:28" ht="12.75">
      <c r="B310" s="20" t="s">
        <v>112</v>
      </c>
      <c r="D310" s="20" t="s">
        <v>65</v>
      </c>
      <c r="F310" s="25">
        <f>F301*F302/1000000</f>
        <v>85.09776</v>
      </c>
      <c r="G310" s="25"/>
      <c r="H310" s="25">
        <f>H301*H302/1000000</f>
        <v>87.34704</v>
      </c>
      <c r="I310" s="25"/>
      <c r="J310" s="25">
        <f>J301*J302/1000000</f>
        <v>87.06588</v>
      </c>
      <c r="L310" s="28">
        <f>AVERAGE(F310,H310,J310)</f>
        <v>86.50356</v>
      </c>
      <c r="N310" s="25">
        <v>2.7</v>
      </c>
      <c r="O310" s="25"/>
      <c r="P310" s="25">
        <v>0</v>
      </c>
      <c r="Q310" s="25"/>
      <c r="R310" s="25">
        <v>1.3</v>
      </c>
      <c r="S310" s="21"/>
      <c r="T310" s="25">
        <f>AVERAGE(N310,P310,R310)</f>
        <v>1.3333333333333333</v>
      </c>
      <c r="V310" s="25">
        <f>F310+N310</f>
        <v>87.79776</v>
      </c>
      <c r="W310" s="25"/>
      <c r="X310" s="25">
        <f>H310+P310</f>
        <v>87.34704</v>
      </c>
      <c r="Y310" s="25"/>
      <c r="Z310" s="25">
        <f>J310+R310</f>
        <v>88.36588</v>
      </c>
      <c r="AB310" s="25">
        <f>AVERAGE(V310,X310,Z310)</f>
        <v>87.83689333333332</v>
      </c>
    </row>
    <row r="313" ht="12.75">
      <c r="B313" s="19" t="s">
        <v>172</v>
      </c>
    </row>
    <row r="314" spans="2:34" ht="12.75">
      <c r="B314" s="19"/>
      <c r="C314" s="19"/>
      <c r="F314" s="24" t="s">
        <v>117</v>
      </c>
      <c r="G314" s="24"/>
      <c r="H314" s="24" t="s">
        <v>118</v>
      </c>
      <c r="I314" s="24"/>
      <c r="J314" s="24" t="s">
        <v>119</v>
      </c>
      <c r="K314" s="24"/>
      <c r="L314" s="24" t="s">
        <v>188</v>
      </c>
      <c r="N314" s="24" t="s">
        <v>39</v>
      </c>
      <c r="P314" s="24" t="s">
        <v>117</v>
      </c>
      <c r="Q314" s="24"/>
      <c r="R314" s="24" t="s">
        <v>118</v>
      </c>
      <c r="S314" s="24"/>
      <c r="T314" s="24" t="s">
        <v>119</v>
      </c>
      <c r="U314" s="24"/>
      <c r="V314" s="21" t="s">
        <v>188</v>
      </c>
      <c r="X314" s="24" t="s">
        <v>39</v>
      </c>
      <c r="Z314" s="24" t="s">
        <v>117</v>
      </c>
      <c r="AA314" s="24"/>
      <c r="AB314" s="24" t="s">
        <v>118</v>
      </c>
      <c r="AC314" s="24"/>
      <c r="AD314" s="24" t="s">
        <v>119</v>
      </c>
      <c r="AE314" s="24"/>
      <c r="AF314" s="21" t="s">
        <v>188</v>
      </c>
      <c r="AH314" s="24" t="s">
        <v>39</v>
      </c>
    </row>
    <row r="315" spans="2:34" ht="12.75">
      <c r="B315" s="19"/>
      <c r="C315" s="19"/>
      <c r="P315" s="21"/>
      <c r="Q315" s="21"/>
      <c r="R315" s="21"/>
      <c r="S315" s="21"/>
      <c r="X315" s="22"/>
      <c r="AH315" s="22"/>
    </row>
    <row r="316" spans="2:34" ht="12.75">
      <c r="B316" s="20" t="s">
        <v>131</v>
      </c>
      <c r="C316" s="19"/>
      <c r="F316" s="24" t="s">
        <v>142</v>
      </c>
      <c r="H316" s="24" t="s">
        <v>142</v>
      </c>
      <c r="J316" s="24" t="s">
        <v>142</v>
      </c>
      <c r="L316" s="24" t="s">
        <v>142</v>
      </c>
      <c r="N316" s="24" t="s">
        <v>142</v>
      </c>
      <c r="P316" s="24" t="s">
        <v>143</v>
      </c>
      <c r="Q316" s="21"/>
      <c r="R316" s="24" t="s">
        <v>143</v>
      </c>
      <c r="S316" s="21"/>
      <c r="T316" s="24" t="s">
        <v>143</v>
      </c>
      <c r="V316" s="24" t="s">
        <v>143</v>
      </c>
      <c r="X316" s="24" t="s">
        <v>143</v>
      </c>
      <c r="Z316" s="24" t="s">
        <v>144</v>
      </c>
      <c r="AB316" s="24" t="s">
        <v>144</v>
      </c>
      <c r="AD316" s="24" t="s">
        <v>144</v>
      </c>
      <c r="AF316" s="24" t="s">
        <v>144</v>
      </c>
      <c r="AH316" s="24" t="s">
        <v>144</v>
      </c>
    </row>
    <row r="317" spans="2:34" ht="12.75">
      <c r="B317" s="20" t="s">
        <v>132</v>
      </c>
      <c r="F317" s="24" t="s">
        <v>133</v>
      </c>
      <c r="H317" s="24" t="s">
        <v>133</v>
      </c>
      <c r="J317" s="24" t="s">
        <v>133</v>
      </c>
      <c r="L317" s="24" t="s">
        <v>133</v>
      </c>
      <c r="N317" s="24" t="s">
        <v>133</v>
      </c>
      <c r="P317" s="24" t="s">
        <v>134</v>
      </c>
      <c r="Q317" s="21"/>
      <c r="R317" s="24" t="s">
        <v>134</v>
      </c>
      <c r="S317" s="21"/>
      <c r="T317" s="24" t="s">
        <v>134</v>
      </c>
      <c r="V317" s="24" t="s">
        <v>134</v>
      </c>
      <c r="X317" s="24" t="s">
        <v>134</v>
      </c>
      <c r="Z317" s="24" t="s">
        <v>86</v>
      </c>
      <c r="AB317" s="24" t="s">
        <v>86</v>
      </c>
      <c r="AD317" s="24" t="s">
        <v>86</v>
      </c>
      <c r="AF317" s="24" t="s">
        <v>86</v>
      </c>
      <c r="AH317" s="24" t="s">
        <v>86</v>
      </c>
    </row>
    <row r="318" spans="2:34" ht="12.75">
      <c r="B318" s="20" t="s">
        <v>147</v>
      </c>
      <c r="F318" s="24" t="s">
        <v>71</v>
      </c>
      <c r="H318" s="24" t="s">
        <v>71</v>
      </c>
      <c r="J318" s="24" t="s">
        <v>71</v>
      </c>
      <c r="L318" s="24" t="s">
        <v>71</v>
      </c>
      <c r="N318" s="24" t="s">
        <v>71</v>
      </c>
      <c r="P318" s="24" t="s">
        <v>148</v>
      </c>
      <c r="Q318" s="21"/>
      <c r="R318" s="24" t="s">
        <v>148</v>
      </c>
      <c r="S318" s="21"/>
      <c r="T318" s="24" t="s">
        <v>148</v>
      </c>
      <c r="V318" s="24" t="s">
        <v>148</v>
      </c>
      <c r="X318" s="24" t="s">
        <v>148</v>
      </c>
      <c r="Z318" s="24" t="s">
        <v>86</v>
      </c>
      <c r="AB318" s="24" t="s">
        <v>86</v>
      </c>
      <c r="AD318" s="24" t="s">
        <v>86</v>
      </c>
      <c r="AF318" s="24" t="s">
        <v>86</v>
      </c>
      <c r="AH318" s="24" t="s">
        <v>86</v>
      </c>
    </row>
    <row r="319" spans="2:34" ht="12.75">
      <c r="B319" s="20" t="s">
        <v>40</v>
      </c>
      <c r="F319" s="22" t="s">
        <v>41</v>
      </c>
      <c r="H319" s="22" t="s">
        <v>41</v>
      </c>
      <c r="J319" s="22" t="s">
        <v>41</v>
      </c>
      <c r="L319" s="22" t="s">
        <v>41</v>
      </c>
      <c r="N319" s="22" t="s">
        <v>41</v>
      </c>
      <c r="P319" s="22" t="s">
        <v>42</v>
      </c>
      <c r="R319" s="22" t="s">
        <v>42</v>
      </c>
      <c r="T319" s="22" t="s">
        <v>42</v>
      </c>
      <c r="U319" s="22"/>
      <c r="V319" s="22" t="s">
        <v>42</v>
      </c>
      <c r="X319" s="22" t="s">
        <v>42</v>
      </c>
      <c r="Z319" s="22" t="s">
        <v>86</v>
      </c>
      <c r="AA319" s="22"/>
      <c r="AB319" s="22" t="s">
        <v>86</v>
      </c>
      <c r="AC319" s="22"/>
      <c r="AD319" s="22" t="s">
        <v>86</v>
      </c>
      <c r="AE319" s="22"/>
      <c r="AF319" s="22" t="s">
        <v>86</v>
      </c>
      <c r="AH319" s="22" t="s">
        <v>86</v>
      </c>
    </row>
    <row r="320" spans="2:14" ht="12.75">
      <c r="B320" s="20" t="s">
        <v>114</v>
      </c>
      <c r="D320" s="20" t="s">
        <v>44</v>
      </c>
      <c r="F320" s="21">
        <f>93*60</f>
        <v>5580</v>
      </c>
      <c r="H320" s="21">
        <f>93*60</f>
        <v>5580</v>
      </c>
      <c r="J320" s="21">
        <f>93*60</f>
        <v>5580</v>
      </c>
      <c r="L320" s="21">
        <f>93*60</f>
        <v>5580</v>
      </c>
      <c r="N320" s="23">
        <f>AVERAGE(F320,H320,J320,L320)</f>
        <v>5580</v>
      </c>
    </row>
    <row r="321" spans="2:14" ht="12.75">
      <c r="B321" s="20" t="s">
        <v>45</v>
      </c>
      <c r="D321" s="20" t="s">
        <v>46</v>
      </c>
      <c r="F321" s="21">
        <v>15620</v>
      </c>
      <c r="H321" s="21">
        <v>15620</v>
      </c>
      <c r="J321" s="21">
        <v>15620</v>
      </c>
      <c r="L321" s="21">
        <v>15620</v>
      </c>
      <c r="N321" s="23">
        <f>AVERAGE(F321,H321,J321,L321)</f>
        <v>15620</v>
      </c>
    </row>
    <row r="322" spans="2:14" ht="12.75">
      <c r="B322" s="20" t="s">
        <v>49</v>
      </c>
      <c r="D322" s="20" t="s">
        <v>32</v>
      </c>
      <c r="E322" s="24"/>
      <c r="F322" s="42">
        <f>4.8*453.6</f>
        <v>2177.28</v>
      </c>
      <c r="G322" s="42"/>
      <c r="H322" s="42">
        <f>7.8*453.6</f>
        <v>3538.08</v>
      </c>
      <c r="I322" s="42"/>
      <c r="J322" s="42">
        <f>4.8*453.6</f>
        <v>2177.28</v>
      </c>
      <c r="K322" s="24"/>
      <c r="L322" s="42">
        <f>4.8*453.6</f>
        <v>2177.28</v>
      </c>
      <c r="N322" s="28">
        <f>AVERAGE(F322,H322,J322,L322)</f>
        <v>2517.4800000000005</v>
      </c>
    </row>
    <row r="323" spans="5:14" ht="12.75">
      <c r="E323" s="24"/>
      <c r="F323" s="42"/>
      <c r="G323" s="42"/>
      <c r="H323" s="42"/>
      <c r="I323" s="42"/>
      <c r="J323" s="42"/>
      <c r="K323" s="24"/>
      <c r="L323" s="42"/>
      <c r="N323" s="28"/>
    </row>
    <row r="324" spans="2:34" ht="12.75">
      <c r="B324" s="20" t="s">
        <v>49</v>
      </c>
      <c r="D324" s="20" t="s">
        <v>66</v>
      </c>
      <c r="E324" s="21" t="s">
        <v>29</v>
      </c>
      <c r="F324" s="25">
        <f>F322/F$326/60/0.0283*1000*(21-7)/(21-F$327)</f>
        <v>31.852617781032826</v>
      </c>
      <c r="G324" s="25"/>
      <c r="H324" s="25">
        <f>H322/H$326/60/0.0283*1000*(21-7)/(21-H$327)</f>
        <v>54.097539051867415</v>
      </c>
      <c r="I324" s="25"/>
      <c r="J324" s="25">
        <f>J322/J$326/60/0.0283*1000*(21-7)/(21-J$327)</f>
        <v>31.923495933172013</v>
      </c>
      <c r="K324" s="25"/>
      <c r="L324" s="25">
        <f>L322/L$326/60/0.0283*1000*(21-7)/(21-L$327)</f>
        <v>31.804334409948048</v>
      </c>
      <c r="N324" s="28">
        <f>AVERAGE(F324,H324,J324,L324)</f>
        <v>37.41949679400507</v>
      </c>
      <c r="Z324" s="27">
        <f>F324</f>
        <v>31.852617781032826</v>
      </c>
      <c r="AB324" s="27">
        <f>H324</f>
        <v>54.097539051867415</v>
      </c>
      <c r="AD324" s="27">
        <f>J324</f>
        <v>31.923495933172013</v>
      </c>
      <c r="AF324" s="27">
        <f>L324</f>
        <v>31.804334409948048</v>
      </c>
      <c r="AH324" s="27">
        <f>N324</f>
        <v>37.41949679400507</v>
      </c>
    </row>
    <row r="325" spans="5:14" ht="12.75">
      <c r="E325" s="24"/>
      <c r="F325" s="24"/>
      <c r="G325" s="24"/>
      <c r="H325" s="24"/>
      <c r="I325" s="24"/>
      <c r="J325" s="24"/>
      <c r="K325" s="24"/>
      <c r="L325" s="24"/>
      <c r="N325" s="23"/>
    </row>
    <row r="326" spans="2:14" ht="12.75">
      <c r="B326" s="20" t="s">
        <v>63</v>
      </c>
      <c r="D326" s="20" t="s">
        <v>36</v>
      </c>
      <c r="E326" s="24"/>
      <c r="F326" s="11">
        <v>30797</v>
      </c>
      <c r="G326" s="11"/>
      <c r="H326" s="14">
        <v>29148</v>
      </c>
      <c r="I326" s="14"/>
      <c r="J326" s="11">
        <v>30233</v>
      </c>
      <c r="K326" s="11"/>
      <c r="L326" s="9">
        <v>31533</v>
      </c>
      <c r="M326" s="9"/>
      <c r="N326" s="14">
        <f>AVERAGE(L326,J326,H326,F326)</f>
        <v>30427.75</v>
      </c>
    </row>
    <row r="327" spans="2:14" ht="12.75">
      <c r="B327" s="20" t="s">
        <v>64</v>
      </c>
      <c r="D327" s="20" t="s">
        <v>37</v>
      </c>
      <c r="F327" s="11">
        <v>2.7</v>
      </c>
      <c r="G327" s="11"/>
      <c r="H327" s="11">
        <v>2.5</v>
      </c>
      <c r="I327" s="11"/>
      <c r="J327" s="11">
        <v>2.4</v>
      </c>
      <c r="K327" s="11"/>
      <c r="L327" s="9">
        <v>3.1</v>
      </c>
      <c r="M327" s="9"/>
      <c r="N327" s="13">
        <f>AVERAGE(L327,J327,H327,F327)</f>
        <v>2.675</v>
      </c>
    </row>
    <row r="328" spans="12:14" ht="12.75">
      <c r="L328" s="21"/>
      <c r="N328" s="23"/>
    </row>
    <row r="329" spans="2:34" ht="12.75">
      <c r="B329" s="20" t="s">
        <v>112</v>
      </c>
      <c r="D329" s="20" t="s">
        <v>65</v>
      </c>
      <c r="F329" s="25">
        <f>F320*F321/1000000</f>
        <v>87.1596</v>
      </c>
      <c r="G329" s="25"/>
      <c r="H329" s="25">
        <f>H320*H321/1000000</f>
        <v>87.1596</v>
      </c>
      <c r="I329" s="25"/>
      <c r="J329" s="25">
        <f>J320*J321/1000000</f>
        <v>87.1596</v>
      </c>
      <c r="L329" s="25">
        <f>L320*L321/1000000</f>
        <v>87.1596</v>
      </c>
      <c r="N329" s="28">
        <f>AVERAGE(F329,H329,J329,L329)</f>
        <v>87.1596</v>
      </c>
      <c r="P329" s="25">
        <v>63.8</v>
      </c>
      <c r="Q329" s="25"/>
      <c r="R329" s="25">
        <v>63.9</v>
      </c>
      <c r="S329" s="25"/>
      <c r="T329" s="25">
        <v>65.8</v>
      </c>
      <c r="V329" s="25">
        <v>65.9</v>
      </c>
      <c r="W329" s="22"/>
      <c r="X329" s="25">
        <f>AVERAGE(P329,R329,T329,V329)</f>
        <v>64.85</v>
      </c>
      <c r="Z329" s="25">
        <f>F329+P329</f>
        <v>150.9596</v>
      </c>
      <c r="AA329" s="25"/>
      <c r="AB329" s="25">
        <f>H329+R329</f>
        <v>151.0596</v>
      </c>
      <c r="AC329" s="25"/>
      <c r="AD329" s="25">
        <f>J329+T329</f>
        <v>152.9596</v>
      </c>
      <c r="AF329" s="25">
        <f>L329+V329</f>
        <v>153.0596</v>
      </c>
      <c r="AG329" s="22"/>
      <c r="AH329" s="28">
        <f>AVERAGE(Z329,AB329,AD329,AF329)</f>
        <v>152.00959999999998</v>
      </c>
    </row>
    <row r="332" ht="12.75">
      <c r="B332" s="19" t="s">
        <v>175</v>
      </c>
    </row>
    <row r="333" spans="2:28" ht="12.75">
      <c r="B333" s="19"/>
      <c r="C333" s="19"/>
      <c r="F333" s="24" t="s">
        <v>117</v>
      </c>
      <c r="G333" s="24"/>
      <c r="H333" s="24" t="s">
        <v>118</v>
      </c>
      <c r="I333" s="24"/>
      <c r="J333" s="24" t="s">
        <v>119</v>
      </c>
      <c r="K333" s="24"/>
      <c r="L333" s="24" t="s">
        <v>39</v>
      </c>
      <c r="N333" s="24" t="s">
        <v>117</v>
      </c>
      <c r="O333" s="24"/>
      <c r="P333" s="24" t="s">
        <v>118</v>
      </c>
      <c r="Q333" s="24"/>
      <c r="R333" s="24" t="s">
        <v>119</v>
      </c>
      <c r="S333" s="24"/>
      <c r="T333" s="24" t="s">
        <v>39</v>
      </c>
      <c r="V333" s="24" t="s">
        <v>117</v>
      </c>
      <c r="W333" s="24"/>
      <c r="X333" s="24" t="s">
        <v>118</v>
      </c>
      <c r="Y333" s="24"/>
      <c r="Z333" s="24" t="s">
        <v>119</v>
      </c>
      <c r="AA333" s="24"/>
      <c r="AB333" s="24" t="s">
        <v>39</v>
      </c>
    </row>
    <row r="334" spans="2:28" ht="12.75">
      <c r="B334" s="19"/>
      <c r="C334" s="19"/>
      <c r="N334" s="21"/>
      <c r="O334" s="21"/>
      <c r="P334" s="21"/>
      <c r="Q334" s="21"/>
      <c r="R334" s="21"/>
      <c r="S334" s="21"/>
      <c r="T334" s="22"/>
      <c r="AB334" s="22"/>
    </row>
    <row r="335" spans="2:28" ht="12.75">
      <c r="B335" s="20" t="s">
        <v>131</v>
      </c>
      <c r="C335" s="19"/>
      <c r="F335" s="24" t="s">
        <v>142</v>
      </c>
      <c r="H335" s="24" t="s">
        <v>142</v>
      </c>
      <c r="J335" s="24" t="s">
        <v>142</v>
      </c>
      <c r="L335" s="24" t="s">
        <v>142</v>
      </c>
      <c r="N335" s="24" t="s">
        <v>143</v>
      </c>
      <c r="O335" s="21"/>
      <c r="P335" s="24" t="s">
        <v>143</v>
      </c>
      <c r="Q335" s="21"/>
      <c r="R335" s="24" t="s">
        <v>143</v>
      </c>
      <c r="S335" s="21"/>
      <c r="T335" s="24" t="s">
        <v>143</v>
      </c>
      <c r="V335" s="24" t="s">
        <v>144</v>
      </c>
      <c r="X335" s="24" t="s">
        <v>144</v>
      </c>
      <c r="Z335" s="24" t="s">
        <v>144</v>
      </c>
      <c r="AB335" s="24" t="s">
        <v>144</v>
      </c>
    </row>
    <row r="336" spans="2:28" ht="12.75">
      <c r="B336" s="20" t="s">
        <v>132</v>
      </c>
      <c r="F336" s="24" t="s">
        <v>133</v>
      </c>
      <c r="H336" s="24" t="s">
        <v>133</v>
      </c>
      <c r="J336" s="24" t="s">
        <v>133</v>
      </c>
      <c r="L336" s="24" t="s">
        <v>133</v>
      </c>
      <c r="N336" s="24" t="s">
        <v>134</v>
      </c>
      <c r="O336" s="21"/>
      <c r="P336" s="24" t="s">
        <v>134</v>
      </c>
      <c r="Q336" s="21"/>
      <c r="R336" s="24" t="s">
        <v>134</v>
      </c>
      <c r="S336" s="21"/>
      <c r="T336" s="24" t="s">
        <v>134</v>
      </c>
      <c r="V336" s="24" t="s">
        <v>86</v>
      </c>
      <c r="X336" s="24" t="s">
        <v>86</v>
      </c>
      <c r="Z336" s="24" t="s">
        <v>86</v>
      </c>
      <c r="AB336" s="24" t="s">
        <v>86</v>
      </c>
    </row>
    <row r="337" spans="2:28" ht="12.75">
      <c r="B337" s="20" t="s">
        <v>147</v>
      </c>
      <c r="F337" s="24" t="s">
        <v>71</v>
      </c>
      <c r="H337" s="24" t="s">
        <v>71</v>
      </c>
      <c r="J337" s="24" t="s">
        <v>71</v>
      </c>
      <c r="L337" s="24" t="s">
        <v>71</v>
      </c>
      <c r="N337" s="24" t="s">
        <v>148</v>
      </c>
      <c r="O337" s="21"/>
      <c r="P337" s="24" t="s">
        <v>148</v>
      </c>
      <c r="Q337" s="21"/>
      <c r="R337" s="24" t="s">
        <v>148</v>
      </c>
      <c r="S337" s="21"/>
      <c r="T337" s="24" t="s">
        <v>148</v>
      </c>
      <c r="V337" s="24" t="s">
        <v>86</v>
      </c>
      <c r="X337" s="24" t="s">
        <v>86</v>
      </c>
      <c r="Z337" s="24" t="s">
        <v>86</v>
      </c>
      <c r="AB337" s="24" t="s">
        <v>86</v>
      </c>
    </row>
    <row r="338" spans="2:28" ht="12.75">
      <c r="B338" s="20" t="s">
        <v>40</v>
      </c>
      <c r="F338" s="22" t="s">
        <v>54</v>
      </c>
      <c r="H338" s="22" t="s">
        <v>54</v>
      </c>
      <c r="J338" s="22" t="s">
        <v>54</v>
      </c>
      <c r="L338" s="22" t="s">
        <v>54</v>
      </c>
      <c r="N338" s="22" t="s">
        <v>42</v>
      </c>
      <c r="P338" s="22" t="s">
        <v>42</v>
      </c>
      <c r="R338" s="22" t="s">
        <v>42</v>
      </c>
      <c r="T338" s="22" t="s">
        <v>42</v>
      </c>
      <c r="V338" s="22" t="s">
        <v>86</v>
      </c>
      <c r="W338" s="22"/>
      <c r="X338" s="22" t="s">
        <v>86</v>
      </c>
      <c r="Y338" s="22"/>
      <c r="Z338" s="22" t="s">
        <v>86</v>
      </c>
      <c r="AA338" s="22"/>
      <c r="AB338" s="22" t="s">
        <v>86</v>
      </c>
    </row>
    <row r="339" spans="2:12" ht="12.75">
      <c r="B339" s="20" t="s">
        <v>114</v>
      </c>
      <c r="D339" s="20" t="s">
        <v>44</v>
      </c>
      <c r="F339" s="21">
        <f>72.9*60</f>
        <v>4374</v>
      </c>
      <c r="H339" s="21">
        <f>73*60</f>
        <v>4380</v>
      </c>
      <c r="J339" s="21">
        <f>72.9*60</f>
        <v>4374</v>
      </c>
      <c r="L339" s="23">
        <f aca="true" t="shared" si="34" ref="L339:L352">AVERAGE(F339,H339,J339)</f>
        <v>4376</v>
      </c>
    </row>
    <row r="340" spans="2:12" ht="12.75">
      <c r="B340" s="20" t="s">
        <v>45</v>
      </c>
      <c r="D340" s="20" t="s">
        <v>46</v>
      </c>
      <c r="F340" s="21">
        <v>17240</v>
      </c>
      <c r="H340" s="21">
        <v>17240</v>
      </c>
      <c r="J340" s="21">
        <v>17240</v>
      </c>
      <c r="L340" s="28">
        <f t="shared" si="34"/>
        <v>17240</v>
      </c>
    </row>
    <row r="341" spans="2:12" ht="12.75">
      <c r="B341" s="20" t="s">
        <v>49</v>
      </c>
      <c r="D341" s="20" t="s">
        <v>32</v>
      </c>
      <c r="E341" s="24"/>
      <c r="F341" s="42">
        <f>2.4*453.6</f>
        <v>1088.64</v>
      </c>
      <c r="G341" s="42"/>
      <c r="H341" s="42">
        <f>2.4*453.6</f>
        <v>1088.64</v>
      </c>
      <c r="I341" s="42"/>
      <c r="J341" s="42">
        <f>0.6*453.6</f>
        <v>272.16</v>
      </c>
      <c r="K341" s="24"/>
      <c r="L341" s="28">
        <f t="shared" si="34"/>
        <v>816.48</v>
      </c>
    </row>
    <row r="342" spans="2:12" ht="12.75">
      <c r="B342" s="20" t="s">
        <v>50</v>
      </c>
      <c r="D342" s="20" t="s">
        <v>32</v>
      </c>
      <c r="E342" s="24"/>
      <c r="F342" s="24">
        <v>168.7</v>
      </c>
      <c r="G342" s="24"/>
      <c r="H342" s="24">
        <v>151</v>
      </c>
      <c r="I342" s="24"/>
      <c r="J342" s="24">
        <v>156.8</v>
      </c>
      <c r="K342" s="24"/>
      <c r="L342" s="28">
        <f t="shared" si="34"/>
        <v>158.83333333333334</v>
      </c>
    </row>
    <row r="343" spans="2:12" ht="12.75">
      <c r="B343" s="20" t="s">
        <v>107</v>
      </c>
      <c r="D343" s="20" t="s">
        <v>32</v>
      </c>
      <c r="E343" s="24" t="s">
        <v>34</v>
      </c>
      <c r="F343" s="23">
        <v>0.99</v>
      </c>
      <c r="G343" s="24" t="s">
        <v>34</v>
      </c>
      <c r="H343" s="23">
        <v>0.99</v>
      </c>
      <c r="I343" s="24" t="s">
        <v>34</v>
      </c>
      <c r="J343" s="23">
        <v>0.99</v>
      </c>
      <c r="K343" s="24"/>
      <c r="L343" s="28">
        <f t="shared" si="34"/>
        <v>0.9899999999999999</v>
      </c>
    </row>
    <row r="344" spans="2:12" ht="12.75">
      <c r="B344" s="20" t="s">
        <v>103</v>
      </c>
      <c r="D344" s="20" t="s">
        <v>32</v>
      </c>
      <c r="E344" s="24" t="s">
        <v>34</v>
      </c>
      <c r="F344" s="23">
        <v>0.99</v>
      </c>
      <c r="G344" s="24" t="s">
        <v>34</v>
      </c>
      <c r="H344" s="23">
        <v>0.99</v>
      </c>
      <c r="I344" s="24" t="s">
        <v>34</v>
      </c>
      <c r="J344" s="23">
        <v>0.99</v>
      </c>
      <c r="K344" s="24"/>
      <c r="L344" s="28">
        <f t="shared" si="34"/>
        <v>0.9899999999999999</v>
      </c>
    </row>
    <row r="345" spans="2:12" ht="12.75">
      <c r="B345" s="20" t="s">
        <v>104</v>
      </c>
      <c r="D345" s="20" t="s">
        <v>32</v>
      </c>
      <c r="E345" s="24" t="s">
        <v>34</v>
      </c>
      <c r="F345" s="23">
        <v>0.3</v>
      </c>
      <c r="G345" s="24" t="s">
        <v>34</v>
      </c>
      <c r="H345" s="23">
        <v>0.3</v>
      </c>
      <c r="I345" s="24" t="s">
        <v>34</v>
      </c>
      <c r="J345" s="23">
        <v>0.3</v>
      </c>
      <c r="K345" s="24"/>
      <c r="L345" s="25">
        <f t="shared" si="34"/>
        <v>0.3</v>
      </c>
    </row>
    <row r="346" spans="2:12" ht="12.75">
      <c r="B346" s="20" t="s">
        <v>105</v>
      </c>
      <c r="D346" s="20" t="s">
        <v>32</v>
      </c>
      <c r="E346" s="24" t="s">
        <v>34</v>
      </c>
      <c r="F346" s="23">
        <v>0.3</v>
      </c>
      <c r="G346" s="24" t="s">
        <v>34</v>
      </c>
      <c r="H346" s="23">
        <v>0.3</v>
      </c>
      <c r="I346" s="24" t="s">
        <v>34</v>
      </c>
      <c r="J346" s="23">
        <v>0.3</v>
      </c>
      <c r="K346" s="24"/>
      <c r="L346" s="25">
        <f t="shared" si="34"/>
        <v>0.3</v>
      </c>
    </row>
    <row r="347" spans="2:12" ht="12.75">
      <c r="B347" s="20" t="s">
        <v>109</v>
      </c>
      <c r="D347" s="20" t="s">
        <v>32</v>
      </c>
      <c r="E347" s="24" t="s">
        <v>34</v>
      </c>
      <c r="F347" s="23">
        <v>0.2</v>
      </c>
      <c r="G347" s="24" t="s">
        <v>34</v>
      </c>
      <c r="H347" s="23">
        <v>0.2</v>
      </c>
      <c r="I347" s="24" t="s">
        <v>34</v>
      </c>
      <c r="J347" s="23">
        <v>0.2</v>
      </c>
      <c r="K347" s="24"/>
      <c r="L347" s="25">
        <f t="shared" si="34"/>
        <v>0.20000000000000004</v>
      </c>
    </row>
    <row r="348" spans="2:12" ht="12.75">
      <c r="B348" s="20" t="s">
        <v>101</v>
      </c>
      <c r="D348" s="20" t="s">
        <v>32</v>
      </c>
      <c r="E348" s="24" t="s">
        <v>34</v>
      </c>
      <c r="F348" s="23">
        <v>0.99</v>
      </c>
      <c r="G348" s="24" t="s">
        <v>34</v>
      </c>
      <c r="H348" s="23">
        <v>0.99</v>
      </c>
      <c r="I348" s="24" t="s">
        <v>34</v>
      </c>
      <c r="J348" s="23">
        <v>0.99</v>
      </c>
      <c r="K348" s="24"/>
      <c r="L348" s="43">
        <f t="shared" si="34"/>
        <v>0.9899999999999999</v>
      </c>
    </row>
    <row r="349" spans="2:12" ht="12.75">
      <c r="B349" s="20" t="s">
        <v>108</v>
      </c>
      <c r="D349" s="20" t="s">
        <v>32</v>
      </c>
      <c r="E349" s="24" t="s">
        <v>34</v>
      </c>
      <c r="F349" s="23">
        <v>0.99</v>
      </c>
      <c r="G349" s="24" t="s">
        <v>34</v>
      </c>
      <c r="H349" s="23">
        <v>0.99</v>
      </c>
      <c r="I349" s="24" t="s">
        <v>34</v>
      </c>
      <c r="J349" s="23">
        <v>0.99</v>
      </c>
      <c r="K349" s="24"/>
      <c r="L349" s="43">
        <f t="shared" si="34"/>
        <v>0.9899999999999999</v>
      </c>
    </row>
    <row r="350" spans="2:12" ht="12.75">
      <c r="B350" s="20" t="s">
        <v>113</v>
      </c>
      <c r="D350" s="20" t="s">
        <v>32</v>
      </c>
      <c r="E350" s="24" t="s">
        <v>34</v>
      </c>
      <c r="F350" s="23">
        <v>0.04</v>
      </c>
      <c r="G350" s="24" t="s">
        <v>34</v>
      </c>
      <c r="H350" s="23">
        <v>0.04</v>
      </c>
      <c r="I350" s="24" t="s">
        <v>34</v>
      </c>
      <c r="J350" s="23">
        <v>0.04</v>
      </c>
      <c r="K350" s="24"/>
      <c r="L350" s="43">
        <f t="shared" si="34"/>
        <v>0.04</v>
      </c>
    </row>
    <row r="351" spans="2:12" ht="12.75">
      <c r="B351" s="20" t="s">
        <v>110</v>
      </c>
      <c r="D351" s="20" t="s">
        <v>32</v>
      </c>
      <c r="E351" s="24" t="s">
        <v>34</v>
      </c>
      <c r="F351" s="23">
        <v>0.4</v>
      </c>
      <c r="G351" s="24" t="s">
        <v>34</v>
      </c>
      <c r="H351" s="23">
        <v>0.4</v>
      </c>
      <c r="I351" s="24" t="s">
        <v>34</v>
      </c>
      <c r="J351" s="23">
        <v>0.4</v>
      </c>
      <c r="K351" s="24"/>
      <c r="L351" s="43">
        <f t="shared" si="34"/>
        <v>0.4000000000000001</v>
      </c>
    </row>
    <row r="352" spans="2:12" ht="12.75">
      <c r="B352" s="20" t="s">
        <v>106</v>
      </c>
      <c r="D352" s="20" t="s">
        <v>32</v>
      </c>
      <c r="E352" s="24" t="s">
        <v>34</v>
      </c>
      <c r="F352" s="23">
        <v>0.99</v>
      </c>
      <c r="G352" s="24" t="s">
        <v>34</v>
      </c>
      <c r="H352" s="23">
        <v>0.99</v>
      </c>
      <c r="I352" s="24" t="s">
        <v>34</v>
      </c>
      <c r="J352" s="23">
        <v>0.99</v>
      </c>
      <c r="K352" s="24"/>
      <c r="L352" s="43">
        <f t="shared" si="34"/>
        <v>0.9899999999999999</v>
      </c>
    </row>
    <row r="353" spans="5:11" ht="12.75">
      <c r="E353" s="24"/>
      <c r="F353" s="24"/>
      <c r="G353" s="24"/>
      <c r="H353" s="24"/>
      <c r="I353" s="24"/>
      <c r="J353" s="24"/>
      <c r="K353" s="24"/>
    </row>
    <row r="354" spans="2:12" ht="12.75">
      <c r="B354" s="20" t="s">
        <v>63</v>
      </c>
      <c r="D354" s="20" t="s">
        <v>36</v>
      </c>
      <c r="E354" s="24"/>
      <c r="F354" s="16">
        <v>28658</v>
      </c>
      <c r="G354" s="16"/>
      <c r="H354" s="17">
        <v>29951</v>
      </c>
      <c r="I354" s="17"/>
      <c r="J354" s="16">
        <v>29548</v>
      </c>
      <c r="K354" s="11"/>
      <c r="L354" s="39">
        <f>AVERAGE(J354,H354,F354)</f>
        <v>29385.666666666668</v>
      </c>
    </row>
    <row r="355" spans="2:12" ht="12.75">
      <c r="B355" s="20" t="s">
        <v>64</v>
      </c>
      <c r="D355" s="20" t="s">
        <v>37</v>
      </c>
      <c r="F355" s="16">
        <v>3.4</v>
      </c>
      <c r="G355" s="16"/>
      <c r="H355" s="16">
        <v>5.1</v>
      </c>
      <c r="I355" s="16"/>
      <c r="J355" s="16">
        <v>5.1</v>
      </c>
      <c r="K355" s="11"/>
      <c r="L355" s="15">
        <f>AVERAGE(J355,H355,F355)</f>
        <v>4.533333333333333</v>
      </c>
    </row>
    <row r="357" spans="2:28" ht="12.75">
      <c r="B357" s="20" t="s">
        <v>112</v>
      </c>
      <c r="D357" s="20" t="s">
        <v>65</v>
      </c>
      <c r="F357" s="25">
        <f>F339*F340/1000000</f>
        <v>75.40776</v>
      </c>
      <c r="G357" s="25"/>
      <c r="H357" s="25">
        <f>H339*H340/1000000</f>
        <v>75.5112</v>
      </c>
      <c r="I357" s="25"/>
      <c r="J357" s="25">
        <f>J339*J340/1000000</f>
        <v>75.40776</v>
      </c>
      <c r="L357" s="28">
        <f>AVERAGE(F357,H357,J357)</f>
        <v>75.44224</v>
      </c>
      <c r="N357" s="25">
        <v>77</v>
      </c>
      <c r="O357" s="25"/>
      <c r="P357" s="25">
        <v>76.5</v>
      </c>
      <c r="Q357" s="25"/>
      <c r="R357" s="25">
        <v>75.5</v>
      </c>
      <c r="S357" s="21"/>
      <c r="T357" s="28">
        <f>AVERAGE(N357,P357,R357)</f>
        <v>76.33333333333333</v>
      </c>
      <c r="V357" s="25">
        <f>F357+N357</f>
        <v>152.40776</v>
      </c>
      <c r="W357" s="25"/>
      <c r="X357" s="25">
        <f>H357+P357</f>
        <v>152.0112</v>
      </c>
      <c r="Y357" s="25"/>
      <c r="Z357" s="25">
        <f>J357+R357</f>
        <v>150.90776</v>
      </c>
      <c r="AB357" s="28">
        <f>AVERAGE(V357,X357,Z357)</f>
        <v>151.7755733333333</v>
      </c>
    </row>
    <row r="358" spans="6:12" ht="12.75">
      <c r="F358" s="23"/>
      <c r="H358" s="23"/>
      <c r="J358" s="23"/>
      <c r="L358" s="23"/>
    </row>
    <row r="359" spans="2:12" ht="12.75">
      <c r="B359" s="30" t="s">
        <v>88</v>
      </c>
      <c r="C359" s="30"/>
      <c r="F359" s="23"/>
      <c r="H359" s="23"/>
      <c r="J359" s="23"/>
      <c r="L359" s="23"/>
    </row>
    <row r="360" spans="2:34" ht="12.75">
      <c r="B360" s="20" t="s">
        <v>49</v>
      </c>
      <c r="D360" s="20" t="s">
        <v>66</v>
      </c>
      <c r="F360" s="25">
        <f>F341/F$354/60/0.0283*1000*(21-7)/(21-F$355)</f>
        <v>17.795741607715005</v>
      </c>
      <c r="G360" s="25"/>
      <c r="H360" s="25">
        <f>H341/H$354/60/0.0283*1000*(21-7)/(21-H$355)</f>
        <v>18.84803961500342</v>
      </c>
      <c r="I360" s="25"/>
      <c r="J360" s="25">
        <f>J341/J$354/60/0.0283*1000*(21-7)/(21-J$355)</f>
        <v>4.776276182050962</v>
      </c>
      <c r="K360" s="27"/>
      <c r="L360" s="25">
        <f>AVERAGE(F360,H360,J360)</f>
        <v>13.806685801589795</v>
      </c>
      <c r="V360" s="27">
        <f>F360</f>
        <v>17.795741607715005</v>
      </c>
      <c r="X360" s="27">
        <f>H360</f>
        <v>18.84803961500342</v>
      </c>
      <c r="Z360" s="27">
        <f>J360</f>
        <v>4.776276182050962</v>
      </c>
      <c r="AA360"/>
      <c r="AB360" s="27">
        <f>L360</f>
        <v>13.806685801589795</v>
      </c>
      <c r="AC360"/>
      <c r="AD360"/>
      <c r="AE360"/>
      <c r="AF360"/>
      <c r="AG360"/>
      <c r="AH360"/>
    </row>
    <row r="361" spans="2:34" ht="12.75">
      <c r="B361" s="20" t="s">
        <v>50</v>
      </c>
      <c r="D361" s="20" t="s">
        <v>62</v>
      </c>
      <c r="F361" s="28">
        <f aca="true" t="shared" si="35" ref="F361:F371">F342/F$354/60/0.0283*1000000*(21-7)/(21-F$355)</f>
        <v>2757.699156030938</v>
      </c>
      <c r="G361" s="28"/>
      <c r="H361" s="28">
        <f aca="true" t="shared" si="36" ref="H361:H371">H342/H$354/60/0.0283*1000000*(21-7)/(21-H$355)</f>
        <v>2614.320603565472</v>
      </c>
      <c r="I361" s="28"/>
      <c r="J361" s="28">
        <f aca="true" t="shared" si="37" ref="J361:J371">J342/J$354/60/0.0283*1000000*(21-7)/(21-J$355)</f>
        <v>2751.764055502612</v>
      </c>
      <c r="K361" s="27"/>
      <c r="L361" s="28">
        <f>AVERAGE(F361,H361,J361)</f>
        <v>2707.9279383663406</v>
      </c>
      <c r="V361" s="27">
        <f aca="true" t="shared" si="38" ref="V361:V373">F361</f>
        <v>2757.699156030938</v>
      </c>
      <c r="X361" s="27">
        <f aca="true" t="shared" si="39" ref="X361:X373">H361</f>
        <v>2614.320603565472</v>
      </c>
      <c r="Z361" s="27">
        <f aca="true" t="shared" si="40" ref="Z361:Z373">J361</f>
        <v>2751.764055502612</v>
      </c>
      <c r="AA361"/>
      <c r="AB361" s="27">
        <f aca="true" t="shared" si="41" ref="AB361:AB373">L361</f>
        <v>2707.9279383663406</v>
      </c>
      <c r="AC361"/>
      <c r="AD361"/>
      <c r="AE361"/>
      <c r="AF361"/>
      <c r="AG361"/>
      <c r="AH361"/>
    </row>
    <row r="362" spans="2:34" ht="12.75">
      <c r="B362" s="20" t="s">
        <v>107</v>
      </c>
      <c r="D362" s="20" t="s">
        <v>62</v>
      </c>
      <c r="E362" s="24" t="s">
        <v>34</v>
      </c>
      <c r="F362" s="28">
        <f t="shared" si="35"/>
        <v>16.183296766275216</v>
      </c>
      <c r="G362" s="26" t="s">
        <v>34</v>
      </c>
      <c r="H362" s="28">
        <f t="shared" si="36"/>
        <v>17.140247665760377</v>
      </c>
      <c r="I362" s="26" t="s">
        <v>34</v>
      </c>
      <c r="J362" s="28">
        <f t="shared" si="37"/>
        <v>17.374020503492257</v>
      </c>
      <c r="K362" s="26"/>
      <c r="L362" s="28">
        <f aca="true" t="shared" si="42" ref="L362:L371">AVERAGE(F362,H362,J362)/2</f>
        <v>8.449594155921309</v>
      </c>
      <c r="V362" s="27">
        <f t="shared" si="38"/>
        <v>16.183296766275216</v>
      </c>
      <c r="X362" s="27">
        <f t="shared" si="39"/>
        <v>17.140247665760377</v>
      </c>
      <c r="Z362" s="27">
        <f t="shared" si="40"/>
        <v>17.374020503492257</v>
      </c>
      <c r="AA362"/>
      <c r="AB362" s="27">
        <f t="shared" si="41"/>
        <v>8.449594155921309</v>
      </c>
      <c r="AC362"/>
      <c r="AD362"/>
      <c r="AE362"/>
      <c r="AF362"/>
      <c r="AG362"/>
      <c r="AH362"/>
    </row>
    <row r="363" spans="2:34" ht="12.75">
      <c r="B363" s="20" t="s">
        <v>103</v>
      </c>
      <c r="D363" s="20" t="s">
        <v>62</v>
      </c>
      <c r="E363" s="24" t="s">
        <v>34</v>
      </c>
      <c r="F363" s="28">
        <f t="shared" si="35"/>
        <v>16.183296766275216</v>
      </c>
      <c r="G363" s="26" t="s">
        <v>34</v>
      </c>
      <c r="H363" s="28">
        <f t="shared" si="36"/>
        <v>17.140247665760377</v>
      </c>
      <c r="I363" s="26" t="s">
        <v>34</v>
      </c>
      <c r="J363" s="28">
        <f t="shared" si="37"/>
        <v>17.374020503492257</v>
      </c>
      <c r="K363" s="26"/>
      <c r="L363" s="28">
        <f t="shared" si="42"/>
        <v>8.449594155921309</v>
      </c>
      <c r="V363" s="27">
        <f t="shared" si="38"/>
        <v>16.183296766275216</v>
      </c>
      <c r="X363" s="27">
        <f t="shared" si="39"/>
        <v>17.140247665760377</v>
      </c>
      <c r="Z363" s="27">
        <f t="shared" si="40"/>
        <v>17.374020503492257</v>
      </c>
      <c r="AA363"/>
      <c r="AB363" s="27">
        <f t="shared" si="41"/>
        <v>8.449594155921309</v>
      </c>
      <c r="AC363"/>
      <c r="AD363"/>
      <c r="AE363"/>
      <c r="AF363"/>
      <c r="AG363"/>
      <c r="AH363"/>
    </row>
    <row r="364" spans="2:34" ht="12.75">
      <c r="B364" s="20" t="s">
        <v>104</v>
      </c>
      <c r="D364" s="20" t="s">
        <v>62</v>
      </c>
      <c r="E364" s="24" t="s">
        <v>34</v>
      </c>
      <c r="F364" s="28">
        <f t="shared" si="35"/>
        <v>4.9040293231137015</v>
      </c>
      <c r="G364" s="26" t="s">
        <v>34</v>
      </c>
      <c r="H364" s="28">
        <f t="shared" si="36"/>
        <v>5.194014444169812</v>
      </c>
      <c r="I364" s="26" t="s">
        <v>34</v>
      </c>
      <c r="J364" s="28">
        <f t="shared" si="37"/>
        <v>5.264854698027956</v>
      </c>
      <c r="K364" s="26"/>
      <c r="L364" s="28">
        <f t="shared" si="42"/>
        <v>2.5604830775519116</v>
      </c>
      <c r="V364" s="27">
        <f t="shared" si="38"/>
        <v>4.9040293231137015</v>
      </c>
      <c r="X364" s="27">
        <f t="shared" si="39"/>
        <v>5.194014444169812</v>
      </c>
      <c r="Z364" s="27">
        <f t="shared" si="40"/>
        <v>5.264854698027956</v>
      </c>
      <c r="AA364"/>
      <c r="AB364" s="27">
        <f t="shared" si="41"/>
        <v>2.5604830775519116</v>
      </c>
      <c r="AC364"/>
      <c r="AD364"/>
      <c r="AE364"/>
      <c r="AF364"/>
      <c r="AG364"/>
      <c r="AH364"/>
    </row>
    <row r="365" spans="2:34" ht="12.75">
      <c r="B365" s="20" t="s">
        <v>105</v>
      </c>
      <c r="D365" s="20" t="s">
        <v>62</v>
      </c>
      <c r="E365" s="24" t="s">
        <v>34</v>
      </c>
      <c r="F365" s="28">
        <f t="shared" si="35"/>
        <v>4.9040293231137015</v>
      </c>
      <c r="G365" s="26" t="s">
        <v>34</v>
      </c>
      <c r="H365" s="28">
        <f t="shared" si="36"/>
        <v>5.194014444169812</v>
      </c>
      <c r="I365" s="26" t="s">
        <v>34</v>
      </c>
      <c r="J365" s="28">
        <f t="shared" si="37"/>
        <v>5.264854698027956</v>
      </c>
      <c r="K365" s="26"/>
      <c r="L365" s="28">
        <f t="shared" si="42"/>
        <v>2.5604830775519116</v>
      </c>
      <c r="V365" s="27">
        <f t="shared" si="38"/>
        <v>4.9040293231137015</v>
      </c>
      <c r="X365" s="27">
        <f t="shared" si="39"/>
        <v>5.194014444169812</v>
      </c>
      <c r="Z365" s="27">
        <f t="shared" si="40"/>
        <v>5.264854698027956</v>
      </c>
      <c r="AA365"/>
      <c r="AB365" s="27">
        <f t="shared" si="41"/>
        <v>2.5604830775519116</v>
      </c>
      <c r="AC365"/>
      <c r="AD365"/>
      <c r="AE365"/>
      <c r="AF365"/>
      <c r="AG365"/>
      <c r="AH365"/>
    </row>
    <row r="366" spans="2:34" ht="12.75">
      <c r="B366" s="20" t="s">
        <v>109</v>
      </c>
      <c r="D366" s="20" t="s">
        <v>62</v>
      </c>
      <c r="E366" s="24" t="s">
        <v>34</v>
      </c>
      <c r="F366" s="28">
        <f t="shared" si="35"/>
        <v>3.2693528820758018</v>
      </c>
      <c r="G366" s="26" t="s">
        <v>34</v>
      </c>
      <c r="H366" s="28">
        <f t="shared" si="36"/>
        <v>3.4626762961132087</v>
      </c>
      <c r="I366" s="26" t="s">
        <v>34</v>
      </c>
      <c r="J366" s="28">
        <f t="shared" si="37"/>
        <v>3.5099031320186374</v>
      </c>
      <c r="K366" s="26"/>
      <c r="L366" s="28">
        <f t="shared" si="42"/>
        <v>1.7069887183679413</v>
      </c>
      <c r="V366" s="27">
        <f t="shared" si="38"/>
        <v>3.2693528820758018</v>
      </c>
      <c r="X366" s="27">
        <f t="shared" si="39"/>
        <v>3.4626762961132087</v>
      </c>
      <c r="Z366" s="27">
        <f t="shared" si="40"/>
        <v>3.5099031320186374</v>
      </c>
      <c r="AA366"/>
      <c r="AB366" s="27">
        <f t="shared" si="41"/>
        <v>1.7069887183679413</v>
      </c>
      <c r="AC366"/>
      <c r="AD366"/>
      <c r="AE366"/>
      <c r="AF366"/>
      <c r="AG366"/>
      <c r="AH366"/>
    </row>
    <row r="367" spans="2:34" ht="12.75">
      <c r="B367" s="20" t="s">
        <v>101</v>
      </c>
      <c r="D367" s="20" t="s">
        <v>62</v>
      </c>
      <c r="E367" s="24" t="s">
        <v>34</v>
      </c>
      <c r="F367" s="28">
        <f t="shared" si="35"/>
        <v>16.183296766275216</v>
      </c>
      <c r="G367" s="26" t="s">
        <v>34</v>
      </c>
      <c r="H367" s="28">
        <f t="shared" si="36"/>
        <v>17.140247665760377</v>
      </c>
      <c r="I367" s="26" t="s">
        <v>34</v>
      </c>
      <c r="J367" s="28">
        <f t="shared" si="37"/>
        <v>17.374020503492257</v>
      </c>
      <c r="K367" s="26"/>
      <c r="L367" s="28">
        <f t="shared" si="42"/>
        <v>8.449594155921309</v>
      </c>
      <c r="V367" s="27">
        <f t="shared" si="38"/>
        <v>16.183296766275216</v>
      </c>
      <c r="X367" s="27">
        <f t="shared" si="39"/>
        <v>17.140247665760377</v>
      </c>
      <c r="Z367" s="27">
        <f t="shared" si="40"/>
        <v>17.374020503492257</v>
      </c>
      <c r="AA367"/>
      <c r="AB367" s="27">
        <f t="shared" si="41"/>
        <v>8.449594155921309</v>
      </c>
      <c r="AC367"/>
      <c r="AD367"/>
      <c r="AE367"/>
      <c r="AF367"/>
      <c r="AG367"/>
      <c r="AH367"/>
    </row>
    <row r="368" spans="2:34" ht="12.75">
      <c r="B368" s="20" t="s">
        <v>108</v>
      </c>
      <c r="D368" s="20" t="s">
        <v>62</v>
      </c>
      <c r="E368" s="24" t="s">
        <v>34</v>
      </c>
      <c r="F368" s="28">
        <f t="shared" si="35"/>
        <v>16.183296766275216</v>
      </c>
      <c r="G368" s="26" t="s">
        <v>34</v>
      </c>
      <c r="H368" s="28">
        <f t="shared" si="36"/>
        <v>17.140247665760377</v>
      </c>
      <c r="I368" s="26" t="s">
        <v>34</v>
      </c>
      <c r="J368" s="28">
        <f t="shared" si="37"/>
        <v>17.374020503492257</v>
      </c>
      <c r="K368" s="26"/>
      <c r="L368" s="28">
        <f t="shared" si="42"/>
        <v>8.449594155921309</v>
      </c>
      <c r="V368" s="27">
        <f t="shared" si="38"/>
        <v>16.183296766275216</v>
      </c>
      <c r="X368" s="27">
        <f t="shared" si="39"/>
        <v>17.140247665760377</v>
      </c>
      <c r="Z368" s="27">
        <f t="shared" si="40"/>
        <v>17.374020503492257</v>
      </c>
      <c r="AA368"/>
      <c r="AB368" s="27">
        <f t="shared" si="41"/>
        <v>8.449594155921309</v>
      </c>
      <c r="AC368"/>
      <c r="AD368"/>
      <c r="AE368"/>
      <c r="AF368"/>
      <c r="AG368"/>
      <c r="AH368"/>
    </row>
    <row r="369" spans="2:34" ht="12.75">
      <c r="B369" s="20" t="s">
        <v>113</v>
      </c>
      <c r="D369" s="20" t="s">
        <v>62</v>
      </c>
      <c r="E369" s="24" t="s">
        <v>34</v>
      </c>
      <c r="F369" s="28">
        <f t="shared" si="35"/>
        <v>0.6538705764151602</v>
      </c>
      <c r="G369" s="26" t="s">
        <v>34</v>
      </c>
      <c r="H369" s="28">
        <f t="shared" si="36"/>
        <v>0.6925352592226417</v>
      </c>
      <c r="I369" s="26" t="s">
        <v>34</v>
      </c>
      <c r="J369" s="28">
        <f t="shared" si="37"/>
        <v>0.7019806264037275</v>
      </c>
      <c r="K369" s="26"/>
      <c r="L369" s="28">
        <f t="shared" si="42"/>
        <v>0.3413977436735882</v>
      </c>
      <c r="V369" s="27">
        <f t="shared" si="38"/>
        <v>0.6538705764151602</v>
      </c>
      <c r="X369" s="27">
        <f t="shared" si="39"/>
        <v>0.6925352592226417</v>
      </c>
      <c r="Z369" s="27">
        <f t="shared" si="40"/>
        <v>0.7019806264037275</v>
      </c>
      <c r="AA369"/>
      <c r="AB369" s="27">
        <f t="shared" si="41"/>
        <v>0.3413977436735882</v>
      </c>
      <c r="AC369"/>
      <c r="AD369"/>
      <c r="AE369"/>
      <c r="AF369"/>
      <c r="AG369"/>
      <c r="AH369"/>
    </row>
    <row r="370" spans="2:34" ht="12.75">
      <c r="B370" s="20" t="s">
        <v>110</v>
      </c>
      <c r="D370" s="20" t="s">
        <v>62</v>
      </c>
      <c r="E370" s="24" t="s">
        <v>34</v>
      </c>
      <c r="F370" s="28">
        <f t="shared" si="35"/>
        <v>6.5387057641516035</v>
      </c>
      <c r="G370" s="26" t="s">
        <v>34</v>
      </c>
      <c r="H370" s="28">
        <f t="shared" si="36"/>
        <v>6.925352592226417</v>
      </c>
      <c r="I370" s="26" t="s">
        <v>34</v>
      </c>
      <c r="J370" s="28">
        <f t="shared" si="37"/>
        <v>7.019806264037275</v>
      </c>
      <c r="K370" s="26"/>
      <c r="L370" s="28">
        <f t="shared" si="42"/>
        <v>3.4139774367358826</v>
      </c>
      <c r="V370" s="27">
        <f t="shared" si="38"/>
        <v>6.5387057641516035</v>
      </c>
      <c r="X370" s="27">
        <f t="shared" si="39"/>
        <v>6.925352592226417</v>
      </c>
      <c r="Z370" s="27">
        <f t="shared" si="40"/>
        <v>7.019806264037275</v>
      </c>
      <c r="AA370"/>
      <c r="AB370" s="27">
        <f t="shared" si="41"/>
        <v>3.4139774367358826</v>
      </c>
      <c r="AC370"/>
      <c r="AD370"/>
      <c r="AE370"/>
      <c r="AF370"/>
      <c r="AG370"/>
      <c r="AH370"/>
    </row>
    <row r="371" spans="2:34" ht="12.75">
      <c r="B371" s="20" t="s">
        <v>106</v>
      </c>
      <c r="D371" s="20" t="s">
        <v>62</v>
      </c>
      <c r="E371" s="24" t="s">
        <v>34</v>
      </c>
      <c r="F371" s="28">
        <f t="shared" si="35"/>
        <v>16.183296766275216</v>
      </c>
      <c r="G371" s="26" t="s">
        <v>34</v>
      </c>
      <c r="H371" s="28">
        <f t="shared" si="36"/>
        <v>17.140247665760377</v>
      </c>
      <c r="I371" s="26" t="s">
        <v>34</v>
      </c>
      <c r="J371" s="28">
        <f t="shared" si="37"/>
        <v>17.374020503492257</v>
      </c>
      <c r="K371" s="26"/>
      <c r="L371" s="28">
        <f t="shared" si="42"/>
        <v>8.449594155921309</v>
      </c>
      <c r="V371" s="27">
        <f t="shared" si="38"/>
        <v>16.183296766275216</v>
      </c>
      <c r="X371" s="27">
        <f t="shared" si="39"/>
        <v>17.140247665760377</v>
      </c>
      <c r="Z371" s="27">
        <f t="shared" si="40"/>
        <v>17.374020503492257</v>
      </c>
      <c r="AA371"/>
      <c r="AB371" s="27">
        <f t="shared" si="41"/>
        <v>8.449594155921309</v>
      </c>
      <c r="AC371"/>
      <c r="AD371"/>
      <c r="AE371"/>
      <c r="AF371"/>
      <c r="AG371"/>
      <c r="AH371"/>
    </row>
    <row r="372" spans="2:34" ht="12.75">
      <c r="B372" s="20" t="s">
        <v>72</v>
      </c>
      <c r="D372" s="20" t="s">
        <v>62</v>
      </c>
      <c r="E372" s="24"/>
      <c r="F372" s="28">
        <f>F366/2+F368/2</f>
        <v>9.726324824175508</v>
      </c>
      <c r="G372" s="42"/>
      <c r="H372" s="28">
        <f>H366/2+H368/2</f>
        <v>10.301461980936793</v>
      </c>
      <c r="I372" s="42"/>
      <c r="J372" s="28">
        <f>J366/2+J368/2</f>
        <v>10.441961817755448</v>
      </c>
      <c r="K372" s="26"/>
      <c r="L372" s="28">
        <f>AVERAGE(F372,H372,J372)</f>
        <v>10.15658287428925</v>
      </c>
      <c r="V372" s="27">
        <f t="shared" si="38"/>
        <v>9.726324824175508</v>
      </c>
      <c r="X372" s="27">
        <f t="shared" si="39"/>
        <v>10.301461980936793</v>
      </c>
      <c r="Z372" s="27">
        <f t="shared" si="40"/>
        <v>10.441961817755448</v>
      </c>
      <c r="AA372"/>
      <c r="AB372" s="27">
        <f t="shared" si="41"/>
        <v>10.15658287428925</v>
      </c>
      <c r="AC372"/>
      <c r="AD372"/>
      <c r="AE372"/>
      <c r="AF372"/>
      <c r="AG372"/>
      <c r="AH372"/>
    </row>
    <row r="373" spans="2:34" ht="12.75">
      <c r="B373" s="20" t="s">
        <v>73</v>
      </c>
      <c r="D373" s="20" t="s">
        <v>62</v>
      </c>
      <c r="E373" s="24"/>
      <c r="F373" s="28">
        <f>(F363/2+F365/2+F367/2)</f>
        <v>18.635311427832065</v>
      </c>
      <c r="G373" s="28"/>
      <c r="H373" s="28">
        <f>(H363/2+H365/2+H367/2)</f>
        <v>19.737254887845282</v>
      </c>
      <c r="I373" s="28"/>
      <c r="J373" s="28">
        <f>(J363/2+J365/2+J367/2)</f>
        <v>20.006447852506234</v>
      </c>
      <c r="K373" s="26"/>
      <c r="L373" s="28">
        <f>AVERAGE(F373,H373,J373)</f>
        <v>19.459671389394526</v>
      </c>
      <c r="V373" s="27">
        <f t="shared" si="38"/>
        <v>18.635311427832065</v>
      </c>
      <c r="X373" s="27">
        <f t="shared" si="39"/>
        <v>19.737254887845282</v>
      </c>
      <c r="Z373" s="27">
        <f t="shared" si="40"/>
        <v>20.006447852506234</v>
      </c>
      <c r="AA373"/>
      <c r="AB373" s="27">
        <f t="shared" si="41"/>
        <v>19.459671389394526</v>
      </c>
      <c r="AC373"/>
      <c r="AD373"/>
      <c r="AE373"/>
      <c r="AF373"/>
      <c r="AG373"/>
      <c r="AH373"/>
    </row>
    <row r="374" spans="5:12" ht="12.75">
      <c r="E374" s="24"/>
      <c r="F374" s="24"/>
      <c r="G374" s="24"/>
      <c r="H374" s="24"/>
      <c r="I374" s="24"/>
      <c r="J374" s="24"/>
      <c r="K374" s="24"/>
      <c r="L374" s="23"/>
    </row>
    <row r="376" ht="12.75">
      <c r="B376" s="19" t="s">
        <v>179</v>
      </c>
    </row>
    <row r="377" spans="2:28" ht="12.75">
      <c r="B377" s="19"/>
      <c r="C377" s="19"/>
      <c r="F377" s="24" t="s">
        <v>117</v>
      </c>
      <c r="G377" s="24"/>
      <c r="H377" s="24" t="s">
        <v>118</v>
      </c>
      <c r="I377" s="24"/>
      <c r="J377" s="24" t="s">
        <v>119</v>
      </c>
      <c r="K377" s="24"/>
      <c r="L377" s="24" t="s">
        <v>39</v>
      </c>
      <c r="N377" s="24" t="s">
        <v>117</v>
      </c>
      <c r="O377" s="24"/>
      <c r="P377" s="24" t="s">
        <v>118</v>
      </c>
      <c r="Q377" s="24"/>
      <c r="R377" s="24" t="s">
        <v>119</v>
      </c>
      <c r="S377" s="24"/>
      <c r="T377" s="24" t="s">
        <v>39</v>
      </c>
      <c r="V377" s="24" t="s">
        <v>117</v>
      </c>
      <c r="W377" s="24"/>
      <c r="X377" s="24" t="s">
        <v>118</v>
      </c>
      <c r="Y377" s="24"/>
      <c r="Z377" s="24" t="s">
        <v>119</v>
      </c>
      <c r="AA377" s="24"/>
      <c r="AB377" s="24" t="s">
        <v>39</v>
      </c>
    </row>
    <row r="378" spans="2:28" ht="12.75">
      <c r="B378" s="19"/>
      <c r="C378" s="19"/>
      <c r="N378" s="21"/>
      <c r="O378" s="21"/>
      <c r="P378" s="21"/>
      <c r="Q378" s="21"/>
      <c r="R378" s="21"/>
      <c r="S378" s="21"/>
      <c r="T378" s="22"/>
      <c r="AB378" s="22"/>
    </row>
    <row r="379" spans="2:28" ht="12.75">
      <c r="B379" s="20" t="s">
        <v>131</v>
      </c>
      <c r="C379" s="19"/>
      <c r="F379" s="24" t="s">
        <v>142</v>
      </c>
      <c r="H379" s="24" t="s">
        <v>142</v>
      </c>
      <c r="J379" s="24" t="s">
        <v>142</v>
      </c>
      <c r="L379" s="24" t="s">
        <v>142</v>
      </c>
      <c r="N379" s="24" t="s">
        <v>143</v>
      </c>
      <c r="O379" s="21"/>
      <c r="P379" s="24" t="s">
        <v>143</v>
      </c>
      <c r="Q379" s="21"/>
      <c r="R379" s="24" t="s">
        <v>143</v>
      </c>
      <c r="S379" s="21"/>
      <c r="T379" s="24" t="s">
        <v>143</v>
      </c>
      <c r="V379" s="24" t="s">
        <v>144</v>
      </c>
      <c r="X379" s="24" t="s">
        <v>144</v>
      </c>
      <c r="Z379" s="24" t="s">
        <v>144</v>
      </c>
      <c r="AB379" s="24" t="s">
        <v>144</v>
      </c>
    </row>
    <row r="380" spans="2:28" ht="12.75">
      <c r="B380" s="20" t="s">
        <v>132</v>
      </c>
      <c r="F380" s="24" t="s">
        <v>133</v>
      </c>
      <c r="H380" s="24" t="s">
        <v>133</v>
      </c>
      <c r="J380" s="24" t="s">
        <v>133</v>
      </c>
      <c r="L380" s="24" t="s">
        <v>133</v>
      </c>
      <c r="N380" s="24" t="s">
        <v>134</v>
      </c>
      <c r="O380" s="21"/>
      <c r="P380" s="24" t="s">
        <v>134</v>
      </c>
      <c r="Q380" s="21"/>
      <c r="R380" s="24" t="s">
        <v>134</v>
      </c>
      <c r="S380" s="21"/>
      <c r="T380" s="24" t="s">
        <v>134</v>
      </c>
      <c r="V380" s="24" t="s">
        <v>86</v>
      </c>
      <c r="X380" s="24" t="s">
        <v>86</v>
      </c>
      <c r="Z380" s="24" t="s">
        <v>86</v>
      </c>
      <c r="AB380" s="24" t="s">
        <v>86</v>
      </c>
    </row>
    <row r="381" spans="2:28" ht="12.75">
      <c r="B381" s="20" t="s">
        <v>147</v>
      </c>
      <c r="F381" s="24" t="s">
        <v>71</v>
      </c>
      <c r="H381" s="24" t="s">
        <v>71</v>
      </c>
      <c r="J381" s="24" t="s">
        <v>71</v>
      </c>
      <c r="L381" s="24" t="s">
        <v>71</v>
      </c>
      <c r="N381" s="24" t="s">
        <v>148</v>
      </c>
      <c r="O381" s="21"/>
      <c r="P381" s="24" t="s">
        <v>148</v>
      </c>
      <c r="Q381" s="21"/>
      <c r="R381" s="24" t="s">
        <v>148</v>
      </c>
      <c r="S381" s="21"/>
      <c r="T381" s="24" t="s">
        <v>148</v>
      </c>
      <c r="V381" s="24" t="s">
        <v>86</v>
      </c>
      <c r="X381" s="24" t="s">
        <v>86</v>
      </c>
      <c r="Z381" s="24" t="s">
        <v>86</v>
      </c>
      <c r="AB381" s="24" t="s">
        <v>86</v>
      </c>
    </row>
    <row r="382" spans="2:28" ht="12.75">
      <c r="B382" s="20" t="s">
        <v>40</v>
      </c>
      <c r="F382" s="22" t="s">
        <v>41</v>
      </c>
      <c r="H382" s="22" t="s">
        <v>41</v>
      </c>
      <c r="J382" s="22" t="s">
        <v>41</v>
      </c>
      <c r="L382" s="22" t="s">
        <v>41</v>
      </c>
      <c r="N382" s="22" t="s">
        <v>42</v>
      </c>
      <c r="P382" s="22" t="s">
        <v>42</v>
      </c>
      <c r="R382" s="22" t="s">
        <v>42</v>
      </c>
      <c r="T382" s="22" t="s">
        <v>42</v>
      </c>
      <c r="V382" s="22" t="s">
        <v>86</v>
      </c>
      <c r="W382" s="22"/>
      <c r="X382" s="22" t="s">
        <v>86</v>
      </c>
      <c r="Y382" s="22"/>
      <c r="Z382" s="22" t="s">
        <v>86</v>
      </c>
      <c r="AA382" s="22"/>
      <c r="AB382" s="22" t="s">
        <v>86</v>
      </c>
    </row>
    <row r="383" spans="2:12" ht="12.75">
      <c r="B383" s="20" t="s">
        <v>114</v>
      </c>
      <c r="D383" s="20" t="s">
        <v>44</v>
      </c>
      <c r="F383" s="21">
        <f>93*60</f>
        <v>5580</v>
      </c>
      <c r="H383" s="21">
        <f>92.6*60</f>
        <v>5556</v>
      </c>
      <c r="J383" s="21">
        <f>93*60</f>
        <v>5580</v>
      </c>
      <c r="L383" s="23">
        <f>AVERAGE(F383,H383,J383)</f>
        <v>5572</v>
      </c>
    </row>
    <row r="384" spans="2:12" ht="12.75">
      <c r="B384" s="20" t="s">
        <v>45</v>
      </c>
      <c r="D384" s="20" t="s">
        <v>46</v>
      </c>
      <c r="F384" s="21">
        <v>15620</v>
      </c>
      <c r="H384" s="21">
        <v>15620</v>
      </c>
      <c r="J384" s="21">
        <v>15620</v>
      </c>
      <c r="L384" s="28">
        <f>AVERAGE(F384,H384,J384)</f>
        <v>15620</v>
      </c>
    </row>
    <row r="385" spans="2:12" ht="12.75">
      <c r="B385" s="20" t="s">
        <v>49</v>
      </c>
      <c r="D385" s="20" t="s">
        <v>32</v>
      </c>
      <c r="E385" s="24" t="s">
        <v>34</v>
      </c>
      <c r="F385" s="42">
        <f>1.2*453.6</f>
        <v>544.32</v>
      </c>
      <c r="G385" s="42" t="s">
        <v>34</v>
      </c>
      <c r="H385" s="42">
        <f>1.2*453.6</f>
        <v>544.32</v>
      </c>
      <c r="I385" s="42" t="s">
        <v>34</v>
      </c>
      <c r="J385" s="42">
        <f>1.2*453.6</f>
        <v>544.32</v>
      </c>
      <c r="K385" s="24"/>
      <c r="L385" s="28">
        <f>AVERAGE(F385,H385,J385)</f>
        <v>544.32</v>
      </c>
    </row>
    <row r="386" spans="2:12" ht="12.75">
      <c r="B386" s="20" t="s">
        <v>50</v>
      </c>
      <c r="D386" s="20" t="s">
        <v>32</v>
      </c>
      <c r="E386" s="24"/>
      <c r="F386" s="24"/>
      <c r="G386" s="24"/>
      <c r="H386" s="24"/>
      <c r="I386" s="24"/>
      <c r="J386" s="24"/>
      <c r="K386" s="24"/>
      <c r="L386" s="28"/>
    </row>
    <row r="387" spans="2:12" ht="12.75">
      <c r="B387" s="20" t="s">
        <v>107</v>
      </c>
      <c r="D387" s="20" t="s">
        <v>32</v>
      </c>
      <c r="E387" s="24" t="s">
        <v>34</v>
      </c>
      <c r="F387" s="23">
        <v>1.27</v>
      </c>
      <c r="G387" s="24" t="s">
        <v>34</v>
      </c>
      <c r="H387" s="23">
        <v>1.26</v>
      </c>
      <c r="I387" s="24" t="s">
        <v>34</v>
      </c>
      <c r="J387" s="23">
        <v>1.26</v>
      </c>
      <c r="K387" s="24"/>
      <c r="L387" s="28">
        <f aca="true" t="shared" si="43" ref="L387:L396">AVERAGE(F387,H387,J387)</f>
        <v>1.2633333333333334</v>
      </c>
    </row>
    <row r="388" spans="2:12" ht="12.75">
      <c r="B388" s="20" t="s">
        <v>103</v>
      </c>
      <c r="D388" s="20" t="s">
        <v>32</v>
      </c>
      <c r="E388" s="24" t="s">
        <v>34</v>
      </c>
      <c r="F388" s="23">
        <v>1.27</v>
      </c>
      <c r="G388" s="24" t="s">
        <v>34</v>
      </c>
      <c r="H388" s="23">
        <v>1.26</v>
      </c>
      <c r="I388" s="24" t="s">
        <v>34</v>
      </c>
      <c r="J388" s="23">
        <v>1.26</v>
      </c>
      <c r="K388" s="24"/>
      <c r="L388" s="28">
        <f t="shared" si="43"/>
        <v>1.2633333333333334</v>
      </c>
    </row>
    <row r="389" spans="2:12" ht="12.75">
      <c r="B389" s="20" t="s">
        <v>104</v>
      </c>
      <c r="D389" s="20" t="s">
        <v>32</v>
      </c>
      <c r="E389" s="24" t="s">
        <v>34</v>
      </c>
      <c r="F389" s="23">
        <v>0.38</v>
      </c>
      <c r="G389" s="24" t="s">
        <v>34</v>
      </c>
      <c r="H389" s="23">
        <v>0.38</v>
      </c>
      <c r="I389" s="24" t="s">
        <v>34</v>
      </c>
      <c r="J389" s="23">
        <v>0.61</v>
      </c>
      <c r="K389" s="24"/>
      <c r="L389" s="25">
        <f t="shared" si="43"/>
        <v>0.4566666666666667</v>
      </c>
    </row>
    <row r="390" spans="2:12" ht="12.75">
      <c r="B390" s="20" t="s">
        <v>105</v>
      </c>
      <c r="D390" s="20" t="s">
        <v>32</v>
      </c>
      <c r="E390" s="24" t="s">
        <v>34</v>
      </c>
      <c r="F390" s="23">
        <v>0.38</v>
      </c>
      <c r="G390" s="24" t="s">
        <v>34</v>
      </c>
      <c r="H390" s="23">
        <v>0.38</v>
      </c>
      <c r="I390" s="24" t="s">
        <v>34</v>
      </c>
      <c r="J390" s="23">
        <v>0.38</v>
      </c>
      <c r="K390" s="24"/>
      <c r="L390" s="25">
        <f t="shared" si="43"/>
        <v>0.38000000000000006</v>
      </c>
    </row>
    <row r="391" spans="2:12" ht="12.75">
      <c r="B391" s="20" t="s">
        <v>109</v>
      </c>
      <c r="D391" s="20" t="s">
        <v>32</v>
      </c>
      <c r="E391" s="24" t="s">
        <v>34</v>
      </c>
      <c r="F391" s="23">
        <v>0.25</v>
      </c>
      <c r="G391" s="24" t="s">
        <v>34</v>
      </c>
      <c r="H391" s="23">
        <v>0.25</v>
      </c>
      <c r="I391" s="24" t="s">
        <v>34</v>
      </c>
      <c r="J391" s="23">
        <v>0.25</v>
      </c>
      <c r="K391" s="24"/>
      <c r="L391" s="25">
        <f t="shared" si="43"/>
        <v>0.25</v>
      </c>
    </row>
    <row r="392" spans="2:12" ht="12.75">
      <c r="B392" s="20" t="s">
        <v>101</v>
      </c>
      <c r="D392" s="20" t="s">
        <v>32</v>
      </c>
      <c r="E392" s="24"/>
      <c r="F392" s="23">
        <v>1.49</v>
      </c>
      <c r="G392" s="24"/>
      <c r="H392" s="23">
        <v>1.89</v>
      </c>
      <c r="I392" s="24"/>
      <c r="J392" s="23">
        <v>1.49</v>
      </c>
      <c r="K392" s="24"/>
      <c r="L392" s="43">
        <f t="shared" si="43"/>
        <v>1.6233333333333333</v>
      </c>
    </row>
    <row r="393" spans="2:12" ht="12.75">
      <c r="B393" s="20" t="s">
        <v>108</v>
      </c>
      <c r="D393" s="20" t="s">
        <v>32</v>
      </c>
      <c r="E393" s="24" t="s">
        <v>34</v>
      </c>
      <c r="F393" s="23">
        <v>1.27</v>
      </c>
      <c r="G393" s="24" t="s">
        <v>34</v>
      </c>
      <c r="H393" s="23">
        <v>1.26</v>
      </c>
      <c r="I393" s="24" t="s">
        <v>34</v>
      </c>
      <c r="J393" s="23">
        <v>1.26</v>
      </c>
      <c r="K393" s="24"/>
      <c r="L393" s="43">
        <f t="shared" si="43"/>
        <v>1.2633333333333334</v>
      </c>
    </row>
    <row r="394" spans="2:12" ht="12.75">
      <c r="B394" s="20" t="s">
        <v>113</v>
      </c>
      <c r="D394" s="20" t="s">
        <v>32</v>
      </c>
      <c r="E394" s="24" t="s">
        <v>34</v>
      </c>
      <c r="F394" s="23">
        <v>0.05</v>
      </c>
      <c r="G394" s="24" t="s">
        <v>34</v>
      </c>
      <c r="H394" s="23">
        <v>0.05</v>
      </c>
      <c r="I394" s="24" t="s">
        <v>34</v>
      </c>
      <c r="J394" s="23">
        <v>0.05</v>
      </c>
      <c r="K394" s="24"/>
      <c r="L394" s="43">
        <f t="shared" si="43"/>
        <v>0.05000000000000001</v>
      </c>
    </row>
    <row r="395" spans="2:12" ht="12.75">
      <c r="B395" s="20" t="s">
        <v>110</v>
      </c>
      <c r="D395" s="20" t="s">
        <v>32</v>
      </c>
      <c r="E395" s="24" t="s">
        <v>34</v>
      </c>
      <c r="F395" s="23">
        <v>0.51</v>
      </c>
      <c r="G395" s="24" t="s">
        <v>34</v>
      </c>
      <c r="H395" s="23">
        <v>0.5</v>
      </c>
      <c r="I395" s="24" t="s">
        <v>34</v>
      </c>
      <c r="J395" s="23">
        <v>0.51</v>
      </c>
      <c r="K395" s="24"/>
      <c r="L395" s="43">
        <f t="shared" si="43"/>
        <v>0.5066666666666667</v>
      </c>
    </row>
    <row r="396" spans="2:12" ht="12.75">
      <c r="B396" s="20" t="s">
        <v>106</v>
      </c>
      <c r="D396" s="20" t="s">
        <v>32</v>
      </c>
      <c r="E396" s="24" t="s">
        <v>34</v>
      </c>
      <c r="F396" s="23">
        <v>1.27</v>
      </c>
      <c r="G396" s="24" t="s">
        <v>34</v>
      </c>
      <c r="H396" s="23">
        <v>1.26</v>
      </c>
      <c r="I396" s="24" t="s">
        <v>34</v>
      </c>
      <c r="J396" s="23">
        <v>1.26</v>
      </c>
      <c r="K396" s="24"/>
      <c r="L396" s="43">
        <f t="shared" si="43"/>
        <v>1.2633333333333334</v>
      </c>
    </row>
    <row r="397" spans="5:11" ht="12.75">
      <c r="E397" s="24"/>
      <c r="F397" s="24"/>
      <c r="G397" s="24"/>
      <c r="H397" s="24"/>
      <c r="I397" s="24"/>
      <c r="J397" s="24"/>
      <c r="K397" s="24"/>
    </row>
    <row r="398" spans="2:12" ht="12.75">
      <c r="B398" s="20" t="s">
        <v>63</v>
      </c>
      <c r="D398" s="20" t="s">
        <v>36</v>
      </c>
      <c r="E398" s="24"/>
      <c r="F398" s="16">
        <v>29882</v>
      </c>
      <c r="G398" s="16"/>
      <c r="H398" s="17">
        <v>31925</v>
      </c>
      <c r="I398" s="17"/>
      <c r="J398" s="16">
        <v>31672</v>
      </c>
      <c r="K398" s="11"/>
      <c r="L398" s="39">
        <f>AVERAGE(J398,H398,F398)</f>
        <v>31159.666666666668</v>
      </c>
    </row>
    <row r="399" spans="2:12" ht="12.75">
      <c r="B399" s="20" t="s">
        <v>64</v>
      </c>
      <c r="D399" s="20" t="s">
        <v>37</v>
      </c>
      <c r="F399" s="11">
        <v>2.8</v>
      </c>
      <c r="G399" s="16"/>
      <c r="H399" s="11">
        <v>4.9</v>
      </c>
      <c r="I399" s="16"/>
      <c r="J399" s="11">
        <v>3.6</v>
      </c>
      <c r="K399" s="11"/>
      <c r="L399" s="15">
        <f>AVERAGE(J399,H399,F399)</f>
        <v>3.766666666666667</v>
      </c>
    </row>
    <row r="401" spans="2:28" ht="12.75">
      <c r="B401" s="20" t="s">
        <v>112</v>
      </c>
      <c r="D401" s="20" t="s">
        <v>65</v>
      </c>
      <c r="F401" s="25">
        <f>F383*F384/1000000</f>
        <v>87.1596</v>
      </c>
      <c r="G401" s="25"/>
      <c r="H401" s="25">
        <f>H383*H384/1000000</f>
        <v>86.78472</v>
      </c>
      <c r="I401" s="25"/>
      <c r="J401" s="25">
        <f>J383*J384/1000000</f>
        <v>87.1596</v>
      </c>
      <c r="L401" s="28">
        <f>AVERAGE(F401,H401,J401)</f>
        <v>87.03464000000001</v>
      </c>
      <c r="N401" s="25">
        <v>73</v>
      </c>
      <c r="O401" s="25"/>
      <c r="P401" s="25">
        <v>75.7</v>
      </c>
      <c r="Q401" s="25"/>
      <c r="R401" s="25">
        <v>75.4</v>
      </c>
      <c r="S401" s="21"/>
      <c r="T401" s="28">
        <f>AVERAGE(N401,P401,R401)</f>
        <v>74.7</v>
      </c>
      <c r="V401" s="25">
        <f>F401+N401</f>
        <v>160.1596</v>
      </c>
      <c r="W401" s="25"/>
      <c r="X401" s="25">
        <f>H401+P401</f>
        <v>162.48471999999998</v>
      </c>
      <c r="Y401" s="25"/>
      <c r="Z401" s="25">
        <f>J401+R401</f>
        <v>162.5596</v>
      </c>
      <c r="AB401" s="28">
        <f>AVERAGE(V401,X401,Z401)</f>
        <v>161.73463999999998</v>
      </c>
    </row>
    <row r="402" spans="6:12" ht="12.75">
      <c r="F402" s="23"/>
      <c r="H402" s="23"/>
      <c r="J402" s="23"/>
      <c r="L402" s="23"/>
    </row>
    <row r="403" spans="2:12" ht="12.75">
      <c r="B403" s="30" t="s">
        <v>88</v>
      </c>
      <c r="C403" s="30"/>
      <c r="F403" s="23"/>
      <c r="H403" s="23"/>
      <c r="J403" s="23"/>
      <c r="L403" s="23"/>
    </row>
    <row r="404" spans="2:28" ht="12.75">
      <c r="B404" s="20" t="s">
        <v>49</v>
      </c>
      <c r="D404" s="20" t="s">
        <v>66</v>
      </c>
      <c r="E404" s="21" t="s">
        <v>34</v>
      </c>
      <c r="F404" s="25">
        <f>F385/F$398/60/0.0283*1000*(21-7)/(21-F$399)</f>
        <v>8.252083091563614</v>
      </c>
      <c r="G404" s="25" t="s">
        <v>34</v>
      </c>
      <c r="H404" s="25">
        <f>H385/H$398/60/0.0283*1000*(21-7)/(21-H$399)</f>
        <v>8.731479923046132</v>
      </c>
      <c r="I404" s="25" t="s">
        <v>34</v>
      </c>
      <c r="J404" s="25">
        <f>J385/J$398/60/0.0283*1000*(21-7)/(21-J$399)</f>
        <v>8.14366508571023</v>
      </c>
      <c r="K404" s="27"/>
      <c r="L404" s="25">
        <f>AVERAGE(F404,H404,J404)</f>
        <v>8.375742700106658</v>
      </c>
      <c r="V404" s="27">
        <f>F404</f>
        <v>8.252083091563614</v>
      </c>
      <c r="X404" s="27">
        <f>H404</f>
        <v>8.731479923046132</v>
      </c>
      <c r="Z404" s="27">
        <f>J404</f>
        <v>8.14366508571023</v>
      </c>
      <c r="AB404" s="27">
        <f>L404</f>
        <v>8.375742700106658</v>
      </c>
    </row>
    <row r="405" spans="2:12" ht="12.75">
      <c r="B405" s="20" t="s">
        <v>50</v>
      </c>
      <c r="D405" s="20" t="s">
        <v>62</v>
      </c>
      <c r="F405" s="28"/>
      <c r="G405" s="28"/>
      <c r="H405" s="28"/>
      <c r="I405" s="28"/>
      <c r="J405" s="28"/>
      <c r="K405" s="27"/>
      <c r="L405" s="28"/>
    </row>
    <row r="406" spans="2:28" ht="12.75">
      <c r="B406" s="20" t="s">
        <v>107</v>
      </c>
      <c r="D406" s="20" t="s">
        <v>62</v>
      </c>
      <c r="E406" s="24" t="s">
        <v>34</v>
      </c>
      <c r="F406" s="28">
        <f aca="true" t="shared" si="44" ref="F406:F415">F387/F$398/60/0.0283*1000000*(21-7)/(21-F$399)</f>
        <v>19.253647718779003</v>
      </c>
      <c r="G406" s="26" t="s">
        <v>34</v>
      </c>
      <c r="H406" s="28">
        <f aca="true" t="shared" si="45" ref="H406:H415">H387/H$398/60/0.0283*1000000*(21-7)/(21-H$399)</f>
        <v>20.211759081125308</v>
      </c>
      <c r="I406" s="26" t="s">
        <v>34</v>
      </c>
      <c r="J406" s="28">
        <f aca="true" t="shared" si="46" ref="J406:J415">J387/J$398/60/0.0283*1000000*(21-7)/(21-J$399)</f>
        <v>18.851076587292198</v>
      </c>
      <c r="K406" s="26"/>
      <c r="L406" s="28">
        <f>AVERAGE(F406,H406,J406)/2</f>
        <v>9.719413897866085</v>
      </c>
      <c r="V406" s="27">
        <f aca="true" t="shared" si="47" ref="V406:V417">F406</f>
        <v>19.253647718779003</v>
      </c>
      <c r="X406" s="27">
        <f aca="true" t="shared" si="48" ref="X406:X417">H406</f>
        <v>20.211759081125308</v>
      </c>
      <c r="Z406" s="27">
        <f aca="true" t="shared" si="49" ref="Z406:Z417">J406</f>
        <v>18.851076587292198</v>
      </c>
      <c r="AB406" s="27">
        <f aca="true" t="shared" si="50" ref="AB406:AB417">L406</f>
        <v>9.719413897866085</v>
      </c>
    </row>
    <row r="407" spans="2:28" ht="12.75">
      <c r="B407" s="20" t="s">
        <v>103</v>
      </c>
      <c r="D407" s="20" t="s">
        <v>62</v>
      </c>
      <c r="E407" s="24" t="s">
        <v>34</v>
      </c>
      <c r="F407" s="28">
        <f t="shared" si="44"/>
        <v>19.253647718779003</v>
      </c>
      <c r="G407" s="26" t="s">
        <v>34</v>
      </c>
      <c r="H407" s="28">
        <f t="shared" si="45"/>
        <v>20.211759081125308</v>
      </c>
      <c r="I407" s="26" t="s">
        <v>34</v>
      </c>
      <c r="J407" s="28">
        <f t="shared" si="46"/>
        <v>18.851076587292198</v>
      </c>
      <c r="K407" s="26"/>
      <c r="L407" s="28">
        <f>AVERAGE(F407,H407,J407)/2</f>
        <v>9.719413897866085</v>
      </c>
      <c r="V407" s="27">
        <f t="shared" si="47"/>
        <v>19.253647718779003</v>
      </c>
      <c r="X407" s="27">
        <f t="shared" si="48"/>
        <v>20.211759081125308</v>
      </c>
      <c r="Z407" s="27">
        <f t="shared" si="49"/>
        <v>18.851076587292198</v>
      </c>
      <c r="AB407" s="27">
        <f t="shared" si="50"/>
        <v>9.719413897866085</v>
      </c>
    </row>
    <row r="408" spans="2:28" ht="12.75">
      <c r="B408" s="20" t="s">
        <v>104</v>
      </c>
      <c r="D408" s="20" t="s">
        <v>62</v>
      </c>
      <c r="E408" s="24" t="s">
        <v>34</v>
      </c>
      <c r="F408" s="28">
        <f t="shared" si="44"/>
        <v>5.76093396309923</v>
      </c>
      <c r="G408" s="26" t="s">
        <v>34</v>
      </c>
      <c r="H408" s="28">
        <f t="shared" si="45"/>
        <v>6.095609881609219</v>
      </c>
      <c r="I408" s="26" t="s">
        <v>34</v>
      </c>
      <c r="J408" s="28">
        <f t="shared" si="46"/>
        <v>9.12631485575257</v>
      </c>
      <c r="K408" s="26"/>
      <c r="L408" s="28">
        <f>AVERAGE(F408,H408,J408)/2</f>
        <v>3.497143116743503</v>
      </c>
      <c r="V408" s="27">
        <f t="shared" si="47"/>
        <v>5.76093396309923</v>
      </c>
      <c r="X408" s="27">
        <f t="shared" si="48"/>
        <v>6.095609881609219</v>
      </c>
      <c r="Z408" s="27">
        <f t="shared" si="49"/>
        <v>9.12631485575257</v>
      </c>
      <c r="AB408" s="27">
        <f t="shared" si="50"/>
        <v>3.497143116743503</v>
      </c>
    </row>
    <row r="409" spans="2:28" ht="12.75">
      <c r="B409" s="20" t="s">
        <v>105</v>
      </c>
      <c r="D409" s="20" t="s">
        <v>62</v>
      </c>
      <c r="E409" s="24" t="s">
        <v>34</v>
      </c>
      <c r="F409" s="28">
        <f t="shared" si="44"/>
        <v>5.76093396309923</v>
      </c>
      <c r="G409" s="26" t="s">
        <v>34</v>
      </c>
      <c r="H409" s="28">
        <f t="shared" si="45"/>
        <v>6.095609881609219</v>
      </c>
      <c r="I409" s="26" t="s">
        <v>34</v>
      </c>
      <c r="J409" s="28">
        <f t="shared" si="46"/>
        <v>5.685245319977011</v>
      </c>
      <c r="K409" s="26"/>
      <c r="L409" s="28">
        <f>AVERAGE(F409,H409,J409)/2</f>
        <v>2.923631527447577</v>
      </c>
      <c r="V409" s="27">
        <f t="shared" si="47"/>
        <v>5.76093396309923</v>
      </c>
      <c r="X409" s="27">
        <f t="shared" si="48"/>
        <v>6.095609881609219</v>
      </c>
      <c r="Z409" s="27">
        <f t="shared" si="49"/>
        <v>5.685245319977011</v>
      </c>
      <c r="AB409" s="27">
        <f t="shared" si="50"/>
        <v>2.923631527447577</v>
      </c>
    </row>
    <row r="410" spans="2:28" ht="12.75">
      <c r="B410" s="20" t="s">
        <v>109</v>
      </c>
      <c r="D410" s="20" t="s">
        <v>62</v>
      </c>
      <c r="E410" s="24" t="s">
        <v>34</v>
      </c>
      <c r="F410" s="28">
        <f t="shared" si="44"/>
        <v>3.7900881336179144</v>
      </c>
      <c r="G410" s="26" t="s">
        <v>34</v>
      </c>
      <c r="H410" s="28">
        <f t="shared" si="45"/>
        <v>4.010269658953434</v>
      </c>
      <c r="I410" s="26" t="s">
        <v>34</v>
      </c>
      <c r="J410" s="28">
        <f t="shared" si="46"/>
        <v>3.7402929736690873</v>
      </c>
      <c r="K410" s="26"/>
      <c r="L410" s="28">
        <f>AVERAGE(F410,H410,J410)/2</f>
        <v>1.923441794373406</v>
      </c>
      <c r="V410" s="27">
        <f t="shared" si="47"/>
        <v>3.7900881336179144</v>
      </c>
      <c r="X410" s="27">
        <f t="shared" si="48"/>
        <v>4.010269658953434</v>
      </c>
      <c r="Z410" s="27">
        <f t="shared" si="49"/>
        <v>3.7402929736690873</v>
      </c>
      <c r="AB410" s="27">
        <f t="shared" si="50"/>
        <v>1.923441794373406</v>
      </c>
    </row>
    <row r="411" spans="2:28" ht="12.75">
      <c r="B411" s="20" t="s">
        <v>101</v>
      </c>
      <c r="D411" s="20" t="s">
        <v>62</v>
      </c>
      <c r="E411" s="24"/>
      <c r="F411" s="28">
        <f t="shared" si="44"/>
        <v>22.588925276362765</v>
      </c>
      <c r="G411" s="26"/>
      <c r="H411" s="28">
        <f t="shared" si="45"/>
        <v>30.317638621687962</v>
      </c>
      <c r="I411" s="26"/>
      <c r="J411" s="28">
        <f t="shared" si="46"/>
        <v>22.29214612306776</v>
      </c>
      <c r="K411" s="26"/>
      <c r="L411" s="28">
        <f>AVERAGE(F411,H411,J411)</f>
        <v>25.06623667370616</v>
      </c>
      <c r="V411" s="27">
        <f t="shared" si="47"/>
        <v>22.588925276362765</v>
      </c>
      <c r="X411" s="27">
        <f t="shared" si="48"/>
        <v>30.317638621687962</v>
      </c>
      <c r="Z411" s="27">
        <f t="shared" si="49"/>
        <v>22.29214612306776</v>
      </c>
      <c r="AB411" s="27">
        <f t="shared" si="50"/>
        <v>25.06623667370616</v>
      </c>
    </row>
    <row r="412" spans="2:28" ht="12.75">
      <c r="B412" s="20" t="s">
        <v>108</v>
      </c>
      <c r="D412" s="20" t="s">
        <v>62</v>
      </c>
      <c r="E412" s="24" t="s">
        <v>34</v>
      </c>
      <c r="F412" s="28">
        <f t="shared" si="44"/>
        <v>19.253647718779003</v>
      </c>
      <c r="G412" s="26" t="s">
        <v>34</v>
      </c>
      <c r="H412" s="28">
        <f t="shared" si="45"/>
        <v>20.211759081125308</v>
      </c>
      <c r="I412" s="26" t="s">
        <v>34</v>
      </c>
      <c r="J412" s="28">
        <f t="shared" si="46"/>
        <v>18.851076587292198</v>
      </c>
      <c r="K412" s="26"/>
      <c r="L412" s="28">
        <f>AVERAGE(F412,H412,J412)/2</f>
        <v>9.719413897866085</v>
      </c>
      <c r="V412" s="27">
        <f t="shared" si="47"/>
        <v>19.253647718779003</v>
      </c>
      <c r="X412" s="27">
        <f t="shared" si="48"/>
        <v>20.211759081125308</v>
      </c>
      <c r="Z412" s="27">
        <f t="shared" si="49"/>
        <v>18.851076587292198</v>
      </c>
      <c r="AB412" s="27">
        <f t="shared" si="50"/>
        <v>9.719413897866085</v>
      </c>
    </row>
    <row r="413" spans="2:28" ht="12.75">
      <c r="B413" s="20" t="s">
        <v>113</v>
      </c>
      <c r="D413" s="20" t="s">
        <v>62</v>
      </c>
      <c r="E413" s="24" t="s">
        <v>34</v>
      </c>
      <c r="F413" s="28">
        <f t="shared" si="44"/>
        <v>0.7580176267235829</v>
      </c>
      <c r="G413" s="26" t="s">
        <v>34</v>
      </c>
      <c r="H413" s="28">
        <f t="shared" si="45"/>
        <v>0.8020539317906868</v>
      </c>
      <c r="I413" s="26" t="s">
        <v>34</v>
      </c>
      <c r="J413" s="28">
        <f t="shared" si="46"/>
        <v>0.7480585947338174</v>
      </c>
      <c r="K413" s="26"/>
      <c r="L413" s="28">
        <f>AVERAGE(F413,H413,J413)/2</f>
        <v>0.3846883588746812</v>
      </c>
      <c r="V413" s="27">
        <f t="shared" si="47"/>
        <v>0.7580176267235829</v>
      </c>
      <c r="X413" s="27">
        <f t="shared" si="48"/>
        <v>0.8020539317906868</v>
      </c>
      <c r="Z413" s="27">
        <f t="shared" si="49"/>
        <v>0.7480585947338174</v>
      </c>
      <c r="AB413" s="27">
        <f t="shared" si="50"/>
        <v>0.3846883588746812</v>
      </c>
    </row>
    <row r="414" spans="2:28" ht="12.75">
      <c r="B414" s="20" t="s">
        <v>110</v>
      </c>
      <c r="D414" s="20" t="s">
        <v>62</v>
      </c>
      <c r="E414" s="24" t="s">
        <v>34</v>
      </c>
      <c r="F414" s="28">
        <f t="shared" si="44"/>
        <v>7.731779792580546</v>
      </c>
      <c r="G414" s="26" t="s">
        <v>34</v>
      </c>
      <c r="H414" s="28">
        <f t="shared" si="45"/>
        <v>8.020539317906868</v>
      </c>
      <c r="I414" s="26" t="s">
        <v>34</v>
      </c>
      <c r="J414" s="28">
        <f t="shared" si="46"/>
        <v>7.630197666284937</v>
      </c>
      <c r="K414" s="26"/>
      <c r="L414" s="28">
        <f>AVERAGE(F414,H414,J414)/2</f>
        <v>3.8970861294620582</v>
      </c>
      <c r="V414" s="27">
        <f t="shared" si="47"/>
        <v>7.731779792580546</v>
      </c>
      <c r="X414" s="27">
        <f t="shared" si="48"/>
        <v>8.020539317906868</v>
      </c>
      <c r="Z414" s="27">
        <f t="shared" si="49"/>
        <v>7.630197666284937</v>
      </c>
      <c r="AB414" s="27">
        <f t="shared" si="50"/>
        <v>3.8970861294620582</v>
      </c>
    </row>
    <row r="415" spans="2:28" ht="12.75">
      <c r="B415" s="20" t="s">
        <v>106</v>
      </c>
      <c r="D415" s="20" t="s">
        <v>62</v>
      </c>
      <c r="E415" s="24" t="s">
        <v>34</v>
      </c>
      <c r="F415" s="28">
        <f t="shared" si="44"/>
        <v>19.253647718779003</v>
      </c>
      <c r="G415" s="26" t="s">
        <v>34</v>
      </c>
      <c r="H415" s="28">
        <f t="shared" si="45"/>
        <v>20.211759081125308</v>
      </c>
      <c r="I415" s="26" t="s">
        <v>34</v>
      </c>
      <c r="J415" s="28">
        <f t="shared" si="46"/>
        <v>18.851076587292198</v>
      </c>
      <c r="K415" s="26"/>
      <c r="L415" s="28">
        <f>AVERAGE(F415,H415,J415)/2</f>
        <v>9.719413897866085</v>
      </c>
      <c r="V415" s="27">
        <f t="shared" si="47"/>
        <v>19.253647718779003</v>
      </c>
      <c r="X415" s="27">
        <f t="shared" si="48"/>
        <v>20.211759081125308</v>
      </c>
      <c r="Z415" s="27">
        <f t="shared" si="49"/>
        <v>18.851076587292198</v>
      </c>
      <c r="AB415" s="27">
        <f t="shared" si="50"/>
        <v>9.719413897866085</v>
      </c>
    </row>
    <row r="416" spans="2:28" ht="12.75">
      <c r="B416" s="20" t="s">
        <v>72</v>
      </c>
      <c r="D416" s="20" t="s">
        <v>62</v>
      </c>
      <c r="E416" s="24"/>
      <c r="F416" s="28">
        <f>F410/2+F412/2</f>
        <v>11.521867926198459</v>
      </c>
      <c r="G416" s="42"/>
      <c r="H416" s="28">
        <f>H410/2+H412/2</f>
        <v>12.11101437003937</v>
      </c>
      <c r="I416" s="42"/>
      <c r="J416" s="28">
        <f>J410/2+J412/2</f>
        <v>11.295684780480643</v>
      </c>
      <c r="K416" s="26"/>
      <c r="L416" s="28">
        <f>AVERAGE(F416,H416,J416)</f>
        <v>11.642855692239491</v>
      </c>
      <c r="V416" s="27">
        <f t="shared" si="47"/>
        <v>11.521867926198459</v>
      </c>
      <c r="X416" s="27">
        <f t="shared" si="48"/>
        <v>12.11101437003937</v>
      </c>
      <c r="Z416" s="27">
        <f t="shared" si="49"/>
        <v>11.295684780480643</v>
      </c>
      <c r="AB416" s="27">
        <f t="shared" si="50"/>
        <v>11.642855692239491</v>
      </c>
    </row>
    <row r="417" spans="2:28" ht="12.75">
      <c r="B417" s="20" t="s">
        <v>73</v>
      </c>
      <c r="D417" s="20" t="s">
        <v>62</v>
      </c>
      <c r="E417" s="24"/>
      <c r="F417" s="28">
        <f>(F407/2+F409/2+F411)</f>
        <v>35.09621611730188</v>
      </c>
      <c r="G417" s="28"/>
      <c r="H417" s="28">
        <f>(H407/2+H409/2+H411)</f>
        <v>43.47132310305523</v>
      </c>
      <c r="I417" s="28"/>
      <c r="J417" s="28">
        <f>(J407/2+J409/2+J411)</f>
        <v>34.560307076702365</v>
      </c>
      <c r="K417" s="26"/>
      <c r="L417" s="28">
        <f>AVERAGE(F417,H417,J417)</f>
        <v>37.70928209901982</v>
      </c>
      <c r="V417" s="27">
        <f t="shared" si="47"/>
        <v>35.09621611730188</v>
      </c>
      <c r="X417" s="27">
        <f t="shared" si="48"/>
        <v>43.47132310305523</v>
      </c>
      <c r="Z417" s="27">
        <f t="shared" si="49"/>
        <v>34.560307076702365</v>
      </c>
      <c r="AB417" s="27">
        <f t="shared" si="50"/>
        <v>37.70928209901982</v>
      </c>
    </row>
    <row r="420" ht="12.75">
      <c r="B420" s="19" t="s">
        <v>182</v>
      </c>
    </row>
    <row r="421" spans="2:28" ht="12.75">
      <c r="B421" s="19"/>
      <c r="C421" s="19"/>
      <c r="F421" s="24" t="s">
        <v>117</v>
      </c>
      <c r="G421" s="24"/>
      <c r="H421" s="24" t="s">
        <v>118</v>
      </c>
      <c r="I421" s="24"/>
      <c r="J421" s="24" t="s">
        <v>119</v>
      </c>
      <c r="K421" s="24"/>
      <c r="L421" s="24" t="s">
        <v>39</v>
      </c>
      <c r="N421" s="24" t="s">
        <v>117</v>
      </c>
      <c r="O421" s="24"/>
      <c r="P421" s="24" t="s">
        <v>118</v>
      </c>
      <c r="Q421" s="24"/>
      <c r="R421" s="24" t="s">
        <v>119</v>
      </c>
      <c r="S421" s="24"/>
      <c r="T421" s="24" t="s">
        <v>39</v>
      </c>
      <c r="V421" s="24" t="s">
        <v>117</v>
      </c>
      <c r="W421" s="24"/>
      <c r="X421" s="24" t="s">
        <v>118</v>
      </c>
      <c r="Y421" s="24"/>
      <c r="Z421" s="24" t="s">
        <v>119</v>
      </c>
      <c r="AA421" s="24"/>
      <c r="AB421" s="24" t="s">
        <v>39</v>
      </c>
    </row>
    <row r="422" spans="2:28" ht="12.75">
      <c r="B422" s="19"/>
      <c r="C422" s="19"/>
      <c r="N422" s="21"/>
      <c r="O422" s="21"/>
      <c r="P422" s="21"/>
      <c r="Q422" s="21"/>
      <c r="R422" s="21"/>
      <c r="S422" s="21"/>
      <c r="T422" s="22"/>
      <c r="AB422" s="22"/>
    </row>
    <row r="423" spans="2:28" ht="12.75">
      <c r="B423" s="20" t="s">
        <v>131</v>
      </c>
      <c r="C423" s="19"/>
      <c r="F423" s="24" t="s">
        <v>142</v>
      </c>
      <c r="H423" s="24" t="s">
        <v>142</v>
      </c>
      <c r="J423" s="24" t="s">
        <v>142</v>
      </c>
      <c r="L423" s="24" t="s">
        <v>142</v>
      </c>
      <c r="N423" s="24" t="s">
        <v>143</v>
      </c>
      <c r="O423" s="21"/>
      <c r="P423" s="24" t="s">
        <v>143</v>
      </c>
      <c r="Q423" s="21"/>
      <c r="R423" s="24" t="s">
        <v>143</v>
      </c>
      <c r="S423" s="21"/>
      <c r="T423" s="24" t="s">
        <v>143</v>
      </c>
      <c r="V423" s="24" t="s">
        <v>144</v>
      </c>
      <c r="X423" s="24" t="s">
        <v>144</v>
      </c>
      <c r="Z423" s="24" t="s">
        <v>144</v>
      </c>
      <c r="AB423" s="24" t="s">
        <v>144</v>
      </c>
    </row>
    <row r="424" spans="2:28" ht="12.75">
      <c r="B424" s="20" t="s">
        <v>132</v>
      </c>
      <c r="F424" s="24" t="s">
        <v>133</v>
      </c>
      <c r="H424" s="24" t="s">
        <v>133</v>
      </c>
      <c r="J424" s="24" t="s">
        <v>133</v>
      </c>
      <c r="L424" s="24" t="s">
        <v>133</v>
      </c>
      <c r="N424" s="24" t="s">
        <v>134</v>
      </c>
      <c r="O424" s="21"/>
      <c r="P424" s="24" t="s">
        <v>134</v>
      </c>
      <c r="Q424" s="21"/>
      <c r="R424" s="24" t="s">
        <v>134</v>
      </c>
      <c r="S424" s="21"/>
      <c r="T424" s="24" t="s">
        <v>134</v>
      </c>
      <c r="V424" s="24" t="s">
        <v>86</v>
      </c>
      <c r="X424" s="24" t="s">
        <v>86</v>
      </c>
      <c r="Z424" s="24" t="s">
        <v>86</v>
      </c>
      <c r="AB424" s="24" t="s">
        <v>86</v>
      </c>
    </row>
    <row r="425" spans="2:28" ht="12.75">
      <c r="B425" s="20" t="s">
        <v>147</v>
      </c>
      <c r="F425" s="24" t="s">
        <v>71</v>
      </c>
      <c r="H425" s="24" t="s">
        <v>71</v>
      </c>
      <c r="J425" s="24" t="s">
        <v>71</v>
      </c>
      <c r="L425" s="24" t="s">
        <v>71</v>
      </c>
      <c r="N425" s="24" t="s">
        <v>148</v>
      </c>
      <c r="O425" s="21"/>
      <c r="P425" s="24" t="s">
        <v>148</v>
      </c>
      <c r="Q425" s="21"/>
      <c r="R425" s="24" t="s">
        <v>148</v>
      </c>
      <c r="S425" s="21"/>
      <c r="T425" s="24" t="s">
        <v>148</v>
      </c>
      <c r="V425" s="24" t="s">
        <v>86</v>
      </c>
      <c r="X425" s="24" t="s">
        <v>86</v>
      </c>
      <c r="Z425" s="24" t="s">
        <v>86</v>
      </c>
      <c r="AB425" s="24" t="s">
        <v>86</v>
      </c>
    </row>
    <row r="426" spans="2:28" ht="12.75">
      <c r="B426" s="20" t="s">
        <v>40</v>
      </c>
      <c r="F426" s="22" t="s">
        <v>41</v>
      </c>
      <c r="H426" s="22" t="s">
        <v>41</v>
      </c>
      <c r="J426" s="22" t="s">
        <v>41</v>
      </c>
      <c r="L426" s="22" t="s">
        <v>41</v>
      </c>
      <c r="N426" s="22" t="s">
        <v>42</v>
      </c>
      <c r="P426" s="22" t="s">
        <v>42</v>
      </c>
      <c r="R426" s="22" t="s">
        <v>42</v>
      </c>
      <c r="T426" s="22" t="s">
        <v>42</v>
      </c>
      <c r="V426" s="22" t="s">
        <v>86</v>
      </c>
      <c r="W426" s="22"/>
      <c r="X426" s="22" t="s">
        <v>86</v>
      </c>
      <c r="Y426" s="22"/>
      <c r="Z426" s="22" t="s">
        <v>86</v>
      </c>
      <c r="AA426" s="22"/>
      <c r="AB426" s="22" t="s">
        <v>86</v>
      </c>
    </row>
    <row r="427" spans="2:12" ht="12.75">
      <c r="B427" s="20" t="s">
        <v>114</v>
      </c>
      <c r="D427" s="20" t="s">
        <v>44</v>
      </c>
      <c r="F427" s="21">
        <f>93*60</f>
        <v>5580</v>
      </c>
      <c r="H427" s="21">
        <f>93.1*60</f>
        <v>5586</v>
      </c>
      <c r="J427" s="21">
        <f>93.3*60</f>
        <v>5598</v>
      </c>
      <c r="L427" s="23">
        <f>AVERAGE(F427,H427,J427)</f>
        <v>5588</v>
      </c>
    </row>
    <row r="428" spans="2:12" ht="12.75">
      <c r="B428" s="20" t="s">
        <v>45</v>
      </c>
      <c r="D428" s="20" t="s">
        <v>46</v>
      </c>
      <c r="F428" s="21">
        <v>15620</v>
      </c>
      <c r="H428" s="21">
        <v>15620</v>
      </c>
      <c r="J428" s="21">
        <v>15620</v>
      </c>
      <c r="L428" s="23">
        <f>AVERAGE(F428,H428,J428)</f>
        <v>15620</v>
      </c>
    </row>
    <row r="429" spans="2:12" ht="12.75">
      <c r="B429" s="20" t="s">
        <v>198</v>
      </c>
      <c r="D429" s="20" t="s">
        <v>32</v>
      </c>
      <c r="E429" s="24"/>
      <c r="F429" s="42">
        <f>8.4*453.6</f>
        <v>3810.2400000000002</v>
      </c>
      <c r="G429" s="42"/>
      <c r="H429" s="42">
        <f>7.8*453.6</f>
        <v>3538.08</v>
      </c>
      <c r="I429" s="42"/>
      <c r="J429" s="42">
        <f>7.2*453.6</f>
        <v>3265.92</v>
      </c>
      <c r="K429" s="24"/>
      <c r="L429" s="28">
        <f>AVERAGE(F429,H429,J429)</f>
        <v>3538.08</v>
      </c>
    </row>
    <row r="430" spans="5:12" ht="12.75">
      <c r="E430" s="24"/>
      <c r="F430" s="42"/>
      <c r="G430" s="42"/>
      <c r="H430" s="42"/>
      <c r="I430" s="42"/>
      <c r="J430" s="42"/>
      <c r="K430" s="24"/>
      <c r="L430" s="28"/>
    </row>
    <row r="431" spans="2:28" ht="12.75">
      <c r="B431" s="20" t="s">
        <v>198</v>
      </c>
      <c r="D431" s="20" t="s">
        <v>66</v>
      </c>
      <c r="E431" s="21" t="s">
        <v>29</v>
      </c>
      <c r="F431" s="28">
        <f>F429/F$433/60/0.0283*1000*(21-7)/(21-F$434)</f>
        <v>57.03164150503498</v>
      </c>
      <c r="G431" s="28"/>
      <c r="H431" s="28">
        <f>H429/H$307/60/0.0283*1000*(21-7)/(21-H$308)</f>
        <v>91.39589332072659</v>
      </c>
      <c r="I431" s="28"/>
      <c r="J431" s="28">
        <f>J429/J$307/60/0.0283*1000*(21-7)/(21-J$308)</f>
        <v>99.03628738601395</v>
      </c>
      <c r="K431" s="37"/>
      <c r="L431" s="28">
        <f>AVERAGE(F431,H431,J431)</f>
        <v>82.48794073725851</v>
      </c>
      <c r="V431" s="37">
        <f>F431</f>
        <v>57.03164150503498</v>
      </c>
      <c r="X431" s="37">
        <f>H431</f>
        <v>91.39589332072659</v>
      </c>
      <c r="Z431" s="37">
        <f>J431</f>
        <v>99.03628738601395</v>
      </c>
      <c r="AB431" s="37">
        <f>L431</f>
        <v>82.48794073725851</v>
      </c>
    </row>
    <row r="432" spans="6:12" ht="12.75">
      <c r="F432" s="25"/>
      <c r="G432" s="25"/>
      <c r="H432" s="25"/>
      <c r="I432" s="25"/>
      <c r="J432" s="25"/>
      <c r="K432" s="27"/>
      <c r="L432" s="25"/>
    </row>
    <row r="433" spans="2:12" ht="12.75">
      <c r="B433" s="20" t="s">
        <v>63</v>
      </c>
      <c r="C433" s="20" t="s">
        <v>128</v>
      </c>
      <c r="D433" s="20" t="s">
        <v>36</v>
      </c>
      <c r="E433" s="24"/>
      <c r="F433" s="11">
        <v>31121</v>
      </c>
      <c r="G433" s="11"/>
      <c r="H433" s="14">
        <v>31779</v>
      </c>
      <c r="I433" s="14"/>
      <c r="J433" s="11">
        <v>33461</v>
      </c>
      <c r="K433" s="11"/>
      <c r="L433" s="14">
        <f>AVERAGE(J433,H433,F433)</f>
        <v>32120.333333333332</v>
      </c>
    </row>
    <row r="434" spans="2:12" ht="12.75">
      <c r="B434" s="20" t="s">
        <v>64</v>
      </c>
      <c r="D434" s="20" t="s">
        <v>37</v>
      </c>
      <c r="F434" s="11">
        <v>3.3</v>
      </c>
      <c r="G434" s="11"/>
      <c r="H434" s="11">
        <v>2.9</v>
      </c>
      <c r="I434" s="11"/>
      <c r="J434" s="11">
        <v>3.7</v>
      </c>
      <c r="K434" s="11"/>
      <c r="L434" s="13">
        <f>AVERAGE(J434,H434,F434)</f>
        <v>3.2999999999999994</v>
      </c>
    </row>
    <row r="436" spans="2:28" ht="12.75">
      <c r="B436" s="20" t="s">
        <v>112</v>
      </c>
      <c r="D436" s="20" t="s">
        <v>65</v>
      </c>
      <c r="F436" s="25">
        <f>F427*F428/1000000</f>
        <v>87.1596</v>
      </c>
      <c r="G436" s="25"/>
      <c r="H436" s="25">
        <f>H427*H428/1000000</f>
        <v>87.25332</v>
      </c>
      <c r="I436" s="25"/>
      <c r="J436" s="25">
        <f>J427*J428/1000000</f>
        <v>87.44076</v>
      </c>
      <c r="L436" s="28">
        <f>AVERAGE(F436,H436,J436)</f>
        <v>87.28456</v>
      </c>
      <c r="N436" s="22">
        <v>67.8</v>
      </c>
      <c r="O436" s="25"/>
      <c r="P436" s="25">
        <v>67.9</v>
      </c>
      <c r="Q436" s="25"/>
      <c r="R436" s="25">
        <v>67.5</v>
      </c>
      <c r="S436" s="21"/>
      <c r="T436" s="25">
        <v>67.7</v>
      </c>
      <c r="V436" s="25">
        <f>F436+N436</f>
        <v>154.9596</v>
      </c>
      <c r="W436" s="25"/>
      <c r="X436" s="25">
        <f>H436+P436</f>
        <v>155.15332</v>
      </c>
      <c r="Y436" s="25"/>
      <c r="Z436" s="25">
        <f>J436+R436</f>
        <v>154.94076</v>
      </c>
      <c r="AB436" s="25">
        <f>AVERAGE(V436,X436,Z436)</f>
        <v>155.01789333333335</v>
      </c>
    </row>
    <row r="439" ht="12.75">
      <c r="B439" s="19" t="s">
        <v>184</v>
      </c>
    </row>
    <row r="440" spans="2:34" ht="12.75">
      <c r="B440" s="19"/>
      <c r="C440" s="19"/>
      <c r="F440" s="24" t="s">
        <v>117</v>
      </c>
      <c r="G440" s="24"/>
      <c r="H440" s="24" t="s">
        <v>118</v>
      </c>
      <c r="I440" s="24"/>
      <c r="J440" s="24" t="s">
        <v>119</v>
      </c>
      <c r="K440" s="24"/>
      <c r="L440" s="24" t="s">
        <v>188</v>
      </c>
      <c r="N440" s="24" t="s">
        <v>39</v>
      </c>
      <c r="P440" s="24" t="s">
        <v>117</v>
      </c>
      <c r="Q440" s="24"/>
      <c r="R440" s="24" t="s">
        <v>118</v>
      </c>
      <c r="S440" s="24"/>
      <c r="T440" s="24" t="s">
        <v>119</v>
      </c>
      <c r="U440" s="24"/>
      <c r="V440" s="21" t="s">
        <v>188</v>
      </c>
      <c r="X440" s="24" t="s">
        <v>39</v>
      </c>
      <c r="Z440" s="24" t="s">
        <v>117</v>
      </c>
      <c r="AA440" s="24"/>
      <c r="AB440" s="24" t="s">
        <v>118</v>
      </c>
      <c r="AC440" s="24"/>
      <c r="AD440" s="24" t="s">
        <v>119</v>
      </c>
      <c r="AE440" s="24"/>
      <c r="AF440" s="21" t="s">
        <v>188</v>
      </c>
      <c r="AH440" s="24" t="s">
        <v>39</v>
      </c>
    </row>
    <row r="441" spans="2:34" ht="12.75">
      <c r="B441" s="19"/>
      <c r="C441" s="19"/>
      <c r="P441" s="21"/>
      <c r="Q441" s="21"/>
      <c r="R441" s="21"/>
      <c r="S441" s="21"/>
      <c r="X441" s="22"/>
      <c r="AH441" s="22"/>
    </row>
    <row r="442" spans="2:34" ht="12.75">
      <c r="B442" s="20" t="s">
        <v>131</v>
      </c>
      <c r="C442" s="19"/>
      <c r="F442" s="24" t="s">
        <v>142</v>
      </c>
      <c r="H442" s="24" t="s">
        <v>142</v>
      </c>
      <c r="J442" s="24" t="s">
        <v>142</v>
      </c>
      <c r="L442" s="24" t="s">
        <v>142</v>
      </c>
      <c r="N442" s="24" t="s">
        <v>142</v>
      </c>
      <c r="P442" s="24" t="s">
        <v>143</v>
      </c>
      <c r="Q442" s="21"/>
      <c r="R442" s="24" t="s">
        <v>143</v>
      </c>
      <c r="S442" s="21"/>
      <c r="T442" s="24" t="s">
        <v>143</v>
      </c>
      <c r="V442" s="24" t="s">
        <v>143</v>
      </c>
      <c r="X442" s="24" t="s">
        <v>143</v>
      </c>
      <c r="Z442" s="24" t="s">
        <v>144</v>
      </c>
      <c r="AB442" s="24" t="s">
        <v>144</v>
      </c>
      <c r="AD442" s="24" t="s">
        <v>144</v>
      </c>
      <c r="AF442" s="24" t="s">
        <v>144</v>
      </c>
      <c r="AH442" s="24" t="s">
        <v>144</v>
      </c>
    </row>
    <row r="443" spans="2:34" ht="12.75">
      <c r="B443" s="20" t="s">
        <v>132</v>
      </c>
      <c r="F443" s="24" t="s">
        <v>133</v>
      </c>
      <c r="H443" s="24" t="s">
        <v>133</v>
      </c>
      <c r="J443" s="24" t="s">
        <v>133</v>
      </c>
      <c r="L443" s="24" t="s">
        <v>133</v>
      </c>
      <c r="N443" s="24" t="s">
        <v>133</v>
      </c>
      <c r="P443" s="24" t="s">
        <v>134</v>
      </c>
      <c r="Q443" s="21"/>
      <c r="R443" s="24" t="s">
        <v>134</v>
      </c>
      <c r="S443" s="21"/>
      <c r="T443" s="24" t="s">
        <v>134</v>
      </c>
      <c r="V443" s="24" t="s">
        <v>134</v>
      </c>
      <c r="X443" s="24" t="s">
        <v>134</v>
      </c>
      <c r="Z443" s="24" t="s">
        <v>86</v>
      </c>
      <c r="AB443" s="24" t="s">
        <v>86</v>
      </c>
      <c r="AD443" s="24" t="s">
        <v>86</v>
      </c>
      <c r="AF443" s="24" t="s">
        <v>86</v>
      </c>
      <c r="AH443" s="24" t="s">
        <v>86</v>
      </c>
    </row>
    <row r="444" spans="2:34" ht="12.75">
      <c r="B444" s="20" t="s">
        <v>147</v>
      </c>
      <c r="F444" s="24" t="s">
        <v>71</v>
      </c>
      <c r="H444" s="24" t="s">
        <v>71</v>
      </c>
      <c r="J444" s="24" t="s">
        <v>71</v>
      </c>
      <c r="L444" s="24" t="s">
        <v>71</v>
      </c>
      <c r="N444" s="24" t="s">
        <v>71</v>
      </c>
      <c r="P444" s="24" t="s">
        <v>148</v>
      </c>
      <c r="Q444" s="21"/>
      <c r="R444" s="24" t="s">
        <v>148</v>
      </c>
      <c r="S444" s="21"/>
      <c r="T444" s="24" t="s">
        <v>148</v>
      </c>
      <c r="V444" s="24" t="s">
        <v>148</v>
      </c>
      <c r="X444" s="24" t="s">
        <v>148</v>
      </c>
      <c r="Z444" s="24" t="s">
        <v>86</v>
      </c>
      <c r="AB444" s="24" t="s">
        <v>86</v>
      </c>
      <c r="AD444" s="24" t="s">
        <v>86</v>
      </c>
      <c r="AF444" s="24" t="s">
        <v>86</v>
      </c>
      <c r="AH444" s="24" t="s">
        <v>86</v>
      </c>
    </row>
    <row r="445" spans="2:34" ht="12.75">
      <c r="B445" s="20" t="s">
        <v>40</v>
      </c>
      <c r="F445" s="22" t="s">
        <v>41</v>
      </c>
      <c r="H445" s="22" t="s">
        <v>41</v>
      </c>
      <c r="J445" s="22" t="s">
        <v>41</v>
      </c>
      <c r="L445" s="22" t="s">
        <v>41</v>
      </c>
      <c r="N445" s="22" t="s">
        <v>41</v>
      </c>
      <c r="P445" s="22" t="s">
        <v>42</v>
      </c>
      <c r="R445" s="22" t="s">
        <v>42</v>
      </c>
      <c r="T445" s="22" t="s">
        <v>42</v>
      </c>
      <c r="U445" s="22"/>
      <c r="V445" s="22" t="s">
        <v>42</v>
      </c>
      <c r="X445" s="22" t="s">
        <v>42</v>
      </c>
      <c r="Z445" s="22" t="s">
        <v>86</v>
      </c>
      <c r="AA445" s="22"/>
      <c r="AB445" s="22" t="s">
        <v>86</v>
      </c>
      <c r="AC445" s="22"/>
      <c r="AD445" s="22" t="s">
        <v>86</v>
      </c>
      <c r="AE445" s="22"/>
      <c r="AF445" s="22" t="s">
        <v>86</v>
      </c>
      <c r="AH445" s="22" t="s">
        <v>86</v>
      </c>
    </row>
    <row r="446" spans="2:14" ht="12.75">
      <c r="B446" s="20" t="s">
        <v>114</v>
      </c>
      <c r="D446" s="20" t="s">
        <v>44</v>
      </c>
      <c r="F446" s="21">
        <f>93.5*60</f>
        <v>5610</v>
      </c>
      <c r="H446" s="21">
        <f>93.4*60</f>
        <v>5604</v>
      </c>
      <c r="J446" s="21">
        <f>93.4*60</f>
        <v>5604</v>
      </c>
      <c r="L446" s="21">
        <f>93*60</f>
        <v>5580</v>
      </c>
      <c r="N446" s="23">
        <f>AVERAGE(F446,H446,J446,L446)</f>
        <v>5599.5</v>
      </c>
    </row>
    <row r="447" spans="2:14" ht="12.75">
      <c r="B447" s="20" t="s">
        <v>45</v>
      </c>
      <c r="D447" s="20" t="s">
        <v>46</v>
      </c>
      <c r="F447" s="21">
        <v>15620</v>
      </c>
      <c r="H447" s="21">
        <v>15620</v>
      </c>
      <c r="J447" s="21">
        <v>15620</v>
      </c>
      <c r="L447" s="21">
        <v>15620</v>
      </c>
      <c r="N447" s="23">
        <f>AVERAGE(F447,H447,J447,L447)</f>
        <v>15620</v>
      </c>
    </row>
    <row r="448" spans="2:14" ht="12.75">
      <c r="B448" s="20" t="s">
        <v>49</v>
      </c>
      <c r="D448" s="20" t="s">
        <v>32</v>
      </c>
      <c r="E448" s="24"/>
      <c r="F448" s="42">
        <f>8.4*453.6</f>
        <v>3810.2400000000002</v>
      </c>
      <c r="G448" s="42"/>
      <c r="H448" s="42">
        <f>8.4*453.6</f>
        <v>3810.2400000000002</v>
      </c>
      <c r="I448" s="42"/>
      <c r="J448" s="42">
        <f>8.4*453.6</f>
        <v>3810.2400000000002</v>
      </c>
      <c r="K448" s="24"/>
      <c r="L448" s="42">
        <f>4.8*453.6</f>
        <v>2177.28</v>
      </c>
      <c r="N448" s="28">
        <f>AVERAGE(F448,H448,J448,L448)</f>
        <v>3402.0000000000005</v>
      </c>
    </row>
    <row r="449" spans="5:14" ht="12.75">
      <c r="E449" s="24"/>
      <c r="F449" s="42"/>
      <c r="G449" s="42"/>
      <c r="H449" s="42"/>
      <c r="I449" s="42"/>
      <c r="J449" s="42"/>
      <c r="K449" s="24"/>
      <c r="L449" s="42"/>
      <c r="N449" s="28"/>
    </row>
    <row r="450" spans="2:34" ht="12.75">
      <c r="B450" s="20" t="s">
        <v>198</v>
      </c>
      <c r="D450" s="20" t="s">
        <v>66</v>
      </c>
      <c r="E450" s="21" t="s">
        <v>29</v>
      </c>
      <c r="F450" s="25">
        <f>F448/F$326/60/0.0283*1000*(21-7)/(21-F$327)</f>
        <v>55.742081116807434</v>
      </c>
      <c r="G450" s="25"/>
      <c r="H450" s="25">
        <f>H448/H$326/60/0.0283*1000*(21-7)/(21-H$327)</f>
        <v>58.258888209703386</v>
      </c>
      <c r="I450" s="25"/>
      <c r="J450" s="25">
        <f>J448/J$326/60/0.0283*1000*(21-7)/(21-J$327)</f>
        <v>55.866117883051004</v>
      </c>
      <c r="K450" s="25"/>
      <c r="L450" s="25">
        <f>L448/L$326/60/0.0283*1000*(21-7)/(21-L$327)</f>
        <v>31.804334409948048</v>
      </c>
      <c r="N450" s="28">
        <f>AVERAGE(F450,H450,J450,L450)</f>
        <v>50.417855404877464</v>
      </c>
      <c r="Z450" s="27">
        <f>F450</f>
        <v>55.742081116807434</v>
      </c>
      <c r="AB450" s="27">
        <f>H450</f>
        <v>58.258888209703386</v>
      </c>
      <c r="AD450" s="27">
        <f>J450</f>
        <v>55.866117883051004</v>
      </c>
      <c r="AF450" s="27">
        <f>L450</f>
        <v>31.804334409948048</v>
      </c>
      <c r="AH450" s="27">
        <f>N450</f>
        <v>50.417855404877464</v>
      </c>
    </row>
    <row r="451" spans="5:14" ht="12.75">
      <c r="E451" s="24"/>
      <c r="F451" s="24"/>
      <c r="G451" s="24"/>
      <c r="H451" s="24"/>
      <c r="I451" s="24"/>
      <c r="J451" s="24"/>
      <c r="K451" s="24"/>
      <c r="L451" s="24"/>
      <c r="N451" s="23"/>
    </row>
    <row r="452" spans="2:14" ht="12.75">
      <c r="B452" s="20" t="s">
        <v>63</v>
      </c>
      <c r="D452" s="20" t="s">
        <v>36</v>
      </c>
      <c r="E452" s="24"/>
      <c r="F452" s="11">
        <v>20458</v>
      </c>
      <c r="G452" s="11"/>
      <c r="H452" s="14">
        <v>21582</v>
      </c>
      <c r="I452" s="14"/>
      <c r="J452" s="11">
        <v>19498</v>
      </c>
      <c r="K452" s="11"/>
      <c r="L452" s="14">
        <f>AVERAGE(J452,H452,F452)</f>
        <v>20512.666666666668</v>
      </c>
      <c r="M452" s="9"/>
      <c r="N452" s="14">
        <f>AVERAGE(L452,J452,H452,F452)</f>
        <v>20512.666666666668</v>
      </c>
    </row>
    <row r="453" spans="2:14" ht="12.75">
      <c r="B453" s="20" t="s">
        <v>64</v>
      </c>
      <c r="D453" s="20" t="s">
        <v>37</v>
      </c>
      <c r="F453" s="11">
        <v>6.9</v>
      </c>
      <c r="G453" s="11"/>
      <c r="H453" s="11">
        <v>5.3</v>
      </c>
      <c r="I453" s="11"/>
      <c r="J453" s="11">
        <v>10.1</v>
      </c>
      <c r="K453" s="11"/>
      <c r="L453" s="13">
        <f>AVERAGE(J453,H453,F453)</f>
        <v>7.433333333333333</v>
      </c>
      <c r="M453" s="9"/>
      <c r="N453" s="13">
        <f>AVERAGE(L453,J453,H453,F453)</f>
        <v>7.433333333333334</v>
      </c>
    </row>
    <row r="454" spans="12:14" ht="12.75">
      <c r="L454" s="21"/>
      <c r="N454" s="23"/>
    </row>
    <row r="455" spans="2:34" ht="12.75">
      <c r="B455" s="20" t="s">
        <v>112</v>
      </c>
      <c r="D455" s="20" t="s">
        <v>65</v>
      </c>
      <c r="F455" s="25">
        <f>F446*F447/1000000</f>
        <v>87.6282</v>
      </c>
      <c r="G455" s="25"/>
      <c r="H455" s="25">
        <f>H446*H447/1000000</f>
        <v>87.53448</v>
      </c>
      <c r="I455" s="25"/>
      <c r="J455" s="25">
        <f>J446*J447/1000000</f>
        <v>87.53448</v>
      </c>
      <c r="L455" s="25">
        <f>L446*L447/1000000</f>
        <v>87.1596</v>
      </c>
      <c r="N455" s="25">
        <f>AVERAGE(F455,H455,J455,L455)</f>
        <v>87.46419000000002</v>
      </c>
      <c r="P455" s="25">
        <v>1.7</v>
      </c>
      <c r="Q455" s="25"/>
      <c r="R455" s="25">
        <v>0.2</v>
      </c>
      <c r="S455" s="25"/>
      <c r="T455" s="25">
        <v>1.7</v>
      </c>
      <c r="V455" s="25">
        <v>1.4</v>
      </c>
      <c r="W455" s="22"/>
      <c r="X455" s="25">
        <f>AVERAGE(P455,R455,T455,V455)</f>
        <v>1.25</v>
      </c>
      <c r="Z455" s="25">
        <f>F455+P455</f>
        <v>89.32820000000001</v>
      </c>
      <c r="AA455" s="25"/>
      <c r="AB455" s="25">
        <f>H455+R455</f>
        <v>87.73448</v>
      </c>
      <c r="AC455" s="25"/>
      <c r="AD455" s="25">
        <f>J455+T455</f>
        <v>89.23448</v>
      </c>
      <c r="AF455" s="25">
        <f>L455+V455</f>
        <v>88.5596</v>
      </c>
      <c r="AG455" s="22"/>
      <c r="AH455" s="25">
        <f>AVERAGE(Z455,AB455,AD455,AF455)</f>
        <v>88.71419</v>
      </c>
    </row>
    <row r="459" spans="4:12" ht="12.75">
      <c r="D459" s="20" t="s">
        <v>192</v>
      </c>
      <c r="E459" s="24"/>
      <c r="F459" s="24"/>
      <c r="G459" s="24"/>
      <c r="H459" s="24"/>
      <c r="I459" s="24"/>
      <c r="J459" s="24"/>
      <c r="K459" s="24"/>
      <c r="L459" s="23"/>
    </row>
    <row r="460" spans="2:12" ht="12.75">
      <c r="B460" s="19" t="s">
        <v>193</v>
      </c>
      <c r="C460" s="19" t="s">
        <v>194</v>
      </c>
      <c r="E460" s="24"/>
      <c r="F460" s="24"/>
      <c r="G460" s="24"/>
      <c r="H460" s="24"/>
      <c r="I460" s="24"/>
      <c r="J460" s="24"/>
      <c r="K460" s="24"/>
      <c r="L460" s="24" t="s">
        <v>195</v>
      </c>
    </row>
    <row r="461" spans="2:11" ht="12.75">
      <c r="B461" s="19"/>
      <c r="C461" s="19"/>
      <c r="E461" s="24"/>
      <c r="F461" s="24"/>
      <c r="G461" s="24"/>
      <c r="H461" s="24"/>
      <c r="I461" s="24"/>
      <c r="J461" s="24"/>
      <c r="K461" s="24"/>
    </row>
    <row r="462" spans="2:12" ht="12.75">
      <c r="B462" s="20" t="s">
        <v>49</v>
      </c>
      <c r="C462" s="19"/>
      <c r="D462" s="20" t="s">
        <v>32</v>
      </c>
      <c r="E462" s="24"/>
      <c r="F462" s="24"/>
      <c r="G462" s="24"/>
      <c r="H462" s="24"/>
      <c r="I462" s="24"/>
      <c r="J462" s="24"/>
      <c r="K462" s="24"/>
      <c r="L462" s="22">
        <v>2060</v>
      </c>
    </row>
    <row r="463" spans="2:12" ht="12.75">
      <c r="B463" s="20" t="s">
        <v>50</v>
      </c>
      <c r="D463" s="20" t="s">
        <v>32</v>
      </c>
      <c r="L463" s="22">
        <v>3130</v>
      </c>
    </row>
    <row r="464" spans="2:12" ht="12.75">
      <c r="B464" s="20" t="s">
        <v>103</v>
      </c>
      <c r="D464" s="20" t="s">
        <v>32</v>
      </c>
      <c r="L464" s="22">
        <v>1.44</v>
      </c>
    </row>
    <row r="465" spans="2:12" ht="12.75">
      <c r="B465" s="20" t="s">
        <v>105</v>
      </c>
      <c r="D465" s="20" t="s">
        <v>32</v>
      </c>
      <c r="L465" s="22">
        <v>0.46</v>
      </c>
    </row>
    <row r="466" spans="2:12" ht="12.75">
      <c r="B466" s="20" t="s">
        <v>109</v>
      </c>
      <c r="D466" s="20" t="s">
        <v>32</v>
      </c>
      <c r="L466" s="22">
        <v>0.438</v>
      </c>
    </row>
    <row r="467" spans="2:12" ht="12.75">
      <c r="B467" s="20" t="s">
        <v>101</v>
      </c>
      <c r="D467" s="20" t="s">
        <v>32</v>
      </c>
      <c r="L467" s="23">
        <v>0.735</v>
      </c>
    </row>
    <row r="468" spans="2:12" ht="12.75">
      <c r="B468" s="20" t="s">
        <v>107</v>
      </c>
      <c r="D468" s="20" t="s">
        <v>32</v>
      </c>
      <c r="L468" s="23">
        <v>2350</v>
      </c>
    </row>
    <row r="469" spans="2:12" ht="12.75">
      <c r="B469" s="20" t="s">
        <v>104</v>
      </c>
      <c r="D469" s="20" t="s">
        <v>32</v>
      </c>
      <c r="L469" s="23">
        <v>391000</v>
      </c>
    </row>
    <row r="470" spans="2:12" ht="12.75">
      <c r="B470" s="20" t="s">
        <v>108</v>
      </c>
      <c r="D470" s="20" t="s">
        <v>32</v>
      </c>
      <c r="L470" s="23">
        <v>704</v>
      </c>
    </row>
    <row r="471" spans="2:12" ht="12.75">
      <c r="B471" t="s">
        <v>113</v>
      </c>
      <c r="C471"/>
      <c r="D471" s="20" t="s">
        <v>32</v>
      </c>
      <c r="E471"/>
      <c r="F471"/>
      <c r="G471"/>
      <c r="H471"/>
      <c r="I471"/>
      <c r="J471"/>
      <c r="K471"/>
      <c r="L471">
        <v>626</v>
      </c>
    </row>
    <row r="472" spans="2:12" ht="12.75">
      <c r="B472" t="s">
        <v>110</v>
      </c>
      <c r="C472"/>
      <c r="D472" s="20" t="s">
        <v>32</v>
      </c>
      <c r="E472"/>
      <c r="F472"/>
      <c r="G472"/>
      <c r="H472"/>
      <c r="I472"/>
      <c r="J472"/>
      <c r="K472"/>
      <c r="L472">
        <v>23500</v>
      </c>
    </row>
    <row r="473" spans="2:12" ht="12.75">
      <c r="B473" t="s">
        <v>106</v>
      </c>
      <c r="C473"/>
      <c r="D473" s="20" t="s">
        <v>32</v>
      </c>
      <c r="E473"/>
      <c r="F473"/>
      <c r="G473"/>
      <c r="H473"/>
      <c r="I473"/>
      <c r="J473"/>
      <c r="K473"/>
      <c r="L473">
        <v>2350</v>
      </c>
    </row>
    <row r="474" spans="2:12" ht="12.75">
      <c r="B474"/>
      <c r="C474"/>
      <c r="D474"/>
      <c r="E474"/>
      <c r="F474"/>
      <c r="G474"/>
      <c r="H474"/>
      <c r="I474"/>
      <c r="J474"/>
      <c r="K474"/>
      <c r="L474"/>
    </row>
    <row r="475" spans="5:12" ht="12.75">
      <c r="E475" s="24"/>
      <c r="F475" s="24"/>
      <c r="G475" s="24"/>
      <c r="H475" s="24"/>
      <c r="I475" s="24"/>
      <c r="J475" s="24"/>
      <c r="K475" s="24"/>
      <c r="L475" s="23"/>
    </row>
    <row r="476" spans="4:12" ht="12.75">
      <c r="D476" s="20" t="s">
        <v>192</v>
      </c>
      <c r="E476" s="24"/>
      <c r="F476" s="24"/>
      <c r="G476" s="24"/>
      <c r="H476" s="24"/>
      <c r="I476" s="24"/>
      <c r="J476" s="24"/>
      <c r="K476" s="24"/>
      <c r="L476" s="23"/>
    </row>
    <row r="477" spans="2:12" ht="12.75">
      <c r="B477" s="19" t="s">
        <v>193</v>
      </c>
      <c r="C477" s="19" t="s">
        <v>194</v>
      </c>
      <c r="E477" s="24"/>
      <c r="F477" s="24"/>
      <c r="G477" s="24"/>
      <c r="H477" s="24"/>
      <c r="I477" s="24"/>
      <c r="J477" s="24"/>
      <c r="K477" s="24"/>
      <c r="L477" s="24" t="s">
        <v>197</v>
      </c>
    </row>
    <row r="478" spans="2:11" ht="12.75">
      <c r="B478" s="19"/>
      <c r="C478" s="19"/>
      <c r="E478" s="24"/>
      <c r="F478" s="24"/>
      <c r="G478" s="24"/>
      <c r="H478" s="24"/>
      <c r="I478" s="24"/>
      <c r="J478" s="24"/>
      <c r="K478" s="24"/>
    </row>
    <row r="479" spans="2:12" ht="12.75">
      <c r="B479" s="20" t="s">
        <v>49</v>
      </c>
      <c r="C479" s="19"/>
      <c r="D479" s="20" t="s">
        <v>32</v>
      </c>
      <c r="E479" s="24"/>
      <c r="F479" s="24"/>
      <c r="G479" s="24"/>
      <c r="H479" s="24"/>
      <c r="I479" s="24"/>
      <c r="J479" s="24"/>
      <c r="K479" s="24"/>
      <c r="L479" s="22">
        <v>8000</v>
      </c>
    </row>
    <row r="480" spans="2:12" ht="12.75">
      <c r="B480" s="20" t="s">
        <v>50</v>
      </c>
      <c r="D480" s="20" t="s">
        <v>32</v>
      </c>
      <c r="L480" s="22">
        <v>3130</v>
      </c>
    </row>
    <row r="481" spans="2:12" ht="12.75">
      <c r="B481" s="20" t="s">
        <v>103</v>
      </c>
      <c r="D481" s="20" t="s">
        <v>32</v>
      </c>
      <c r="L481" s="22">
        <v>4.32</v>
      </c>
    </row>
    <row r="482" spans="2:12" ht="12.75">
      <c r="B482" s="20" t="s">
        <v>105</v>
      </c>
      <c r="D482" s="20" t="s">
        <v>32</v>
      </c>
      <c r="L482" s="22">
        <v>1.18</v>
      </c>
    </row>
    <row r="483" spans="2:12" ht="12.75">
      <c r="B483" s="20" t="s">
        <v>109</v>
      </c>
      <c r="D483" s="20" t="s">
        <v>32</v>
      </c>
      <c r="L483" s="22">
        <v>1.31</v>
      </c>
    </row>
    <row r="484" spans="2:12" ht="12.75">
      <c r="B484" s="20" t="s">
        <v>101</v>
      </c>
      <c r="D484" s="20" t="s">
        <v>32</v>
      </c>
      <c r="L484" s="23">
        <v>21.9</v>
      </c>
    </row>
    <row r="485" spans="2:12" ht="12.75">
      <c r="B485" s="20" t="s">
        <v>107</v>
      </c>
      <c r="D485" s="20" t="s">
        <v>32</v>
      </c>
      <c r="L485" s="23">
        <v>2350</v>
      </c>
    </row>
    <row r="486" spans="2:12" ht="12.75">
      <c r="B486" s="20" t="s">
        <v>104</v>
      </c>
      <c r="D486" s="20" t="s">
        <v>32</v>
      </c>
      <c r="L486" s="23">
        <v>391000</v>
      </c>
    </row>
    <row r="487" spans="2:12" ht="12.75">
      <c r="B487" s="20" t="s">
        <v>108</v>
      </c>
      <c r="D487" s="20" t="s">
        <v>32</v>
      </c>
      <c r="L487" s="23">
        <v>704</v>
      </c>
    </row>
    <row r="488" spans="2:12" ht="12.75">
      <c r="B488" t="s">
        <v>113</v>
      </c>
      <c r="C488"/>
      <c r="D488" s="20" t="s">
        <v>32</v>
      </c>
      <c r="E488"/>
      <c r="F488"/>
      <c r="G488"/>
      <c r="H488"/>
      <c r="I488"/>
      <c r="J488"/>
      <c r="K488"/>
      <c r="L488">
        <v>626</v>
      </c>
    </row>
    <row r="489" spans="2:12" ht="12.75">
      <c r="B489" t="s">
        <v>110</v>
      </c>
      <c r="C489"/>
      <c r="D489" s="20" t="s">
        <v>32</v>
      </c>
      <c r="E489"/>
      <c r="F489"/>
      <c r="G489"/>
      <c r="H489"/>
      <c r="I489"/>
      <c r="J489"/>
      <c r="K489"/>
      <c r="L489">
        <v>23500</v>
      </c>
    </row>
    <row r="490" spans="2:12" ht="12.75">
      <c r="B490" t="s">
        <v>106</v>
      </c>
      <c r="C490"/>
      <c r="D490" s="20" t="s">
        <v>32</v>
      </c>
      <c r="E490"/>
      <c r="F490"/>
      <c r="G490"/>
      <c r="H490"/>
      <c r="I490"/>
      <c r="J490"/>
      <c r="K490"/>
      <c r="L490">
        <v>2350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7">
      <selection activeCell="C18" sqref="C18"/>
    </sheetView>
  </sheetViews>
  <sheetFormatPr defaultColWidth="9.140625" defaultRowHeight="12.75"/>
  <cols>
    <col min="1" max="1" width="1.57421875" style="0" customWidth="1"/>
    <col min="2" max="2" width="18.7109375" style="0" customWidth="1"/>
    <col min="4" max="4" width="4.140625" style="0" customWidth="1"/>
    <col min="9" max="9" width="3.7109375" style="0" customWidth="1"/>
    <col min="14" max="14" width="3.8515625" style="0" customWidth="1"/>
  </cols>
  <sheetData>
    <row r="1" spans="1:20" ht="12.75">
      <c r="A1" s="44" t="s">
        <v>199</v>
      </c>
      <c r="B1" s="21"/>
      <c r="C1" s="21"/>
      <c r="D1" s="21"/>
      <c r="E1" s="45"/>
      <c r="F1" s="46"/>
      <c r="G1" s="45"/>
      <c r="H1" s="46"/>
      <c r="I1" s="47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2.75">
      <c r="A2" s="21" t="s">
        <v>248</v>
      </c>
      <c r="B2" s="21"/>
      <c r="C2" s="21"/>
      <c r="D2" s="21"/>
      <c r="E2" s="45"/>
      <c r="F2" s="46"/>
      <c r="G2" s="45"/>
      <c r="H2" s="46"/>
      <c r="I2" s="47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2.75">
      <c r="A3" s="21" t="s">
        <v>200</v>
      </c>
      <c r="B3" s="21"/>
      <c r="C3" s="20" t="s">
        <v>201</v>
      </c>
      <c r="D3" s="20"/>
      <c r="E3" s="45"/>
      <c r="F3" s="46"/>
      <c r="G3" s="45"/>
      <c r="H3" s="46"/>
      <c r="I3" s="47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21" t="s">
        <v>202</v>
      </c>
      <c r="B4" s="21"/>
      <c r="C4" s="20" t="s">
        <v>184</v>
      </c>
      <c r="D4" s="20"/>
      <c r="E4" s="48"/>
      <c r="F4" s="49"/>
      <c r="G4" s="48"/>
      <c r="H4" s="49"/>
      <c r="I4" s="47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2.75">
      <c r="A5" s="21" t="s">
        <v>203</v>
      </c>
      <c r="B5" s="21"/>
      <c r="C5" s="2" t="s">
        <v>204</v>
      </c>
      <c r="D5" s="2"/>
      <c r="E5" s="2"/>
      <c r="F5" s="2"/>
      <c r="G5" s="2"/>
      <c r="H5" s="2"/>
      <c r="I5" s="31"/>
      <c r="J5" s="2"/>
      <c r="K5" s="45"/>
      <c r="L5" s="2"/>
      <c r="M5" s="45"/>
      <c r="N5" s="45"/>
      <c r="O5" s="45"/>
      <c r="P5" s="45"/>
      <c r="Q5" s="45"/>
      <c r="R5" s="45"/>
      <c r="S5" s="45"/>
      <c r="T5" s="45"/>
    </row>
    <row r="6" spans="1:20" ht="12.75">
      <c r="A6" s="21"/>
      <c r="B6" s="21"/>
      <c r="C6" s="24"/>
      <c r="D6" s="24"/>
      <c r="E6" s="47"/>
      <c r="F6" s="46"/>
      <c r="G6" s="47"/>
      <c r="H6" s="46"/>
      <c r="I6" s="47"/>
      <c r="J6" s="47"/>
      <c r="K6" s="45"/>
      <c r="L6" s="47"/>
      <c r="M6" s="45"/>
      <c r="N6" s="45"/>
      <c r="O6" s="47"/>
      <c r="P6" s="45"/>
      <c r="Q6" s="47"/>
      <c r="R6" s="45"/>
      <c r="S6" s="45"/>
      <c r="T6" s="47"/>
    </row>
    <row r="7" spans="1:19" ht="12.75">
      <c r="A7" s="21"/>
      <c r="B7" s="21"/>
      <c r="C7" s="24" t="s">
        <v>205</v>
      </c>
      <c r="D7" s="24"/>
      <c r="E7" s="50" t="s">
        <v>206</v>
      </c>
      <c r="F7" s="50"/>
      <c r="G7" s="50"/>
      <c r="H7" s="50"/>
      <c r="I7" s="42"/>
      <c r="J7" s="50" t="s">
        <v>207</v>
      </c>
      <c r="K7" s="50"/>
      <c r="L7" s="50"/>
      <c r="M7" s="50"/>
      <c r="N7" s="42"/>
      <c r="O7" s="50" t="s">
        <v>208</v>
      </c>
      <c r="P7" s="50"/>
      <c r="Q7" s="50"/>
      <c r="R7" s="50"/>
      <c r="S7" s="42"/>
    </row>
    <row r="8" spans="1:19" ht="12.75">
      <c r="A8" s="21"/>
      <c r="B8" s="21"/>
      <c r="C8" s="24" t="s">
        <v>209</v>
      </c>
      <c r="D8" s="21"/>
      <c r="E8" s="47" t="s">
        <v>86</v>
      </c>
      <c r="F8" s="49" t="s">
        <v>210</v>
      </c>
      <c r="G8" s="47" t="s">
        <v>86</v>
      </c>
      <c r="H8" s="49" t="s">
        <v>210</v>
      </c>
      <c r="I8" s="47"/>
      <c r="J8" s="47" t="s">
        <v>86</v>
      </c>
      <c r="K8" s="47" t="s">
        <v>211</v>
      </c>
      <c r="L8" s="47" t="s">
        <v>86</v>
      </c>
      <c r="M8" s="47" t="s">
        <v>211</v>
      </c>
      <c r="N8" s="45"/>
      <c r="O8" s="47" t="s">
        <v>86</v>
      </c>
      <c r="P8" s="47" t="s">
        <v>211</v>
      </c>
      <c r="Q8" s="47" t="s">
        <v>86</v>
      </c>
      <c r="R8" s="47" t="s">
        <v>211</v>
      </c>
      <c r="S8" s="45"/>
    </row>
    <row r="9" spans="1:19" ht="12.75">
      <c r="A9" s="21"/>
      <c r="B9" s="21"/>
      <c r="C9" s="24"/>
      <c r="D9" s="21"/>
      <c r="E9" s="47" t="s">
        <v>247</v>
      </c>
      <c r="F9" s="47" t="s">
        <v>247</v>
      </c>
      <c r="G9" s="47" t="s">
        <v>212</v>
      </c>
      <c r="H9" s="49" t="s">
        <v>212</v>
      </c>
      <c r="I9" s="47"/>
      <c r="J9" s="47" t="s">
        <v>247</v>
      </c>
      <c r="K9" s="47" t="s">
        <v>247</v>
      </c>
      <c r="L9" s="47" t="s">
        <v>212</v>
      </c>
      <c r="M9" s="49" t="s">
        <v>212</v>
      </c>
      <c r="N9" s="45"/>
      <c r="O9" s="47" t="s">
        <v>247</v>
      </c>
      <c r="P9" s="47" t="s">
        <v>247</v>
      </c>
      <c r="Q9" s="47" t="s">
        <v>212</v>
      </c>
      <c r="R9" s="49" t="s">
        <v>212</v>
      </c>
      <c r="S9" s="45"/>
    </row>
    <row r="10" spans="1:20" ht="12.75">
      <c r="A10" s="21" t="s">
        <v>213</v>
      </c>
      <c r="B10" s="21"/>
      <c r="C10" s="21"/>
      <c r="D10" s="21"/>
      <c r="E10" s="45"/>
      <c r="F10" s="46"/>
      <c r="G10" s="45"/>
      <c r="H10" s="46"/>
      <c r="I10" s="47"/>
      <c r="J10" s="45"/>
      <c r="K10" s="45"/>
      <c r="L10" s="45"/>
      <c r="M10" s="45"/>
      <c r="N10" s="45"/>
      <c r="O10" s="27"/>
      <c r="P10" s="45"/>
      <c r="Q10" s="45"/>
      <c r="R10" s="45"/>
      <c r="S10" s="45"/>
      <c r="T10" s="27"/>
    </row>
    <row r="11" spans="1:18" ht="12.75">
      <c r="A11" s="21"/>
      <c r="B11" s="21" t="s">
        <v>214</v>
      </c>
      <c r="C11" s="24">
        <v>1</v>
      </c>
      <c r="D11" t="s">
        <v>34</v>
      </c>
      <c r="E11" s="55">
        <v>19.1</v>
      </c>
      <c r="F11" s="51">
        <f aca="true" t="shared" si="0" ref="F11:F35">IF(E11="","",E11*$C11)</f>
        <v>19.1</v>
      </c>
      <c r="G11" s="51">
        <f aca="true" t="shared" si="1" ref="G11:G35">IF(E11=0,"",IF(D11="nd",E11/2,E11))</f>
        <v>9.55</v>
      </c>
      <c r="H11" s="51">
        <f aca="true" t="shared" si="2" ref="H11:H35">IF(G11="","",G11*$C11)</f>
        <v>9.55</v>
      </c>
      <c r="I11" t="s">
        <v>34</v>
      </c>
      <c r="J11" s="55">
        <v>32.78</v>
      </c>
      <c r="K11" s="27">
        <f aca="true" t="shared" si="3" ref="K11:K35">IF(J11="","",J11*$C11)</f>
        <v>32.78</v>
      </c>
      <c r="L11" s="51">
        <f>IF(J11=0,"",IF(I11="nd",J11/2,J11))</f>
        <v>16.39</v>
      </c>
      <c r="M11" s="51">
        <f aca="true" t="shared" si="4" ref="M11:M35">IF(L11="","",L11*$C11)</f>
        <v>16.39</v>
      </c>
      <c r="N11" t="s">
        <v>34</v>
      </c>
      <c r="O11" s="55">
        <v>14.89</v>
      </c>
      <c r="P11" s="37">
        <f aca="true" t="shared" si="5" ref="P11:P35">IF(O11="","",O11*$C11)</f>
        <v>14.89</v>
      </c>
      <c r="Q11" s="37">
        <f>IF(O11=0,"",IF(N11="nd",O11/2,O11))</f>
        <v>7.445</v>
      </c>
      <c r="R11" s="37">
        <f aca="true" t="shared" si="6" ref="R11:R35">IF(Q11="","",Q11*$C11)</f>
        <v>7.445</v>
      </c>
    </row>
    <row r="12" spans="1:18" ht="12.75">
      <c r="A12" s="21"/>
      <c r="B12" s="21" t="s">
        <v>215</v>
      </c>
      <c r="C12" s="24">
        <v>0</v>
      </c>
      <c r="D12" t="s">
        <v>34</v>
      </c>
      <c r="E12" s="55">
        <v>94</v>
      </c>
      <c r="F12" s="37">
        <f t="shared" si="0"/>
        <v>0</v>
      </c>
      <c r="G12" s="37">
        <f>IF(E12=0,"",IF(D12="nd",E12/2,E12))</f>
        <v>47</v>
      </c>
      <c r="H12" s="37">
        <f t="shared" si="2"/>
        <v>0</v>
      </c>
      <c r="I12" t="s">
        <v>34</v>
      </c>
      <c r="J12" s="55">
        <v>466.58</v>
      </c>
      <c r="K12" s="27">
        <f t="shared" si="3"/>
        <v>0</v>
      </c>
      <c r="L12" s="37">
        <f>IF(J12=0,"",IF(I12="nd",J12/2,J12))</f>
        <v>233.29</v>
      </c>
      <c r="M12" s="51">
        <f t="shared" si="4"/>
        <v>0</v>
      </c>
      <c r="N12" t="s">
        <v>34</v>
      </c>
      <c r="O12" s="55">
        <v>148.89</v>
      </c>
      <c r="P12" s="37">
        <f t="shared" si="5"/>
        <v>0</v>
      </c>
      <c r="Q12" s="37">
        <f>IF(O12=0,"",IF(N12="nd",O12/2,O12))</f>
        <v>74.445</v>
      </c>
      <c r="R12" s="37">
        <f t="shared" si="6"/>
        <v>0</v>
      </c>
    </row>
    <row r="13" spans="1:18" ht="12.75">
      <c r="A13" s="21"/>
      <c r="B13" s="21" t="s">
        <v>216</v>
      </c>
      <c r="C13" s="24">
        <v>0.5</v>
      </c>
      <c r="D13" t="s">
        <v>34</v>
      </c>
      <c r="E13" s="55">
        <v>11.56</v>
      </c>
      <c r="F13" s="51">
        <f t="shared" si="0"/>
        <v>5.78</v>
      </c>
      <c r="G13" s="51">
        <f t="shared" si="1"/>
        <v>5.78</v>
      </c>
      <c r="H13" s="51">
        <f t="shared" si="2"/>
        <v>2.89</v>
      </c>
      <c r="I13" t="s">
        <v>34</v>
      </c>
      <c r="J13" s="55">
        <v>33.96</v>
      </c>
      <c r="K13" s="27">
        <f t="shared" si="3"/>
        <v>16.98</v>
      </c>
      <c r="L13" s="51">
        <f aca="true" t="shared" si="7" ref="L13:L35">IF(J13=0,"",IF(I13="nd",J13/2,J13))</f>
        <v>16.98</v>
      </c>
      <c r="M13" s="51">
        <f t="shared" si="4"/>
        <v>8.49</v>
      </c>
      <c r="N13" t="s">
        <v>34</v>
      </c>
      <c r="O13" s="55">
        <v>23.82</v>
      </c>
      <c r="P13" s="37">
        <f t="shared" si="5"/>
        <v>11.91</v>
      </c>
      <c r="Q13" s="37">
        <f aca="true" t="shared" si="8" ref="Q13:Q35">IF(O13=0,"",IF(N13="nd",O13/2,O13))</f>
        <v>11.91</v>
      </c>
      <c r="R13" s="37">
        <f t="shared" si="6"/>
        <v>5.955</v>
      </c>
    </row>
    <row r="14" spans="1:18" ht="12.75">
      <c r="A14" s="21"/>
      <c r="B14" s="21" t="s">
        <v>217</v>
      </c>
      <c r="C14" s="24">
        <v>0</v>
      </c>
      <c r="D14" t="s">
        <v>34</v>
      </c>
      <c r="E14" s="55">
        <v>74.72</v>
      </c>
      <c r="F14" s="37">
        <f t="shared" si="0"/>
        <v>0</v>
      </c>
      <c r="G14" s="37">
        <f>IF(E14=0,"",IF(D14="nd",E14/2,E14))</f>
        <v>37.36</v>
      </c>
      <c r="H14" s="37">
        <f t="shared" si="2"/>
        <v>0</v>
      </c>
      <c r="I14" t="s">
        <v>34</v>
      </c>
      <c r="J14" s="55">
        <v>33.96</v>
      </c>
      <c r="K14" s="27">
        <f t="shared" si="3"/>
        <v>0</v>
      </c>
      <c r="L14" s="37">
        <f>IF(J14=0,"",IF(I14="nd",J14/2,J14))</f>
        <v>16.98</v>
      </c>
      <c r="M14" s="51">
        <f t="shared" si="4"/>
        <v>0</v>
      </c>
      <c r="N14" t="s">
        <v>34</v>
      </c>
      <c r="O14" s="55">
        <v>96.52</v>
      </c>
      <c r="P14" s="37">
        <f t="shared" si="5"/>
        <v>0</v>
      </c>
      <c r="Q14" s="37">
        <f>IF(O14=0,"",IF(N14="nd",O14/2,O14))</f>
        <v>48.26</v>
      </c>
      <c r="R14" s="37">
        <f t="shared" si="6"/>
        <v>0</v>
      </c>
    </row>
    <row r="15" spans="1:18" ht="12.75">
      <c r="A15" s="21"/>
      <c r="B15" s="21" t="s">
        <v>218</v>
      </c>
      <c r="C15" s="24">
        <v>0.1</v>
      </c>
      <c r="D15" t="s">
        <v>34</v>
      </c>
      <c r="E15" s="55">
        <v>20.95</v>
      </c>
      <c r="F15" s="51">
        <f t="shared" si="0"/>
        <v>2.095</v>
      </c>
      <c r="G15" s="51">
        <f t="shared" si="1"/>
        <v>10.475</v>
      </c>
      <c r="H15" s="51">
        <f t="shared" si="2"/>
        <v>1.0475</v>
      </c>
      <c r="I15" t="s">
        <v>34</v>
      </c>
      <c r="J15" s="55">
        <v>28.1</v>
      </c>
      <c r="K15" s="27">
        <f t="shared" si="3"/>
        <v>2.8100000000000005</v>
      </c>
      <c r="L15" s="51">
        <f t="shared" si="7"/>
        <v>14.05</v>
      </c>
      <c r="M15" s="51">
        <f t="shared" si="4"/>
        <v>1.4050000000000002</v>
      </c>
      <c r="N15" t="s">
        <v>34</v>
      </c>
      <c r="O15" s="55">
        <v>32</v>
      </c>
      <c r="P15" s="37">
        <f t="shared" si="5"/>
        <v>3.2</v>
      </c>
      <c r="Q15" s="37">
        <f t="shared" si="8"/>
        <v>16</v>
      </c>
      <c r="R15" s="37">
        <f t="shared" si="6"/>
        <v>1.6</v>
      </c>
    </row>
    <row r="16" spans="1:18" ht="12.75">
      <c r="A16" s="21"/>
      <c r="B16" s="21" t="s">
        <v>219</v>
      </c>
      <c r="C16" s="24">
        <v>0.1</v>
      </c>
      <c r="D16" t="s">
        <v>34</v>
      </c>
      <c r="E16" s="55">
        <v>19.62</v>
      </c>
      <c r="F16" s="51">
        <f t="shared" si="0"/>
        <v>1.9620000000000002</v>
      </c>
      <c r="G16" s="51">
        <f t="shared" si="1"/>
        <v>9.81</v>
      </c>
      <c r="H16" s="51">
        <f t="shared" si="2"/>
        <v>0.9810000000000001</v>
      </c>
      <c r="I16" t="s">
        <v>34</v>
      </c>
      <c r="J16" s="55">
        <v>29.85</v>
      </c>
      <c r="K16" s="27">
        <f t="shared" si="3"/>
        <v>2.9850000000000003</v>
      </c>
      <c r="L16" s="51">
        <f t="shared" si="7"/>
        <v>14.925</v>
      </c>
      <c r="M16" s="51">
        <f t="shared" si="4"/>
        <v>1.4925000000000002</v>
      </c>
      <c r="N16" t="s">
        <v>34</v>
      </c>
      <c r="O16" s="55">
        <v>30</v>
      </c>
      <c r="P16" s="37">
        <f t="shared" si="5"/>
        <v>3</v>
      </c>
      <c r="Q16" s="37">
        <f t="shared" si="8"/>
        <v>15</v>
      </c>
      <c r="R16" s="37">
        <f t="shared" si="6"/>
        <v>1.5</v>
      </c>
    </row>
    <row r="17" spans="1:18" ht="12.75">
      <c r="A17" s="21"/>
      <c r="B17" s="21" t="s">
        <v>220</v>
      </c>
      <c r="C17" s="24">
        <v>0.1</v>
      </c>
      <c r="D17" t="s">
        <v>34</v>
      </c>
      <c r="E17" s="55">
        <v>18.4</v>
      </c>
      <c r="F17" s="51">
        <f t="shared" si="0"/>
        <v>1.8399999999999999</v>
      </c>
      <c r="G17" s="51">
        <f t="shared" si="1"/>
        <v>9.2</v>
      </c>
      <c r="H17" s="51">
        <f t="shared" si="2"/>
        <v>0.9199999999999999</v>
      </c>
      <c r="I17" t="s">
        <v>34</v>
      </c>
      <c r="J17" s="55">
        <v>26.54</v>
      </c>
      <c r="K17" s="27">
        <f t="shared" si="3"/>
        <v>2.654</v>
      </c>
      <c r="L17" s="51">
        <f t="shared" si="7"/>
        <v>13.27</v>
      </c>
      <c r="M17" s="51">
        <f t="shared" si="4"/>
        <v>1.327</v>
      </c>
      <c r="N17" t="s">
        <v>34</v>
      </c>
      <c r="O17" s="55">
        <v>28.1</v>
      </c>
      <c r="P17" s="37">
        <f t="shared" si="5"/>
        <v>2.8100000000000005</v>
      </c>
      <c r="Q17" s="37">
        <f t="shared" si="8"/>
        <v>14.05</v>
      </c>
      <c r="R17" s="37">
        <f t="shared" si="6"/>
        <v>1.4050000000000002</v>
      </c>
    </row>
    <row r="18" spans="1:18" ht="12.75">
      <c r="A18" s="21"/>
      <c r="B18" s="21" t="s">
        <v>221</v>
      </c>
      <c r="C18" s="24">
        <v>0</v>
      </c>
      <c r="D18" t="s">
        <v>34</v>
      </c>
      <c r="E18" s="55">
        <v>112.21</v>
      </c>
      <c r="F18" s="37">
        <f t="shared" si="0"/>
        <v>0</v>
      </c>
      <c r="G18" s="37">
        <f>IF(E18=0,"",IF(D18="nd",E18/2,E18))</f>
        <v>56.105</v>
      </c>
      <c r="H18" s="37">
        <f t="shared" si="2"/>
        <v>0</v>
      </c>
      <c r="I18" t="s">
        <v>34</v>
      </c>
      <c r="J18" s="55">
        <v>312.63</v>
      </c>
      <c r="K18" s="27">
        <f t="shared" si="3"/>
        <v>0</v>
      </c>
      <c r="L18" s="37">
        <f>IF(J18=0,"",IF(I18="nd",J18/2,J18))</f>
        <v>156.315</v>
      </c>
      <c r="M18" s="51">
        <f t="shared" si="4"/>
        <v>0</v>
      </c>
      <c r="N18" t="s">
        <v>34</v>
      </c>
      <c r="O18" s="55">
        <v>28.2</v>
      </c>
      <c r="P18" s="37">
        <f t="shared" si="5"/>
        <v>0</v>
      </c>
      <c r="Q18" s="37">
        <f>IF(O18=0,"",IF(N18="nd",O18/2,O18))</f>
        <v>14.1</v>
      </c>
      <c r="R18" s="37">
        <f t="shared" si="6"/>
        <v>0</v>
      </c>
    </row>
    <row r="19" spans="1:18" ht="12.75">
      <c r="A19" s="21"/>
      <c r="B19" s="21" t="s">
        <v>222</v>
      </c>
      <c r="C19" s="24">
        <v>0.01</v>
      </c>
      <c r="D19" t="s">
        <v>34</v>
      </c>
      <c r="E19" s="55">
        <v>76.41</v>
      </c>
      <c r="F19" s="51">
        <f t="shared" si="0"/>
        <v>0.7641</v>
      </c>
      <c r="G19" s="51">
        <f t="shared" si="1"/>
        <v>38.205</v>
      </c>
      <c r="H19" s="51">
        <f t="shared" si="2"/>
        <v>0.38205</v>
      </c>
      <c r="I19" t="s">
        <v>34</v>
      </c>
      <c r="J19" s="55">
        <v>97.01</v>
      </c>
      <c r="K19" s="27">
        <f t="shared" si="3"/>
        <v>0.9701000000000001</v>
      </c>
      <c r="L19" s="51">
        <f t="shared" si="7"/>
        <v>48.505</v>
      </c>
      <c r="M19" s="51">
        <f t="shared" si="4"/>
        <v>0.48505000000000004</v>
      </c>
      <c r="N19" t="s">
        <v>34</v>
      </c>
      <c r="O19" s="55">
        <v>25.79</v>
      </c>
      <c r="P19" s="37">
        <f t="shared" si="5"/>
        <v>0.2579</v>
      </c>
      <c r="Q19" s="37">
        <f t="shared" si="8"/>
        <v>12.895</v>
      </c>
      <c r="R19" s="37">
        <f t="shared" si="6"/>
        <v>0.12895</v>
      </c>
    </row>
    <row r="20" spans="1:18" ht="12.75">
      <c r="A20" s="21"/>
      <c r="B20" s="21" t="s">
        <v>223</v>
      </c>
      <c r="C20" s="24">
        <v>0</v>
      </c>
      <c r="D20" t="s">
        <v>34</v>
      </c>
      <c r="E20" s="55">
        <v>147.11</v>
      </c>
      <c r="F20" s="37">
        <f t="shared" si="0"/>
        <v>0</v>
      </c>
      <c r="G20" s="37">
        <f>IF(E20=0,"",IF(D20="nd",E20/2,E20))</f>
        <v>73.555</v>
      </c>
      <c r="H20" s="37">
        <f t="shared" si="2"/>
        <v>0</v>
      </c>
      <c r="I20" t="s">
        <v>34</v>
      </c>
      <c r="J20" s="55">
        <v>187.91</v>
      </c>
      <c r="K20" s="27">
        <f t="shared" si="3"/>
        <v>0</v>
      </c>
      <c r="L20" s="37">
        <f>IF(J20=0,"",IF(I20="nd",J20/2,J20))</f>
        <v>93.955</v>
      </c>
      <c r="M20" s="51">
        <f t="shared" si="4"/>
        <v>0</v>
      </c>
      <c r="N20" t="s">
        <v>34</v>
      </c>
      <c r="O20" s="55">
        <v>25.79</v>
      </c>
      <c r="P20" s="37">
        <f t="shared" si="5"/>
        <v>0</v>
      </c>
      <c r="Q20" s="37">
        <f>IF(O20=0,"",IF(N20="nd",O20/2,O20))</f>
        <v>12.895</v>
      </c>
      <c r="R20" s="37">
        <f t="shared" si="6"/>
        <v>0</v>
      </c>
    </row>
    <row r="21" spans="1:18" ht="12.75">
      <c r="A21" s="21"/>
      <c r="B21" s="21" t="s">
        <v>224</v>
      </c>
      <c r="C21" s="24">
        <v>0.001</v>
      </c>
      <c r="D21" t="s">
        <v>34</v>
      </c>
      <c r="E21" s="55">
        <v>140</v>
      </c>
      <c r="F21" s="51">
        <f t="shared" si="0"/>
        <v>0.14</v>
      </c>
      <c r="G21" s="51">
        <f t="shared" si="1"/>
        <v>70</v>
      </c>
      <c r="H21" s="51">
        <f t="shared" si="2"/>
        <v>0.07</v>
      </c>
      <c r="I21" t="s">
        <v>34</v>
      </c>
      <c r="J21" s="55">
        <v>71.5</v>
      </c>
      <c r="K21" s="27">
        <f t="shared" si="3"/>
        <v>0.07150000000000001</v>
      </c>
      <c r="L21" s="37">
        <f t="shared" si="7"/>
        <v>35.75</v>
      </c>
      <c r="M21" s="51">
        <f t="shared" si="4"/>
        <v>0.035750000000000004</v>
      </c>
      <c r="N21" t="s">
        <v>34</v>
      </c>
      <c r="O21" s="55">
        <v>38.2</v>
      </c>
      <c r="P21" s="37">
        <f t="shared" si="5"/>
        <v>0.038200000000000005</v>
      </c>
      <c r="Q21" s="37">
        <f t="shared" si="8"/>
        <v>19.1</v>
      </c>
      <c r="R21" s="37">
        <f t="shared" si="6"/>
        <v>0.019100000000000002</v>
      </c>
    </row>
    <row r="22" spans="1:18" ht="12.75">
      <c r="A22" s="21"/>
      <c r="B22" s="21" t="s">
        <v>225</v>
      </c>
      <c r="C22" s="24">
        <v>0.1</v>
      </c>
      <c r="D22" t="s">
        <v>34</v>
      </c>
      <c r="E22" s="55">
        <v>23.29</v>
      </c>
      <c r="F22" s="51">
        <f t="shared" si="0"/>
        <v>2.329</v>
      </c>
      <c r="G22" s="51">
        <f t="shared" si="1"/>
        <v>11.645</v>
      </c>
      <c r="H22" s="51">
        <f t="shared" si="2"/>
        <v>1.1645</v>
      </c>
      <c r="I22" t="s">
        <v>34</v>
      </c>
      <c r="J22" s="55">
        <v>18.1</v>
      </c>
      <c r="K22" s="27">
        <f t="shared" si="3"/>
        <v>1.8100000000000003</v>
      </c>
      <c r="L22" s="37">
        <f t="shared" si="7"/>
        <v>9.05</v>
      </c>
      <c r="M22" s="51">
        <f t="shared" si="4"/>
        <v>0.9050000000000001</v>
      </c>
      <c r="N22" t="s">
        <v>34</v>
      </c>
      <c r="O22" s="55">
        <v>8.84</v>
      </c>
      <c r="P22" s="37">
        <f t="shared" si="5"/>
        <v>0.884</v>
      </c>
      <c r="Q22" s="37">
        <f t="shared" si="8"/>
        <v>4.42</v>
      </c>
      <c r="R22" s="37">
        <f t="shared" si="6"/>
        <v>0.442</v>
      </c>
    </row>
    <row r="23" spans="1:18" ht="12.75">
      <c r="A23" s="21"/>
      <c r="B23" s="21" t="s">
        <v>226</v>
      </c>
      <c r="C23" s="24">
        <v>0</v>
      </c>
      <c r="D23" t="s">
        <v>34</v>
      </c>
      <c r="E23" s="55">
        <v>428.29</v>
      </c>
      <c r="F23" s="37">
        <f t="shared" si="0"/>
        <v>0</v>
      </c>
      <c r="G23" s="37">
        <f>IF(E23=0,"",IF(D23="nd",E23/2,E23))</f>
        <v>214.145</v>
      </c>
      <c r="H23" s="37">
        <f t="shared" si="2"/>
        <v>0</v>
      </c>
      <c r="I23" t="s">
        <v>34</v>
      </c>
      <c r="J23" s="55">
        <v>422.2</v>
      </c>
      <c r="K23" s="27">
        <f t="shared" si="3"/>
        <v>0</v>
      </c>
      <c r="L23" s="37">
        <f>IF(J23=0,"",IF(I23="nd",J23/2,J23))</f>
        <v>211.1</v>
      </c>
      <c r="M23" s="51">
        <f t="shared" si="4"/>
        <v>0</v>
      </c>
      <c r="N23" t="s">
        <v>34</v>
      </c>
      <c r="O23" s="55">
        <v>171.3</v>
      </c>
      <c r="P23" s="37">
        <f t="shared" si="5"/>
        <v>0</v>
      </c>
      <c r="Q23" s="37">
        <f>IF(O23=0,"",IF(N23="nd",O23/2,O23))</f>
        <v>85.65</v>
      </c>
      <c r="R23" s="37">
        <f t="shared" si="6"/>
        <v>0</v>
      </c>
    </row>
    <row r="24" spans="1:18" ht="12.75">
      <c r="A24" s="21"/>
      <c r="B24" s="21" t="s">
        <v>227</v>
      </c>
      <c r="C24" s="24">
        <v>0.05</v>
      </c>
      <c r="D24" t="s">
        <v>34</v>
      </c>
      <c r="E24" s="55">
        <v>21.03</v>
      </c>
      <c r="F24" s="37">
        <f t="shared" si="0"/>
        <v>1.0515</v>
      </c>
      <c r="G24" s="37">
        <f t="shared" si="1"/>
        <v>10.515</v>
      </c>
      <c r="H24" s="37">
        <f t="shared" si="2"/>
        <v>0.52575</v>
      </c>
      <c r="I24" t="s">
        <v>34</v>
      </c>
      <c r="J24" s="55">
        <v>19.71</v>
      </c>
      <c r="K24" s="27">
        <f t="shared" si="3"/>
        <v>0.9855</v>
      </c>
      <c r="L24" s="37">
        <f t="shared" si="7"/>
        <v>9.855</v>
      </c>
      <c r="M24" s="51">
        <f t="shared" si="4"/>
        <v>0.49275</v>
      </c>
      <c r="N24" t="s">
        <v>34</v>
      </c>
      <c r="O24" s="55">
        <v>16.22</v>
      </c>
      <c r="P24" s="37">
        <f t="shared" si="5"/>
        <v>0.8109999999999999</v>
      </c>
      <c r="Q24" s="37">
        <f t="shared" si="8"/>
        <v>8.11</v>
      </c>
      <c r="R24" s="37">
        <f t="shared" si="6"/>
        <v>0.40549999999999997</v>
      </c>
    </row>
    <row r="25" spans="1:18" ht="12.75">
      <c r="A25" s="21"/>
      <c r="B25" s="21" t="s">
        <v>228</v>
      </c>
      <c r="C25" s="24">
        <v>0.5</v>
      </c>
      <c r="D25" t="s">
        <v>34</v>
      </c>
      <c r="E25" s="55">
        <v>25.81</v>
      </c>
      <c r="F25" s="37">
        <f t="shared" si="0"/>
        <v>12.905</v>
      </c>
      <c r="G25" s="37">
        <f t="shared" si="1"/>
        <v>12.905</v>
      </c>
      <c r="H25" s="37">
        <f t="shared" si="2"/>
        <v>6.4525</v>
      </c>
      <c r="I25" t="s">
        <v>34</v>
      </c>
      <c r="J25" s="55">
        <v>23.5</v>
      </c>
      <c r="K25" s="27">
        <f t="shared" si="3"/>
        <v>11.75</v>
      </c>
      <c r="L25" s="37">
        <f t="shared" si="7"/>
        <v>11.75</v>
      </c>
      <c r="M25" s="51">
        <f t="shared" si="4"/>
        <v>5.875</v>
      </c>
      <c r="N25" t="s">
        <v>34</v>
      </c>
      <c r="O25" s="55">
        <v>14.76</v>
      </c>
      <c r="P25" s="37">
        <f t="shared" si="5"/>
        <v>7.38</v>
      </c>
      <c r="Q25" s="37">
        <f t="shared" si="8"/>
        <v>7.38</v>
      </c>
      <c r="R25" s="37">
        <f t="shared" si="6"/>
        <v>3.69</v>
      </c>
    </row>
    <row r="26" spans="1:18" ht="12.75">
      <c r="A26" s="21"/>
      <c r="B26" s="21" t="s">
        <v>229</v>
      </c>
      <c r="C26" s="24">
        <v>0</v>
      </c>
      <c r="D26" t="s">
        <v>34</v>
      </c>
      <c r="E26" s="55">
        <v>148.36</v>
      </c>
      <c r="F26" s="37">
        <f t="shared" si="0"/>
        <v>0</v>
      </c>
      <c r="G26" s="37">
        <f>IF(E26=0,"",IF(D26="nd",E26/2,E26))</f>
        <v>74.18</v>
      </c>
      <c r="H26" s="37">
        <f t="shared" si="2"/>
        <v>0</v>
      </c>
      <c r="I26" t="s">
        <v>34</v>
      </c>
      <c r="J26" s="55">
        <v>145.25</v>
      </c>
      <c r="K26" s="27">
        <f t="shared" si="3"/>
        <v>0</v>
      </c>
      <c r="L26" s="37">
        <f>IF(J26=0,"",IF(I26="nd",J26/2,J26))</f>
        <v>72.625</v>
      </c>
      <c r="M26" s="51">
        <f t="shared" si="4"/>
        <v>0</v>
      </c>
      <c r="N26" t="s">
        <v>34</v>
      </c>
      <c r="O26" s="55">
        <v>16.74</v>
      </c>
      <c r="P26" s="37">
        <f t="shared" si="5"/>
        <v>0</v>
      </c>
      <c r="Q26" s="37">
        <f>IF(O26=0,"",IF(N26="nd",O26/2,O26))</f>
        <v>8.37</v>
      </c>
      <c r="R26" s="37">
        <f t="shared" si="6"/>
        <v>0</v>
      </c>
    </row>
    <row r="27" spans="1:18" ht="12.75">
      <c r="A27" s="21"/>
      <c r="B27" s="21" t="s">
        <v>230</v>
      </c>
      <c r="C27" s="24">
        <v>0.1</v>
      </c>
      <c r="D27" t="s">
        <v>34</v>
      </c>
      <c r="E27" s="55">
        <v>25.26</v>
      </c>
      <c r="F27" s="37">
        <f t="shared" si="0"/>
        <v>2.5260000000000002</v>
      </c>
      <c r="G27" s="37">
        <f t="shared" si="1"/>
        <v>12.63</v>
      </c>
      <c r="H27" s="37">
        <f t="shared" si="2"/>
        <v>1.2630000000000001</v>
      </c>
      <c r="I27" t="s">
        <v>34</v>
      </c>
      <c r="J27" s="55">
        <v>22.07</v>
      </c>
      <c r="K27" s="27">
        <f t="shared" si="3"/>
        <v>2.2070000000000003</v>
      </c>
      <c r="L27" s="37">
        <f t="shared" si="7"/>
        <v>11.035</v>
      </c>
      <c r="M27" s="51">
        <f t="shared" si="4"/>
        <v>1.1035000000000001</v>
      </c>
      <c r="N27" t="s">
        <v>34</v>
      </c>
      <c r="O27" s="55">
        <v>10.61</v>
      </c>
      <c r="P27" s="37">
        <f t="shared" si="5"/>
        <v>1.061</v>
      </c>
      <c r="Q27" s="37">
        <f t="shared" si="8"/>
        <v>5.305</v>
      </c>
      <c r="R27" s="37">
        <f t="shared" si="6"/>
        <v>0.5305</v>
      </c>
    </row>
    <row r="28" spans="1:18" ht="12.75">
      <c r="A28" s="21"/>
      <c r="B28" s="21" t="s">
        <v>231</v>
      </c>
      <c r="C28" s="24">
        <v>0.1</v>
      </c>
      <c r="D28" t="s">
        <v>34</v>
      </c>
      <c r="E28" s="55">
        <v>23.21</v>
      </c>
      <c r="F28" s="37">
        <f t="shared" si="0"/>
        <v>2.321</v>
      </c>
      <c r="G28" s="37">
        <f t="shared" si="1"/>
        <v>11.605</v>
      </c>
      <c r="H28" s="37">
        <f t="shared" si="2"/>
        <v>1.1605</v>
      </c>
      <c r="I28" t="s">
        <v>34</v>
      </c>
      <c r="J28" s="55">
        <v>19.01</v>
      </c>
      <c r="K28" s="27">
        <f t="shared" si="3"/>
        <v>1.9010000000000002</v>
      </c>
      <c r="L28" s="37">
        <f t="shared" si="7"/>
        <v>9.505</v>
      </c>
      <c r="M28" s="51">
        <f t="shared" si="4"/>
        <v>0.9505000000000001</v>
      </c>
      <c r="N28" t="s">
        <v>34</v>
      </c>
      <c r="O28" s="55">
        <v>8.64</v>
      </c>
      <c r="P28" s="37">
        <f t="shared" si="5"/>
        <v>0.8640000000000001</v>
      </c>
      <c r="Q28" s="37">
        <f t="shared" si="8"/>
        <v>4.32</v>
      </c>
      <c r="R28" s="37">
        <f t="shared" si="6"/>
        <v>0.43200000000000005</v>
      </c>
    </row>
    <row r="29" spans="1:18" ht="12.75">
      <c r="A29" s="21"/>
      <c r="B29" s="21" t="s">
        <v>232</v>
      </c>
      <c r="C29" s="24">
        <v>0.1</v>
      </c>
      <c r="D29" t="s">
        <v>34</v>
      </c>
      <c r="E29" s="55">
        <v>26.16</v>
      </c>
      <c r="F29" s="37">
        <f t="shared" si="0"/>
        <v>2.616</v>
      </c>
      <c r="G29" s="37">
        <f t="shared" si="1"/>
        <v>13.08</v>
      </c>
      <c r="H29" s="37">
        <f t="shared" si="2"/>
        <v>1.308</v>
      </c>
      <c r="I29" t="s">
        <v>34</v>
      </c>
      <c r="J29" s="55">
        <v>26.95</v>
      </c>
      <c r="K29" s="27">
        <f t="shared" si="3"/>
        <v>2.6950000000000003</v>
      </c>
      <c r="L29" s="37">
        <f t="shared" si="7"/>
        <v>13.475</v>
      </c>
      <c r="M29" s="51">
        <f t="shared" si="4"/>
        <v>1.3475000000000001</v>
      </c>
      <c r="N29" t="s">
        <v>34</v>
      </c>
      <c r="O29" s="55">
        <v>10.25</v>
      </c>
      <c r="P29" s="37">
        <f t="shared" si="5"/>
        <v>1.0250000000000001</v>
      </c>
      <c r="Q29" s="37">
        <f t="shared" si="8"/>
        <v>5.125</v>
      </c>
      <c r="R29" s="37">
        <f t="shared" si="6"/>
        <v>0.5125000000000001</v>
      </c>
    </row>
    <row r="30" spans="1:18" ht="12.75">
      <c r="A30" s="21"/>
      <c r="B30" s="21" t="s">
        <v>233</v>
      </c>
      <c r="C30" s="24">
        <v>0.1</v>
      </c>
      <c r="D30" t="s">
        <v>34</v>
      </c>
      <c r="E30" s="55">
        <v>13.54</v>
      </c>
      <c r="F30" s="37">
        <f t="shared" si="0"/>
        <v>1.354</v>
      </c>
      <c r="G30" s="37">
        <f t="shared" si="1"/>
        <v>6.77</v>
      </c>
      <c r="H30" s="37">
        <f t="shared" si="2"/>
        <v>0.677</v>
      </c>
      <c r="I30" t="s">
        <v>34</v>
      </c>
      <c r="J30" s="55">
        <v>11.26</v>
      </c>
      <c r="K30" s="27">
        <f t="shared" si="3"/>
        <v>1.1260000000000001</v>
      </c>
      <c r="L30" s="37">
        <f t="shared" si="7"/>
        <v>5.63</v>
      </c>
      <c r="M30" s="51">
        <f t="shared" si="4"/>
        <v>0.5630000000000001</v>
      </c>
      <c r="N30" t="s">
        <v>34</v>
      </c>
      <c r="O30" s="55">
        <v>11.96</v>
      </c>
      <c r="P30" s="37">
        <f t="shared" si="5"/>
        <v>1.1960000000000002</v>
      </c>
      <c r="Q30" s="37">
        <f t="shared" si="8"/>
        <v>5.98</v>
      </c>
      <c r="R30" s="37">
        <f t="shared" si="6"/>
        <v>0.5980000000000001</v>
      </c>
    </row>
    <row r="31" spans="1:18" ht="12.75">
      <c r="A31" s="21"/>
      <c r="B31" s="21" t="s">
        <v>234</v>
      </c>
      <c r="C31" s="24">
        <v>0</v>
      </c>
      <c r="D31" t="s">
        <v>34</v>
      </c>
      <c r="E31" s="55">
        <v>137.86</v>
      </c>
      <c r="F31" s="37">
        <f t="shared" si="0"/>
        <v>0</v>
      </c>
      <c r="G31" s="37">
        <f>IF(E31=0,"",IF(D31="nd",E31/2,E31))</f>
        <v>68.93</v>
      </c>
      <c r="H31" s="37">
        <f t="shared" si="2"/>
        <v>0</v>
      </c>
      <c r="I31" t="s">
        <v>34</v>
      </c>
      <c r="J31" s="55">
        <v>124.44</v>
      </c>
      <c r="K31" s="27">
        <f t="shared" si="3"/>
        <v>0</v>
      </c>
      <c r="L31" s="37">
        <f>IF(J31=0,"",IF(I31="nd",J31/2,J31))</f>
        <v>62.22</v>
      </c>
      <c r="M31" s="51">
        <f t="shared" si="4"/>
        <v>0</v>
      </c>
      <c r="N31" t="s">
        <v>34</v>
      </c>
      <c r="O31" s="55">
        <v>10.23</v>
      </c>
      <c r="P31" s="37">
        <f t="shared" si="5"/>
        <v>0</v>
      </c>
      <c r="Q31" s="37">
        <f>IF(O31=0,"",IF(N31="nd",O31/2,O31))</f>
        <v>5.115</v>
      </c>
      <c r="R31" s="37">
        <f t="shared" si="6"/>
        <v>0</v>
      </c>
    </row>
    <row r="32" spans="1:18" ht="12.75">
      <c r="A32" s="21"/>
      <c r="B32" s="21" t="s">
        <v>235</v>
      </c>
      <c r="C32" s="24">
        <v>0.01</v>
      </c>
      <c r="D32" t="s">
        <v>34</v>
      </c>
      <c r="E32" s="55">
        <v>59.71</v>
      </c>
      <c r="F32" s="37">
        <f t="shared" si="0"/>
        <v>0.5971000000000001</v>
      </c>
      <c r="G32" s="37">
        <f t="shared" si="1"/>
        <v>29.855</v>
      </c>
      <c r="H32" s="37">
        <f t="shared" si="2"/>
        <v>0.29855000000000004</v>
      </c>
      <c r="I32" t="s">
        <v>34</v>
      </c>
      <c r="J32" s="55">
        <v>57.89</v>
      </c>
      <c r="K32" s="27">
        <f t="shared" si="3"/>
        <v>0.5789</v>
      </c>
      <c r="L32" s="37">
        <f t="shared" si="7"/>
        <v>28.945</v>
      </c>
      <c r="M32" s="51">
        <f t="shared" si="4"/>
        <v>0.28945</v>
      </c>
      <c r="N32" t="s">
        <v>34</v>
      </c>
      <c r="O32" s="55">
        <v>14.02</v>
      </c>
      <c r="P32" s="37">
        <f t="shared" si="5"/>
        <v>0.1402</v>
      </c>
      <c r="Q32" s="37">
        <f t="shared" si="8"/>
        <v>7.01</v>
      </c>
      <c r="R32" s="37">
        <f t="shared" si="6"/>
        <v>0.0701</v>
      </c>
    </row>
    <row r="33" spans="1:18" ht="12.75">
      <c r="A33" s="21"/>
      <c r="B33" s="21" t="s">
        <v>236</v>
      </c>
      <c r="C33" s="24">
        <v>0.01</v>
      </c>
      <c r="D33" t="s">
        <v>34</v>
      </c>
      <c r="E33" s="55">
        <v>19.85</v>
      </c>
      <c r="F33" s="37">
        <f t="shared" si="0"/>
        <v>0.1985</v>
      </c>
      <c r="G33" s="37">
        <f t="shared" si="1"/>
        <v>9.925</v>
      </c>
      <c r="H33" s="37">
        <f t="shared" si="2"/>
        <v>0.09925</v>
      </c>
      <c r="I33" t="s">
        <v>34</v>
      </c>
      <c r="J33" s="55">
        <v>18.99</v>
      </c>
      <c r="K33" s="27">
        <f t="shared" si="3"/>
        <v>0.18989999999999999</v>
      </c>
      <c r="L33" s="37">
        <f t="shared" si="7"/>
        <v>9.495</v>
      </c>
      <c r="M33" s="51">
        <f t="shared" si="4"/>
        <v>0.09494999999999999</v>
      </c>
      <c r="N33" t="s">
        <v>34</v>
      </c>
      <c r="O33" s="55">
        <v>12.63</v>
      </c>
      <c r="P33" s="37">
        <f t="shared" si="5"/>
        <v>0.12630000000000002</v>
      </c>
      <c r="Q33" s="37">
        <f t="shared" si="8"/>
        <v>6.315</v>
      </c>
      <c r="R33" s="37">
        <f t="shared" si="6"/>
        <v>0.06315000000000001</v>
      </c>
    </row>
    <row r="34" spans="1:18" ht="12.75">
      <c r="A34" s="21"/>
      <c r="B34" s="21" t="s">
        <v>237</v>
      </c>
      <c r="C34" s="24">
        <v>0</v>
      </c>
      <c r="D34" t="s">
        <v>34</v>
      </c>
      <c r="E34" s="55">
        <v>107.13</v>
      </c>
      <c r="F34" s="37">
        <f t="shared" si="0"/>
        <v>0</v>
      </c>
      <c r="G34" s="37">
        <f>IF(E34=0,"",IF(D34="nd",E34/2,E34))</f>
        <v>53.565</v>
      </c>
      <c r="H34" s="37">
        <f t="shared" si="2"/>
        <v>0</v>
      </c>
      <c r="I34" t="s">
        <v>34</v>
      </c>
      <c r="J34" s="55">
        <v>90.93</v>
      </c>
      <c r="K34" s="27">
        <f t="shared" si="3"/>
        <v>0</v>
      </c>
      <c r="L34" s="37">
        <f>IF(J34=0,"",IF(I34="nd",J34/2,J34))</f>
        <v>45.465</v>
      </c>
      <c r="M34" s="51">
        <f t="shared" si="4"/>
        <v>0</v>
      </c>
      <c r="N34" t="s">
        <v>34</v>
      </c>
      <c r="O34" s="55">
        <v>14.48</v>
      </c>
      <c r="P34" s="37">
        <f t="shared" si="5"/>
        <v>0</v>
      </c>
      <c r="Q34" s="37">
        <f>IF(O34=0,"",IF(N34="nd",O34/2,O34))</f>
        <v>7.24</v>
      </c>
      <c r="R34" s="37">
        <f t="shared" si="6"/>
        <v>0</v>
      </c>
    </row>
    <row r="35" spans="1:18" ht="12.75">
      <c r="A35" s="21"/>
      <c r="B35" s="21" t="s">
        <v>238</v>
      </c>
      <c r="C35" s="24">
        <v>0.001</v>
      </c>
      <c r="D35" t="s">
        <v>34</v>
      </c>
      <c r="E35" s="55">
        <v>59.6</v>
      </c>
      <c r="F35" s="37">
        <f t="shared" si="0"/>
        <v>0.0596</v>
      </c>
      <c r="G35" s="37">
        <f t="shared" si="1"/>
        <v>29.8</v>
      </c>
      <c r="H35" s="37">
        <f t="shared" si="2"/>
        <v>0.0298</v>
      </c>
      <c r="J35" s="55">
        <v>71.5</v>
      </c>
      <c r="K35" s="27">
        <f t="shared" si="3"/>
        <v>0.07150000000000001</v>
      </c>
      <c r="L35" s="37">
        <f t="shared" si="7"/>
        <v>71.5</v>
      </c>
      <c r="M35" s="51">
        <f t="shared" si="4"/>
        <v>0.07150000000000001</v>
      </c>
      <c r="N35" t="s">
        <v>34</v>
      </c>
      <c r="O35" s="55">
        <v>34.2</v>
      </c>
      <c r="P35" s="37">
        <f t="shared" si="5"/>
        <v>0.0342</v>
      </c>
      <c r="Q35" s="37">
        <f t="shared" si="8"/>
        <v>17.1</v>
      </c>
      <c r="R35" s="37">
        <f t="shared" si="6"/>
        <v>0.0171</v>
      </c>
    </row>
    <row r="36" spans="1:20" ht="12.75">
      <c r="A36" s="21"/>
      <c r="B36" s="21"/>
      <c r="C36" s="21"/>
      <c r="D36" s="21"/>
      <c r="E36" s="51"/>
      <c r="F36" s="46"/>
      <c r="G36" s="51"/>
      <c r="H36" s="46"/>
      <c r="I36" s="52"/>
      <c r="J36" s="2"/>
      <c r="K36" s="27"/>
      <c r="L36" s="27"/>
      <c r="M36" s="27"/>
      <c r="N36" s="51"/>
      <c r="O36" s="2"/>
      <c r="P36" s="45"/>
      <c r="Q36" s="51"/>
      <c r="R36" s="45"/>
      <c r="S36" s="51"/>
      <c r="T36" s="2"/>
    </row>
    <row r="37" spans="1:20" ht="12.75">
      <c r="A37" s="21"/>
      <c r="B37" s="21" t="s">
        <v>239</v>
      </c>
      <c r="C37" s="21"/>
      <c r="D37" s="21"/>
      <c r="F37" s="51">
        <v>83.685</v>
      </c>
      <c r="G37" s="51">
        <v>83.685</v>
      </c>
      <c r="H37" s="51">
        <v>83.685</v>
      </c>
      <c r="K37">
        <v>111.12</v>
      </c>
      <c r="L37">
        <v>111.12</v>
      </c>
      <c r="M37">
        <v>111.12</v>
      </c>
      <c r="P37">
        <v>28.234</v>
      </c>
      <c r="Q37">
        <v>28.234</v>
      </c>
      <c r="R37">
        <v>28.234</v>
      </c>
      <c r="S37" s="51"/>
      <c r="T37" s="51"/>
    </row>
    <row r="38" spans="1:20" ht="12.75">
      <c r="A38" s="21"/>
      <c r="B38" s="21" t="s">
        <v>240</v>
      </c>
      <c r="C38" s="21"/>
      <c r="D38" s="21"/>
      <c r="F38" s="51">
        <v>6.9</v>
      </c>
      <c r="G38" s="51">
        <v>6.9</v>
      </c>
      <c r="H38" s="51">
        <v>6.9</v>
      </c>
      <c r="K38">
        <v>5.3</v>
      </c>
      <c r="L38">
        <v>5.3</v>
      </c>
      <c r="M38">
        <v>5.3</v>
      </c>
      <c r="P38">
        <v>10.1</v>
      </c>
      <c r="Q38">
        <v>10.1</v>
      </c>
      <c r="R38">
        <v>10.1</v>
      </c>
      <c r="S38" s="51"/>
      <c r="T38" s="51"/>
    </row>
    <row r="39" spans="1:20" ht="12.75">
      <c r="A39" s="21"/>
      <c r="B39" s="21"/>
      <c r="C39" s="21"/>
      <c r="D39" s="21"/>
      <c r="E39" s="51"/>
      <c r="F39" s="2"/>
      <c r="G39" s="51"/>
      <c r="H39" s="2"/>
      <c r="I39" s="31"/>
      <c r="J39" s="51"/>
      <c r="K39" s="32"/>
      <c r="L39" s="27"/>
      <c r="M39" s="32"/>
      <c r="N39" s="51"/>
      <c r="O39" s="51"/>
      <c r="P39" s="51"/>
      <c r="Q39" s="51"/>
      <c r="R39" s="51"/>
      <c r="S39" s="51"/>
      <c r="T39" s="51"/>
    </row>
    <row r="40" spans="1:20" ht="12.75">
      <c r="A40" s="21"/>
      <c r="B40" s="21" t="s">
        <v>241</v>
      </c>
      <c r="C40" s="46"/>
      <c r="D40" s="46"/>
      <c r="E40" s="27"/>
      <c r="F40" s="41">
        <f>SUM(F11:F35)/1000</f>
        <v>0.057638800000000004</v>
      </c>
      <c r="G40" s="27">
        <f>SUM(G35,G34,G31,G26,G23,G21,G20,G18,G14,G12)/1000</f>
        <v>0.72464</v>
      </c>
      <c r="H40" s="41">
        <f>SUM(H11:H35)/1000</f>
        <v>0.028819400000000002</v>
      </c>
      <c r="I40" s="49"/>
      <c r="J40" s="27"/>
      <c r="K40" s="41">
        <f>SUM(K11:K35)/1000</f>
        <v>0.0825654</v>
      </c>
      <c r="L40" s="27">
        <f>SUM(L35,L34,L31,L26,L23,L21,L20,L18,L14,L12)/1000</f>
        <v>0.9992000000000001</v>
      </c>
      <c r="M40" s="41">
        <f>SUM(M11:M35)/1000</f>
        <v>0.04131845</v>
      </c>
      <c r="N40" s="46"/>
      <c r="O40" s="51"/>
      <c r="P40" s="46">
        <f>SUM(P11:P35)/1000</f>
        <v>0.0496278</v>
      </c>
      <c r="Q40" s="27">
        <f>SUM(Q35,Q34,Q31,Q26,Q23,Q21,Q20,Q18,Q14,Q12)/1000</f>
        <v>0.29227499999999995</v>
      </c>
      <c r="R40" s="46">
        <f>SUM(R11:R35)/1000</f>
        <v>0.0248139</v>
      </c>
      <c r="S40" s="46"/>
      <c r="T40" s="51"/>
    </row>
    <row r="41" spans="1:20" ht="12.75">
      <c r="A41" s="21"/>
      <c r="B41" s="21" t="s">
        <v>242</v>
      </c>
      <c r="C41" s="46"/>
      <c r="D41" s="37">
        <f>(F41-H41)*2/F41*100</f>
        <v>100</v>
      </c>
      <c r="E41" s="51"/>
      <c r="F41" s="41">
        <f>(F40/F37/0.0283*(21-7)/(21-F38))</f>
        <v>0.024165166819793124</v>
      </c>
      <c r="G41" s="41">
        <f>(G40/G37/0.0283*(21-7)/(21-G38))</f>
        <v>0.30380657620031803</v>
      </c>
      <c r="H41" s="41">
        <f>(H40/H37/0.0283*(21-7)/(21-H38))</f>
        <v>0.012082583409896562</v>
      </c>
      <c r="I41" s="37">
        <f>(K41-M41)*2/K41*100</f>
        <v>99.91340198194399</v>
      </c>
      <c r="J41" s="51"/>
      <c r="K41" s="51">
        <f>K40/K37/0.0283*(21-7)/(21-K38)</f>
        <v>0.023412500747998947</v>
      </c>
      <c r="L41" s="51">
        <f>(L40/L37/0.0283*(21-7)/(21-L38))</f>
        <v>0.2833362491721781</v>
      </c>
      <c r="M41" s="51">
        <f>M40/M37/0.0283*(21-7)/(21-M38)</f>
        <v>0.01171638775481203</v>
      </c>
      <c r="N41" s="37">
        <f>(P41-R41)*2/P41*100</f>
        <v>100</v>
      </c>
      <c r="O41" s="51"/>
      <c r="P41" s="51">
        <f>P40/P37/0.0283*(21-7)/(21-P38)</f>
        <v>0.07977516574679272</v>
      </c>
      <c r="Q41" s="51">
        <f>(Q40/Q37/0.0283*(21-7)/(21-Q38))</f>
        <v>0.46982309448824733</v>
      </c>
      <c r="R41" s="51">
        <f>R40/R37/0.0283*(21-7)/(21-R38)</f>
        <v>0.03988758287339636</v>
      </c>
      <c r="S41" s="46"/>
      <c r="T41" s="51"/>
    </row>
    <row r="42" spans="1:20" ht="12.75">
      <c r="A42" s="21"/>
      <c r="B42" s="21"/>
      <c r="C42" s="21"/>
      <c r="D42" s="21"/>
      <c r="E42" s="41"/>
      <c r="F42" s="46"/>
      <c r="G42" s="41"/>
      <c r="H42" s="46"/>
      <c r="I42" s="53"/>
      <c r="J42" s="41"/>
      <c r="K42" s="41"/>
      <c r="L42" s="41"/>
      <c r="M42" s="41"/>
      <c r="N42" s="41"/>
      <c r="O42" s="41"/>
      <c r="P42" s="45"/>
      <c r="Q42" s="41"/>
      <c r="R42" s="45"/>
      <c r="S42" s="41"/>
      <c r="T42" s="41"/>
    </row>
    <row r="43" spans="1:20" ht="12.75">
      <c r="A43" s="51"/>
      <c r="B43" s="21" t="s">
        <v>243</v>
      </c>
      <c r="C43" s="46">
        <f>AVERAGE(H41,M41,R41)</f>
        <v>0.021228851346034985</v>
      </c>
      <c r="D43" s="51"/>
      <c r="E43" s="51"/>
      <c r="F43" s="46"/>
      <c r="G43" s="51"/>
      <c r="H43" s="46"/>
      <c r="I43" s="52"/>
      <c r="J43" s="51"/>
      <c r="K43" s="51"/>
      <c r="L43" s="51"/>
      <c r="M43" s="51"/>
      <c r="N43" s="51"/>
      <c r="O43" s="51"/>
      <c r="P43" s="45"/>
      <c r="Q43" s="51"/>
      <c r="R43" s="45"/>
      <c r="S43" s="51"/>
      <c r="T43" s="51"/>
    </row>
    <row r="44" spans="1:20" ht="12.75">
      <c r="A44" s="21"/>
      <c r="B44" s="21" t="s">
        <v>244</v>
      </c>
      <c r="C44" s="46">
        <f>AVERAGE(G41,L41,Q41)</f>
        <v>0.3523219732869145</v>
      </c>
      <c r="D44" s="21"/>
      <c r="E44" s="45"/>
      <c r="F44" s="46"/>
      <c r="G44" s="45"/>
      <c r="H44" s="46"/>
      <c r="I44" s="47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ht="12.75">
      <c r="I45" s="54"/>
    </row>
    <row r="46" ht="12.75">
      <c r="A46" s="1" t="s">
        <v>245</v>
      </c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2004-02-25T01:51:52Z</cp:lastPrinted>
  <dcterms:created xsi:type="dcterms:W3CDTF">2000-01-10T00:44:42Z</dcterms:created>
  <dcterms:modified xsi:type="dcterms:W3CDTF">2004-02-25T01:54:10Z</dcterms:modified>
  <cp:category/>
  <cp:version/>
  <cp:contentType/>
  <cp:contentStatus/>
</cp:coreProperties>
</file>