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00" windowHeight="6570" tabRatio="434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<sst xmlns="http://schemas.openxmlformats.org/spreadsheetml/2006/main" count="430" uniqueCount="157">
  <si>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</si>
  <si>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</si>
  <si>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</si>
  <si>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</si>
  <si>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</si>
  <si>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</si>
  <si>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</si>
  <si>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</si>
  <si>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</si>
  <si>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</si>
  <si>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</si>
  <si>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</si>
  <si>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</si>
  <si>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</si>
  <si>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</si>
  <si>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</si>
  <si>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</si>
  <si>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</si>
  <si>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</si>
  <si>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</si>
  <si>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</si>
  <si>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</si>
  <si>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</si>
  <si>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</si>
  <si>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</si>
  <si>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</si>
  <si>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Cond Avg</t>
  </si>
  <si>
    <t>Feedstream Description</t>
  </si>
  <si>
    <t>g/hr</t>
  </si>
  <si>
    <t>Heating Value</t>
  </si>
  <si>
    <t>Btu/lb</t>
  </si>
  <si>
    <t>Moisture</t>
  </si>
  <si>
    <t>wt %</t>
  </si>
  <si>
    <t>Ash</t>
  </si>
  <si>
    <t>Chlorine</t>
  </si>
  <si>
    <t>WVD005005483</t>
  </si>
  <si>
    <t>Union Carbide Corporation</t>
  </si>
  <si>
    <t>South Charleston</t>
  </si>
  <si>
    <t>WV</t>
  </si>
  <si>
    <t>Boiler 25</t>
  </si>
  <si>
    <t>TRC Environmental Corporation</t>
  </si>
  <si>
    <t>Viscosity</t>
  </si>
  <si>
    <t>cps</t>
  </si>
  <si>
    <t>HCl</t>
  </si>
  <si>
    <t>Cl2</t>
  </si>
  <si>
    <t>ESP</t>
  </si>
  <si>
    <t>908C1</t>
  </si>
  <si>
    <t>None</t>
  </si>
  <si>
    <t>5 fields</t>
  </si>
  <si>
    <t>Coal</t>
  </si>
  <si>
    <t>Liquid residue wastes</t>
  </si>
  <si>
    <t>Yes, run 3 (8 minutes)</t>
  </si>
  <si>
    <t>Liq waste resid</t>
  </si>
  <si>
    <t>Coal spike</t>
  </si>
  <si>
    <t>Process Information</t>
  </si>
  <si>
    <t>lb/hr</t>
  </si>
  <si>
    <t>Tier l : Sb, Ba, Hg, Ag, Pb, Tl; Tier lll : As, Be, Cd, Cr, Cl</t>
  </si>
  <si>
    <t>ESP Power Input</t>
  </si>
  <si>
    <t>kVA</t>
  </si>
  <si>
    <t>ESP Inlet Temp</t>
  </si>
  <si>
    <t>Total</t>
  </si>
  <si>
    <t>Sootblow</t>
  </si>
  <si>
    <t>ug/dscm</t>
  </si>
  <si>
    <t>Stack Gas Flowrate</t>
  </si>
  <si>
    <t>Oxygen</t>
  </si>
  <si>
    <t>MMBtu/hr</t>
  </si>
  <si>
    <t>mg/dscm</t>
  </si>
  <si>
    <t>Waste spike</t>
  </si>
  <si>
    <t>Liq</t>
  </si>
  <si>
    <t>Certification of Compliance Boilers #15 and #25, August 1998</t>
  </si>
  <si>
    <t>CoC, max haz waste feed rate, max load</t>
  </si>
  <si>
    <t>Stack Gas Emissions</t>
  </si>
  <si>
    <t>HW</t>
  </si>
  <si>
    <t>SVM</t>
  </si>
  <si>
    <t>LVM</t>
  </si>
  <si>
    <t>µg/dscm</t>
  </si>
  <si>
    <t>Spike</t>
  </si>
  <si>
    <t>PM, HCl/Cl2, Cr, Be, Cd, As</t>
  </si>
  <si>
    <t>Comments</t>
  </si>
  <si>
    <t>Feedstreams</t>
  </si>
  <si>
    <t>Hazardous Wastes</t>
  </si>
  <si>
    <t>Combustor Characteristics</t>
  </si>
  <si>
    <t>Haz Waste Description</t>
  </si>
  <si>
    <t>Capacity (MMBtu/hr)</t>
  </si>
  <si>
    <t>Supplemental Fuel</t>
  </si>
  <si>
    <t>Feedrate MTEC Calculations</t>
  </si>
  <si>
    <t>Steam Prod</t>
  </si>
  <si>
    <t>Comb Temp</t>
  </si>
  <si>
    <t>F</t>
  </si>
  <si>
    <t>7% O2</t>
  </si>
  <si>
    <t>Phase II ID No.</t>
  </si>
  <si>
    <t>Source Description</t>
  </si>
  <si>
    <t xml:space="preserve">    Gas Velocity (ft/sec)</t>
  </si>
  <si>
    <t xml:space="preserve">    Gas Temperature (°F)</t>
  </si>
  <si>
    <t xml:space="preserve">    Testing Dates</t>
  </si>
  <si>
    <t>Soot Blowing</t>
  </si>
  <si>
    <t xml:space="preserve">   Temperature</t>
  </si>
  <si>
    <t xml:space="preserve">   Stack Gas Flowrate</t>
  </si>
  <si>
    <t>Arsenic</t>
  </si>
  <si>
    <t>Beryllium</t>
  </si>
  <si>
    <t>Cadmium</t>
  </si>
  <si>
    <t>PM, HCl/Cl2</t>
  </si>
  <si>
    <t>Cr/Cr+6</t>
  </si>
  <si>
    <t>Metals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</si>
  <si>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</si>
  <si>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</si>
  <si>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</si>
  <si>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</si>
  <si>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</si>
  <si>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</si>
  <si>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</si>
  <si>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Barium</t>
  </si>
  <si>
    <t>Thallium</t>
  </si>
  <si>
    <t>Antimony</t>
  </si>
  <si>
    <t>Lead</t>
  </si>
  <si>
    <t>Silver</t>
  </si>
  <si>
    <t>*</t>
  </si>
  <si>
    <t>Thermal Feedrate</t>
  </si>
  <si>
    <t>Mercury</t>
  </si>
  <si>
    <t>Feed Rate</t>
  </si>
  <si>
    <t>BIF Feedrate Limits</t>
  </si>
  <si>
    <t>HWC Burn Status (Date if Terminated)</t>
  </si>
  <si>
    <t>Cd only</t>
  </si>
  <si>
    <t>R1</t>
  </si>
  <si>
    <t>R2</t>
  </si>
  <si>
    <t>R3</t>
  </si>
  <si>
    <t xml:space="preserve">    Cond Dates</t>
  </si>
  <si>
    <t>Watertube boiler, 323 MMBtu/hr, inlet water at 380F, 6 opposed firing burners</t>
  </si>
  <si>
    <t>Coal-fired boiler</t>
  </si>
  <si>
    <t>Cond Description</t>
  </si>
  <si>
    <t>Feedstream Number</t>
  </si>
  <si>
    <t>Feed Class</t>
  </si>
  <si>
    <t>Liq HW</t>
  </si>
  <si>
    <t>E1</t>
  </si>
  <si>
    <t>E2</t>
  </si>
  <si>
    <t>E3</t>
  </si>
  <si>
    <t>Combustor Class</t>
  </si>
  <si>
    <t>APCS Detailed Acronym</t>
  </si>
  <si>
    <t>APCS General Class</t>
  </si>
  <si>
    <t>Pulverized coal</t>
  </si>
  <si>
    <t>Coal, natural gas</t>
  </si>
  <si>
    <t>Number of Sister Facilities</t>
  </si>
  <si>
    <t>Chromium (Hex)</t>
  </si>
  <si>
    <t>Combustor Type</t>
  </si>
  <si>
    <t>source</t>
  </si>
  <si>
    <t>cond</t>
  </si>
  <si>
    <t>emiss</t>
  </si>
  <si>
    <t>feed</t>
  </si>
  <si>
    <t>process</t>
  </si>
  <si>
    <t>F1</t>
  </si>
  <si>
    <t>F2</t>
  </si>
  <si>
    <t>F3</t>
  </si>
  <si>
    <t>F4</t>
  </si>
  <si>
    <t>F5</t>
  </si>
  <si>
    <t>Pulverized, suspension</t>
  </si>
  <si>
    <t>Feed Class 2</t>
  </si>
  <si>
    <t>Estimated Firing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</si>
</sst>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7" sqref="B7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6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7.57421875" style="2" customWidth="1"/>
    <col min="3" max="3" width="57.28125" style="2" customWidth="1"/>
    <col min="4" max="16384" width="8.8515625" style="2" customWidth="1"/>
  </cols>
  <sheetData>
    <row r="1" ht="12.75">
      <c r="B1" s="1" t="s">
        <v>91</v>
      </c>
    </row>
    <row r="3" spans="2:3" ht="12.75">
      <c r="B3" s="2" t="s">
        <v>90</v>
      </c>
      <c r="C3" s="29">
        <v>908</v>
      </c>
    </row>
    <row r="4" spans="2:3" ht="12.75">
      <c r="B4" s="2" t="s">
        <v>0</v>
      </c>
      <c r="C4" s="2" t="s">
        <v>35</v>
      </c>
    </row>
    <row r="5" spans="2:3" ht="12.75">
      <c r="B5" s="2" t="s">
        <v>1</v>
      </c>
      <c r="C5" s="2" t="s">
        <v>36</v>
      </c>
    </row>
    <row r="6" ht="12.75">
      <c r="B6" s="2" t="s">
        <v>2</v>
      </c>
    </row>
    <row r="7" spans="2:3" ht="12.75">
      <c r="B7" s="2" t="s">
        <v>3</v>
      </c>
      <c r="C7" s="2" t="s">
        <v>37</v>
      </c>
    </row>
    <row r="8" spans="2:3" ht="12.75">
      <c r="B8" s="2" t="s">
        <v>4</v>
      </c>
      <c r="C8" s="2" t="s">
        <v>38</v>
      </c>
    </row>
    <row r="9" spans="2:3" ht="12.75">
      <c r="B9" s="2" t="s">
        <v>5</v>
      </c>
      <c r="C9" s="2" t="s">
        <v>39</v>
      </c>
    </row>
    <row r="10" spans="2:3" ht="12.75">
      <c r="B10" s="2" t="s">
        <v>6</v>
      </c>
      <c r="C10" s="2" t="s">
        <v>47</v>
      </c>
    </row>
    <row r="11" spans="2:3" ht="12.75">
      <c r="B11" s="2" t="s">
        <v>141</v>
      </c>
      <c r="C11" s="29">
        <v>0</v>
      </c>
    </row>
    <row r="12" spans="2:3" ht="12.75">
      <c r="B12" s="2" t="s">
        <v>136</v>
      </c>
      <c r="C12" s="2" t="s">
        <v>128</v>
      </c>
    </row>
    <row r="13" spans="2:3" ht="12.75">
      <c r="B13" s="2" t="s">
        <v>143</v>
      </c>
      <c r="C13" s="2" t="s">
        <v>154</v>
      </c>
    </row>
    <row r="14" spans="2:3" ht="25.5">
      <c r="B14" s="33" t="s">
        <v>81</v>
      </c>
      <c r="C14" s="33" t="s">
        <v>127</v>
      </c>
    </row>
    <row r="15" spans="2:3" ht="12.75">
      <c r="B15" s="2" t="s">
        <v>83</v>
      </c>
      <c r="C15" s="29">
        <v>323</v>
      </c>
    </row>
    <row r="16" spans="2:3" ht="12.75">
      <c r="B16" s="2" t="s">
        <v>95</v>
      </c>
      <c r="C16" s="2" t="s">
        <v>51</v>
      </c>
    </row>
    <row r="17" spans="2:3" ht="12.75">
      <c r="B17" s="2" t="s">
        <v>137</v>
      </c>
      <c r="C17" s="2" t="s">
        <v>45</v>
      </c>
    </row>
    <row r="18" spans="2:3" ht="12.75">
      <c r="B18" s="2" t="s">
        <v>138</v>
      </c>
      <c r="C18" s="2" t="s">
        <v>45</v>
      </c>
    </row>
    <row r="19" spans="2:3" ht="12.75">
      <c r="B19" s="2" t="s">
        <v>7</v>
      </c>
      <c r="C19" s="2" t="s">
        <v>48</v>
      </c>
    </row>
    <row r="20" spans="2:3" ht="12.75">
      <c r="B20" s="2" t="s">
        <v>80</v>
      </c>
      <c r="C20" s="2" t="s">
        <v>68</v>
      </c>
    </row>
    <row r="21" spans="2:3" ht="12.75">
      <c r="B21" s="2" t="s">
        <v>82</v>
      </c>
      <c r="C21" s="2" t="s">
        <v>50</v>
      </c>
    </row>
    <row r="22" spans="2:3" ht="12.75">
      <c r="B22" s="2" t="s">
        <v>84</v>
      </c>
      <c r="C22" s="2" t="s">
        <v>140</v>
      </c>
    </row>
    <row r="23" ht="12.75" customHeight="1">
      <c r="C23" s="2" t="s">
        <v>139</v>
      </c>
    </row>
    <row r="24" ht="12.75">
      <c r="B24" s="2" t="s">
        <v>8</v>
      </c>
    </row>
    <row r="25" spans="2:3" ht="12.75">
      <c r="B25" s="2" t="s">
        <v>9</v>
      </c>
      <c r="C25" s="29">
        <f>120/12</f>
        <v>10</v>
      </c>
    </row>
    <row r="26" spans="2:3" ht="12.75">
      <c r="B26" s="2" t="s">
        <v>10</v>
      </c>
      <c r="C26" s="29">
        <v>150</v>
      </c>
    </row>
    <row r="27" spans="2:3" ht="12.75">
      <c r="B27" s="2" t="s">
        <v>92</v>
      </c>
      <c r="C27" s="30">
        <v>25.74</v>
      </c>
    </row>
    <row r="28" spans="2:3" ht="12.75">
      <c r="B28" s="2" t="s">
        <v>93</v>
      </c>
      <c r="C28" s="29">
        <v>330.1</v>
      </c>
    </row>
    <row r="29" ht="12.75" customHeight="1"/>
    <row r="30" spans="2:3" ht="12.75">
      <c r="B30" s="2" t="s">
        <v>11</v>
      </c>
      <c r="C30" s="2" t="s">
        <v>56</v>
      </c>
    </row>
    <row r="31" s="41" customFormat="1" ht="25.5">
      <c r="B31" s="41" t="s">
        <v>121</v>
      </c>
    </row>
    <row r="32" ht="12.75" customHeight="1"/>
    <row r="42" ht="12.75">
      <c r="C42" s="31"/>
    </row>
    <row r="46" ht="12.75">
      <c r="C46" s="31"/>
    </row>
    <row r="50" ht="12.75">
      <c r="C50" s="31"/>
    </row>
    <row r="54" ht="12.75">
      <c r="C54" s="31"/>
    </row>
    <row r="58" ht="12.75">
      <c r="C58" s="31"/>
    </row>
    <row r="62" ht="12.75">
      <c r="C62" s="31"/>
    </row>
    <row r="65" ht="12.75">
      <c r="C65" s="31"/>
    </row>
    <row r="66" ht="12.75">
      <c r="C66" s="3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0.28125" style="2" customWidth="1"/>
    <col min="3" max="3" width="54.57421875" style="2" customWidth="1"/>
    <col min="4" max="16384" width="9.140625" style="2" customWidth="1"/>
  </cols>
  <sheetData>
    <row r="1" ht="12.75">
      <c r="B1" s="1" t="s">
        <v>129</v>
      </c>
    </row>
    <row r="3" ht="12.75">
      <c r="B3" s="39" t="s">
        <v>46</v>
      </c>
    </row>
    <row r="4" ht="12.75">
      <c r="B4" s="39"/>
    </row>
    <row r="5" spans="2:3" ht="12.75">
      <c r="B5" s="2" t="s">
        <v>12</v>
      </c>
      <c r="C5" s="2" t="s">
        <v>69</v>
      </c>
    </row>
    <row r="6" spans="2:3" ht="12.75">
      <c r="B6" s="2" t="s">
        <v>13</v>
      </c>
      <c r="C6" s="2" t="s">
        <v>40</v>
      </c>
    </row>
    <row r="7" spans="2:3" ht="12.75">
      <c r="B7" s="2" t="s">
        <v>14</v>
      </c>
      <c r="C7" s="2" t="s">
        <v>40</v>
      </c>
    </row>
    <row r="8" spans="2:3" ht="12.75">
      <c r="B8" s="2" t="s">
        <v>94</v>
      </c>
      <c r="C8" s="31">
        <v>35933</v>
      </c>
    </row>
    <row r="9" spans="2:3" ht="12.75">
      <c r="B9" s="2" t="s">
        <v>126</v>
      </c>
      <c r="C9" s="38">
        <v>35916</v>
      </c>
    </row>
    <row r="10" spans="2:3" ht="12.75">
      <c r="B10" s="2" t="s">
        <v>15</v>
      </c>
      <c r="C10" s="2" t="s">
        <v>70</v>
      </c>
    </row>
    <row r="11" spans="2:3" ht="12.75">
      <c r="B11" s="2" t="s">
        <v>16</v>
      </c>
      <c r="C11" s="2" t="s">
        <v>77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3.00390625" style="15" hidden="1" customWidth="1"/>
    <col min="2" max="3" width="21.140625" style="15" customWidth="1"/>
    <col min="4" max="4" width="8.8515625" style="14" customWidth="1"/>
    <col min="5" max="5" width="6.140625" style="14" customWidth="1"/>
    <col min="6" max="6" width="3.140625" style="14" customWidth="1"/>
    <col min="7" max="7" width="8.8515625" style="15" customWidth="1"/>
    <col min="8" max="8" width="2.7109375" style="15" customWidth="1"/>
    <col min="9" max="9" width="9.7109375" style="16" customWidth="1"/>
    <col min="10" max="10" width="2.8515625" style="15" customWidth="1"/>
    <col min="11" max="11" width="12.28125" style="15" customWidth="1"/>
    <col min="12" max="12" width="3.7109375" style="15" customWidth="1"/>
    <col min="13" max="13" width="8.8515625" style="15" customWidth="1"/>
    <col min="14" max="14" width="2.140625" style="15" customWidth="1"/>
    <col min="15" max="16384" width="8.8515625" style="15" customWidth="1"/>
  </cols>
  <sheetData>
    <row r="1" spans="2:3" ht="12.75">
      <c r="B1" s="13" t="s">
        <v>71</v>
      </c>
      <c r="C1" s="13"/>
    </row>
    <row r="2" spans="2:12" ht="12.75">
      <c r="B2" s="14"/>
      <c r="C2" s="14"/>
      <c r="G2" s="17"/>
      <c r="H2" s="17"/>
      <c r="I2" s="18"/>
      <c r="J2" s="17"/>
      <c r="K2" s="17"/>
      <c r="L2" s="17"/>
    </row>
    <row r="3" spans="2:5" ht="12.75">
      <c r="B3" s="2"/>
      <c r="C3" s="2" t="s">
        <v>78</v>
      </c>
      <c r="D3" s="14" t="s">
        <v>17</v>
      </c>
      <c r="E3" s="14" t="s">
        <v>89</v>
      </c>
    </row>
    <row r="4" spans="2:12" ht="12.75">
      <c r="B4" s="2"/>
      <c r="C4" s="2"/>
      <c r="G4" s="17"/>
      <c r="H4" s="17"/>
      <c r="I4" s="18"/>
      <c r="J4" s="17"/>
      <c r="K4" s="17" t="s">
        <v>61</v>
      </c>
      <c r="L4" s="17"/>
    </row>
    <row r="5" spans="2:12" ht="12.75">
      <c r="B5" s="2"/>
      <c r="C5" s="2"/>
      <c r="G5" s="17"/>
      <c r="H5" s="17"/>
      <c r="I5" s="18"/>
      <c r="J5" s="17"/>
      <c r="K5" s="17"/>
      <c r="L5" s="17"/>
    </row>
    <row r="6" spans="1:13" ht="12.75">
      <c r="A6" s="15">
        <v>1</v>
      </c>
      <c r="B6" s="19" t="s">
        <v>46</v>
      </c>
      <c r="C6" s="19"/>
      <c r="G6" s="17" t="s">
        <v>123</v>
      </c>
      <c r="H6" s="17"/>
      <c r="I6" s="18" t="s">
        <v>124</v>
      </c>
      <c r="J6" s="17"/>
      <c r="K6" s="17" t="s">
        <v>125</v>
      </c>
      <c r="L6" s="17"/>
      <c r="M6" s="15" t="s">
        <v>26</v>
      </c>
    </row>
    <row r="7" spans="2:12" ht="12.75">
      <c r="B7" s="14"/>
      <c r="C7" s="14"/>
      <c r="D7" s="2"/>
      <c r="E7" s="2"/>
      <c r="F7" s="2"/>
      <c r="G7" s="2"/>
      <c r="H7" s="2"/>
      <c r="I7" s="20"/>
      <c r="J7" s="2"/>
      <c r="K7" s="2"/>
      <c r="L7" s="17"/>
    </row>
    <row r="8" spans="2:13" ht="12.75">
      <c r="B8" s="14" t="s">
        <v>18</v>
      </c>
      <c r="C8" s="14" t="s">
        <v>133</v>
      </c>
      <c r="D8" s="14" t="s">
        <v>19</v>
      </c>
      <c r="E8" s="14" t="s">
        <v>20</v>
      </c>
      <c r="G8" s="21">
        <v>0.0517</v>
      </c>
      <c r="H8" s="21"/>
      <c r="I8" s="22">
        <v>0.0224</v>
      </c>
      <c r="J8" s="21"/>
      <c r="K8" s="21">
        <v>0.0228</v>
      </c>
      <c r="L8" s="17"/>
      <c r="M8" s="15">
        <v>0.0365</v>
      </c>
    </row>
    <row r="9" spans="2:13" ht="12.75">
      <c r="B9" s="14" t="s">
        <v>108</v>
      </c>
      <c r="C9" s="14" t="s">
        <v>133</v>
      </c>
      <c r="D9" s="14" t="s">
        <v>21</v>
      </c>
      <c r="E9" s="14" t="s">
        <v>20</v>
      </c>
      <c r="G9" s="21">
        <v>14</v>
      </c>
      <c r="H9" s="21"/>
      <c r="I9" s="22">
        <v>83</v>
      </c>
      <c r="J9" s="21"/>
      <c r="K9" s="21">
        <v>47</v>
      </c>
      <c r="L9" s="17"/>
      <c r="M9" s="23">
        <f>AVERAGE(K9,I9,G9)</f>
        <v>48</v>
      </c>
    </row>
    <row r="10" spans="2:13" ht="12.75">
      <c r="B10" s="14" t="s">
        <v>107</v>
      </c>
      <c r="C10" s="14" t="s">
        <v>133</v>
      </c>
      <c r="D10" s="14" t="s">
        <v>21</v>
      </c>
      <c r="E10" s="14" t="s">
        <v>20</v>
      </c>
      <c r="G10" s="21">
        <v>10</v>
      </c>
      <c r="H10" s="21"/>
      <c r="I10" s="22">
        <v>36</v>
      </c>
      <c r="J10" s="21"/>
      <c r="K10" s="21">
        <v>33</v>
      </c>
      <c r="L10" s="17"/>
      <c r="M10" s="23">
        <f>AVERAGE(K10,I10,G10)</f>
        <v>26.333333333333332</v>
      </c>
    </row>
    <row r="11" spans="2:13" ht="12.75">
      <c r="B11" s="14" t="s">
        <v>43</v>
      </c>
      <c r="C11" s="14"/>
      <c r="D11" s="14" t="s">
        <v>28</v>
      </c>
      <c r="G11" s="21">
        <v>28112</v>
      </c>
      <c r="H11" s="21"/>
      <c r="I11" s="22">
        <v>32790</v>
      </c>
      <c r="J11" s="21"/>
      <c r="K11" s="21">
        <v>30830</v>
      </c>
      <c r="L11" s="17"/>
      <c r="M11" s="34">
        <v>30453</v>
      </c>
    </row>
    <row r="12" spans="2:13" ht="12.75">
      <c r="B12" s="14" t="s">
        <v>44</v>
      </c>
      <c r="C12" s="14"/>
      <c r="D12" s="14" t="s">
        <v>28</v>
      </c>
      <c r="G12" s="21">
        <v>193</v>
      </c>
      <c r="H12" s="21"/>
      <c r="I12" s="22">
        <v>143</v>
      </c>
      <c r="J12" s="21"/>
      <c r="K12" s="21">
        <v>134</v>
      </c>
      <c r="L12" s="17"/>
      <c r="M12" s="34">
        <v>168</v>
      </c>
    </row>
    <row r="13" spans="2:13" ht="12.75">
      <c r="B13" s="14" t="s">
        <v>98</v>
      </c>
      <c r="C13" s="14"/>
      <c r="D13" s="14" t="s">
        <v>28</v>
      </c>
      <c r="G13" s="21">
        <v>1.3</v>
      </c>
      <c r="H13" s="21"/>
      <c r="I13" s="22">
        <v>1.78</v>
      </c>
      <c r="J13" s="21"/>
      <c r="K13" s="21">
        <v>1.63</v>
      </c>
      <c r="M13" s="15">
        <v>1.54</v>
      </c>
    </row>
    <row r="14" spans="2:13" ht="12.75">
      <c r="B14" s="14" t="s">
        <v>99</v>
      </c>
      <c r="C14" s="14"/>
      <c r="D14" s="14" t="s">
        <v>28</v>
      </c>
      <c r="G14" s="24">
        <v>0.19</v>
      </c>
      <c r="H14" s="24"/>
      <c r="I14" s="25">
        <v>0.43</v>
      </c>
      <c r="J14" s="24"/>
      <c r="K14" s="24">
        <v>0.42</v>
      </c>
      <c r="M14" s="15">
        <v>0.31</v>
      </c>
    </row>
    <row r="15" spans="2:13" ht="12.75">
      <c r="B15" s="14" t="s">
        <v>100</v>
      </c>
      <c r="C15" s="14"/>
      <c r="D15" s="14" t="s">
        <v>28</v>
      </c>
      <c r="G15" s="24">
        <v>0.26</v>
      </c>
      <c r="H15" s="24"/>
      <c r="I15" s="25">
        <v>0.26</v>
      </c>
      <c r="J15" s="24"/>
      <c r="K15" s="24">
        <v>0.34</v>
      </c>
      <c r="M15" s="15">
        <v>0.26</v>
      </c>
    </row>
    <row r="16" spans="2:13" ht="12.75">
      <c r="B16" s="14" t="s">
        <v>109</v>
      </c>
      <c r="C16" s="14"/>
      <c r="D16" s="14" t="s">
        <v>28</v>
      </c>
      <c r="G16" s="21">
        <v>3.46</v>
      </c>
      <c r="H16" s="21"/>
      <c r="I16" s="22">
        <v>2.41</v>
      </c>
      <c r="J16" s="21"/>
      <c r="K16" s="21">
        <v>1.52</v>
      </c>
      <c r="L16" s="17"/>
      <c r="M16" s="15">
        <v>2.93</v>
      </c>
    </row>
    <row r="17" spans="2:13" ht="12.75">
      <c r="B17" s="14" t="s">
        <v>142</v>
      </c>
      <c r="C17" s="14"/>
      <c r="D17" s="14" t="s">
        <v>28</v>
      </c>
      <c r="F17" s="14" t="s">
        <v>25</v>
      </c>
      <c r="G17" s="21">
        <v>0.02</v>
      </c>
      <c r="H17" s="21" t="s">
        <v>25</v>
      </c>
      <c r="I17" s="22">
        <v>0.021</v>
      </c>
      <c r="J17" s="21" t="s">
        <v>25</v>
      </c>
      <c r="K17" s="21">
        <v>0.02</v>
      </c>
      <c r="L17" s="17" t="s">
        <v>25</v>
      </c>
      <c r="M17" s="15">
        <v>0.02</v>
      </c>
    </row>
    <row r="18" spans="2:12" ht="12.75">
      <c r="B18" s="14"/>
      <c r="C18" s="14"/>
      <c r="L18" s="17"/>
    </row>
    <row r="19" spans="2:12" ht="12.75">
      <c r="B19" s="14" t="s">
        <v>110</v>
      </c>
      <c r="C19" s="14" t="s">
        <v>101</v>
      </c>
      <c r="D19" s="14" t="s">
        <v>133</v>
      </c>
      <c r="L19" s="17"/>
    </row>
    <row r="20" spans="2:13" ht="12.75">
      <c r="B20" s="14" t="s">
        <v>97</v>
      </c>
      <c r="C20" s="14"/>
      <c r="D20" s="14" t="s">
        <v>22</v>
      </c>
      <c r="G20" s="21">
        <v>65496</v>
      </c>
      <c r="H20" s="21"/>
      <c r="I20" s="22">
        <v>73547</v>
      </c>
      <c r="J20" s="26"/>
      <c r="K20" s="21">
        <v>73573</v>
      </c>
      <c r="L20" s="17"/>
      <c r="M20" s="23">
        <f>AVERAGE(K20,I20,G20)</f>
        <v>70872</v>
      </c>
    </row>
    <row r="21" spans="2:13" ht="12.75">
      <c r="B21" s="14" t="s">
        <v>104</v>
      </c>
      <c r="C21" s="14"/>
      <c r="D21" s="14" t="s">
        <v>23</v>
      </c>
      <c r="G21" s="21">
        <v>7.1</v>
      </c>
      <c r="H21" s="21"/>
      <c r="I21" s="22">
        <v>7.3</v>
      </c>
      <c r="J21" s="21"/>
      <c r="K21" s="21">
        <v>7.2</v>
      </c>
      <c r="M21" s="23">
        <f>AVERAGE(K21,I21,G21)</f>
        <v>7.2</v>
      </c>
    </row>
    <row r="22" spans="2:13" ht="12.75">
      <c r="B22" s="14" t="s">
        <v>105</v>
      </c>
      <c r="C22" s="14"/>
      <c r="D22" s="14" t="s">
        <v>23</v>
      </c>
      <c r="G22" s="21">
        <v>10.5</v>
      </c>
      <c r="H22" s="21"/>
      <c r="I22" s="22">
        <v>10.5</v>
      </c>
      <c r="J22" s="21"/>
      <c r="K22" s="21">
        <v>11</v>
      </c>
      <c r="M22" s="23">
        <f>AVERAGE(K22,I22,G22)</f>
        <v>10.666666666666666</v>
      </c>
    </row>
    <row r="23" spans="2:13" ht="12.75">
      <c r="B23" s="14" t="s">
        <v>96</v>
      </c>
      <c r="C23" s="14"/>
      <c r="D23" s="14" t="s">
        <v>24</v>
      </c>
      <c r="G23" s="21">
        <v>328.1</v>
      </c>
      <c r="H23" s="21"/>
      <c r="I23" s="22">
        <v>330.9</v>
      </c>
      <c r="J23" s="21"/>
      <c r="K23" s="21">
        <v>325</v>
      </c>
      <c r="M23" s="23">
        <f>AVERAGE(K23,I23,G23)</f>
        <v>328</v>
      </c>
    </row>
    <row r="24" spans="2:11" ht="12.75">
      <c r="B24" s="14"/>
      <c r="C24" s="14"/>
      <c r="G24" s="21"/>
      <c r="H24" s="21"/>
      <c r="I24" s="22"/>
      <c r="J24" s="21"/>
      <c r="K24" s="21"/>
    </row>
    <row r="25" spans="2:11" ht="12.75">
      <c r="B25" s="14" t="s">
        <v>110</v>
      </c>
      <c r="C25" s="14" t="s">
        <v>102</v>
      </c>
      <c r="D25" s="14" t="s">
        <v>134</v>
      </c>
      <c r="G25" s="21"/>
      <c r="H25" s="21"/>
      <c r="I25" s="22"/>
      <c r="J25" s="21"/>
      <c r="K25" s="21"/>
    </row>
    <row r="26" spans="2:13" ht="12.75">
      <c r="B26" s="14" t="s">
        <v>97</v>
      </c>
      <c r="C26" s="14"/>
      <c r="D26" s="14" t="s">
        <v>22</v>
      </c>
      <c r="G26" s="21">
        <v>72865</v>
      </c>
      <c r="H26" s="21"/>
      <c r="I26" s="22">
        <v>73232</v>
      </c>
      <c r="J26" s="21"/>
      <c r="K26" s="21">
        <v>76151</v>
      </c>
      <c r="M26" s="23">
        <f>AVERAGE(K26,I26,G26)</f>
        <v>74082.66666666667</v>
      </c>
    </row>
    <row r="27" spans="2:13" ht="12.75">
      <c r="B27" s="14" t="s">
        <v>104</v>
      </c>
      <c r="C27" s="14"/>
      <c r="D27" s="14" t="s">
        <v>23</v>
      </c>
      <c r="G27" s="21">
        <v>7.1</v>
      </c>
      <c r="H27" s="21"/>
      <c r="I27" s="22">
        <v>7.3</v>
      </c>
      <c r="J27" s="21"/>
      <c r="K27" s="21">
        <v>7.2</v>
      </c>
      <c r="M27" s="23">
        <f>AVERAGE(K27,I27,G27)</f>
        <v>7.2</v>
      </c>
    </row>
    <row r="28" spans="2:13" ht="12.75">
      <c r="B28" s="14" t="s">
        <v>105</v>
      </c>
      <c r="C28" s="14"/>
      <c r="D28" s="14" t="s">
        <v>23</v>
      </c>
      <c r="G28" s="21">
        <v>8.4</v>
      </c>
      <c r="H28" s="21"/>
      <c r="I28" s="22">
        <v>8.9</v>
      </c>
      <c r="J28" s="21"/>
      <c r="K28" s="21">
        <v>10.1</v>
      </c>
      <c r="M28" s="23">
        <f>AVERAGE(K28,I28,G28)</f>
        <v>9.133333333333333</v>
      </c>
    </row>
    <row r="29" spans="2:13" ht="12.75">
      <c r="B29" s="14" t="s">
        <v>96</v>
      </c>
      <c r="C29" s="14"/>
      <c r="D29" s="14" t="s">
        <v>24</v>
      </c>
      <c r="G29" s="21">
        <v>330.9</v>
      </c>
      <c r="H29" s="21"/>
      <c r="I29" s="22">
        <v>332.6</v>
      </c>
      <c r="J29" s="21"/>
      <c r="K29" s="21">
        <v>328.5</v>
      </c>
      <c r="M29" s="23">
        <f>AVERAGE(K29,I29,G29)</f>
        <v>330.6666666666667</v>
      </c>
    </row>
    <row r="30" spans="2:11" ht="13.5" customHeight="1">
      <c r="B30" s="14"/>
      <c r="C30" s="14"/>
      <c r="G30" s="21"/>
      <c r="H30" s="21"/>
      <c r="I30" s="22"/>
      <c r="J30" s="21"/>
      <c r="K30" s="21"/>
    </row>
    <row r="31" spans="2:11" ht="12.75">
      <c r="B31" s="14" t="s">
        <v>110</v>
      </c>
      <c r="C31" s="14" t="s">
        <v>103</v>
      </c>
      <c r="D31" s="14" t="s">
        <v>135</v>
      </c>
      <c r="G31" s="21"/>
      <c r="H31" s="21"/>
      <c r="I31" s="22"/>
      <c r="J31" s="21"/>
      <c r="K31" s="21"/>
    </row>
    <row r="32" spans="2:13" ht="12.75">
      <c r="B32" s="14" t="s">
        <v>97</v>
      </c>
      <c r="C32" s="14"/>
      <c r="D32" s="14" t="s">
        <v>22</v>
      </c>
      <c r="G32" s="21">
        <v>67063</v>
      </c>
      <c r="H32" s="21"/>
      <c r="I32" s="22">
        <v>66951</v>
      </c>
      <c r="J32" s="21"/>
      <c r="K32" s="21">
        <v>72323</v>
      </c>
      <c r="M32" s="23">
        <f>AVERAGE(K32,I32,G32)</f>
        <v>68779</v>
      </c>
    </row>
    <row r="33" spans="2:13" ht="12.75">
      <c r="B33" s="14" t="s">
        <v>104</v>
      </c>
      <c r="C33" s="14"/>
      <c r="D33" s="14" t="s">
        <v>23</v>
      </c>
      <c r="G33" s="21">
        <v>7.1</v>
      </c>
      <c r="H33" s="21"/>
      <c r="I33" s="22">
        <v>7.3</v>
      </c>
      <c r="J33" s="21"/>
      <c r="K33" s="21">
        <v>7.2</v>
      </c>
      <c r="M33" s="23">
        <f>AVERAGE(K33,I33,G33)</f>
        <v>7.2</v>
      </c>
    </row>
    <row r="34" spans="2:13" ht="12.75">
      <c r="B34" s="14" t="s">
        <v>105</v>
      </c>
      <c r="C34" s="14"/>
      <c r="D34" s="14" t="s">
        <v>23</v>
      </c>
      <c r="G34" s="21">
        <v>10.6</v>
      </c>
      <c r="H34" s="21"/>
      <c r="I34" s="22">
        <v>10.7</v>
      </c>
      <c r="J34" s="21"/>
      <c r="K34" s="21">
        <v>11.2</v>
      </c>
      <c r="M34" s="23">
        <f>AVERAGE(K34,I34,G34)</f>
        <v>10.833333333333334</v>
      </c>
    </row>
    <row r="35" spans="2:13" ht="12.75">
      <c r="B35" s="14" t="s">
        <v>96</v>
      </c>
      <c r="C35" s="14"/>
      <c r="D35" s="14" t="s">
        <v>24</v>
      </c>
      <c r="G35" s="21">
        <v>334</v>
      </c>
      <c r="H35" s="21"/>
      <c r="I35" s="22">
        <v>331.7</v>
      </c>
      <c r="J35" s="21"/>
      <c r="K35" s="21">
        <v>329.4</v>
      </c>
      <c r="M35" s="23">
        <f>AVERAGE(K35,I35,G35)</f>
        <v>331.7</v>
      </c>
    </row>
    <row r="36" spans="2:11" ht="12.75">
      <c r="B36" s="14"/>
      <c r="C36" s="14"/>
      <c r="G36" s="21"/>
      <c r="H36" s="21"/>
      <c r="I36" s="22"/>
      <c r="J36" s="21"/>
      <c r="K36" s="21"/>
    </row>
    <row r="37" spans="2:13" ht="12.75">
      <c r="B37" s="14" t="s">
        <v>43</v>
      </c>
      <c r="C37" s="14" t="s">
        <v>133</v>
      </c>
      <c r="D37" s="14" t="s">
        <v>21</v>
      </c>
      <c r="E37" s="14" t="s">
        <v>20</v>
      </c>
      <c r="G37" s="27">
        <f>G11/60/G20/0.0283*(21-7)/(21-G21)*667.8</f>
        <v>170.01957686841888</v>
      </c>
      <c r="H37" s="21"/>
      <c r="I37" s="27">
        <f>I11/60/I20/0.0283*(21-7)/(21-I21)*667.8</f>
        <v>179.18128695643034</v>
      </c>
      <c r="J37" s="21"/>
      <c r="K37" s="27">
        <f>K11/60/K20/0.0283*(21-7)/(21-K21)*667.8</f>
        <v>167.1909392956839</v>
      </c>
      <c r="M37" s="27">
        <f>M11/60/M20/0.0283*(21-7)/(21-M21)*667.8</f>
        <v>171.4403607560596</v>
      </c>
    </row>
    <row r="38" spans="2:13" ht="12.75">
      <c r="B38" s="14" t="s">
        <v>44</v>
      </c>
      <c r="C38" s="14" t="s">
        <v>133</v>
      </c>
      <c r="D38" s="14" t="s">
        <v>21</v>
      </c>
      <c r="E38" s="14" t="s">
        <v>20</v>
      </c>
      <c r="G38" s="27">
        <f>G12/60/G20/0.0283*(21-7)/(21-G21)*343.4</f>
        <v>0.6002309314301593</v>
      </c>
      <c r="H38" s="21"/>
      <c r="I38" s="27">
        <f>I12/60/I20/0.0283*(21-7)/(21-I21)*343.4</f>
        <v>0.4018288814568691</v>
      </c>
      <c r="J38" s="21"/>
      <c r="K38" s="27">
        <f>K12/60/K20/0.0283*(21-7)/(21-K21)*343.4</f>
        <v>0.3736783076742845</v>
      </c>
      <c r="M38" s="27">
        <f>M12/60/M20/0.0283*(21-7)/(21-M21)*343.4</f>
        <v>0.48634689466730247</v>
      </c>
    </row>
    <row r="39" spans="2:13" ht="12.75">
      <c r="B39" s="14" t="s">
        <v>106</v>
      </c>
      <c r="C39" s="14" t="s">
        <v>133</v>
      </c>
      <c r="D39" s="14" t="s">
        <v>21</v>
      </c>
      <c r="E39" s="14" t="s">
        <v>20</v>
      </c>
      <c r="G39" s="27">
        <f>G37+2*G38</f>
        <v>171.2200387312792</v>
      </c>
      <c r="H39" s="27"/>
      <c r="I39" s="27">
        <f>I37+2*I38</f>
        <v>179.98494471934407</v>
      </c>
      <c r="J39" s="27"/>
      <c r="K39" s="27">
        <f>K37+2*K38</f>
        <v>167.93829591103247</v>
      </c>
      <c r="L39" s="23"/>
      <c r="M39" s="27">
        <f>M37+2*M38</f>
        <v>172.4130545453942</v>
      </c>
    </row>
    <row r="40" spans="2:9" ht="12.75">
      <c r="B40" s="14"/>
      <c r="C40" s="14"/>
      <c r="I40" s="15"/>
    </row>
    <row r="41" spans="2:13" ht="12.75">
      <c r="B41" s="14" t="s">
        <v>98</v>
      </c>
      <c r="C41" s="14" t="s">
        <v>135</v>
      </c>
      <c r="D41" s="14" t="s">
        <v>75</v>
      </c>
      <c r="E41" s="14" t="s">
        <v>20</v>
      </c>
      <c r="G41" s="27">
        <f>G13/60/G$20/0.0283*(21-7)/(21-G$21)*1000000</f>
        <v>11.773460319982242</v>
      </c>
      <c r="H41" s="21"/>
      <c r="I41" s="27">
        <f>I13/60/I$20/0.0283*(21-7)/(21-I$21)*1000000</f>
        <v>14.565480713091771</v>
      </c>
      <c r="J41" s="21"/>
      <c r="K41" s="27">
        <f>K13/60/K$20/0.0283*(21-7)/(21-K$21)*1000000</f>
        <v>13.236720623203517</v>
      </c>
      <c r="M41" s="27">
        <f>M13/60/M$20/0.0283*(21-7)/(21-M$21)*1000000</f>
        <v>12.9824690383914</v>
      </c>
    </row>
    <row r="42" spans="2:13" ht="12.75">
      <c r="B42" s="14" t="s">
        <v>99</v>
      </c>
      <c r="C42" s="14" t="s">
        <v>135</v>
      </c>
      <c r="D42" s="14" t="s">
        <v>75</v>
      </c>
      <c r="E42" s="14" t="s">
        <v>20</v>
      </c>
      <c r="G42" s="27">
        <f aca="true" t="shared" si="0" ref="G42:I45">G14/60/G$20/0.0283*(21-7)/(21-G$21)*1000000</f>
        <v>1.7207365083050965</v>
      </c>
      <c r="H42" s="21"/>
      <c r="I42" s="27">
        <f t="shared" si="0"/>
        <v>3.518627363274978</v>
      </c>
      <c r="J42" s="26"/>
      <c r="K42" s="27">
        <f>K14/60/K$20/0.0283*(21-7)/(21-K$21)*1000000</f>
        <v>3.4106887495371025</v>
      </c>
      <c r="M42" s="27">
        <f>M14/60/M$20/0.0283*(21-7)/(21-M$21)*1000000</f>
        <v>2.613354157078788</v>
      </c>
    </row>
    <row r="43" spans="2:13" ht="12.75">
      <c r="B43" s="14" t="s">
        <v>100</v>
      </c>
      <c r="C43" s="14" t="s">
        <v>135</v>
      </c>
      <c r="D43" s="14" t="s">
        <v>75</v>
      </c>
      <c r="E43" s="14" t="s">
        <v>20</v>
      </c>
      <c r="G43" s="27">
        <f t="shared" si="0"/>
        <v>2.354692063996448</v>
      </c>
      <c r="H43" s="21"/>
      <c r="I43" s="27">
        <f t="shared" si="0"/>
        <v>2.1275421266313823</v>
      </c>
      <c r="J43" s="21"/>
      <c r="K43" s="27">
        <f>K15/60/K$20/0.0283*(21-7)/(21-K$21)*1000000</f>
        <v>2.7610337496252737</v>
      </c>
      <c r="M43" s="27">
        <f>M15/60/M$20/0.0283*(21-7)/(21-M$21)*1000000</f>
        <v>2.1918454220660806</v>
      </c>
    </row>
    <row r="44" spans="2:13" ht="12.75">
      <c r="B44" s="14" t="s">
        <v>109</v>
      </c>
      <c r="C44" s="14" t="s">
        <v>135</v>
      </c>
      <c r="D44" s="14" t="s">
        <v>75</v>
      </c>
      <c r="E44" s="14" t="s">
        <v>20</v>
      </c>
      <c r="G44" s="27">
        <f t="shared" si="0"/>
        <v>31.33551746702966</v>
      </c>
      <c r="H44" s="21"/>
      <c r="I44" s="27">
        <f t="shared" si="0"/>
        <v>19.720678943006273</v>
      </c>
      <c r="J44" s="21"/>
      <c r="K44" s="27">
        <f>K16/60/K$20/0.0283*(21-7)/(21-K$21)*1000000</f>
        <v>12.34344499832475</v>
      </c>
      <c r="M44" s="27">
        <f>M16/60/M$20/0.0283*(21-7)/(21-M$21)*1000000</f>
        <v>24.700411871744674</v>
      </c>
    </row>
    <row r="45" spans="2:13" ht="12.75">
      <c r="B45" s="14" t="s">
        <v>142</v>
      </c>
      <c r="C45" s="14" t="s">
        <v>134</v>
      </c>
      <c r="D45" s="14" t="s">
        <v>75</v>
      </c>
      <c r="E45" s="14" t="s">
        <v>20</v>
      </c>
      <c r="F45" s="14" t="s">
        <v>25</v>
      </c>
      <c r="G45" s="27">
        <f t="shared" si="0"/>
        <v>0.18113015876895758</v>
      </c>
      <c r="H45" s="21" t="s">
        <v>25</v>
      </c>
      <c r="I45" s="27">
        <f t="shared" si="0"/>
        <v>0.17183994099715008</v>
      </c>
      <c r="J45" s="21" t="s">
        <v>25</v>
      </c>
      <c r="K45" s="27">
        <f>K17/60/K$20/0.0283*(21-7)/(21-K$21)*1000000</f>
        <v>0.16241374997795724</v>
      </c>
      <c r="L45" s="15">
        <v>100</v>
      </c>
      <c r="M45" s="27">
        <f>M17/60/M$20/0.0283*(21-7)/(21-M$21)*1000000</f>
        <v>0.1686034940050831</v>
      </c>
    </row>
    <row r="46" spans="2:11" ht="12.75">
      <c r="B46" s="14"/>
      <c r="C46" s="14"/>
      <c r="G46" s="21"/>
      <c r="H46" s="21"/>
      <c r="I46" s="22"/>
      <c r="J46" s="21"/>
      <c r="K46" s="21"/>
    </row>
    <row r="47" spans="2:15" ht="12.75">
      <c r="B47" s="14" t="s">
        <v>73</v>
      </c>
      <c r="C47" s="14" t="s">
        <v>135</v>
      </c>
      <c r="D47" s="14" t="s">
        <v>75</v>
      </c>
      <c r="E47" s="14" t="s">
        <v>20</v>
      </c>
      <c r="G47" s="27">
        <f>G43</f>
        <v>2.354692063996448</v>
      </c>
      <c r="H47" s="21"/>
      <c r="I47" s="27">
        <f>I43</f>
        <v>2.1275421266313823</v>
      </c>
      <c r="J47" s="21"/>
      <c r="K47" s="27">
        <f>K43</f>
        <v>2.7610337496252737</v>
      </c>
      <c r="M47" s="27">
        <f>M43</f>
        <v>2.1918454220660806</v>
      </c>
      <c r="O47" s="15" t="s">
        <v>122</v>
      </c>
    </row>
    <row r="48" spans="2:13" ht="12.75">
      <c r="B48" s="14" t="s">
        <v>74</v>
      </c>
      <c r="C48" s="14" t="s">
        <v>135</v>
      </c>
      <c r="D48" s="14" t="s">
        <v>75</v>
      </c>
      <c r="E48" s="14" t="s">
        <v>20</v>
      </c>
      <c r="G48" s="27">
        <f>G41+G42+G44</f>
        <v>44.829714295317</v>
      </c>
      <c r="H48" s="21"/>
      <c r="I48" s="27">
        <f>I41+I42+I44</f>
        <v>37.80478701937302</v>
      </c>
      <c r="J48" s="26"/>
      <c r="K48" s="27">
        <f>K41+K42+K44</f>
        <v>28.990854371065367</v>
      </c>
      <c r="M48" s="27">
        <f>M41+M42+M44</f>
        <v>40.296235067214866</v>
      </c>
    </row>
    <row r="49" spans="2:11" ht="12.75">
      <c r="B49" s="14"/>
      <c r="C49" s="14"/>
      <c r="G49" s="21"/>
      <c r="H49" s="21"/>
      <c r="I49" s="22"/>
      <c r="J49" s="21"/>
      <c r="K49" s="21"/>
    </row>
    <row r="50" spans="2:11" ht="12.75">
      <c r="B50" s="14"/>
      <c r="C50" s="14"/>
      <c r="G50" s="21"/>
      <c r="H50" s="21"/>
      <c r="I50" s="22"/>
      <c r="J50" s="21"/>
      <c r="K50" s="21"/>
    </row>
    <row r="51" spans="2:11" ht="12.75">
      <c r="B51" s="14"/>
      <c r="C51" s="14"/>
      <c r="G51" s="21"/>
      <c r="H51" s="21"/>
      <c r="I51" s="22"/>
      <c r="J51" s="21"/>
      <c r="K51" s="21"/>
    </row>
    <row r="52" spans="2:3" ht="12.75">
      <c r="B52" s="14"/>
      <c r="C52" s="14"/>
    </row>
    <row r="53" spans="2:11" ht="12.75">
      <c r="B53" s="14"/>
      <c r="C53" s="19"/>
      <c r="G53" s="17"/>
      <c r="H53" s="17"/>
      <c r="I53" s="18"/>
      <c r="J53" s="17"/>
      <c r="K53" s="17"/>
    </row>
    <row r="54" spans="2:11" ht="12.75">
      <c r="B54" s="14"/>
      <c r="C54" s="14"/>
      <c r="G54" s="21"/>
      <c r="H54" s="21"/>
      <c r="I54" s="22"/>
      <c r="J54" s="21"/>
      <c r="K54" s="21"/>
    </row>
    <row r="55" spans="7:11" ht="12.75">
      <c r="G55" s="24"/>
      <c r="H55" s="24"/>
      <c r="I55" s="25"/>
      <c r="J55" s="24"/>
      <c r="K55" s="24"/>
    </row>
    <row r="56" spans="7:11" ht="12.75">
      <c r="G56" s="24"/>
      <c r="H56" s="24"/>
      <c r="I56" s="25"/>
      <c r="J56" s="24"/>
      <c r="K56" s="24"/>
    </row>
    <row r="57" spans="7:11" ht="12.75">
      <c r="G57" s="24"/>
      <c r="H57" s="24"/>
      <c r="I57" s="25"/>
      <c r="J57" s="24"/>
      <c r="K57" s="24"/>
    </row>
    <row r="58" spans="2:11" ht="12.75">
      <c r="B58" s="14"/>
      <c r="C58" s="14"/>
      <c r="G58" s="21"/>
      <c r="H58" s="21"/>
      <c r="I58" s="22"/>
      <c r="J58" s="21"/>
      <c r="K58" s="21"/>
    </row>
    <row r="59" spans="2:11" ht="12.75">
      <c r="B59" s="14"/>
      <c r="C59" s="14"/>
      <c r="G59" s="21"/>
      <c r="H59" s="21"/>
      <c r="I59" s="22"/>
      <c r="J59" s="21"/>
      <c r="K59" s="21"/>
    </row>
    <row r="60" spans="2:11" ht="12.75">
      <c r="B60" s="14"/>
      <c r="C60" s="14"/>
      <c r="G60" s="21"/>
      <c r="H60" s="21"/>
      <c r="I60" s="22"/>
      <c r="J60" s="21"/>
      <c r="K60" s="21"/>
    </row>
    <row r="61" spans="2:11" ht="12.75">
      <c r="B61" s="14"/>
      <c r="C61" s="14"/>
      <c r="G61" s="21"/>
      <c r="H61" s="21"/>
      <c r="I61" s="22"/>
      <c r="J61" s="21"/>
      <c r="K61" s="21"/>
    </row>
    <row r="62" spans="2:11" ht="12.75">
      <c r="B62" s="14"/>
      <c r="C62" s="14"/>
      <c r="G62" s="21"/>
      <c r="H62" s="21"/>
      <c r="I62" s="22"/>
      <c r="J62" s="21"/>
      <c r="K62" s="21"/>
    </row>
    <row r="63" spans="2:11" ht="12.75">
      <c r="B63" s="14"/>
      <c r="C63" s="14"/>
      <c r="G63" s="21"/>
      <c r="H63" s="21"/>
      <c r="I63" s="22"/>
      <c r="J63" s="21"/>
      <c r="K63" s="21"/>
    </row>
    <row r="64" spans="2:11" ht="12.75">
      <c r="B64" s="14"/>
      <c r="C64" s="14"/>
      <c r="G64" s="21"/>
      <c r="H64" s="21"/>
      <c r="I64" s="22"/>
      <c r="J64" s="26"/>
      <c r="K64" s="21"/>
    </row>
    <row r="65" spans="2:11" ht="12.75">
      <c r="B65" s="14"/>
      <c r="C65" s="14"/>
      <c r="G65" s="21"/>
      <c r="H65" s="21"/>
      <c r="I65" s="22"/>
      <c r="J65" s="21"/>
      <c r="K65" s="21"/>
    </row>
    <row r="66" spans="2:11" ht="12.75">
      <c r="B66" s="14"/>
      <c r="C66" s="14"/>
      <c r="G66" s="21"/>
      <c r="H66" s="21"/>
      <c r="I66" s="22"/>
      <c r="J66" s="21"/>
      <c r="K66" s="21"/>
    </row>
    <row r="67" spans="2:11" ht="12.75">
      <c r="B67" s="14"/>
      <c r="C67" s="14"/>
      <c r="G67" s="21"/>
      <c r="H67" s="21"/>
      <c r="I67" s="22"/>
      <c r="J67" s="21"/>
      <c r="K67" s="21"/>
    </row>
    <row r="68" spans="2:3" ht="12.75">
      <c r="B68" s="14"/>
      <c r="C68" s="14"/>
    </row>
    <row r="69" spans="2:11" ht="12.75">
      <c r="B69" s="19"/>
      <c r="C69" s="19"/>
      <c r="G69" s="17"/>
      <c r="H69" s="17"/>
      <c r="I69" s="18"/>
      <c r="J69" s="17"/>
      <c r="K69" s="17"/>
    </row>
    <row r="70" spans="2:11" ht="12.75">
      <c r="B70" s="14"/>
      <c r="C70" s="14"/>
      <c r="D70" s="2"/>
      <c r="E70" s="2"/>
      <c r="F70" s="2"/>
      <c r="G70" s="2"/>
      <c r="H70" s="2"/>
      <c r="I70" s="20"/>
      <c r="J70" s="2"/>
      <c r="K70" s="2"/>
    </row>
    <row r="71" spans="2:11" ht="12.75">
      <c r="B71" s="14"/>
      <c r="C71" s="14"/>
      <c r="G71" s="21"/>
      <c r="H71" s="21"/>
      <c r="I71" s="22"/>
      <c r="J71" s="21"/>
      <c r="K71" s="21"/>
    </row>
    <row r="72" spans="2:11" ht="12.75">
      <c r="B72" s="14"/>
      <c r="C72" s="14"/>
      <c r="G72" s="21"/>
      <c r="H72" s="21"/>
      <c r="I72" s="22"/>
      <c r="J72" s="21"/>
      <c r="K72" s="21"/>
    </row>
    <row r="73" spans="2:11" ht="12.75">
      <c r="B73" s="14"/>
      <c r="C73" s="14"/>
      <c r="G73" s="21"/>
      <c r="H73" s="21"/>
      <c r="I73" s="22"/>
      <c r="J73" s="21"/>
      <c r="K73" s="21"/>
    </row>
    <row r="74" spans="2:11" ht="12.75">
      <c r="B74" s="14"/>
      <c r="C74" s="14"/>
      <c r="G74" s="21"/>
      <c r="H74" s="21"/>
      <c r="I74" s="22"/>
      <c r="J74" s="21"/>
      <c r="K74" s="21"/>
    </row>
    <row r="75" spans="2:11" ht="12.75">
      <c r="B75" s="14"/>
      <c r="C75" s="14"/>
      <c r="G75" s="21"/>
      <c r="H75" s="21"/>
      <c r="I75" s="22"/>
      <c r="J75" s="21"/>
      <c r="K75" s="21"/>
    </row>
    <row r="76" spans="2:11" ht="12.75">
      <c r="B76" s="14"/>
      <c r="C76" s="14"/>
      <c r="G76" s="21"/>
      <c r="H76" s="21"/>
      <c r="I76" s="22"/>
      <c r="J76" s="21"/>
      <c r="K76" s="21"/>
    </row>
    <row r="77" spans="2:11" ht="12.75">
      <c r="B77" s="14"/>
      <c r="C77" s="14"/>
      <c r="G77" s="21"/>
      <c r="H77" s="21"/>
      <c r="I77" s="22"/>
      <c r="J77" s="21"/>
      <c r="K77" s="21"/>
    </row>
    <row r="78" spans="2:11" ht="12.75">
      <c r="B78" s="14"/>
      <c r="C78" s="14"/>
      <c r="G78" s="21"/>
      <c r="H78" s="21"/>
      <c r="I78" s="22"/>
      <c r="J78" s="21"/>
      <c r="K78" s="21"/>
    </row>
    <row r="79" spans="2:11" ht="12.75">
      <c r="B79" s="14"/>
      <c r="C79" s="14"/>
      <c r="G79" s="21"/>
      <c r="H79" s="21"/>
      <c r="I79" s="22"/>
      <c r="J79" s="26"/>
      <c r="K79" s="21"/>
    </row>
    <row r="80" spans="2:11" ht="12.75">
      <c r="B80" s="14"/>
      <c r="C80" s="14"/>
      <c r="G80" s="21"/>
      <c r="H80" s="21"/>
      <c r="I80" s="22"/>
      <c r="J80" s="21"/>
      <c r="K80" s="21"/>
    </row>
    <row r="81" spans="2:11" ht="12.75">
      <c r="B81" s="14"/>
      <c r="C81" s="14"/>
      <c r="G81" s="21"/>
      <c r="H81" s="21"/>
      <c r="I81" s="22"/>
      <c r="J81" s="21"/>
      <c r="K81" s="21"/>
    </row>
    <row r="82" spans="2:11" ht="12.75">
      <c r="B82" s="14"/>
      <c r="C82" s="14"/>
      <c r="G82" s="21"/>
      <c r="H82" s="21"/>
      <c r="I82" s="22"/>
      <c r="J82" s="21"/>
      <c r="K82" s="21"/>
    </row>
    <row r="83" spans="2:3" ht="12.75">
      <c r="B83" s="14"/>
      <c r="C83" s="14"/>
    </row>
    <row r="84" spans="2:11" ht="12.75">
      <c r="B84" s="14"/>
      <c r="C84" s="14"/>
      <c r="G84" s="21"/>
      <c r="H84" s="21"/>
      <c r="I84" s="22"/>
      <c r="J84" s="21"/>
      <c r="K84" s="21"/>
    </row>
    <row r="85" spans="2:11" ht="12.75">
      <c r="B85" s="14"/>
      <c r="C85" s="14"/>
      <c r="G85" s="21"/>
      <c r="H85" s="21"/>
      <c r="I85" s="22"/>
      <c r="J85" s="26"/>
      <c r="K85" s="21"/>
    </row>
    <row r="86" spans="2:11" ht="12.75">
      <c r="B86" s="14"/>
      <c r="C86" s="14"/>
      <c r="G86" s="21"/>
      <c r="H86" s="21"/>
      <c r="I86" s="22"/>
      <c r="J86" s="21"/>
      <c r="K86" s="21"/>
    </row>
    <row r="87" spans="2:11" ht="12.75">
      <c r="B87" s="14"/>
      <c r="C87" s="14"/>
      <c r="G87" s="21"/>
      <c r="H87" s="21"/>
      <c r="I87" s="22"/>
      <c r="J87" s="21"/>
      <c r="K87" s="21"/>
    </row>
    <row r="88" spans="2:11" ht="12.75">
      <c r="B88" s="14"/>
      <c r="C88" s="14"/>
      <c r="G88" s="21"/>
      <c r="H88" s="21"/>
      <c r="I88" s="22"/>
      <c r="J88" s="21"/>
      <c r="K88" s="21"/>
    </row>
    <row r="89" spans="7:11" ht="12.75">
      <c r="G89" s="28"/>
      <c r="K89" s="28"/>
    </row>
    <row r="91" spans="2:3" ht="12.75">
      <c r="B91" s="13"/>
      <c r="C91" s="13"/>
    </row>
    <row r="92" spans="2:3" ht="12.75">
      <c r="B92" s="14"/>
      <c r="C92" s="14"/>
    </row>
    <row r="93" spans="2:3" ht="12.75">
      <c r="B93" s="19"/>
      <c r="C93" s="19"/>
    </row>
    <row r="94" spans="2:3" ht="12.75">
      <c r="B94" s="14"/>
      <c r="C94" s="14"/>
    </row>
    <row r="95" spans="2:9" ht="12.75">
      <c r="B95" s="14"/>
      <c r="C95" s="14"/>
      <c r="G95" s="21"/>
      <c r="I95" s="22"/>
    </row>
    <row r="96" spans="2:9" ht="12.75">
      <c r="B96" s="14"/>
      <c r="C96" s="14"/>
      <c r="G96" s="21"/>
      <c r="I96" s="22"/>
    </row>
    <row r="97" spans="7:9" ht="12.75">
      <c r="G97" s="21"/>
      <c r="I97" s="22"/>
    </row>
    <row r="98" spans="2:11" ht="12.75">
      <c r="B98" s="14"/>
      <c r="C98" s="14"/>
      <c r="G98" s="21"/>
      <c r="H98" s="17"/>
      <c r="I98" s="22"/>
      <c r="J98" s="17"/>
      <c r="K98" s="21"/>
    </row>
    <row r="99" spans="7:9" ht="12.75">
      <c r="G99" s="21"/>
      <c r="I99" s="22"/>
    </row>
    <row r="100" spans="2:9" ht="12.75">
      <c r="B100" s="14"/>
      <c r="C100" s="14"/>
      <c r="G100" s="21"/>
      <c r="I100" s="22"/>
    </row>
    <row r="101" spans="2:9" ht="12.75">
      <c r="B101" s="14"/>
      <c r="C101" s="14"/>
      <c r="G101" s="21"/>
      <c r="I101" s="22"/>
    </row>
    <row r="102" spans="2:9" ht="12.75">
      <c r="B102" s="14"/>
      <c r="C102" s="14"/>
      <c r="G102" s="21"/>
      <c r="I102" s="22"/>
    </row>
    <row r="103" spans="2:9" ht="12.75">
      <c r="B103" s="14"/>
      <c r="C103" s="14"/>
      <c r="G103" s="21"/>
      <c r="I103" s="22"/>
    </row>
    <row r="104" spans="7:9" ht="12.75">
      <c r="G104" s="21"/>
      <c r="I104" s="22"/>
    </row>
    <row r="105" spans="2:11" ht="12.75">
      <c r="B105" s="13"/>
      <c r="C105" s="13"/>
      <c r="G105" s="17"/>
      <c r="H105" s="17"/>
      <c r="I105" s="18"/>
      <c r="J105" s="17"/>
      <c r="K105" s="17"/>
    </row>
    <row r="108" spans="7:11" ht="12.75">
      <c r="G108" s="28"/>
      <c r="K108" s="28"/>
    </row>
    <row r="109" spans="7:11" ht="12.75">
      <c r="G109" s="28"/>
      <c r="K109" s="28"/>
    </row>
    <row r="110" spans="7:11" ht="12.75">
      <c r="G110" s="28"/>
      <c r="K110" s="28"/>
    </row>
    <row r="111" spans="7:11" ht="12.75">
      <c r="G111" s="28"/>
      <c r="K111" s="28"/>
    </row>
    <row r="112" spans="7:11" ht="12.75">
      <c r="G112" s="28"/>
      <c r="K112" s="28"/>
    </row>
    <row r="113" spans="7:11" ht="12.75">
      <c r="G113" s="28"/>
      <c r="K113" s="28"/>
    </row>
    <row r="114" spans="7:11" ht="12.75">
      <c r="G114" s="28"/>
      <c r="K114" s="28"/>
    </row>
    <row r="115" spans="7:11" ht="12.75">
      <c r="G115" s="28"/>
      <c r="K115" s="28"/>
    </row>
    <row r="116" spans="7:11" ht="12.75">
      <c r="G116" s="28"/>
      <c r="K116" s="28"/>
    </row>
    <row r="117" spans="7:11" ht="12.75">
      <c r="G117" s="28"/>
      <c r="K117" s="28"/>
    </row>
    <row r="118" spans="7:11" ht="12.75">
      <c r="G118" s="28"/>
      <c r="K118" s="28"/>
    </row>
    <row r="119" spans="7:11" ht="12.75">
      <c r="G119" s="28"/>
      <c r="K119" s="28"/>
    </row>
    <row r="121" spans="7:11" ht="12.75">
      <c r="G121" s="28"/>
      <c r="K121" s="2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68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6.8515625" style="5" hidden="1" customWidth="1"/>
    <col min="2" max="2" width="19.421875" style="4" customWidth="1"/>
    <col min="3" max="3" width="4.140625" style="4" customWidth="1"/>
    <col min="4" max="4" width="9.28125" style="4" customWidth="1"/>
    <col min="5" max="5" width="3.8515625" style="5" customWidth="1"/>
    <col min="6" max="6" width="11.140625" style="5" customWidth="1"/>
    <col min="7" max="7" width="4.140625" style="5" customWidth="1"/>
    <col min="8" max="8" width="15.28125" style="5" customWidth="1"/>
    <col min="9" max="9" width="3.8515625" style="5" customWidth="1"/>
    <col min="10" max="10" width="15.421875" style="5" customWidth="1"/>
    <col min="11" max="11" width="3.8515625" style="5" customWidth="1"/>
    <col min="12" max="12" width="13.421875" style="6" bestFit="1" customWidth="1"/>
    <col min="13" max="13" width="3.140625" style="6" customWidth="1"/>
    <col min="14" max="14" width="10.57421875" style="6" customWidth="1"/>
    <col min="15" max="15" width="3.140625" style="6" customWidth="1"/>
    <col min="16" max="16" width="9.00390625" style="6" customWidth="1"/>
    <col min="17" max="17" width="3.140625" style="6" customWidth="1"/>
    <col min="18" max="18" width="9.00390625" style="6" customWidth="1"/>
    <col min="19" max="19" width="3.140625" style="6" customWidth="1"/>
    <col min="20" max="20" width="11.28125" style="6" customWidth="1"/>
    <col min="21" max="21" width="4.8515625" style="5" customWidth="1"/>
    <col min="22" max="22" width="10.421875" style="5" customWidth="1"/>
    <col min="23" max="23" width="3.8515625" style="5" customWidth="1"/>
    <col min="24" max="24" width="8.140625" style="5" customWidth="1"/>
    <col min="25" max="25" width="4.28125" style="5" customWidth="1"/>
    <col min="26" max="26" width="9.421875" style="5" customWidth="1"/>
    <col min="27" max="27" width="4.28125" style="5" customWidth="1"/>
    <col min="28" max="28" width="8.7109375" style="5" customWidth="1"/>
    <col min="29" max="29" width="3.140625" style="5" customWidth="1"/>
    <col min="30" max="30" width="10.00390625" style="5" customWidth="1"/>
    <col min="31" max="31" width="3.140625" style="5" customWidth="1"/>
    <col min="32" max="32" width="9.421875" style="5" customWidth="1"/>
    <col min="33" max="33" width="3.140625" style="5" customWidth="1"/>
    <col min="34" max="34" width="10.57421875" style="5" customWidth="1"/>
    <col min="35" max="35" width="3.140625" style="5" customWidth="1"/>
    <col min="36" max="36" width="10.140625" style="5" customWidth="1"/>
    <col min="37" max="37" width="2.8515625" style="5" customWidth="1"/>
    <col min="38" max="38" width="10.140625" style="5" customWidth="1"/>
    <col min="39" max="39" width="3.28125" style="5" customWidth="1"/>
    <col min="40" max="40" width="10.140625" style="5" customWidth="1"/>
    <col min="41" max="41" width="2.57421875" style="5" customWidth="1"/>
    <col min="42" max="42" width="10.140625" style="5" customWidth="1"/>
    <col min="43" max="43" width="2.57421875" style="5" customWidth="1"/>
    <col min="44" max="44" width="9.421875" style="5" customWidth="1"/>
    <col min="45" max="45" width="4.00390625" style="5" customWidth="1"/>
    <col min="46" max="46" width="9.7109375" style="5" customWidth="1"/>
    <col min="47" max="47" width="4.8515625" style="5" customWidth="1"/>
    <col min="48" max="48" width="9.140625" style="5" customWidth="1"/>
    <col min="49" max="49" width="4.421875" style="5" customWidth="1"/>
    <col min="50" max="50" width="11.28125" style="5" customWidth="1"/>
    <col min="51" max="51" width="4.28125" style="5" customWidth="1"/>
    <col min="52" max="52" width="8.140625" style="5" customWidth="1"/>
    <col min="53" max="16384" width="8.8515625" style="5" customWidth="1"/>
  </cols>
  <sheetData>
    <row r="1" spans="2:3" ht="12.75">
      <c r="B1" s="3" t="s">
        <v>79</v>
      </c>
      <c r="C1" s="3"/>
    </row>
    <row r="3" spans="1:52" ht="12.75">
      <c r="A3" s="5" t="s">
        <v>116</v>
      </c>
      <c r="B3" s="3" t="s">
        <v>46</v>
      </c>
      <c r="C3" s="3"/>
      <c r="F3" s="7" t="s">
        <v>123</v>
      </c>
      <c r="G3" s="7"/>
      <c r="H3" s="7" t="s">
        <v>124</v>
      </c>
      <c r="I3" s="7"/>
      <c r="J3" s="7" t="s">
        <v>125</v>
      </c>
      <c r="K3" s="7"/>
      <c r="L3" s="7" t="s">
        <v>26</v>
      </c>
      <c r="N3" s="7" t="s">
        <v>123</v>
      </c>
      <c r="O3" s="7"/>
      <c r="P3" s="7" t="s">
        <v>124</v>
      </c>
      <c r="Q3" s="7"/>
      <c r="R3" s="7" t="s">
        <v>125</v>
      </c>
      <c r="S3" s="7"/>
      <c r="T3" s="7" t="s">
        <v>26</v>
      </c>
      <c r="V3" s="7" t="s">
        <v>123</v>
      </c>
      <c r="W3" s="7"/>
      <c r="X3" s="7" t="s">
        <v>124</v>
      </c>
      <c r="Y3" s="7"/>
      <c r="Z3" s="7" t="s">
        <v>125</v>
      </c>
      <c r="AA3" s="7"/>
      <c r="AB3" s="7" t="s">
        <v>26</v>
      </c>
      <c r="AD3" s="7" t="s">
        <v>123</v>
      </c>
      <c r="AE3" s="7"/>
      <c r="AF3" s="7" t="s">
        <v>124</v>
      </c>
      <c r="AG3" s="7"/>
      <c r="AH3" s="7" t="s">
        <v>125</v>
      </c>
      <c r="AI3" s="7"/>
      <c r="AJ3" s="7" t="s">
        <v>26</v>
      </c>
      <c r="AK3" s="7"/>
      <c r="AL3" s="7" t="s">
        <v>123</v>
      </c>
      <c r="AM3" s="7"/>
      <c r="AN3" s="7" t="s">
        <v>124</v>
      </c>
      <c r="AO3" s="7"/>
      <c r="AP3" s="7" t="s">
        <v>125</v>
      </c>
      <c r="AQ3" s="7"/>
      <c r="AR3" s="7" t="s">
        <v>26</v>
      </c>
      <c r="AT3" s="7" t="s">
        <v>123</v>
      </c>
      <c r="AU3" s="7"/>
      <c r="AV3" s="7" t="s">
        <v>124</v>
      </c>
      <c r="AW3" s="7"/>
      <c r="AX3" s="7" t="s">
        <v>125</v>
      </c>
      <c r="AY3" s="7"/>
      <c r="AZ3" s="7" t="s">
        <v>26</v>
      </c>
    </row>
    <row r="5" spans="2:52" ht="12.75">
      <c r="B5" s="4" t="s">
        <v>130</v>
      </c>
      <c r="F5" s="7" t="s">
        <v>149</v>
      </c>
      <c r="H5" s="7" t="s">
        <v>149</v>
      </c>
      <c r="J5" s="7" t="s">
        <v>149</v>
      </c>
      <c r="L5" s="7" t="s">
        <v>149</v>
      </c>
      <c r="N5" s="6" t="s">
        <v>150</v>
      </c>
      <c r="P5" s="6" t="s">
        <v>150</v>
      </c>
      <c r="R5" s="6" t="s">
        <v>150</v>
      </c>
      <c r="T5" s="6" t="s">
        <v>150</v>
      </c>
      <c r="V5" s="5" t="s">
        <v>151</v>
      </c>
      <c r="X5" s="5" t="s">
        <v>151</v>
      </c>
      <c r="Z5" s="5" t="s">
        <v>151</v>
      </c>
      <c r="AB5" s="5" t="s">
        <v>151</v>
      </c>
      <c r="AD5" s="5" t="s">
        <v>152</v>
      </c>
      <c r="AF5" s="5" t="s">
        <v>152</v>
      </c>
      <c r="AH5" s="5" t="s">
        <v>152</v>
      </c>
      <c r="AJ5" s="5" t="s">
        <v>152</v>
      </c>
      <c r="AT5" s="5" t="s">
        <v>153</v>
      </c>
      <c r="AV5" s="5" t="s">
        <v>153</v>
      </c>
      <c r="AX5" s="5" t="s">
        <v>153</v>
      </c>
      <c r="AZ5" s="5" t="s">
        <v>153</v>
      </c>
    </row>
    <row r="6" spans="2:52" ht="12.75">
      <c r="B6" s="4" t="s">
        <v>131</v>
      </c>
      <c r="F6" s="5" t="s">
        <v>132</v>
      </c>
      <c r="H6" s="5" t="s">
        <v>132</v>
      </c>
      <c r="J6" s="5" t="s">
        <v>132</v>
      </c>
      <c r="L6" s="5" t="s">
        <v>132</v>
      </c>
      <c r="N6" s="6" t="s">
        <v>76</v>
      </c>
      <c r="P6" s="6" t="s">
        <v>76</v>
      </c>
      <c r="R6" s="6" t="s">
        <v>76</v>
      </c>
      <c r="T6" s="6" t="s">
        <v>76</v>
      </c>
      <c r="V6" s="5" t="s">
        <v>49</v>
      </c>
      <c r="X6" s="5" t="s">
        <v>49</v>
      </c>
      <c r="Z6" s="5" t="s">
        <v>49</v>
      </c>
      <c r="AB6" s="5" t="s">
        <v>49</v>
      </c>
      <c r="AD6" s="5" t="s">
        <v>76</v>
      </c>
      <c r="AF6" s="5" t="s">
        <v>76</v>
      </c>
      <c r="AH6" s="5" t="s">
        <v>76</v>
      </c>
      <c r="AJ6" s="5" t="s">
        <v>76</v>
      </c>
      <c r="AT6" s="5" t="s">
        <v>60</v>
      </c>
      <c r="AV6" s="5" t="s">
        <v>60</v>
      </c>
      <c r="AX6" s="5" t="s">
        <v>60</v>
      </c>
      <c r="AZ6" s="5" t="s">
        <v>60</v>
      </c>
    </row>
    <row r="7" spans="2:52" ht="12.75">
      <c r="B7" s="4" t="s">
        <v>155</v>
      </c>
      <c r="F7" s="15" t="s">
        <v>72</v>
      </c>
      <c r="H7" s="15" t="s">
        <v>72</v>
      </c>
      <c r="J7" s="15" t="s">
        <v>72</v>
      </c>
      <c r="L7" s="15" t="s">
        <v>72</v>
      </c>
      <c r="V7" s="15" t="s">
        <v>49</v>
      </c>
      <c r="X7" s="15" t="s">
        <v>49</v>
      </c>
      <c r="Z7" s="15" t="s">
        <v>49</v>
      </c>
      <c r="AB7" s="15" t="s">
        <v>49</v>
      </c>
      <c r="AL7" s="5" t="s">
        <v>76</v>
      </c>
      <c r="AN7" s="5" t="s">
        <v>76</v>
      </c>
      <c r="AP7" s="5" t="s">
        <v>76</v>
      </c>
      <c r="AR7" s="5" t="s">
        <v>76</v>
      </c>
      <c r="AT7" s="15" t="s">
        <v>60</v>
      </c>
      <c r="AV7" s="15" t="s">
        <v>60</v>
      </c>
      <c r="AX7" s="15" t="s">
        <v>60</v>
      </c>
      <c r="AZ7" s="15" t="s">
        <v>60</v>
      </c>
    </row>
    <row r="8" spans="2:52" ht="12.75">
      <c r="B8" s="4" t="s">
        <v>27</v>
      </c>
      <c r="F8" s="6" t="s">
        <v>52</v>
      </c>
      <c r="H8" s="6" t="s">
        <v>52</v>
      </c>
      <c r="J8" s="6" t="s">
        <v>52</v>
      </c>
      <c r="L8" s="6" t="s">
        <v>52</v>
      </c>
      <c r="N8" s="6" t="s">
        <v>67</v>
      </c>
      <c r="P8" s="6" t="s">
        <v>67</v>
      </c>
      <c r="R8" s="6" t="s">
        <v>67</v>
      </c>
      <c r="T8" s="6" t="s">
        <v>67</v>
      </c>
      <c r="V8" s="6" t="s">
        <v>49</v>
      </c>
      <c r="X8" s="6" t="s">
        <v>49</v>
      </c>
      <c r="Z8" s="6" t="s">
        <v>49</v>
      </c>
      <c r="AB8" s="6" t="s">
        <v>49</v>
      </c>
      <c r="AC8" s="6"/>
      <c r="AD8" s="6" t="s">
        <v>53</v>
      </c>
      <c r="AE8" s="6"/>
      <c r="AF8" s="6" t="s">
        <v>53</v>
      </c>
      <c r="AG8" s="6"/>
      <c r="AH8" s="6" t="s">
        <v>53</v>
      </c>
      <c r="AI8" s="6"/>
      <c r="AJ8" s="6" t="s">
        <v>53</v>
      </c>
      <c r="AK8" s="6"/>
      <c r="AL8" s="6"/>
      <c r="AM8" s="6"/>
      <c r="AN8" s="6"/>
      <c r="AO8" s="6"/>
      <c r="AP8" s="6"/>
      <c r="AQ8" s="6"/>
      <c r="AR8" s="6"/>
      <c r="AS8" s="6"/>
      <c r="AT8" s="6" t="s">
        <v>60</v>
      </c>
      <c r="AU8" s="6"/>
      <c r="AV8" s="6" t="s">
        <v>60</v>
      </c>
      <c r="AW8" s="6"/>
      <c r="AX8" s="6" t="s">
        <v>60</v>
      </c>
      <c r="AY8" s="6"/>
      <c r="AZ8" s="6" t="s">
        <v>60</v>
      </c>
    </row>
    <row r="9" spans="2:28" ht="12.75">
      <c r="B9" s="4" t="s">
        <v>119</v>
      </c>
      <c r="D9" s="4" t="s">
        <v>55</v>
      </c>
      <c r="F9" s="5">
        <f>75.05*60</f>
        <v>4503</v>
      </c>
      <c r="H9" s="5">
        <f>75.01*60</f>
        <v>4500.6</v>
      </c>
      <c r="J9" s="5">
        <f>75.06*60</f>
        <v>4503.6</v>
      </c>
      <c r="L9" s="6">
        <v>4504</v>
      </c>
      <c r="V9" s="5">
        <f>302*60</f>
        <v>18120</v>
      </c>
      <c r="X9" s="5">
        <f>330.7*60</f>
        <v>19842</v>
      </c>
      <c r="Z9" s="5">
        <f>333.5*60</f>
        <v>20010</v>
      </c>
      <c r="AB9" s="5">
        <v>19326</v>
      </c>
    </row>
    <row r="10" spans="2:12" ht="12.75">
      <c r="B10" s="4" t="s">
        <v>41</v>
      </c>
      <c r="D10" s="4" t="s">
        <v>42</v>
      </c>
      <c r="F10" s="5">
        <v>7.1</v>
      </c>
      <c r="H10" s="5">
        <v>5.7</v>
      </c>
      <c r="J10" s="5">
        <v>4</v>
      </c>
      <c r="L10" s="6">
        <v>5.6</v>
      </c>
    </row>
    <row r="11" spans="2:28" ht="12.75">
      <c r="B11" s="4" t="s">
        <v>29</v>
      </c>
      <c r="D11" s="4" t="s">
        <v>30</v>
      </c>
      <c r="F11" s="5">
        <v>6300</v>
      </c>
      <c r="H11" s="5">
        <v>5300</v>
      </c>
      <c r="J11" s="5">
        <v>5300</v>
      </c>
      <c r="L11" s="6">
        <v>5633</v>
      </c>
      <c r="V11" s="6">
        <v>12975</v>
      </c>
      <c r="W11" s="6"/>
      <c r="X11" s="6">
        <v>12948</v>
      </c>
      <c r="Y11" s="6"/>
      <c r="Z11" s="6">
        <v>12933</v>
      </c>
      <c r="AB11" s="5">
        <v>12952</v>
      </c>
    </row>
    <row r="12" spans="2:52" ht="12.75">
      <c r="B12" s="4" t="s">
        <v>31</v>
      </c>
      <c r="D12" s="4" t="s">
        <v>32</v>
      </c>
      <c r="E12" s="7"/>
      <c r="F12" s="7"/>
      <c r="G12" s="7"/>
      <c r="H12" s="7"/>
      <c r="I12" s="7"/>
      <c r="J12" s="7"/>
      <c r="K12" s="7"/>
      <c r="U12" s="7"/>
      <c r="V12" s="6">
        <v>1.22</v>
      </c>
      <c r="W12" s="7"/>
      <c r="X12" s="6">
        <v>1.2</v>
      </c>
      <c r="Y12" s="7"/>
      <c r="Z12" s="6">
        <v>1.32</v>
      </c>
      <c r="AA12" s="7"/>
      <c r="AB12" s="6">
        <v>1.25</v>
      </c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2:52" ht="12.75">
      <c r="B13" s="4" t="s">
        <v>33</v>
      </c>
      <c r="D13" s="4" t="s">
        <v>28</v>
      </c>
      <c r="E13" s="7" t="s">
        <v>25</v>
      </c>
      <c r="F13" s="6">
        <v>2043</v>
      </c>
      <c r="G13" s="7" t="s">
        <v>25</v>
      </c>
      <c r="H13" s="6">
        <v>2041</v>
      </c>
      <c r="I13" s="7" t="s">
        <v>25</v>
      </c>
      <c r="J13" s="6">
        <v>2043</v>
      </c>
      <c r="K13" s="7"/>
      <c r="L13" s="6">
        <v>2043</v>
      </c>
      <c r="U13" s="7"/>
      <c r="V13" s="6">
        <v>955027</v>
      </c>
      <c r="W13" s="7"/>
      <c r="X13" s="6">
        <v>1048648</v>
      </c>
      <c r="Y13" s="7"/>
      <c r="Z13" s="6">
        <v>1045599</v>
      </c>
      <c r="AA13" s="7"/>
      <c r="AB13" s="8">
        <v>1016425</v>
      </c>
      <c r="AC13" s="8"/>
      <c r="AD13" s="8"/>
      <c r="AE13" s="8"/>
      <c r="AF13" s="8"/>
      <c r="AG13" s="8"/>
      <c r="AH13" s="8"/>
      <c r="AI13" s="8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6"/>
    </row>
    <row r="14" spans="2:52" ht="12.75">
      <c r="B14" s="4" t="s">
        <v>34</v>
      </c>
      <c r="D14" s="4" t="s">
        <v>28</v>
      </c>
      <c r="E14" s="7"/>
      <c r="F14" s="6">
        <v>531</v>
      </c>
      <c r="G14" s="7"/>
      <c r="H14" s="6">
        <v>367</v>
      </c>
      <c r="I14" s="7"/>
      <c r="J14" s="6">
        <v>159</v>
      </c>
      <c r="K14" s="7"/>
      <c r="L14" s="6">
        <v>353</v>
      </c>
      <c r="N14" s="6">
        <v>5722</v>
      </c>
      <c r="P14" s="6">
        <v>5684</v>
      </c>
      <c r="R14" s="6">
        <v>5905</v>
      </c>
      <c r="T14" s="6">
        <v>5770</v>
      </c>
      <c r="U14" s="7"/>
      <c r="V14" s="35">
        <f>8119*((100-V$12)/100)</f>
        <v>8019.9482</v>
      </c>
      <c r="W14" s="7"/>
      <c r="X14" s="35">
        <f>8003*((100-X$12)/100)</f>
        <v>7906.964</v>
      </c>
      <c r="Y14" s="7"/>
      <c r="Z14" s="35">
        <f>7165*((100-Z$12)/100)</f>
        <v>7070.4220000000005</v>
      </c>
      <c r="AA14" s="7"/>
      <c r="AB14" s="35">
        <f>AVERAGE(Z14,X14,V14)</f>
        <v>7665.778066666667</v>
      </c>
      <c r="AC14" s="6"/>
      <c r="AD14" s="6">
        <v>14873</v>
      </c>
      <c r="AE14" s="6"/>
      <c r="AF14" s="6">
        <v>14873</v>
      </c>
      <c r="AG14" s="6"/>
      <c r="AH14" s="6">
        <v>14873</v>
      </c>
      <c r="AI14" s="6"/>
      <c r="AJ14" s="6">
        <v>14873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2:51" ht="12.75">
      <c r="B15" s="4" t="s">
        <v>98</v>
      </c>
      <c r="D15" s="4" t="s">
        <v>28</v>
      </c>
      <c r="E15" s="7"/>
      <c r="F15" s="6">
        <v>1.2</v>
      </c>
      <c r="G15" s="7"/>
      <c r="H15" s="6">
        <v>1</v>
      </c>
      <c r="I15" s="7"/>
      <c r="J15" s="6">
        <v>0.92</v>
      </c>
      <c r="K15" s="7"/>
      <c r="L15" s="6">
        <v>1</v>
      </c>
      <c r="N15" s="6">
        <v>11</v>
      </c>
      <c r="P15" s="6">
        <v>11</v>
      </c>
      <c r="R15" s="6">
        <v>11</v>
      </c>
      <c r="T15" s="6">
        <v>11</v>
      </c>
      <c r="U15" s="7" t="s">
        <v>25</v>
      </c>
      <c r="V15" s="35">
        <f>8219*((100-V$12)/100)*1/1000</f>
        <v>8.1187282</v>
      </c>
      <c r="W15" s="7"/>
      <c r="X15" s="35">
        <f>18*((100-X$12)/100)</f>
        <v>17.784</v>
      </c>
      <c r="Y15" s="7" t="s">
        <v>25</v>
      </c>
      <c r="Z15" s="35">
        <f>9076*((100-Z$12)/100)*1/1000</f>
        <v>8.9561968</v>
      </c>
      <c r="AA15" s="7"/>
      <c r="AB15" s="35">
        <f aca="true" t="shared" si="0" ref="AB15:AB24">AVERAGE(Z15,X15,V15)</f>
        <v>11.619641666666666</v>
      </c>
      <c r="AC15" s="6"/>
      <c r="AD15" s="6">
        <v>83</v>
      </c>
      <c r="AE15" s="6"/>
      <c r="AF15" s="6">
        <v>83</v>
      </c>
      <c r="AG15" s="6"/>
      <c r="AH15" s="6">
        <v>83</v>
      </c>
      <c r="AI15" s="6"/>
      <c r="AJ15" s="6">
        <v>83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2.75">
      <c r="B16" s="4" t="s">
        <v>99</v>
      </c>
      <c r="D16" s="4" t="s">
        <v>28</v>
      </c>
      <c r="E16" s="7" t="s">
        <v>25</v>
      </c>
      <c r="F16" s="6">
        <f>0.025*2043/1000</f>
        <v>0.051075</v>
      </c>
      <c r="G16" s="7" t="s">
        <v>25</v>
      </c>
      <c r="H16" s="6">
        <f>0.025*2041/1000</f>
        <v>0.05102500000000001</v>
      </c>
      <c r="I16" s="7" t="s">
        <v>25</v>
      </c>
      <c r="J16" s="6">
        <f>0.025*2043/1000</f>
        <v>0.051075</v>
      </c>
      <c r="K16" s="7"/>
      <c r="L16" s="6">
        <v>0.1</v>
      </c>
      <c r="N16" s="6">
        <v>15</v>
      </c>
      <c r="P16" s="6">
        <v>14</v>
      </c>
      <c r="R16" s="6">
        <v>15</v>
      </c>
      <c r="T16" s="6">
        <v>15</v>
      </c>
      <c r="U16" s="7"/>
      <c r="V16" s="35">
        <f>12*((100-V$12)/100)</f>
        <v>11.8536</v>
      </c>
      <c r="W16" s="7"/>
      <c r="X16" s="35">
        <f>12*((100-X$12)/100)</f>
        <v>11.856</v>
      </c>
      <c r="Y16" s="7"/>
      <c r="Z16" s="35">
        <f>10*((100-Z$12)/100)</f>
        <v>9.868000000000002</v>
      </c>
      <c r="AA16" s="7"/>
      <c r="AB16" s="35">
        <f t="shared" si="0"/>
        <v>11.192533333333335</v>
      </c>
      <c r="AC16" s="6"/>
      <c r="AD16" s="6">
        <v>99</v>
      </c>
      <c r="AE16" s="6"/>
      <c r="AF16" s="6">
        <v>99</v>
      </c>
      <c r="AG16" s="6"/>
      <c r="AH16" s="6">
        <v>99</v>
      </c>
      <c r="AI16" s="6"/>
      <c r="AJ16" s="6">
        <v>99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2.75">
      <c r="B17" s="4" t="s">
        <v>100</v>
      </c>
      <c r="D17" s="4" t="s">
        <v>28</v>
      </c>
      <c r="E17" s="7" t="s">
        <v>25</v>
      </c>
      <c r="F17" s="6">
        <v>0.051075</v>
      </c>
      <c r="G17" s="7" t="s">
        <v>25</v>
      </c>
      <c r="H17" s="6">
        <f>0.025*2041/1000</f>
        <v>0.05102500000000001</v>
      </c>
      <c r="I17" s="7" t="s">
        <v>25</v>
      </c>
      <c r="J17" s="6">
        <f>0.025*2043/1000</f>
        <v>0.051075</v>
      </c>
      <c r="K17" s="7"/>
      <c r="L17" s="6">
        <v>0.1</v>
      </c>
      <c r="N17" s="6">
        <v>4.8</v>
      </c>
      <c r="P17" s="6">
        <v>4.8</v>
      </c>
      <c r="R17" s="6">
        <v>4.9</v>
      </c>
      <c r="T17" s="6">
        <v>4.8</v>
      </c>
      <c r="U17" s="7" t="s">
        <v>25</v>
      </c>
      <c r="V17" s="35">
        <f>8219*((100-V$12)/100)*0.3/1000</f>
        <v>2.43561846</v>
      </c>
      <c r="W17" s="7" t="s">
        <v>25</v>
      </c>
      <c r="X17" s="35">
        <f>9000*((100-X$12)/100)*0.3/1000</f>
        <v>2.6675999999999997</v>
      </c>
      <c r="Y17" s="7" t="s">
        <v>25</v>
      </c>
      <c r="Z17" s="35">
        <f>9076*((100-Z$12)/100)*0.3/1000</f>
        <v>2.6868590400000003</v>
      </c>
      <c r="AA17" s="7"/>
      <c r="AB17" s="35">
        <f t="shared" si="0"/>
        <v>2.5966925</v>
      </c>
      <c r="AC17" s="6"/>
      <c r="AD17" s="6">
        <v>16</v>
      </c>
      <c r="AE17" s="6"/>
      <c r="AF17" s="6">
        <v>16</v>
      </c>
      <c r="AG17" s="6"/>
      <c r="AH17" s="6">
        <v>16</v>
      </c>
      <c r="AI17" s="6"/>
      <c r="AJ17" s="6">
        <v>16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2.75">
      <c r="B18" s="4" t="s">
        <v>109</v>
      </c>
      <c r="D18" s="4" t="s">
        <v>28</v>
      </c>
      <c r="E18" s="7" t="s">
        <v>25</v>
      </c>
      <c r="F18" s="6">
        <v>0.51075</v>
      </c>
      <c r="G18" s="7" t="s">
        <v>25</v>
      </c>
      <c r="H18" s="6">
        <v>0.5103</v>
      </c>
      <c r="I18" s="7" t="s">
        <v>25</v>
      </c>
      <c r="J18" s="6">
        <v>0.51075</v>
      </c>
      <c r="K18" s="7"/>
      <c r="L18" s="6">
        <v>0.1</v>
      </c>
      <c r="N18" s="6">
        <v>73</v>
      </c>
      <c r="P18" s="6">
        <v>72</v>
      </c>
      <c r="R18" s="6">
        <v>75</v>
      </c>
      <c r="T18" s="6">
        <v>73</v>
      </c>
      <c r="U18" s="7"/>
      <c r="V18" s="35">
        <f>227*((100-V$12)/100)</f>
        <v>224.2306</v>
      </c>
      <c r="W18" s="7"/>
      <c r="X18" s="35">
        <f>231*((100-X$12)/100)</f>
        <v>228.228</v>
      </c>
      <c r="Y18" s="7"/>
      <c r="Z18" s="35">
        <f>251*((100-Z$12)/100)</f>
        <v>247.68680000000003</v>
      </c>
      <c r="AA18" s="7"/>
      <c r="AB18" s="35">
        <f t="shared" si="0"/>
        <v>233.3818</v>
      </c>
      <c r="AC18" s="6"/>
      <c r="AD18" s="6">
        <v>193</v>
      </c>
      <c r="AE18" s="6"/>
      <c r="AF18" s="6">
        <v>193</v>
      </c>
      <c r="AG18" s="6"/>
      <c r="AH18" s="6">
        <v>193</v>
      </c>
      <c r="AI18" s="6"/>
      <c r="AJ18" s="6">
        <v>193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2.75">
      <c r="B19" s="4" t="s">
        <v>113</v>
      </c>
      <c r="D19" s="4" t="s">
        <v>28</v>
      </c>
      <c r="E19" s="7" t="s">
        <v>25</v>
      </c>
      <c r="F19" s="6">
        <v>20</v>
      </c>
      <c r="G19" s="7" t="s">
        <v>25</v>
      </c>
      <c r="H19" s="6">
        <v>20</v>
      </c>
      <c r="I19" s="7" t="s">
        <v>25</v>
      </c>
      <c r="J19" s="6">
        <v>20</v>
      </c>
      <c r="K19" s="7"/>
      <c r="L19" s="6">
        <v>20</v>
      </c>
      <c r="U19" s="7"/>
      <c r="V19" s="35">
        <f>8*((100-V$12)/100)</f>
        <v>7.9024</v>
      </c>
      <c r="W19" s="7"/>
      <c r="X19" s="35">
        <f>9*((100-X$12)/100)</f>
        <v>8.892</v>
      </c>
      <c r="Y19" s="7"/>
      <c r="Z19" s="35">
        <f>18*((100-Z$12)/100)</f>
        <v>17.762400000000003</v>
      </c>
      <c r="AA19" s="7"/>
      <c r="AB19" s="35">
        <f t="shared" si="0"/>
        <v>11.518933333333335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2:51" ht="12.75">
      <c r="B20" s="4" t="s">
        <v>111</v>
      </c>
      <c r="D20" s="4" t="s">
        <v>28</v>
      </c>
      <c r="E20" s="7" t="s">
        <v>25</v>
      </c>
      <c r="F20" s="6">
        <v>1</v>
      </c>
      <c r="G20" s="7" t="s">
        <v>25</v>
      </c>
      <c r="H20" s="6">
        <v>1</v>
      </c>
      <c r="I20" s="7" t="s">
        <v>25</v>
      </c>
      <c r="J20" s="6">
        <v>1</v>
      </c>
      <c r="K20" s="7"/>
      <c r="L20" s="6">
        <v>1</v>
      </c>
      <c r="U20" s="7"/>
      <c r="V20" s="35">
        <f>690*((100-V$12)/100)</f>
        <v>681.582</v>
      </c>
      <c r="W20" s="7"/>
      <c r="X20" s="35">
        <f>720*((100-X$12)/100)</f>
        <v>711.36</v>
      </c>
      <c r="Y20" s="7"/>
      <c r="Z20" s="35">
        <f>770*((100-Z$12)/100)</f>
        <v>759.8360000000001</v>
      </c>
      <c r="AA20" s="7"/>
      <c r="AB20" s="35">
        <f t="shared" si="0"/>
        <v>717.5926666666668</v>
      </c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2:52" ht="12.75">
      <c r="B21" s="4" t="s">
        <v>114</v>
      </c>
      <c r="D21" s="4" t="s">
        <v>28</v>
      </c>
      <c r="E21" s="7" t="s">
        <v>25</v>
      </c>
      <c r="F21" s="6">
        <v>10</v>
      </c>
      <c r="G21" s="7" t="s">
        <v>25</v>
      </c>
      <c r="H21" s="6">
        <v>10</v>
      </c>
      <c r="I21" s="7" t="s">
        <v>25</v>
      </c>
      <c r="J21" s="6">
        <v>10</v>
      </c>
      <c r="K21" s="7"/>
      <c r="L21" s="6">
        <v>10</v>
      </c>
      <c r="U21" s="7"/>
      <c r="V21" s="35">
        <f>73*((100-V$12)/100)</f>
        <v>72.1094</v>
      </c>
      <c r="W21" s="7"/>
      <c r="X21" s="35">
        <f>62*((100-X$12)/100)</f>
        <v>61.256</v>
      </c>
      <c r="Y21" s="7"/>
      <c r="Z21" s="35">
        <f>63*((100-Z$12)/100)</f>
        <v>62.168400000000005</v>
      </c>
      <c r="AA21" s="7"/>
      <c r="AB21" s="35">
        <f t="shared" si="0"/>
        <v>65.17793333333333</v>
      </c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2:52" ht="12.75">
      <c r="B22" s="4" t="s">
        <v>118</v>
      </c>
      <c r="D22" s="4" t="s">
        <v>28</v>
      </c>
      <c r="E22" s="7" t="s">
        <v>25</v>
      </c>
      <c r="F22" s="6">
        <v>0.02</v>
      </c>
      <c r="G22" s="7" t="s">
        <v>25</v>
      </c>
      <c r="H22" s="6">
        <v>0.02</v>
      </c>
      <c r="I22" s="7" t="s">
        <v>25</v>
      </c>
      <c r="J22" s="6">
        <v>0.02</v>
      </c>
      <c r="K22" s="7"/>
      <c r="L22" s="6">
        <v>0.02</v>
      </c>
      <c r="U22" s="7"/>
      <c r="V22" s="35">
        <f>0.4*((100-V$12)/100)</f>
        <v>0.39512</v>
      </c>
      <c r="W22" s="7"/>
      <c r="X22" s="35">
        <f>0.4*((100-X$12)/100)</f>
        <v>0.3952</v>
      </c>
      <c r="Y22" s="7"/>
      <c r="Z22" s="35">
        <f>0.2*((100-Z$12)/100)</f>
        <v>0.19736000000000004</v>
      </c>
      <c r="AA22" s="7"/>
      <c r="AB22" s="35">
        <f t="shared" si="0"/>
        <v>0.32922666666666667</v>
      </c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2:52" ht="12.75">
      <c r="B23" s="4" t="s">
        <v>115</v>
      </c>
      <c r="D23" s="4" t="s">
        <v>28</v>
      </c>
      <c r="E23" s="7" t="s">
        <v>25</v>
      </c>
      <c r="F23" s="6">
        <v>1</v>
      </c>
      <c r="G23" s="7" t="s">
        <v>25</v>
      </c>
      <c r="H23" s="6">
        <v>1</v>
      </c>
      <c r="I23" s="7" t="s">
        <v>25</v>
      </c>
      <c r="J23" s="6">
        <v>1</v>
      </c>
      <c r="K23" s="7"/>
      <c r="L23" s="6">
        <v>1</v>
      </c>
      <c r="U23" s="7" t="s">
        <v>25</v>
      </c>
      <c r="V23" s="35">
        <f>2*((100-V$12)/100)</f>
        <v>1.9756</v>
      </c>
      <c r="W23" s="7" t="s">
        <v>25</v>
      </c>
      <c r="X23" s="35">
        <f>3*((100-X$12)/100)</f>
        <v>2.964</v>
      </c>
      <c r="Y23" s="7" t="s">
        <v>25</v>
      </c>
      <c r="Z23" s="35">
        <f>3*((100-Z$12)/100)</f>
        <v>2.9604000000000004</v>
      </c>
      <c r="AA23" s="7"/>
      <c r="AB23" s="35">
        <f t="shared" si="0"/>
        <v>2.6333333333333333</v>
      </c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2:52" ht="12.75">
      <c r="B24" s="4" t="s">
        <v>112</v>
      </c>
      <c r="D24" s="4" t="s">
        <v>28</v>
      </c>
      <c r="E24" s="7" t="s">
        <v>25</v>
      </c>
      <c r="F24" s="6">
        <v>2</v>
      </c>
      <c r="G24" s="7" t="s">
        <v>25</v>
      </c>
      <c r="H24" s="6">
        <v>2</v>
      </c>
      <c r="I24" s="7" t="s">
        <v>25</v>
      </c>
      <c r="J24" s="6">
        <v>2</v>
      </c>
      <c r="K24" s="7"/>
      <c r="L24" s="6">
        <v>2</v>
      </c>
      <c r="U24" s="7"/>
      <c r="V24" s="35">
        <f>8*((100-V$12)/100)</f>
        <v>7.9024</v>
      </c>
      <c r="W24" s="7" t="s">
        <v>25</v>
      </c>
      <c r="X24" s="35">
        <f>9*((100-X$12)/100)</f>
        <v>8.892</v>
      </c>
      <c r="Y24" s="7" t="s">
        <v>25</v>
      </c>
      <c r="Z24" s="35">
        <f>9*((100-Z$12)/100)</f>
        <v>8.881200000000002</v>
      </c>
      <c r="AA24" s="7"/>
      <c r="AB24" s="35">
        <f t="shared" si="0"/>
        <v>8.558533333333335</v>
      </c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5:52" ht="12.75">
      <c r="E25" s="7"/>
      <c r="F25" s="7"/>
      <c r="G25" s="7"/>
      <c r="H25" s="7"/>
      <c r="I25" s="7"/>
      <c r="J25" s="7"/>
      <c r="K25" s="7"/>
      <c r="U25" s="7"/>
      <c r="V25" s="7"/>
      <c r="W25" s="7"/>
      <c r="X25" s="7"/>
      <c r="Y25" s="7"/>
      <c r="Z25" s="7"/>
      <c r="AA25" s="7"/>
      <c r="AB25" s="6"/>
      <c r="AC25" s="6"/>
      <c r="AD25" s="6"/>
      <c r="AE25" s="6"/>
      <c r="AF25" s="6"/>
      <c r="AG25" s="6"/>
      <c r="AH25" s="6"/>
      <c r="AI25" s="6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2:52" ht="12.75">
      <c r="B26" s="4" t="s">
        <v>63</v>
      </c>
      <c r="D26" s="4" t="s">
        <v>22</v>
      </c>
      <c r="F26" s="5">
        <f>emiss!$G$20</f>
        <v>65496</v>
      </c>
      <c r="H26" s="5">
        <f>emiss!$I$20</f>
        <v>73547</v>
      </c>
      <c r="J26" s="5">
        <f>emiss!$K$20</f>
        <v>73573</v>
      </c>
      <c r="L26" s="6">
        <f>emiss!$M$20</f>
        <v>70872</v>
      </c>
      <c r="N26" s="5">
        <f>emiss!$G$20</f>
        <v>65496</v>
      </c>
      <c r="O26" s="5"/>
      <c r="P26" s="5">
        <f>emiss!$I$20</f>
        <v>73547</v>
      </c>
      <c r="Q26" s="5"/>
      <c r="R26" s="5">
        <f>emiss!$K$20</f>
        <v>73573</v>
      </c>
      <c r="S26" s="5"/>
      <c r="T26" s="6">
        <f>emiss!$M$20</f>
        <v>70872</v>
      </c>
      <c r="V26" s="5">
        <f>emiss!$G$20</f>
        <v>65496</v>
      </c>
      <c r="X26" s="5">
        <f>emiss!$I$20</f>
        <v>73547</v>
      </c>
      <c r="Z26" s="5">
        <f>emiss!$K$20</f>
        <v>73573</v>
      </c>
      <c r="AB26" s="6">
        <f>emiss!$M$20</f>
        <v>70872</v>
      </c>
      <c r="AD26" s="5">
        <f>emiss!$G$20</f>
        <v>65496</v>
      </c>
      <c r="AF26" s="5">
        <f>emiss!$I$20</f>
        <v>73547</v>
      </c>
      <c r="AH26" s="5">
        <f>emiss!$K$20</f>
        <v>73573</v>
      </c>
      <c r="AJ26" s="6">
        <f>emiss!$M$20</f>
        <v>70872</v>
      </c>
      <c r="AK26" s="6"/>
      <c r="AL26" s="6"/>
      <c r="AM26" s="6"/>
      <c r="AN26" s="6"/>
      <c r="AO26" s="6"/>
      <c r="AP26" s="6"/>
      <c r="AQ26" s="6"/>
      <c r="AR26" s="6"/>
      <c r="AS26" s="6"/>
      <c r="AT26" s="5">
        <f>emiss!$G$20</f>
        <v>65496</v>
      </c>
      <c r="AV26" s="5">
        <f>emiss!$I$20</f>
        <v>73547</v>
      </c>
      <c r="AX26" s="5">
        <f>emiss!$K$20</f>
        <v>73573</v>
      </c>
      <c r="AZ26" s="6">
        <f>emiss!$M$20</f>
        <v>70872</v>
      </c>
    </row>
    <row r="27" spans="2:52" ht="12.75">
      <c r="B27" s="4" t="s">
        <v>64</v>
      </c>
      <c r="D27" s="4" t="s">
        <v>23</v>
      </c>
      <c r="F27" s="5">
        <f>emiss!$G$21</f>
        <v>7.1</v>
      </c>
      <c r="H27" s="5">
        <f>emiss!$I$21</f>
        <v>7.3</v>
      </c>
      <c r="J27" s="5">
        <f>emiss!$K$21</f>
        <v>7.2</v>
      </c>
      <c r="L27" s="6">
        <f>emiss!$M$21</f>
        <v>7.2</v>
      </c>
      <c r="N27" s="5">
        <f>emiss!$G$21</f>
        <v>7.1</v>
      </c>
      <c r="O27" s="5"/>
      <c r="P27" s="5">
        <f>emiss!$I$21</f>
        <v>7.3</v>
      </c>
      <c r="Q27" s="5"/>
      <c r="R27" s="5">
        <f>emiss!$K$21</f>
        <v>7.2</v>
      </c>
      <c r="S27" s="5"/>
      <c r="T27" s="6">
        <f>emiss!$M$21</f>
        <v>7.2</v>
      </c>
      <c r="V27" s="5">
        <f>emiss!$G$21</f>
        <v>7.1</v>
      </c>
      <c r="X27" s="5">
        <f>emiss!$I$21</f>
        <v>7.3</v>
      </c>
      <c r="Z27" s="5">
        <f>emiss!$K$21</f>
        <v>7.2</v>
      </c>
      <c r="AB27" s="6">
        <f>emiss!$M$21</f>
        <v>7.2</v>
      </c>
      <c r="AD27" s="5">
        <f>emiss!$G$21</f>
        <v>7.1</v>
      </c>
      <c r="AF27" s="5">
        <f>emiss!$I$21</f>
        <v>7.3</v>
      </c>
      <c r="AH27" s="5">
        <f>emiss!$K$21</f>
        <v>7.2</v>
      </c>
      <c r="AJ27" s="6">
        <f>emiss!$M$21</f>
        <v>7.2</v>
      </c>
      <c r="AK27" s="6"/>
      <c r="AL27" s="6"/>
      <c r="AM27" s="6"/>
      <c r="AN27" s="6"/>
      <c r="AO27" s="6"/>
      <c r="AP27" s="6"/>
      <c r="AQ27" s="6"/>
      <c r="AR27" s="6"/>
      <c r="AS27" s="6"/>
      <c r="AT27" s="5">
        <f>emiss!$G$21</f>
        <v>7.1</v>
      </c>
      <c r="AV27" s="5">
        <f>emiss!$I$21</f>
        <v>7.3</v>
      </c>
      <c r="AX27" s="5">
        <f>emiss!$K$21</f>
        <v>7.2</v>
      </c>
      <c r="AZ27" s="6">
        <f>emiss!$M$21</f>
        <v>7.2</v>
      </c>
    </row>
    <row r="28" spans="28:35" ht="12.75">
      <c r="AB28" s="6"/>
      <c r="AC28" s="6"/>
      <c r="AD28" s="6"/>
      <c r="AE28" s="6"/>
      <c r="AF28" s="6"/>
      <c r="AG28" s="6"/>
      <c r="AH28" s="6"/>
      <c r="AI28" s="6"/>
    </row>
    <row r="29" spans="2:52" ht="12.75">
      <c r="B29" s="4" t="s">
        <v>117</v>
      </c>
      <c r="D29" s="4" t="s">
        <v>65</v>
      </c>
      <c r="F29" s="10">
        <f>F9*F11/1000000</f>
        <v>28.3689</v>
      </c>
      <c r="H29" s="10">
        <f>H9*H11/1000000</f>
        <v>23.853180000000005</v>
      </c>
      <c r="J29" s="10">
        <f>J9*J11/1000000</f>
        <v>23.869080000000004</v>
      </c>
      <c r="L29" s="10">
        <f>L9*L11/1000000</f>
        <v>25.371032</v>
      </c>
      <c r="V29" s="10">
        <f>V9*V11/1000000</f>
        <v>235.107</v>
      </c>
      <c r="X29" s="10">
        <f>X9*X11/1000000</f>
        <v>256.914216</v>
      </c>
      <c r="Z29" s="10">
        <f>Z9*Z11/1000000</f>
        <v>258.78933</v>
      </c>
      <c r="AB29" s="10">
        <f>AB9*AB11/1000000</f>
        <v>250.310352</v>
      </c>
      <c r="AT29" s="10">
        <f>SUM(AD29,V29,N29,F29)</f>
        <v>263.4759</v>
      </c>
      <c r="AU29" s="6"/>
      <c r="AV29" s="10">
        <f>SUM(AF29,X29,P29,H29)</f>
        <v>280.767396</v>
      </c>
      <c r="AW29" s="6"/>
      <c r="AX29" s="10">
        <f>SUM(AH29,Z29,R29,J29)</f>
        <v>282.65841</v>
      </c>
      <c r="AY29" s="6"/>
      <c r="AZ29" s="10">
        <f>AB29+L29</f>
        <v>275.681384</v>
      </c>
    </row>
    <row r="30" spans="2:52" ht="12.75">
      <c r="B30" s="4" t="s">
        <v>156</v>
      </c>
      <c r="D30" s="4" t="s">
        <v>65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6"/>
      <c r="AU30" s="6"/>
      <c r="AV30" s="6"/>
      <c r="AW30" s="6"/>
      <c r="AX30" s="6"/>
      <c r="AY30" s="6"/>
      <c r="AZ30" s="10">
        <f>AZ26/9000*(21-AZ27)/21*60</f>
        <v>310.4868571428571</v>
      </c>
    </row>
    <row r="31" spans="36:52" ht="12.7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6"/>
      <c r="AU31" s="6"/>
      <c r="AV31" s="6"/>
      <c r="AW31" s="6"/>
      <c r="AX31" s="6"/>
      <c r="AY31" s="6"/>
      <c r="AZ31" s="10"/>
    </row>
    <row r="32" spans="2:52" ht="12.75">
      <c r="B32" s="32" t="s">
        <v>85</v>
      </c>
      <c r="C32" s="32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6"/>
      <c r="AU32" s="6"/>
      <c r="AV32" s="6"/>
      <c r="AW32" s="6"/>
      <c r="AX32" s="6"/>
      <c r="AY32" s="6"/>
      <c r="AZ32" s="10"/>
    </row>
    <row r="33" spans="36:52" ht="12.75"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6"/>
      <c r="AU33" s="6"/>
      <c r="AV33" s="6"/>
      <c r="AW33" s="6"/>
      <c r="AX33" s="6"/>
      <c r="AY33" s="6"/>
      <c r="AZ33" s="10"/>
    </row>
    <row r="34" spans="2:55" ht="12.75">
      <c r="B34" s="4" t="s">
        <v>33</v>
      </c>
      <c r="D34" s="4" t="s">
        <v>66</v>
      </c>
      <c r="E34" s="7">
        <v>100</v>
      </c>
      <c r="F34" s="10">
        <f>F13/F$26/60/0.0283*1000*(21-7)/(21-F$27)</f>
        <v>18.502445718249014</v>
      </c>
      <c r="G34" s="7">
        <v>100</v>
      </c>
      <c r="H34" s="10">
        <f>H13/H$26/60/0.0283*1000*(21-7)/(21-H$27)</f>
        <v>16.701205694056345</v>
      </c>
      <c r="I34" s="7">
        <v>100</v>
      </c>
      <c r="J34" s="10">
        <f>J13/J$26/60/0.0283*1000*(21-7)/(21-J$27)</f>
        <v>16.590564560248335</v>
      </c>
      <c r="K34" s="7">
        <v>100</v>
      </c>
      <c r="L34" s="10">
        <f aca="true" t="shared" si="1" ref="L34:L45">AVERAGE(F34,H34,J34)</f>
        <v>17.2647386575179</v>
      </c>
      <c r="M34" s="10"/>
      <c r="N34" s="10"/>
      <c r="O34" s="10"/>
      <c r="P34" s="10"/>
      <c r="Q34" s="10"/>
      <c r="R34" s="10"/>
      <c r="S34" s="10"/>
      <c r="T34" s="10"/>
      <c r="U34" s="40"/>
      <c r="V34" s="10">
        <f>V13/V$26/60/0.0283*1000*(21-7)/(21-V$27)</f>
        <v>8649.209606932061</v>
      </c>
      <c r="W34" s="40"/>
      <c r="X34" s="10">
        <f>X13/X$26/60/0.0283*1000*(21-7)/(21-X$27)</f>
        <v>8580.93383079902</v>
      </c>
      <c r="Y34" s="40"/>
      <c r="Z34" s="10">
        <f>Z13/Z$26/60/0.0283*1000*(21-7)/(21-Z$27)</f>
        <v>8490.982728160106</v>
      </c>
      <c r="AA34" s="40"/>
      <c r="AB34" s="10">
        <f>AVERAGE(V34,X34,Z34)</f>
        <v>8573.708721963729</v>
      </c>
      <c r="AC34" s="11"/>
      <c r="AD34" s="11"/>
      <c r="AE34" s="11"/>
      <c r="AF34" s="11"/>
      <c r="AG34" s="11"/>
      <c r="AH34" s="11"/>
      <c r="AI34" s="11"/>
      <c r="AJ34" s="40"/>
      <c r="AK34" s="40"/>
      <c r="AL34" s="8"/>
      <c r="AM34" s="10"/>
      <c r="AN34" s="8"/>
      <c r="AO34" s="10"/>
      <c r="AP34" s="8"/>
      <c r="AQ34" s="10"/>
      <c r="AR34" s="8"/>
      <c r="AS34" s="40"/>
      <c r="AT34" s="10">
        <f>SUM(F34,V34,AL34)</f>
        <v>8667.712052650311</v>
      </c>
      <c r="AU34" s="10"/>
      <c r="AV34" s="10">
        <f>SUM(H34,X34,AN34)</f>
        <v>8597.635036493077</v>
      </c>
      <c r="AW34" s="10"/>
      <c r="AX34" s="10">
        <f>SUM(J34,Z34,AP34)</f>
        <v>8507.573292720355</v>
      </c>
      <c r="AY34" s="10"/>
      <c r="AZ34" s="10">
        <f>AVERAGE(AT34,AV34,AX34)</f>
        <v>8590.97346062125</v>
      </c>
      <c r="BA34" s="11"/>
      <c r="BB34" s="11"/>
      <c r="BC34" s="11"/>
    </row>
    <row r="35" spans="2:55" ht="12.75" customHeight="1">
      <c r="B35" s="4" t="s">
        <v>34</v>
      </c>
      <c r="D35" s="4" t="s">
        <v>62</v>
      </c>
      <c r="E35" s="7"/>
      <c r="F35" s="10">
        <f>F14/F$26/60/0.0283*1000000*(21-7)/(21-F$27)</f>
        <v>4809.005715315822</v>
      </c>
      <c r="G35" s="40"/>
      <c r="H35" s="10">
        <f>H14/H$26/60/0.0283*1000000*(21-7)/(21-H$27)</f>
        <v>3003.107540283528</v>
      </c>
      <c r="I35" s="40"/>
      <c r="J35" s="10">
        <f aca="true" t="shared" si="2" ref="J35:J45">J14/J$26/60/0.0283*1000000*(21-7)/(21-J$27)</f>
        <v>1291.1893123247605</v>
      </c>
      <c r="K35" s="40"/>
      <c r="L35" s="10">
        <f t="shared" si="1"/>
        <v>3034.434189308037</v>
      </c>
      <c r="M35" s="10"/>
      <c r="N35" s="10">
        <f>N14/N$26/60/0.0283*1000000*(21-7)/(21-N$27)</f>
        <v>51821.33842379876</v>
      </c>
      <c r="O35" s="10"/>
      <c r="P35" s="10">
        <f>P14/P$26/60/0.0283*1000000*(21-7)/(21-P$27)</f>
        <v>46511.3440298953</v>
      </c>
      <c r="Q35" s="10"/>
      <c r="R35" s="10">
        <f>R14/R$26/60/0.0283*1000000*(21-7)/(21-R$27)</f>
        <v>47952.65968099189</v>
      </c>
      <c r="S35" s="10"/>
      <c r="T35" s="10">
        <f>AVERAGE(N35,P35,R35)</f>
        <v>48761.78071156199</v>
      </c>
      <c r="U35" s="40"/>
      <c r="V35" s="10">
        <f>V14/V$26/60/0.0283*1000000*(21-7)/(21-V$27)</f>
        <v>72632.72453924076</v>
      </c>
      <c r="W35" s="40"/>
      <c r="X35" s="10">
        <f>X14/X$26/60/0.0283*1000000*(21-7)/(21-X$27)</f>
        <v>64701.53462983762</v>
      </c>
      <c r="Y35" s="40"/>
      <c r="Z35" s="10">
        <f>Z14/Z$26/60/0.0283*1000000*(21-7)/(21-Z$27)</f>
        <v>57416.68754733244</v>
      </c>
      <c r="AA35" s="40"/>
      <c r="AB35" s="10">
        <f aca="true" t="shared" si="3" ref="AB35:AB45">AVERAGE(V35,X35,Z35)</f>
        <v>64916.982238803605</v>
      </c>
      <c r="AC35" s="11"/>
      <c r="AD35" s="10">
        <f>AD14/AD$26/60/0.0283*1000000*(21-7)/(21-AD$27)</f>
        <v>134697.44256853528</v>
      </c>
      <c r="AE35" s="11"/>
      <c r="AF35" s="10">
        <f>AF14/AF$26/60/0.0283*1000000*(21-7)/(21-AF$27)</f>
        <v>121703.59249764825</v>
      </c>
      <c r="AG35" s="11"/>
      <c r="AH35" s="10">
        <f>AH14/AH$26/60/0.0283*1000000*(21-7)/(21-AH$27)</f>
        <v>120778.98517110791</v>
      </c>
      <c r="AI35" s="11"/>
      <c r="AJ35" s="10">
        <f>AJ14/AJ$26/60/0.0283*1000000*(21-7)/(21-AJ$27)</f>
        <v>125381.98831688003</v>
      </c>
      <c r="AK35" s="10"/>
      <c r="AL35" s="8">
        <f>N35+AD35</f>
        <v>186518.78099233404</v>
      </c>
      <c r="AM35" s="10"/>
      <c r="AN35" s="8">
        <f>P35+AF35</f>
        <v>168214.93652754356</v>
      </c>
      <c r="AO35" s="10"/>
      <c r="AP35" s="8">
        <f>R35+AH35</f>
        <v>168731.6448520998</v>
      </c>
      <c r="AQ35" s="10"/>
      <c r="AR35" s="8">
        <f>T35+AJ35</f>
        <v>174143.769028442</v>
      </c>
      <c r="AS35" s="9"/>
      <c r="AT35" s="10">
        <f aca="true" t="shared" si="4" ref="AT35:AX45">SUM(F35,V35,AL35)</f>
        <v>263960.51124689064</v>
      </c>
      <c r="AU35" s="9"/>
      <c r="AV35" s="10">
        <f t="shared" si="4"/>
        <v>235919.57869766472</v>
      </c>
      <c r="AW35" s="9"/>
      <c r="AX35" s="10">
        <f t="shared" si="4"/>
        <v>227439.521711757</v>
      </c>
      <c r="AY35" s="8"/>
      <c r="AZ35" s="10">
        <f aca="true" t="shared" si="5" ref="AZ35:AZ45">AVERAGE(AT35,AV35,AX35)</f>
        <v>242439.8705521041</v>
      </c>
      <c r="BA35" s="11"/>
      <c r="BB35" s="11"/>
      <c r="BC35" s="11"/>
    </row>
    <row r="36" spans="2:55" ht="12.75">
      <c r="B36" s="4" t="s">
        <v>98</v>
      </c>
      <c r="D36" s="4" t="s">
        <v>62</v>
      </c>
      <c r="E36" s="7"/>
      <c r="F36" s="10">
        <f aca="true" t="shared" si="6" ref="F36:H45">F15/F$26/60/0.0283*1000000*(21-7)/(21-F$27)</f>
        <v>10.867809526137451</v>
      </c>
      <c r="G36" s="40"/>
      <c r="H36" s="10">
        <f t="shared" si="6"/>
        <v>8.182854333197623</v>
      </c>
      <c r="I36" s="40"/>
      <c r="J36" s="10">
        <f t="shared" si="2"/>
        <v>7.471032498986034</v>
      </c>
      <c r="K36" s="40"/>
      <c r="L36" s="10">
        <f t="shared" si="1"/>
        <v>8.840565452773703</v>
      </c>
      <c r="M36" s="10"/>
      <c r="N36" s="10">
        <f>N15/N$26/60/0.0283*1000000*(21-7)/(21-N$27)</f>
        <v>99.62158732292666</v>
      </c>
      <c r="O36" s="10"/>
      <c r="P36" s="10">
        <f>P15/P$26/60/0.0283*1000000*(21-7)/(21-P$27)</f>
        <v>90.01139766517385</v>
      </c>
      <c r="Q36" s="10"/>
      <c r="R36" s="10">
        <f>R15/R$26/60/0.0283*1000000*(21-7)/(21-R$27)</f>
        <v>89.32756248787648</v>
      </c>
      <c r="S36" s="10"/>
      <c r="T36" s="10">
        <f>AVERAGE(N36,P36,R36)</f>
        <v>92.98684915865898</v>
      </c>
      <c r="U36" s="9">
        <v>100</v>
      </c>
      <c r="V36" s="10">
        <f aca="true" t="shared" si="7" ref="V36:V45">V15/V$26/60/0.0283*1000000*(21-7)/(21-V$27)</f>
        <v>73.52732639340063</v>
      </c>
      <c r="W36" s="40"/>
      <c r="X36" s="10">
        <f aca="true" t="shared" si="8" ref="X36:X45">X15/X$26/60/0.0283*1000000*(21-7)/(21-X$27)</f>
        <v>145.52388146158654</v>
      </c>
      <c r="Y36" s="9">
        <v>100</v>
      </c>
      <c r="Z36" s="10">
        <f aca="true" t="shared" si="9" ref="Z36:Z45">Z15/Z$26/60/0.0283*1000000*(21-7)/(21-Z$27)</f>
        <v>72.73047539142904</v>
      </c>
      <c r="AA36" s="9">
        <f>(V36+Z36)/(V36+X36+Z36)*100</f>
        <v>50.125765317938644</v>
      </c>
      <c r="AB36" s="10">
        <f t="shared" si="3"/>
        <v>97.26056108213874</v>
      </c>
      <c r="AC36" s="11"/>
      <c r="AD36" s="10">
        <f>AD15/AD$26/60/0.0283*1000000*(21-7)/(21-AD$27)</f>
        <v>751.6901588911738</v>
      </c>
      <c r="AE36" s="11"/>
      <c r="AF36" s="10">
        <f>AF15/AF$26/60/0.0283*1000000*(21-7)/(21-AF$27)</f>
        <v>679.1769096554027</v>
      </c>
      <c r="AG36" s="11"/>
      <c r="AH36" s="10">
        <f>AH15/AH$26/60/0.0283*1000000*(21-7)/(21-AH$27)</f>
        <v>674.0170624085227</v>
      </c>
      <c r="AI36" s="11"/>
      <c r="AJ36" s="10">
        <f>AJ15/AJ$26/60/0.0283*1000000*(21-7)/(21-AJ$27)</f>
        <v>699.7045001210948</v>
      </c>
      <c r="AK36" s="10"/>
      <c r="AL36" s="8">
        <f>N36+AD36</f>
        <v>851.3117462141005</v>
      </c>
      <c r="AM36" s="10"/>
      <c r="AN36" s="8">
        <f>P36+AF36</f>
        <v>769.1883073205765</v>
      </c>
      <c r="AO36" s="10"/>
      <c r="AP36" s="8">
        <f>R36+AH36</f>
        <v>763.3446248963992</v>
      </c>
      <c r="AQ36" s="10"/>
      <c r="AR36" s="8">
        <f>T36+AJ36</f>
        <v>792.6913492797538</v>
      </c>
      <c r="AS36" s="9">
        <f>(E36*F36+U36*V36)/AT36</f>
        <v>7.857944383794687</v>
      </c>
      <c r="AT36" s="10">
        <f t="shared" si="4"/>
        <v>935.7068821336386</v>
      </c>
      <c r="AU36" s="9"/>
      <c r="AV36" s="10">
        <f t="shared" si="4"/>
        <v>922.8950431153607</v>
      </c>
      <c r="AW36" s="9">
        <f>(I36*J36+Y36*Z36)/AX36</f>
        <v>8.621991443568136</v>
      </c>
      <c r="AX36" s="10">
        <f>SUM(J36,Z36,AP36)</f>
        <v>843.5461327868143</v>
      </c>
      <c r="AY36" s="8">
        <f>(AS36*AT36+AU36*AV36+AW36*AX36)/SUM(AT36,AV36,AX36)</f>
        <v>5.41264944198299</v>
      </c>
      <c r="AZ36" s="10">
        <f t="shared" si="5"/>
        <v>900.7160193452713</v>
      </c>
      <c r="BA36" s="11"/>
      <c r="BB36" s="11"/>
      <c r="BC36" s="11"/>
    </row>
    <row r="37" spans="2:55" ht="12.75">
      <c r="B37" s="4" t="s">
        <v>99</v>
      </c>
      <c r="D37" s="4" t="s">
        <v>62</v>
      </c>
      <c r="E37" s="7">
        <v>100</v>
      </c>
      <c r="F37" s="10">
        <f t="shared" si="6"/>
        <v>0.46256114295622536</v>
      </c>
      <c r="G37" s="7">
        <v>100</v>
      </c>
      <c r="H37" s="10">
        <f t="shared" si="6"/>
        <v>0.4175301423514089</v>
      </c>
      <c r="I37" s="7">
        <v>100</v>
      </c>
      <c r="J37" s="10">
        <f t="shared" si="2"/>
        <v>0.4147641140062084</v>
      </c>
      <c r="K37" s="7">
        <v>100</v>
      </c>
      <c r="L37" s="10">
        <f t="shared" si="1"/>
        <v>0.4316184664379475</v>
      </c>
      <c r="M37" s="10"/>
      <c r="N37" s="10">
        <f>N16/N$26/60/0.0283*1000000*(21-7)/(21-N$27)</f>
        <v>135.8476190767182</v>
      </c>
      <c r="O37" s="10"/>
      <c r="P37" s="10">
        <f>P16/P$26/60/0.0283*1000000*(21-7)/(21-P$27)</f>
        <v>114.55996066476673</v>
      </c>
      <c r="Q37" s="10"/>
      <c r="R37" s="10">
        <f>R16/R$26/60/0.0283*1000000*(21-7)/(21-R$27)</f>
        <v>121.81031248346794</v>
      </c>
      <c r="S37" s="10"/>
      <c r="T37" s="10">
        <f>AVERAGE(N37,P37,R37)</f>
        <v>124.07263074165097</v>
      </c>
      <c r="U37" s="40"/>
      <c r="V37" s="10">
        <f t="shared" si="7"/>
        <v>107.35222249918576</v>
      </c>
      <c r="W37" s="40"/>
      <c r="X37" s="10">
        <f t="shared" si="8"/>
        <v>97.01592097439101</v>
      </c>
      <c r="Y37" s="40"/>
      <c r="Z37" s="10">
        <f t="shared" si="9"/>
        <v>80.13494423912412</v>
      </c>
      <c r="AA37" s="40"/>
      <c r="AB37" s="10">
        <f t="shared" si="3"/>
        <v>94.8343625709003</v>
      </c>
      <c r="AC37" s="40"/>
      <c r="AD37" s="10">
        <f>AD16/AD$26/60/0.0283*1000000*(21-7)/(21-AD$27)</f>
        <v>896.5942859063399</v>
      </c>
      <c r="AE37" s="40"/>
      <c r="AF37" s="10">
        <f>AF16/AF$26/60/0.0283*1000000*(21-7)/(21-AF$27)</f>
        <v>810.1025789865648</v>
      </c>
      <c r="AG37" s="40"/>
      <c r="AH37" s="10">
        <f>AH16/AH$26/60/0.0283*1000000*(21-7)/(21-AH$27)</f>
        <v>803.9480623908884</v>
      </c>
      <c r="AI37" s="40"/>
      <c r="AJ37" s="10">
        <f>AJ16/AJ$26/60/0.0283*1000000*(21-7)/(21-AJ$27)</f>
        <v>834.5872953251613</v>
      </c>
      <c r="AK37" s="10"/>
      <c r="AL37" s="8">
        <f>N37+AD37</f>
        <v>1032.441904983058</v>
      </c>
      <c r="AM37" s="10"/>
      <c r="AN37" s="8">
        <f>P37+AF37</f>
        <v>924.6625396513316</v>
      </c>
      <c r="AO37" s="10"/>
      <c r="AP37" s="8">
        <f>R37+AH37</f>
        <v>925.7583748743563</v>
      </c>
      <c r="AQ37" s="10"/>
      <c r="AR37" s="8">
        <f>T37+AJ37</f>
        <v>958.6599260668123</v>
      </c>
      <c r="AS37" s="9"/>
      <c r="AT37" s="10">
        <f t="shared" si="4"/>
        <v>1140.2566886252</v>
      </c>
      <c r="AU37" s="9"/>
      <c r="AV37" s="10">
        <f t="shared" si="4"/>
        <v>1022.095990768074</v>
      </c>
      <c r="AW37" s="9"/>
      <c r="AX37" s="10">
        <f t="shared" si="4"/>
        <v>1006.3080832274866</v>
      </c>
      <c r="AY37" s="8"/>
      <c r="AZ37" s="10">
        <f t="shared" si="5"/>
        <v>1056.2202542069201</v>
      </c>
      <c r="BA37" s="11"/>
      <c r="BB37" s="11"/>
      <c r="BC37" s="11"/>
    </row>
    <row r="38" spans="2:55" ht="12.75">
      <c r="B38" s="4" t="s">
        <v>100</v>
      </c>
      <c r="D38" s="4" t="s">
        <v>62</v>
      </c>
      <c r="E38" s="7">
        <v>100</v>
      </c>
      <c r="F38" s="10">
        <f t="shared" si="6"/>
        <v>0.46256114295622536</v>
      </c>
      <c r="G38" s="7">
        <v>100</v>
      </c>
      <c r="H38" s="10">
        <f t="shared" si="6"/>
        <v>0.4175301423514089</v>
      </c>
      <c r="I38" s="7">
        <v>100</v>
      </c>
      <c r="J38" s="10">
        <f t="shared" si="2"/>
        <v>0.4147641140062084</v>
      </c>
      <c r="K38" s="7">
        <v>100</v>
      </c>
      <c r="L38" s="10">
        <f t="shared" si="1"/>
        <v>0.4316184664379475</v>
      </c>
      <c r="M38" s="10"/>
      <c r="N38" s="10">
        <f>N17/N$26/60/0.0283*1000000*(21-7)/(21-N$27)</f>
        <v>43.471238104549805</v>
      </c>
      <c r="O38" s="10"/>
      <c r="P38" s="10">
        <f>P17/P$26/60/0.0283*1000000*(21-7)/(21-P$27)</f>
        <v>39.27770079934859</v>
      </c>
      <c r="Q38" s="10"/>
      <c r="R38" s="10">
        <f>R17/R$26/60/0.0283*1000000*(21-7)/(21-R$27)</f>
        <v>39.791368744599524</v>
      </c>
      <c r="S38" s="10"/>
      <c r="T38" s="10">
        <f>AVERAGE(N38,P38,R38)</f>
        <v>40.846769216165974</v>
      </c>
      <c r="U38" s="9">
        <v>100</v>
      </c>
      <c r="V38" s="10">
        <f t="shared" si="7"/>
        <v>22.0581979180202</v>
      </c>
      <c r="W38" s="9">
        <v>100</v>
      </c>
      <c r="X38" s="10">
        <f t="shared" si="8"/>
        <v>21.828582219237976</v>
      </c>
      <c r="Y38" s="9">
        <v>100</v>
      </c>
      <c r="Z38" s="10">
        <f t="shared" si="9"/>
        <v>21.819142617428717</v>
      </c>
      <c r="AA38" s="9">
        <v>100</v>
      </c>
      <c r="AB38" s="10">
        <f t="shared" si="3"/>
        <v>21.901974251562297</v>
      </c>
      <c r="AC38" s="10"/>
      <c r="AD38" s="10">
        <f>AD17/AD$26/60/0.0283*1000000*(21-7)/(21-AD$27)</f>
        <v>144.90412701516604</v>
      </c>
      <c r="AE38" s="10"/>
      <c r="AF38" s="10">
        <f>AF17/AF$26/60/0.0283*1000000*(21-7)/(21-AF$27)</f>
        <v>130.92566933116197</v>
      </c>
      <c r="AG38" s="10"/>
      <c r="AH38" s="10">
        <f>AH17/AH$26/60/0.0283*1000000*(21-7)/(21-AH$27)</f>
        <v>129.93099998236585</v>
      </c>
      <c r="AI38" s="10"/>
      <c r="AJ38" s="10">
        <f>AJ17/AJ$26/60/0.0283*1000000*(21-7)/(21-AJ$27)</f>
        <v>134.88279520406647</v>
      </c>
      <c r="AK38" s="10"/>
      <c r="AL38" s="8">
        <f>N38+AD38</f>
        <v>188.37536511971584</v>
      </c>
      <c r="AM38" s="10"/>
      <c r="AN38" s="8">
        <f>P38+AF38</f>
        <v>170.20337013051056</v>
      </c>
      <c r="AO38" s="10"/>
      <c r="AP38" s="8">
        <f>R38+AH38</f>
        <v>169.72236872696539</v>
      </c>
      <c r="AQ38" s="10"/>
      <c r="AR38" s="8">
        <f>T38+AJ38</f>
        <v>175.72956442023244</v>
      </c>
      <c r="AS38" s="9">
        <f>(E38*F38+U38*V38)/AT38</f>
        <v>10.67860262888521</v>
      </c>
      <c r="AT38" s="10">
        <f t="shared" si="4"/>
        <v>210.89612418069225</v>
      </c>
      <c r="AU38" s="9">
        <f>(G38*H38+W38*X38)/AV38</f>
        <v>11.559455537898156</v>
      </c>
      <c r="AV38" s="10">
        <f t="shared" si="4"/>
        <v>192.44948249209995</v>
      </c>
      <c r="AW38" s="9">
        <f>(I38*J38+Y38*Z38)/AX38</f>
        <v>11.582797529457864</v>
      </c>
      <c r="AX38" s="10">
        <f t="shared" si="4"/>
        <v>191.9562754584003</v>
      </c>
      <c r="AY38" s="8">
        <f>(AS38*AT38+AU38*AV38+AW38*AX38)/SUM(AT38,AV38,AX38)</f>
        <v>11.254924629859495</v>
      </c>
      <c r="AZ38" s="10">
        <f t="shared" si="5"/>
        <v>198.4339607103975</v>
      </c>
      <c r="BA38" s="11"/>
      <c r="BB38" s="11"/>
      <c r="BC38" s="11"/>
    </row>
    <row r="39" spans="2:55" ht="12.75">
      <c r="B39" s="4" t="s">
        <v>109</v>
      </c>
      <c r="D39" s="4" t="s">
        <v>62</v>
      </c>
      <c r="E39" s="7">
        <v>100</v>
      </c>
      <c r="F39" s="10">
        <f t="shared" si="6"/>
        <v>4.625611429562254</v>
      </c>
      <c r="G39" s="7">
        <v>100</v>
      </c>
      <c r="H39" s="10">
        <f t="shared" si="6"/>
        <v>4.175710566230747</v>
      </c>
      <c r="I39" s="7">
        <v>100</v>
      </c>
      <c r="J39" s="10">
        <f t="shared" si="2"/>
        <v>4.147641140062084</v>
      </c>
      <c r="K39" s="7">
        <v>100</v>
      </c>
      <c r="L39" s="10">
        <f t="shared" si="1"/>
        <v>4.3163210452850285</v>
      </c>
      <c r="M39" s="10"/>
      <c r="N39" s="10">
        <f>N18/N$26/60/0.0283*1000000*(21-7)/(21-N$27)</f>
        <v>661.125079506695</v>
      </c>
      <c r="O39" s="10"/>
      <c r="P39" s="10">
        <f>P18/P$26/60/0.0283*1000000*(21-7)/(21-P$27)</f>
        <v>589.1655119902289</v>
      </c>
      <c r="Q39" s="10"/>
      <c r="R39" s="10">
        <f>R18/R$26/60/0.0283*1000000*(21-7)/(21-R$27)</f>
        <v>609.0515624173395</v>
      </c>
      <c r="S39" s="10"/>
      <c r="T39" s="10">
        <f>AVERAGE(N39,P39,R39)</f>
        <v>619.780717971421</v>
      </c>
      <c r="U39" s="40"/>
      <c r="V39" s="10">
        <f t="shared" si="7"/>
        <v>2030.746208942931</v>
      </c>
      <c r="W39" s="40"/>
      <c r="X39" s="10">
        <f t="shared" si="8"/>
        <v>1867.5564787570274</v>
      </c>
      <c r="Y39" s="40"/>
      <c r="Z39" s="10">
        <f t="shared" si="9"/>
        <v>2011.3871004020154</v>
      </c>
      <c r="AA39" s="40"/>
      <c r="AB39" s="10">
        <f t="shared" si="3"/>
        <v>1969.8965960339913</v>
      </c>
      <c r="AC39" s="10"/>
      <c r="AD39" s="10">
        <f>AD18/AD$26/60/0.0283*1000000*(21-7)/(21-AD$27)</f>
        <v>1747.9060321204404</v>
      </c>
      <c r="AE39" s="10"/>
      <c r="AF39" s="10">
        <f>AF18/AF$26/60/0.0283*1000000*(21-7)/(21-AF$27)</f>
        <v>1579.2908863071414</v>
      </c>
      <c r="AG39" s="10"/>
      <c r="AH39" s="10">
        <f>AH18/AH$26/60/0.0283*1000000*(21-7)/(21-AH$27)</f>
        <v>1567.2926872872874</v>
      </c>
      <c r="AI39" s="10"/>
      <c r="AJ39" s="10">
        <f>AJ18/AJ$26/60/0.0283*1000000*(21-7)/(21-AJ$27)</f>
        <v>1627.023717149052</v>
      </c>
      <c r="AK39" s="10"/>
      <c r="AL39" s="8">
        <f>N39+AD39</f>
        <v>2409.0311116271355</v>
      </c>
      <c r="AM39" s="10"/>
      <c r="AN39" s="8">
        <f>P39+AF39</f>
        <v>2168.4563982973705</v>
      </c>
      <c r="AO39" s="10"/>
      <c r="AP39" s="8">
        <f>R39+AH39</f>
        <v>2176.344249704627</v>
      </c>
      <c r="AQ39" s="10"/>
      <c r="AR39" s="8">
        <f>T39+AJ39</f>
        <v>2246.804435120473</v>
      </c>
      <c r="AS39" s="9"/>
      <c r="AT39" s="10">
        <f t="shared" si="4"/>
        <v>4444.402931999629</v>
      </c>
      <c r="AU39" s="9"/>
      <c r="AV39" s="10">
        <f t="shared" si="4"/>
        <v>4040.188587620629</v>
      </c>
      <c r="AW39" s="9"/>
      <c r="AX39" s="10">
        <f t="shared" si="4"/>
        <v>4191.878991246705</v>
      </c>
      <c r="AY39" s="8"/>
      <c r="AZ39" s="10">
        <f t="shared" si="5"/>
        <v>4225.490170288987</v>
      </c>
      <c r="BA39" s="11"/>
      <c r="BB39" s="11"/>
      <c r="BC39" s="11"/>
    </row>
    <row r="40" spans="2:55" ht="12.75">
      <c r="B40" s="4" t="s">
        <v>113</v>
      </c>
      <c r="D40" s="4" t="s">
        <v>62</v>
      </c>
      <c r="E40" s="7">
        <v>100</v>
      </c>
      <c r="F40" s="10">
        <f t="shared" si="6"/>
        <v>181.13015876895756</v>
      </c>
      <c r="G40" s="7">
        <v>100</v>
      </c>
      <c r="H40" s="10">
        <f t="shared" si="6"/>
        <v>163.65708666395244</v>
      </c>
      <c r="I40" s="7">
        <v>100</v>
      </c>
      <c r="J40" s="10">
        <f t="shared" si="2"/>
        <v>162.41374997795722</v>
      </c>
      <c r="K40" s="7">
        <v>100</v>
      </c>
      <c r="L40" s="10">
        <f t="shared" si="1"/>
        <v>169.06699847028906</v>
      </c>
      <c r="M40" s="10"/>
      <c r="N40" s="10"/>
      <c r="O40" s="10"/>
      <c r="P40" s="10"/>
      <c r="Q40" s="10"/>
      <c r="R40" s="10"/>
      <c r="S40" s="10"/>
      <c r="T40" s="10"/>
      <c r="U40" s="40"/>
      <c r="V40" s="10">
        <f t="shared" si="7"/>
        <v>71.56814833279051</v>
      </c>
      <c r="W40" s="40"/>
      <c r="X40" s="10">
        <f t="shared" si="8"/>
        <v>72.76194073079327</v>
      </c>
      <c r="Y40" s="40"/>
      <c r="Z40" s="10">
        <f t="shared" si="9"/>
        <v>144.24289963042344</v>
      </c>
      <c r="AA40" s="40"/>
      <c r="AB40" s="10">
        <f t="shared" si="3"/>
        <v>96.19099623133575</v>
      </c>
      <c r="AC40" s="10"/>
      <c r="AD40" s="10"/>
      <c r="AE40" s="10"/>
      <c r="AF40" s="10"/>
      <c r="AG40" s="10"/>
      <c r="AH40" s="10"/>
      <c r="AI40" s="10"/>
      <c r="AJ40" s="40"/>
      <c r="AK40" s="40"/>
      <c r="AL40" s="42"/>
      <c r="AM40" s="43"/>
      <c r="AN40" s="42"/>
      <c r="AO40" s="43"/>
      <c r="AP40" s="42"/>
      <c r="AQ40" s="43"/>
      <c r="AR40" s="42"/>
      <c r="AS40" s="9">
        <f>(E40*F40+U40*V40)/AT40</f>
        <v>71.67842192786283</v>
      </c>
      <c r="AT40" s="10">
        <f t="shared" si="4"/>
        <v>252.69830710174807</v>
      </c>
      <c r="AU40" s="9">
        <f>(G40*H40+W40*X40)/AV40</f>
        <v>69.22331441229406</v>
      </c>
      <c r="AV40" s="10">
        <f t="shared" si="4"/>
        <v>236.4190273947457</v>
      </c>
      <c r="AW40" s="9">
        <f>(I40*J40+Y40*Z40)/AX40</f>
        <v>52.96273541935893</v>
      </c>
      <c r="AX40" s="10">
        <f t="shared" si="4"/>
        <v>306.6566496083807</v>
      </c>
      <c r="AY40" s="8">
        <f>(AS40*AT40+AU40*AV40+AW40*AX40)/SUM(AT40,AV40,AX40)</f>
        <v>63.73681542019645</v>
      </c>
      <c r="AZ40" s="10">
        <f t="shared" si="5"/>
        <v>265.2579947016248</v>
      </c>
      <c r="BA40" s="11"/>
      <c r="BB40" s="11"/>
      <c r="BC40" s="11"/>
    </row>
    <row r="41" spans="2:55" ht="12.75">
      <c r="B41" s="4" t="s">
        <v>111</v>
      </c>
      <c r="D41" s="4" t="s">
        <v>62</v>
      </c>
      <c r="E41" s="7">
        <v>100</v>
      </c>
      <c r="F41" s="10">
        <f t="shared" si="6"/>
        <v>9.056507938447877</v>
      </c>
      <c r="G41" s="7">
        <v>100</v>
      </c>
      <c r="H41" s="10">
        <f t="shared" si="6"/>
        <v>8.182854333197623</v>
      </c>
      <c r="I41" s="7">
        <v>100</v>
      </c>
      <c r="J41" s="10">
        <f t="shared" si="2"/>
        <v>8.120687498897865</v>
      </c>
      <c r="K41" s="7">
        <v>100</v>
      </c>
      <c r="L41" s="10">
        <f t="shared" si="1"/>
        <v>8.453349923514455</v>
      </c>
      <c r="M41" s="10"/>
      <c r="N41" s="10"/>
      <c r="O41" s="10"/>
      <c r="P41" s="10"/>
      <c r="Q41" s="10"/>
      <c r="R41" s="10"/>
      <c r="S41" s="10"/>
      <c r="T41" s="10"/>
      <c r="U41" s="40"/>
      <c r="V41" s="10">
        <f t="shared" si="7"/>
        <v>6172.752793703182</v>
      </c>
      <c r="W41" s="40"/>
      <c r="X41" s="10">
        <f t="shared" si="8"/>
        <v>5820.955258463462</v>
      </c>
      <c r="Y41" s="40"/>
      <c r="Z41" s="10">
        <f t="shared" si="9"/>
        <v>6170.390706412558</v>
      </c>
      <c r="AA41" s="40"/>
      <c r="AB41" s="10">
        <f t="shared" si="3"/>
        <v>6054.699586193067</v>
      </c>
      <c r="AC41" s="10"/>
      <c r="AD41" s="10"/>
      <c r="AE41" s="10"/>
      <c r="AF41" s="10"/>
      <c r="AG41" s="10"/>
      <c r="AH41" s="10"/>
      <c r="AI41" s="10"/>
      <c r="AJ41" s="40"/>
      <c r="AK41" s="40"/>
      <c r="AL41" s="42"/>
      <c r="AM41" s="43"/>
      <c r="AN41" s="42"/>
      <c r="AO41" s="43"/>
      <c r="AP41" s="42"/>
      <c r="AQ41" s="43"/>
      <c r="AR41" s="42"/>
      <c r="AS41" s="9"/>
      <c r="AT41" s="10">
        <f t="shared" si="4"/>
        <v>6181.80930164163</v>
      </c>
      <c r="AU41" s="9"/>
      <c r="AV41" s="10">
        <f t="shared" si="4"/>
        <v>5829.13811279666</v>
      </c>
      <c r="AW41" s="9"/>
      <c r="AX41" s="10">
        <f t="shared" si="4"/>
        <v>6178.511393911455</v>
      </c>
      <c r="AY41" s="8"/>
      <c r="AZ41" s="10">
        <f t="shared" si="5"/>
        <v>6063.152936116581</v>
      </c>
      <c r="BA41" s="11"/>
      <c r="BB41" s="11"/>
      <c r="BC41" s="11"/>
    </row>
    <row r="42" spans="2:55" ht="12.75">
      <c r="B42" s="4" t="s">
        <v>114</v>
      </c>
      <c r="D42" s="4" t="s">
        <v>62</v>
      </c>
      <c r="E42" s="7">
        <v>100</v>
      </c>
      <c r="F42" s="10">
        <f t="shared" si="6"/>
        <v>90.56507938447878</v>
      </c>
      <c r="G42" s="7">
        <v>100</v>
      </c>
      <c r="H42" s="10">
        <f t="shared" si="6"/>
        <v>81.82854333197622</v>
      </c>
      <c r="I42" s="7">
        <v>100</v>
      </c>
      <c r="J42" s="10">
        <f t="shared" si="2"/>
        <v>81.20687498897861</v>
      </c>
      <c r="K42" s="7">
        <v>100</v>
      </c>
      <c r="L42" s="10">
        <f t="shared" si="1"/>
        <v>84.53349923514453</v>
      </c>
      <c r="M42" s="10"/>
      <c r="N42" s="10"/>
      <c r="O42" s="10"/>
      <c r="P42" s="10"/>
      <c r="Q42" s="10"/>
      <c r="R42" s="10"/>
      <c r="S42" s="10"/>
      <c r="T42" s="10"/>
      <c r="U42" s="40"/>
      <c r="V42" s="10">
        <f t="shared" si="7"/>
        <v>653.0593535367132</v>
      </c>
      <c r="W42" s="40"/>
      <c r="X42" s="10">
        <f t="shared" si="8"/>
        <v>501.2489250343536</v>
      </c>
      <c r="Y42" s="40"/>
      <c r="Z42" s="10">
        <f t="shared" si="9"/>
        <v>504.8501487064819</v>
      </c>
      <c r="AA42" s="40"/>
      <c r="AB42" s="10">
        <f t="shared" si="3"/>
        <v>553.0528090925162</v>
      </c>
      <c r="AC42" s="10"/>
      <c r="AD42" s="10"/>
      <c r="AE42" s="10"/>
      <c r="AF42" s="10"/>
      <c r="AG42" s="10"/>
      <c r="AH42" s="10"/>
      <c r="AI42" s="10"/>
      <c r="AJ42" s="40"/>
      <c r="AK42" s="40"/>
      <c r="AL42" s="42"/>
      <c r="AM42" s="43"/>
      <c r="AN42" s="42"/>
      <c r="AO42" s="43"/>
      <c r="AP42" s="42"/>
      <c r="AQ42" s="43"/>
      <c r="AR42" s="42"/>
      <c r="AS42" s="9">
        <f>(E42*F42+U42*V42)/AT42</f>
        <v>12.178873551627467</v>
      </c>
      <c r="AT42" s="10">
        <f t="shared" si="4"/>
        <v>743.6244329211919</v>
      </c>
      <c r="AU42" s="9">
        <f>(G42*H42+W42*X42)/AV42</f>
        <v>14.033905916694732</v>
      </c>
      <c r="AV42" s="10">
        <f t="shared" si="4"/>
        <v>583.0774683663299</v>
      </c>
      <c r="AW42" s="9">
        <f>(I42*J42+Y42*Z42)/AX42</f>
        <v>13.856480121493615</v>
      </c>
      <c r="AX42" s="10">
        <f>SUM(J42,Z42,AP42)</f>
        <v>586.0570236954605</v>
      </c>
      <c r="AY42" s="8">
        <f>(AS42*AT42+AU42*AV42+AW42*AX42)/SUM(AT42,AV42,AX42)</f>
        <v>13.258361751347724</v>
      </c>
      <c r="AZ42" s="10">
        <f t="shared" si="5"/>
        <v>637.5863083276607</v>
      </c>
      <c r="BA42" s="11"/>
      <c r="BB42" s="11"/>
      <c r="BC42" s="11"/>
    </row>
    <row r="43" spans="2:55" ht="12.75">
      <c r="B43" s="4" t="s">
        <v>118</v>
      </c>
      <c r="D43" s="4" t="s">
        <v>62</v>
      </c>
      <c r="E43" s="7">
        <v>100</v>
      </c>
      <c r="F43" s="10">
        <f t="shared" si="6"/>
        <v>0.18113015876895758</v>
      </c>
      <c r="G43" s="7">
        <v>100</v>
      </c>
      <c r="H43" s="10">
        <f t="shared" si="6"/>
        <v>0.16365708666395248</v>
      </c>
      <c r="I43" s="7">
        <v>100</v>
      </c>
      <c r="J43" s="10">
        <f t="shared" si="2"/>
        <v>0.16241374997795724</v>
      </c>
      <c r="K43" s="7">
        <v>100</v>
      </c>
      <c r="L43" s="10">
        <f t="shared" si="1"/>
        <v>0.16906699847028908</v>
      </c>
      <c r="M43" s="10"/>
      <c r="N43" s="10"/>
      <c r="O43" s="10"/>
      <c r="P43" s="10"/>
      <c r="Q43" s="10"/>
      <c r="R43" s="10"/>
      <c r="S43" s="10"/>
      <c r="T43" s="10"/>
      <c r="U43" s="40"/>
      <c r="V43" s="10">
        <f t="shared" si="7"/>
        <v>3.5784074166395254</v>
      </c>
      <c r="W43" s="40"/>
      <c r="X43" s="10">
        <f t="shared" si="8"/>
        <v>3.233864032479701</v>
      </c>
      <c r="Y43" s="40"/>
      <c r="Z43" s="10">
        <f t="shared" si="9"/>
        <v>1.6026988847824826</v>
      </c>
      <c r="AA43" s="40"/>
      <c r="AB43" s="10">
        <f t="shared" si="3"/>
        <v>2.8049901113005693</v>
      </c>
      <c r="AC43" s="10"/>
      <c r="AD43" s="10"/>
      <c r="AE43" s="10"/>
      <c r="AF43" s="10"/>
      <c r="AG43" s="10"/>
      <c r="AH43" s="10"/>
      <c r="AI43" s="10"/>
      <c r="AJ43" s="40"/>
      <c r="AK43" s="40"/>
      <c r="AL43" s="42"/>
      <c r="AM43" s="43"/>
      <c r="AN43" s="42"/>
      <c r="AO43" s="43"/>
      <c r="AP43" s="42"/>
      <c r="AQ43" s="43"/>
      <c r="AR43" s="42"/>
      <c r="AS43" s="9">
        <f>(E43*F43+U43*V43)/AT43</f>
        <v>4.8178839853536335</v>
      </c>
      <c r="AT43" s="10">
        <f t="shared" si="4"/>
        <v>3.759537575408483</v>
      </c>
      <c r="AU43" s="9">
        <f>(G43*H43+W43*X43)/AV43</f>
        <v>4.8169556840077075</v>
      </c>
      <c r="AV43" s="10">
        <f t="shared" si="4"/>
        <v>3.3975211191436534</v>
      </c>
      <c r="AW43" s="9"/>
      <c r="AX43" s="10">
        <f t="shared" si="4"/>
        <v>1.7651126347604398</v>
      </c>
      <c r="AY43" s="8">
        <f>(AS43*AT43+AU43*AV43+AW43*AX43)/SUM(AT43,AV43,AX43)</f>
        <v>3.864387184542833</v>
      </c>
      <c r="AZ43" s="10">
        <f t="shared" si="5"/>
        <v>2.974057109770859</v>
      </c>
      <c r="BA43" s="11"/>
      <c r="BB43" s="11"/>
      <c r="BC43" s="11"/>
    </row>
    <row r="44" spans="2:55" ht="12.75">
      <c r="B44" s="4" t="s">
        <v>115</v>
      </c>
      <c r="D44" s="4" t="s">
        <v>62</v>
      </c>
      <c r="E44" s="7">
        <v>100</v>
      </c>
      <c r="F44" s="10">
        <f t="shared" si="6"/>
        <v>9.056507938447877</v>
      </c>
      <c r="G44" s="7">
        <v>100</v>
      </c>
      <c r="H44" s="10">
        <f t="shared" si="6"/>
        <v>8.182854333197623</v>
      </c>
      <c r="I44" s="7">
        <v>100</v>
      </c>
      <c r="J44" s="10">
        <f t="shared" si="2"/>
        <v>8.120687498897865</v>
      </c>
      <c r="K44" s="7">
        <v>100</v>
      </c>
      <c r="L44" s="10">
        <f t="shared" si="1"/>
        <v>8.453349923514455</v>
      </c>
      <c r="M44" s="10"/>
      <c r="N44" s="10"/>
      <c r="O44" s="10"/>
      <c r="P44" s="10"/>
      <c r="Q44" s="10"/>
      <c r="R44" s="10"/>
      <c r="S44" s="10"/>
      <c r="T44" s="10"/>
      <c r="U44" s="9">
        <v>100</v>
      </c>
      <c r="V44" s="10">
        <f t="shared" si="7"/>
        <v>17.89203708319763</v>
      </c>
      <c r="W44" s="9">
        <v>100</v>
      </c>
      <c r="X44" s="10">
        <f t="shared" si="8"/>
        <v>24.253980243597752</v>
      </c>
      <c r="Y44" s="9">
        <v>100</v>
      </c>
      <c r="Z44" s="10">
        <f t="shared" si="9"/>
        <v>24.040483271737237</v>
      </c>
      <c r="AA44" s="9">
        <v>100</v>
      </c>
      <c r="AB44" s="10">
        <f t="shared" si="3"/>
        <v>22.062166866177538</v>
      </c>
      <c r="AC44" s="10"/>
      <c r="AD44" s="10"/>
      <c r="AE44" s="10"/>
      <c r="AF44" s="10"/>
      <c r="AG44" s="10"/>
      <c r="AH44" s="10"/>
      <c r="AI44" s="10"/>
      <c r="AJ44" s="40"/>
      <c r="AK44" s="40"/>
      <c r="AL44" s="42"/>
      <c r="AM44" s="43"/>
      <c r="AN44" s="42"/>
      <c r="AO44" s="43"/>
      <c r="AP44" s="42"/>
      <c r="AQ44" s="43"/>
      <c r="AR44" s="42"/>
      <c r="AS44" s="9">
        <f>(E44*F44+U44*V44)/AT44</f>
        <v>99.99999999999999</v>
      </c>
      <c r="AT44" s="10">
        <f t="shared" si="4"/>
        <v>26.948545021645508</v>
      </c>
      <c r="AU44" s="9">
        <f>(G44*H44+W44*X44)/AV44</f>
        <v>100</v>
      </c>
      <c r="AV44" s="10">
        <f t="shared" si="4"/>
        <v>32.43683457679538</v>
      </c>
      <c r="AW44" s="9">
        <f>(I44*J44+Y44*Z44)/AX44</f>
        <v>100</v>
      </c>
      <c r="AX44" s="10">
        <f t="shared" si="4"/>
        <v>32.1611707706351</v>
      </c>
      <c r="AY44" s="8">
        <f>(AS44*AT44+AU44*AV44+AW44*AX44)/SUM(AT44,AV44,AX44)</f>
        <v>100.00000000000001</v>
      </c>
      <c r="AZ44" s="10">
        <f t="shared" si="5"/>
        <v>30.515516789691997</v>
      </c>
      <c r="BA44" s="11"/>
      <c r="BB44" s="11"/>
      <c r="BC44" s="11"/>
    </row>
    <row r="45" spans="2:55" ht="12.75">
      <c r="B45" s="4" t="s">
        <v>112</v>
      </c>
      <c r="D45" s="4" t="s">
        <v>62</v>
      </c>
      <c r="E45" s="7">
        <v>100</v>
      </c>
      <c r="F45" s="10">
        <f t="shared" si="6"/>
        <v>18.113015876895755</v>
      </c>
      <c r="G45" s="7">
        <v>100</v>
      </c>
      <c r="H45" s="10">
        <f t="shared" si="6"/>
        <v>16.365708666395246</v>
      </c>
      <c r="I45" s="7">
        <v>100</v>
      </c>
      <c r="J45" s="10">
        <f t="shared" si="2"/>
        <v>16.24137499779573</v>
      </c>
      <c r="K45" s="7">
        <v>100</v>
      </c>
      <c r="L45" s="10">
        <f t="shared" si="1"/>
        <v>16.90669984702891</v>
      </c>
      <c r="M45" s="10"/>
      <c r="N45" s="10"/>
      <c r="O45" s="10"/>
      <c r="P45" s="10"/>
      <c r="Q45" s="10"/>
      <c r="R45" s="10"/>
      <c r="S45" s="10"/>
      <c r="T45" s="10"/>
      <c r="U45" s="40"/>
      <c r="V45" s="10">
        <f t="shared" si="7"/>
        <v>71.56814833279051</v>
      </c>
      <c r="W45" s="9">
        <v>100</v>
      </c>
      <c r="X45" s="10">
        <f t="shared" si="8"/>
        <v>72.76194073079327</v>
      </c>
      <c r="Y45" s="9">
        <v>100</v>
      </c>
      <c r="Z45" s="10">
        <f t="shared" si="9"/>
        <v>72.12144981521172</v>
      </c>
      <c r="AA45" s="9">
        <f>(X45+Z45)/(V45+X45+Z45)*100</f>
        <v>66.93571748045372</v>
      </c>
      <c r="AB45" s="10">
        <f t="shared" si="3"/>
        <v>72.1505129595985</v>
      </c>
      <c r="AC45" s="10"/>
      <c r="AD45" s="10"/>
      <c r="AE45" s="10"/>
      <c r="AF45" s="10"/>
      <c r="AG45" s="10"/>
      <c r="AH45" s="10"/>
      <c r="AI45" s="10"/>
      <c r="AJ45" s="40"/>
      <c r="AK45" s="40"/>
      <c r="AL45" s="42"/>
      <c r="AM45" s="43"/>
      <c r="AN45" s="42"/>
      <c r="AO45" s="43"/>
      <c r="AP45" s="42"/>
      <c r="AQ45" s="43"/>
      <c r="AR45" s="42"/>
      <c r="AS45" s="9">
        <f>(E45*F45+U45*V45)/AT45</f>
        <v>20.19712392955243</v>
      </c>
      <c r="AT45" s="10">
        <f t="shared" si="4"/>
        <v>89.68116420968627</v>
      </c>
      <c r="AU45" s="9">
        <f>(G45*H45+W45*X45)/AV45</f>
        <v>99.99999999999999</v>
      </c>
      <c r="AV45" s="10">
        <f t="shared" si="4"/>
        <v>89.12764939718852</v>
      </c>
      <c r="AW45" s="9">
        <f>(I45*J45+Y45*Z45)/AX45</f>
        <v>100</v>
      </c>
      <c r="AX45" s="10">
        <f t="shared" si="4"/>
        <v>88.36282481300745</v>
      </c>
      <c r="AY45" s="8">
        <f>(AS45*AT45+AU45*AV45+AW45*AX45)/SUM(AT45,AV45,AX45)</f>
        <v>73.21267004384826</v>
      </c>
      <c r="AZ45" s="10">
        <f t="shared" si="5"/>
        <v>89.05721280662742</v>
      </c>
      <c r="BA45" s="11"/>
      <c r="BB45" s="11"/>
      <c r="BC45" s="11"/>
    </row>
    <row r="46" spans="38:52" ht="12.75">
      <c r="AL46" s="42"/>
      <c r="AM46" s="44"/>
      <c r="AN46" s="42"/>
      <c r="AO46" s="44"/>
      <c r="AP46" s="42"/>
      <c r="AQ46" s="44"/>
      <c r="AR46" s="42"/>
      <c r="AS46" s="9"/>
      <c r="AT46" s="6"/>
      <c r="AU46" s="6"/>
      <c r="AV46" s="6"/>
      <c r="AW46" s="6"/>
      <c r="AX46" s="6"/>
      <c r="AY46" s="6"/>
      <c r="AZ46" s="10"/>
    </row>
    <row r="47" spans="2:52" ht="12.75">
      <c r="B47" s="4" t="s">
        <v>73</v>
      </c>
      <c r="D47" s="4" t="s">
        <v>62</v>
      </c>
      <c r="E47" s="5">
        <f>(E38*F38+E42*F42)/F47</f>
        <v>100</v>
      </c>
      <c r="F47" s="36">
        <f>F42+F38</f>
        <v>91.027640527435</v>
      </c>
      <c r="G47" s="5">
        <f>(G38*H38+G42*H42)/H47</f>
        <v>99.99999999999999</v>
      </c>
      <c r="H47" s="36">
        <f>H42+H38</f>
        <v>82.24607347432763</v>
      </c>
      <c r="I47" s="5">
        <f>(I38*J38+I42*J42)/J47</f>
        <v>100.00000000000001</v>
      </c>
      <c r="J47" s="36">
        <f>J42+J38</f>
        <v>81.62163910298482</v>
      </c>
      <c r="K47" s="5">
        <f>(K38*L38+K42*L42)/L47</f>
        <v>99.99999999999999</v>
      </c>
      <c r="L47" s="10">
        <f>AVERAGE(F47,H47,J47)</f>
        <v>84.96511770158249</v>
      </c>
      <c r="N47" s="36">
        <f>N42+N38</f>
        <v>43.471238104549805</v>
      </c>
      <c r="P47" s="36">
        <f>P42+P38</f>
        <v>39.27770079934859</v>
      </c>
      <c r="R47" s="36">
        <f>R42+R38</f>
        <v>39.791368744599524</v>
      </c>
      <c r="T47" s="10">
        <f>AVERAGE(N47,P47,R47)</f>
        <v>40.846769216165974</v>
      </c>
      <c r="U47" s="45">
        <f>(U38*V38+U42*V42)/V47</f>
        <v>3.267312169634683</v>
      </c>
      <c r="V47" s="36">
        <f>V42+V38</f>
        <v>675.1175514547333</v>
      </c>
      <c r="W47" s="45">
        <f>(W38*X38+W42*X42)/X47</f>
        <v>4.1731066460587325</v>
      </c>
      <c r="X47" s="36">
        <f>X42+X38</f>
        <v>523.0775072535915</v>
      </c>
      <c r="Y47" s="45">
        <f>(Y38*Z38+Y42*Z42)/Z47</f>
        <v>4.142854534499444</v>
      </c>
      <c r="Z47" s="36">
        <f>Z42+Z38</f>
        <v>526.6692913239106</v>
      </c>
      <c r="AA47" s="45">
        <f>(AA38*AB38+AA42*AB42)/AB47</f>
        <v>3.8093385577514507</v>
      </c>
      <c r="AB47" s="10">
        <f>AVERAGE(V47,X47,Z47)</f>
        <v>574.9547833440785</v>
      </c>
      <c r="AD47" s="36">
        <f>AD42+AD38</f>
        <v>144.90412701516604</v>
      </c>
      <c r="AE47" s="6"/>
      <c r="AF47" s="36">
        <f>AF42+AF38</f>
        <v>130.92566933116197</v>
      </c>
      <c r="AG47" s="6"/>
      <c r="AH47" s="36">
        <f>AH42+AH38</f>
        <v>129.93099998236585</v>
      </c>
      <c r="AI47" s="6"/>
      <c r="AJ47" s="10">
        <f>AVERAGE(AD47,AF47,AH47)</f>
        <v>135.25359877623129</v>
      </c>
      <c r="AK47" s="10"/>
      <c r="AL47" s="36">
        <f>AL42+AL38</f>
        <v>188.37536511971584</v>
      </c>
      <c r="AM47" s="10"/>
      <c r="AN47" s="36">
        <f>AN42+AN38</f>
        <v>170.20337013051056</v>
      </c>
      <c r="AO47" s="10"/>
      <c r="AP47" s="36">
        <f>AP42+AP38</f>
        <v>169.72236872696539</v>
      </c>
      <c r="AQ47" s="10"/>
      <c r="AR47" s="8">
        <f>T47+AJ47</f>
        <v>176.10036799239725</v>
      </c>
      <c r="AS47" s="45">
        <f>(AS38*AT38+AS42*AT42)/AT47</f>
        <v>11.847396853222993</v>
      </c>
      <c r="AT47" s="26">
        <f>AT42+AT38</f>
        <v>954.5205571018842</v>
      </c>
      <c r="AU47" s="45">
        <f>(AU38*AV38+AU42*AV42)/AV47</f>
        <v>13.419863175401641</v>
      </c>
      <c r="AV47" s="26">
        <f>AV42+AV38</f>
        <v>775.5269508584298</v>
      </c>
      <c r="AW47" s="45">
        <f>(AW38*AX38+AW42*AX42)/AX47</f>
        <v>13.29550302455138</v>
      </c>
      <c r="AX47" s="26">
        <f>AX42+AX38</f>
        <v>778.0132991538609</v>
      </c>
      <c r="AY47" s="45">
        <f>(AY38*AZ38+AY42*AZ42)/AZ47</f>
        <v>12.782835047301928</v>
      </c>
      <c r="AZ47" s="8">
        <f>AVERAGE(AT47,AV47,AX47)</f>
        <v>836.0202690380582</v>
      </c>
    </row>
    <row r="48" spans="2:52" ht="12.75">
      <c r="B48" s="4" t="s">
        <v>74</v>
      </c>
      <c r="D48" s="4" t="s">
        <v>62</v>
      </c>
      <c r="E48" s="45">
        <f>(E39*F39+E37*F37+E36*F36)/F48</f>
        <v>31.88880847984335</v>
      </c>
      <c r="F48" s="37">
        <f>F39+F37+F36</f>
        <v>15.95598209865593</v>
      </c>
      <c r="G48" s="45">
        <f>(G39*H39+G37*H37+G36*H36)/H48</f>
        <v>35.95183578050694</v>
      </c>
      <c r="H48" s="37">
        <f>H39+H37+H36</f>
        <v>12.77609504177978</v>
      </c>
      <c r="I48" s="45">
        <f>(I39*J39+I37*J37+I36*J36)/J48</f>
        <v>37.914396099404456</v>
      </c>
      <c r="J48" s="37">
        <f>J39+J37+J36</f>
        <v>12.033437753054326</v>
      </c>
      <c r="K48" s="45">
        <f>(K39*L39+K37*L37+K36*L36)/L48</f>
        <v>34.94085275847593</v>
      </c>
      <c r="L48" s="10">
        <f>AVERAGE(F48,H48,J48)</f>
        <v>13.588504964496678</v>
      </c>
      <c r="N48" s="37">
        <f>N39+N37+N36</f>
        <v>896.5942859063398</v>
      </c>
      <c r="P48" s="37">
        <f>P39+P37+P36</f>
        <v>793.7368703201695</v>
      </c>
      <c r="R48" s="37">
        <f>R39+R37+R36</f>
        <v>820.1894373886838</v>
      </c>
      <c r="T48" s="10">
        <f>AVERAGE(N48,P48,R48)</f>
        <v>836.8401978717311</v>
      </c>
      <c r="U48" s="45">
        <f>(U39*V39+U37*V37+U36*V36)/V48</f>
        <v>3.3245826574818267</v>
      </c>
      <c r="V48" s="37">
        <f>V39+V37+V36</f>
        <v>2211.625757835517</v>
      </c>
      <c r="W48" s="45">
        <f>(W39*X39+W37*X37+W36*X36)/X48</f>
        <v>0</v>
      </c>
      <c r="X48" s="37">
        <f>X39+X37+X36</f>
        <v>2110.096281193005</v>
      </c>
      <c r="Y48" s="45">
        <f>(Y39*Z39+Y37*Z37+Y36*Z36)/Z48</f>
        <v>3.3605355529554637</v>
      </c>
      <c r="Z48" s="37">
        <f>Z39+Z37+Z36</f>
        <v>2164.2525200325686</v>
      </c>
      <c r="AA48" s="45">
        <f>(AA39*AB39+AA37*AB37+AA36*AB36)/AB48</f>
        <v>2.254985745827563</v>
      </c>
      <c r="AB48" s="10">
        <f>AVERAGE(V48,X48,Z48)</f>
        <v>2161.99151968703</v>
      </c>
      <c r="AD48" s="37">
        <f>AD39+AD37+AD36</f>
        <v>3396.190476917954</v>
      </c>
      <c r="AE48" s="6"/>
      <c r="AF48" s="37">
        <f>AF39+AF37+AF36</f>
        <v>3068.5703749491086</v>
      </c>
      <c r="AG48" s="6"/>
      <c r="AH48" s="37">
        <f>AH39+AH37+AH36</f>
        <v>3045.2578120866983</v>
      </c>
      <c r="AI48" s="6"/>
      <c r="AJ48" s="10">
        <f>AVERAGE(AD48,AF48,AH48)</f>
        <v>3170.0062213179203</v>
      </c>
      <c r="AK48" s="10"/>
      <c r="AL48" s="37">
        <f>AL39+AL37+AL36</f>
        <v>4292.784762824294</v>
      </c>
      <c r="AM48" s="10"/>
      <c r="AN48" s="37">
        <f>AN39+AN37+AN36</f>
        <v>3862.3072452692786</v>
      </c>
      <c r="AO48" s="10"/>
      <c r="AP48" s="37">
        <f>AP39+AP37+AP36</f>
        <v>3865.4472494753827</v>
      </c>
      <c r="AQ48" s="10"/>
      <c r="AR48" s="8">
        <f>T48+AJ48</f>
        <v>4006.8464191896514</v>
      </c>
      <c r="AS48" s="45">
        <f>(AS39*AT39+AS37*AT37+AS36*AT36)/AT48</f>
        <v>1.1276563420521621</v>
      </c>
      <c r="AT48" s="45">
        <f>AT39+AT37+AT36</f>
        <v>6520.3665027584675</v>
      </c>
      <c r="AU48" s="45">
        <f>(AU39*AV39+AU37*AV37+AU36*AV36)/AV48</f>
        <v>0</v>
      </c>
      <c r="AV48" s="45">
        <f>AV39+AV37+AV36</f>
        <v>5985.179621504063</v>
      </c>
      <c r="AW48" s="45">
        <f>(AW39*AX39+AW37*AX37+AW36*AX36)/AX48</f>
        <v>1.203801506892442</v>
      </c>
      <c r="AX48" s="45">
        <f>AX39+AX37+AX36</f>
        <v>6041.733207261005</v>
      </c>
      <c r="AY48" s="45">
        <f>(AY39*AZ39+AY37*AZ37+AY36*AZ36)/AZ48</f>
        <v>0.7885674182749022</v>
      </c>
      <c r="AZ48" s="8">
        <f>AVERAGE(AT48,AV48,AX48)</f>
        <v>6182.426443841178</v>
      </c>
    </row>
    <row r="50" spans="2:3" ht="12.75">
      <c r="B50" s="3"/>
      <c r="C50" s="3"/>
    </row>
    <row r="51" ht="12.75">
      <c r="B51" s="3" t="s">
        <v>120</v>
      </c>
    </row>
    <row r="53" spans="2:12" ht="12.75">
      <c r="B53" s="4" t="s">
        <v>113</v>
      </c>
      <c r="D53" s="4" t="s">
        <v>28</v>
      </c>
      <c r="L53" s="6">
        <v>1550</v>
      </c>
    </row>
    <row r="54" spans="2:12" ht="12.75">
      <c r="B54" s="4" t="s">
        <v>98</v>
      </c>
      <c r="D54" s="4" t="s">
        <v>28</v>
      </c>
      <c r="L54" s="6">
        <v>101</v>
      </c>
    </row>
    <row r="55" spans="2:12" ht="12.75">
      <c r="B55" s="4" t="s">
        <v>111</v>
      </c>
      <c r="C55" s="3"/>
      <c r="D55" s="4" t="s">
        <v>28</v>
      </c>
      <c r="L55" s="6">
        <v>258442</v>
      </c>
    </row>
    <row r="56" spans="2:12" ht="12.75">
      <c r="B56" s="4" t="s">
        <v>99</v>
      </c>
      <c r="D56" s="4" t="s">
        <v>28</v>
      </c>
      <c r="L56" s="6">
        <v>126</v>
      </c>
    </row>
    <row r="57" spans="2:52" ht="12.75">
      <c r="B57" s="4" t="s">
        <v>100</v>
      </c>
      <c r="D57" s="4" t="s">
        <v>28</v>
      </c>
      <c r="L57" s="6">
        <v>20</v>
      </c>
      <c r="AB57" s="6"/>
      <c r="AC57" s="6"/>
      <c r="AD57" s="6"/>
      <c r="AE57" s="6"/>
      <c r="AF57" s="6"/>
      <c r="AG57" s="6"/>
      <c r="AH57" s="6"/>
      <c r="AI57" s="6"/>
      <c r="AZ57" s="6"/>
    </row>
    <row r="58" spans="2:35" ht="12.75">
      <c r="B58" s="4" t="s">
        <v>109</v>
      </c>
      <c r="D58" s="4" t="s">
        <v>28</v>
      </c>
      <c r="L58" s="6">
        <v>502</v>
      </c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" t="s">
        <v>114</v>
      </c>
      <c r="D59" s="4" t="s">
        <v>28</v>
      </c>
      <c r="L59" s="6">
        <v>465</v>
      </c>
      <c r="AB59" s="6"/>
      <c r="AC59" s="6"/>
      <c r="AD59" s="6"/>
      <c r="AE59" s="6"/>
      <c r="AF59" s="6"/>
      <c r="AG59" s="6"/>
      <c r="AH59" s="6"/>
      <c r="AI59" s="6"/>
    </row>
    <row r="60" spans="2:12" ht="12.75">
      <c r="B60" s="4" t="s">
        <v>118</v>
      </c>
      <c r="D60" s="4" t="s">
        <v>28</v>
      </c>
      <c r="L60" s="6">
        <v>413</v>
      </c>
    </row>
    <row r="61" spans="2:12" ht="12.75">
      <c r="B61" s="4" t="s">
        <v>115</v>
      </c>
      <c r="D61" s="4" t="s">
        <v>28</v>
      </c>
      <c r="L61" s="6">
        <v>15506</v>
      </c>
    </row>
    <row r="62" spans="2:12" ht="12.75">
      <c r="B62" s="4" t="s">
        <v>112</v>
      </c>
      <c r="D62" s="4" t="s">
        <v>28</v>
      </c>
      <c r="L62" s="6">
        <v>2584</v>
      </c>
    </row>
    <row r="63" spans="2:3" ht="12.75">
      <c r="B63" s="3"/>
      <c r="C63" s="3"/>
    </row>
    <row r="65" spans="28:35" ht="12.75">
      <c r="AB65" s="6"/>
      <c r="AC65" s="6"/>
      <c r="AD65" s="6"/>
      <c r="AE65" s="6"/>
      <c r="AF65" s="6"/>
      <c r="AG65" s="6"/>
      <c r="AH65" s="6"/>
      <c r="AI65" s="6"/>
    </row>
    <row r="68" ht="14.25">
      <c r="D68" s="1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0" sqref="C10"/>
    </sheetView>
  </sheetViews>
  <sheetFormatPr defaultColWidth="9.140625" defaultRowHeight="12.75"/>
  <cols>
    <col min="1" max="1" width="19.57421875" style="2" customWidth="1"/>
    <col min="2" max="16384" width="9.140625" style="2" customWidth="1"/>
  </cols>
  <sheetData>
    <row r="1" ht="12.75">
      <c r="A1" s="1" t="s">
        <v>54</v>
      </c>
    </row>
    <row r="3" spans="1:3" ht="12.75">
      <c r="A3" s="1" t="s">
        <v>46</v>
      </c>
      <c r="C3" s="2" t="s">
        <v>26</v>
      </c>
    </row>
    <row r="5" spans="1:3" ht="12.75">
      <c r="A5" s="2" t="s">
        <v>86</v>
      </c>
      <c r="B5" s="2" t="s">
        <v>55</v>
      </c>
      <c r="C5" s="2">
        <v>262000</v>
      </c>
    </row>
    <row r="6" spans="1:3" ht="12.75">
      <c r="A6" s="2" t="s">
        <v>87</v>
      </c>
      <c r="B6" s="2" t="s">
        <v>88</v>
      </c>
      <c r="C6" s="2">
        <v>784</v>
      </c>
    </row>
    <row r="7" spans="1:3" ht="12.75">
      <c r="A7" s="2" t="s">
        <v>57</v>
      </c>
      <c r="B7" s="2" t="s">
        <v>58</v>
      </c>
      <c r="C7" s="2">
        <v>35.2</v>
      </c>
    </row>
    <row r="8" spans="1:3" ht="12.75">
      <c r="A8" s="2" t="s">
        <v>59</v>
      </c>
      <c r="B8" s="2" t="s">
        <v>88</v>
      </c>
      <c r="C8" s="2">
        <v>355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2004-02-20T00:31:02Z</cp:lastPrinted>
  <dcterms:created xsi:type="dcterms:W3CDTF">2000-01-10T00:44:42Z</dcterms:created>
  <dcterms:modified xsi:type="dcterms:W3CDTF">2004-02-20T00:31:39Z</dcterms:modified>
  <cp:category/>
  <cp:version/>
  <cp:contentType/>
  <cp:contentStatus/>
</cp:coreProperties>
</file>