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3751" yWindow="3960" windowWidth="12120" windowHeight="6780" tabRatio="630" activeTab="4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0" sheetId="7" r:id="rId7"/>
  </sheets>
  <definedNames/>
  <calcPr fullCalcOnLoad="1"/>
</workbook>
</file>

<file path=xl/sharedStrings.xml><?xml version="1.0" encoding="utf-8"?>
<sst xmlns="http://schemas.openxmlformats.org/spreadsheetml/2006/main" count="922" uniqueCount="229">
  <si>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</si>
  <si>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</si>
  <si>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</si>
  <si>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</si>
  <si>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</si>
  <si>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</si>
  <si>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</si>
  <si>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</si>
  <si>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</si>
  <si>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</si>
  <si>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</si>
  <si>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</si>
  <si>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</si>
  <si>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</si>
  <si>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</si>
  <si>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</si>
  <si>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</si>
  <si>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</si>
  <si>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LAD001890367</t>
  </si>
  <si>
    <t>Facility Name</t>
  </si>
  <si>
    <t>Dupont Dow Elastomers</t>
  </si>
  <si>
    <t>Facility Location</t>
  </si>
  <si>
    <t>LaPlace</t>
  </si>
  <si>
    <t>LA</t>
  </si>
  <si>
    <t>Unit ID Name/No.</t>
  </si>
  <si>
    <t>HCl Recovery Unit</t>
  </si>
  <si>
    <t>Other Sister Facilities</t>
  </si>
  <si>
    <t>Combustor Characteristics</t>
  </si>
  <si>
    <t>T-Thermal, liquid injection, down fired, 48 MMBtu/hr, dual parallel units with common APCS</t>
  </si>
  <si>
    <t>APCS Characteristics</t>
  </si>
  <si>
    <t>Natural gas</t>
  </si>
  <si>
    <t>Stack Characteristics</t>
  </si>
  <si>
    <t xml:space="preserve">     Report Name/Date</t>
  </si>
  <si>
    <t>Source Emissions Survey of DuPont Dow Elastomers, HCl Recovery Unit Stack Risk Burn, April 1997, File Number 97-17A</t>
  </si>
  <si>
    <t>METCO Environmental</t>
  </si>
  <si>
    <t xml:space="preserve">     Testing Firm</t>
  </si>
  <si>
    <t xml:space="preserve">     Testing Dates</t>
  </si>
  <si>
    <t>April 23-24, 1997</t>
  </si>
  <si>
    <t xml:space="preserve">     Content</t>
  </si>
  <si>
    <t>PM, metals, CO, D/F</t>
  </si>
  <si>
    <t>Units</t>
  </si>
  <si>
    <t>Cond Avg</t>
  </si>
  <si>
    <t>853C10</t>
  </si>
  <si>
    <t>y</t>
  </si>
  <si>
    <t>n</t>
  </si>
  <si>
    <t>nd</t>
  </si>
  <si>
    <t xml:space="preserve">   Stack Gas Flowrate</t>
  </si>
  <si>
    <t xml:space="preserve">   Temperature</t>
  </si>
  <si>
    <t>Liquid organic waste</t>
  </si>
  <si>
    <t>Density</t>
  </si>
  <si>
    <t>kg/l</t>
  </si>
  <si>
    <t>Heat Content</t>
  </si>
  <si>
    <t>Btu/lb</t>
  </si>
  <si>
    <t>Viscosity</t>
  </si>
  <si>
    <t>cst</t>
  </si>
  <si>
    <t>% wt</t>
  </si>
  <si>
    <t>Chlorine</t>
  </si>
  <si>
    <t>ppmw</t>
  </si>
  <si>
    <t>Process Information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</si>
  <si>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</si>
  <si>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</si>
  <si>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</si>
  <si>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</si>
  <si>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</si>
  <si>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</si>
  <si>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</si>
  <si>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</si>
  <si>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</si>
  <si>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</si>
  <si>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</si>
  <si>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</si>
  <si>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</si>
  <si>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</si>
  <si>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</si>
  <si>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</si>
  <si>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</si>
  <si>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</si>
  <si>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</si>
  <si>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</si>
  <si>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</si>
  <si>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</si>
  <si>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</si>
  <si>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</si>
  <si>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</si>
  <si>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</si>
  <si>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</si>
  <si>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</si>
  <si>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</si>
  <si>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</si>
  <si>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</si>
  <si>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</si>
  <si>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</si>
  <si>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O2 (%)</t>
  </si>
  <si>
    <t>PCDD/PCDF (ng/dscm @ 7% O2)</t>
  </si>
  <si>
    <t>Chlorinated liq. wastes</t>
  </si>
  <si>
    <t>Permitting Status</t>
  </si>
  <si>
    <t>PCDD/PCDF</t>
  </si>
  <si>
    <t>1/2 ND</t>
  </si>
  <si>
    <t>Liq</t>
  </si>
  <si>
    <t>Gas Flowrate</t>
  </si>
  <si>
    <t>Oxygen</t>
  </si>
  <si>
    <t>MMBtu/hr</t>
  </si>
  <si>
    <t>lb/hr</t>
  </si>
  <si>
    <t>ug/dscm</t>
  </si>
  <si>
    <t>Risk burn, normal operating cond</t>
  </si>
  <si>
    <t>TEQ Cond Avg</t>
  </si>
  <si>
    <t>Detected in train (ng/dscm)</t>
  </si>
  <si>
    <t>Feedstreams</t>
  </si>
  <si>
    <t>Capacity (MMBtu/hr)</t>
  </si>
  <si>
    <t>Hazardous Wastes</t>
  </si>
  <si>
    <t>Haz Waste Description</t>
  </si>
  <si>
    <t>None</t>
  </si>
  <si>
    <t>Supplemental Fuel</t>
  </si>
  <si>
    <t>Feedrate MTEC Calculations</t>
  </si>
  <si>
    <t>7% O2</t>
  </si>
  <si>
    <t>Phase II ID No.</t>
  </si>
  <si>
    <t>Particle Size Distribution</t>
  </si>
  <si>
    <t>1-1.5</t>
  </si>
  <si>
    <t>1.5-2</t>
  </si>
  <si>
    <t>2-2.5</t>
  </si>
  <si>
    <t>2.5-5</t>
  </si>
  <si>
    <t>5-7.5</t>
  </si>
  <si>
    <t>7.5-10</t>
  </si>
  <si>
    <t>10-12.5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</si>
  <si>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</si>
  <si>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</si>
  <si>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</si>
  <si>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</si>
  <si>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</si>
  <si>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</si>
  <si>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</si>
  <si>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</si>
  <si>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</si>
  <si>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Antimony</t>
  </si>
  <si>
    <t>Arsenic</t>
  </si>
  <si>
    <t>Barium</t>
  </si>
  <si>
    <t>Beryllium</t>
  </si>
  <si>
    <t>Cadmium</t>
  </si>
  <si>
    <t>Lead</t>
  </si>
  <si>
    <t>Mercury</t>
  </si>
  <si>
    <t>Silver</t>
  </si>
  <si>
    <t>Thallium</t>
  </si>
  <si>
    <t>Comments</t>
  </si>
  <si>
    <t>PM/metals</t>
  </si>
  <si>
    <t xml:space="preserve">   O2</t>
  </si>
  <si>
    <t xml:space="preserve">   Moisture</t>
  </si>
  <si>
    <t>in microns</t>
  </si>
  <si>
    <t>0.5-1</t>
  </si>
  <si>
    <t>Chromium</t>
  </si>
  <si>
    <t>Sampling Train</t>
  </si>
  <si>
    <t>Nickel</t>
  </si>
  <si>
    <t>*</t>
  </si>
  <si>
    <t>Feedstream Description</t>
  </si>
  <si>
    <t>Nat gas used during start up and shutdown, but not during normal operations</t>
  </si>
  <si>
    <t>HAF operation; Tier III for Cr, HCl, Cl2; Tier I for other metals</t>
  </si>
  <si>
    <t>Source Emissions Survey of DuPont Dow Elastomers, HCl Recovery Unit Stack Permit Burn, April 1997, File Number 97-17</t>
  </si>
  <si>
    <t>April 25-26, 1997</t>
  </si>
  <si>
    <t>Trial burn test</t>
  </si>
  <si>
    <t>CO (RA)</t>
  </si>
  <si>
    <t>PM/chlorine</t>
  </si>
  <si>
    <t>Total Chlorine</t>
  </si>
  <si>
    <t>POHC DRE</t>
  </si>
  <si>
    <t>Feedrate</t>
  </si>
  <si>
    <t>Emission Rate</t>
  </si>
  <si>
    <t>1,4-dichloro-2-butene</t>
  </si>
  <si>
    <t>&gt;</t>
  </si>
  <si>
    <t>Carbon Tetrachloride</t>
  </si>
  <si>
    <t>Chlorobenzene</t>
  </si>
  <si>
    <t>853C11</t>
  </si>
  <si>
    <t>Risk burn</t>
  </si>
  <si>
    <t>Trial burn</t>
  </si>
  <si>
    <t>Total Feedrate</t>
  </si>
  <si>
    <t>Selenium</t>
  </si>
  <si>
    <t>g/hr</t>
  </si>
  <si>
    <t>Combustion Temp</t>
  </si>
  <si>
    <t>C</t>
  </si>
  <si>
    <t>Dynawave Scrubber</t>
  </si>
  <si>
    <t xml:space="preserve">  pH</t>
  </si>
  <si>
    <t xml:space="preserve">  Blowdown/feed</t>
  </si>
  <si>
    <t>gal/lb</t>
  </si>
  <si>
    <t>DRE, PM, Cr (HCl/Cl2 testing performed, but results later considered invalid due to analytical difficulties)</t>
  </si>
  <si>
    <t>PM, HCl/Cl2</t>
  </si>
  <si>
    <t>Supplemental trial burn test</t>
  </si>
  <si>
    <t>September 2-3, 1997</t>
  </si>
  <si>
    <t>Source Emissions Survey of DuPont Dow Elastomers Halogen Acid Furnace Stack, September 1997, File Number 97-240A</t>
  </si>
  <si>
    <t>853C12</t>
  </si>
  <si>
    <t>CO (MHRA)</t>
  </si>
  <si>
    <t>WQ/3STGHClABS/S/CWS</t>
  </si>
  <si>
    <t>Water spray quench, 3 stage HCl absorbers, vent scrubber, Dynawave caustic scrubber.  Water used in 3-stage HCl and vent scrubbers; caustic used in Dynawave scrubber</t>
  </si>
  <si>
    <t>HWC Burn Status (Date if Terminated)</t>
  </si>
  <si>
    <t xml:space="preserve">     Cond Dates</t>
  </si>
  <si>
    <t>HCl Production Furnace</t>
  </si>
  <si>
    <t>Cond Description</t>
  </si>
  <si>
    <t>Number of Sister Facilities</t>
  </si>
  <si>
    <t>APCS Detailed Acronym</t>
  </si>
  <si>
    <t>APCS General Class</t>
  </si>
  <si>
    <t xml:space="preserve">     Report Prepare</t>
  </si>
  <si>
    <t>R1</t>
  </si>
  <si>
    <t>R2</t>
  </si>
  <si>
    <t>R3</t>
  </si>
  <si>
    <t>E1</t>
  </si>
  <si>
    <t>E2</t>
  </si>
  <si>
    <t>Liq organic waste</t>
  </si>
  <si>
    <t>Feedstream Number</t>
  </si>
  <si>
    <t>Feed Class</t>
  </si>
  <si>
    <t>Liq HW</t>
  </si>
  <si>
    <t>Combustor Class</t>
  </si>
  <si>
    <t>Combustor Type</t>
  </si>
  <si>
    <t>source</t>
  </si>
  <si>
    <t>cond</t>
  </si>
  <si>
    <t>emiss</t>
  </si>
  <si>
    <t>feed</t>
  </si>
  <si>
    <t>process</t>
  </si>
  <si>
    <t>F1</t>
  </si>
  <si>
    <t>F2</t>
  </si>
  <si>
    <t>F3</t>
  </si>
  <si>
    <t>Chromium (Hex)</t>
  </si>
  <si>
    <t>Feed Rate</t>
  </si>
  <si>
    <t>Thermal Feedrate</t>
  </si>
  <si>
    <t>Feed Class 2</t>
  </si>
  <si>
    <t>df c10</t>
  </si>
  <si>
    <t>WQ, LEWS</t>
  </si>
  <si>
    <t>Full ND</t>
  </si>
  <si>
    <t xml:space="preserve">Condition/Test Date:  </t>
  </si>
  <si>
    <t>Risk burn, normal operating cond, April 23, 1997</t>
  </si>
  <si>
    <t xml:space="preserve">Facility Name and ID: </t>
  </si>
  <si>
    <t>DuPont LaPlace HAF</t>
  </si>
  <si>
    <t>Condition ID: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</si>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</sst>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mmmm\-yy"/>
    <numFmt numFmtId="172" formatCode="0.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172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t="s">
        <v>208</v>
      </c>
    </row>
    <row r="2" ht="12.75">
      <c r="A2" t="s">
        <v>209</v>
      </c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6" ht="12.75">
      <c r="A6" t="s">
        <v>220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8"/>
  <sheetViews>
    <sheetView workbookViewId="0" topLeftCell="B1">
      <selection activeCell="B2" sqref="B2"/>
    </sheetView>
  </sheetViews>
  <sheetFormatPr defaultColWidth="9.140625" defaultRowHeight="12.75"/>
  <cols>
    <col min="1" max="1" width="3.28125" style="2" hidden="1" customWidth="1"/>
    <col min="2" max="2" width="26.140625" style="2" customWidth="1"/>
    <col min="3" max="3" width="56.421875" style="2" customWidth="1"/>
    <col min="4" max="4" width="9.00390625" style="2" customWidth="1"/>
    <col min="5" max="16384" width="11.421875" style="2" customWidth="1"/>
  </cols>
  <sheetData>
    <row r="1" ht="12.75">
      <c r="B1" s="1" t="s">
        <v>124</v>
      </c>
    </row>
    <row r="3" spans="2:3" ht="12.75">
      <c r="B3" s="2" t="s">
        <v>115</v>
      </c>
      <c r="C3" s="3">
        <v>853</v>
      </c>
    </row>
    <row r="4" spans="2:3" ht="12.75">
      <c r="B4" s="2" t="s">
        <v>17</v>
      </c>
      <c r="C4" s="2" t="s">
        <v>18</v>
      </c>
    </row>
    <row r="5" spans="2:3" ht="12.75">
      <c r="B5" s="2" t="s">
        <v>19</v>
      </c>
      <c r="C5" s="2" t="s">
        <v>20</v>
      </c>
    </row>
    <row r="6" ht="12.75">
      <c r="B6" s="2" t="s">
        <v>21</v>
      </c>
    </row>
    <row r="7" spans="2:3" ht="12.75">
      <c r="B7" s="2" t="s">
        <v>127</v>
      </c>
      <c r="C7" s="2" t="s">
        <v>22</v>
      </c>
    </row>
    <row r="8" spans="2:3" ht="12.75">
      <c r="B8" s="2" t="s">
        <v>128</v>
      </c>
      <c r="C8" s="2" t="s">
        <v>23</v>
      </c>
    </row>
    <row r="9" spans="2:3" ht="12.75">
      <c r="B9" s="2" t="s">
        <v>24</v>
      </c>
      <c r="C9" s="2" t="s">
        <v>25</v>
      </c>
    </row>
    <row r="10" spans="2:3" ht="12.75">
      <c r="B10" s="2" t="s">
        <v>26</v>
      </c>
      <c r="C10" s="2" t="s">
        <v>111</v>
      </c>
    </row>
    <row r="11" spans="2:3" ht="12.75">
      <c r="B11" s="2" t="s">
        <v>193</v>
      </c>
      <c r="C11" s="3">
        <v>0</v>
      </c>
    </row>
    <row r="12" spans="2:3" ht="12.75">
      <c r="B12" s="2" t="s">
        <v>206</v>
      </c>
      <c r="C12" s="2" t="s">
        <v>191</v>
      </c>
    </row>
    <row r="13" ht="12.75">
      <c r="B13" s="2" t="s">
        <v>207</v>
      </c>
    </row>
    <row r="14" spans="2:3" s="4" customFormat="1" ht="25.5">
      <c r="B14" s="4" t="s">
        <v>27</v>
      </c>
      <c r="C14" s="4" t="s">
        <v>28</v>
      </c>
    </row>
    <row r="15" spans="2:3" s="4" customFormat="1" ht="12.75">
      <c r="B15" s="4" t="s">
        <v>108</v>
      </c>
      <c r="C15" s="25">
        <v>48</v>
      </c>
    </row>
    <row r="16" spans="2:3" s="4" customFormat="1" ht="12.75">
      <c r="B16" s="4" t="s">
        <v>126</v>
      </c>
      <c r="C16" s="25"/>
    </row>
    <row r="17" spans="2:3" s="4" customFormat="1" ht="12.75">
      <c r="B17" s="4" t="s">
        <v>194</v>
      </c>
      <c r="C17" s="4" t="s">
        <v>187</v>
      </c>
    </row>
    <row r="18" spans="2:3" s="4" customFormat="1" ht="12.75">
      <c r="B18" s="4" t="s">
        <v>195</v>
      </c>
      <c r="C18" s="4" t="s">
        <v>221</v>
      </c>
    </row>
    <row r="19" spans="2:3" ht="38.25">
      <c r="B19" s="28" t="s">
        <v>29</v>
      </c>
      <c r="C19" s="27" t="s">
        <v>188</v>
      </c>
    </row>
    <row r="20" spans="2:3" ht="12.75">
      <c r="B20" s="2" t="s">
        <v>109</v>
      </c>
      <c r="C20" s="2" t="s">
        <v>98</v>
      </c>
    </row>
    <row r="21" spans="2:3" ht="12.75">
      <c r="B21" s="2" t="s">
        <v>110</v>
      </c>
      <c r="C21" s="2" t="s">
        <v>94</v>
      </c>
    </row>
    <row r="22" spans="2:3" ht="12.75">
      <c r="B22" s="2" t="s">
        <v>112</v>
      </c>
      <c r="C22" s="2" t="s">
        <v>30</v>
      </c>
    </row>
    <row r="23" ht="25.5">
      <c r="C23" s="27" t="s">
        <v>153</v>
      </c>
    </row>
    <row r="24" ht="12.75">
      <c r="B24" s="2" t="s">
        <v>31</v>
      </c>
    </row>
    <row r="25" spans="2:3" ht="12.75">
      <c r="B25" s="2" t="s">
        <v>129</v>
      </c>
      <c r="C25" s="3">
        <v>1.5</v>
      </c>
    </row>
    <row r="26" spans="2:3" ht="12.75">
      <c r="B26" s="2" t="s">
        <v>130</v>
      </c>
      <c r="C26" s="5">
        <v>120</v>
      </c>
    </row>
    <row r="27" spans="2:3" ht="12.75">
      <c r="B27" s="2" t="s">
        <v>131</v>
      </c>
      <c r="C27" s="6">
        <f>8700/60/3.142/(3^2)*4</f>
        <v>20.510644317136997</v>
      </c>
    </row>
    <row r="28" spans="2:3" ht="12.75">
      <c r="B28" s="2" t="s">
        <v>132</v>
      </c>
      <c r="C28" s="3">
        <v>90</v>
      </c>
    </row>
    <row r="29" ht="12.75">
      <c r="C29" s="6"/>
    </row>
    <row r="30" spans="2:3" ht="12.75">
      <c r="B30" s="2" t="s">
        <v>95</v>
      </c>
      <c r="C30" s="2" t="s">
        <v>154</v>
      </c>
    </row>
    <row r="31" s="27" customFormat="1" ht="25.5">
      <c r="B31" s="27" t="s">
        <v>189</v>
      </c>
    </row>
    <row r="34" s="4" customFormat="1" ht="12.75"/>
    <row r="37" ht="12.75">
      <c r="C37" s="7"/>
    </row>
    <row r="38" ht="12.75">
      <c r="C38" s="34"/>
    </row>
    <row r="43" spans="2:3" ht="12.75">
      <c r="B43" s="4"/>
      <c r="C43" s="27"/>
    </row>
    <row r="47" ht="12.75">
      <c r="C47" s="34"/>
    </row>
    <row r="49" spans="2:3" ht="12.75">
      <c r="B49" s="28"/>
      <c r="C49" s="27"/>
    </row>
    <row r="52" spans="2:3" ht="12.75">
      <c r="B52" s="4"/>
      <c r="C52" s="27"/>
    </row>
    <row r="56" ht="12.75">
      <c r="C56" s="34"/>
    </row>
    <row r="58" spans="2:3" ht="12.75">
      <c r="B58" s="28"/>
      <c r="C58" s="2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2" hidden="1" customWidth="1"/>
    <col min="2" max="2" width="21.8515625" style="2" customWidth="1"/>
    <col min="3" max="3" width="52.28125" style="2" customWidth="1"/>
    <col min="4" max="16384" width="9.140625" style="2" customWidth="1"/>
  </cols>
  <sheetData>
    <row r="1" ht="12.75">
      <c r="B1" s="1" t="s">
        <v>192</v>
      </c>
    </row>
    <row r="3" ht="12.75">
      <c r="B3" s="35" t="s">
        <v>42</v>
      </c>
    </row>
    <row r="4" ht="12.75">
      <c r="B4" s="35"/>
    </row>
    <row r="5" spans="2:3" s="4" customFormat="1" ht="38.25">
      <c r="B5" s="4" t="s">
        <v>32</v>
      </c>
      <c r="C5" s="4" t="s">
        <v>33</v>
      </c>
    </row>
    <row r="6" spans="2:3" ht="12.75">
      <c r="B6" s="2" t="s">
        <v>196</v>
      </c>
      <c r="C6" s="2" t="s">
        <v>34</v>
      </c>
    </row>
    <row r="7" spans="2:3" ht="12.75">
      <c r="B7" s="2" t="s">
        <v>35</v>
      </c>
      <c r="C7" s="2" t="s">
        <v>34</v>
      </c>
    </row>
    <row r="8" spans="2:3" ht="12.75">
      <c r="B8" s="2" t="s">
        <v>36</v>
      </c>
      <c r="C8" s="7" t="s">
        <v>37</v>
      </c>
    </row>
    <row r="9" spans="2:3" ht="12.75">
      <c r="B9" s="2" t="s">
        <v>190</v>
      </c>
      <c r="C9" s="34">
        <v>34059</v>
      </c>
    </row>
    <row r="10" spans="2:3" ht="12.75">
      <c r="B10" s="2" t="s">
        <v>125</v>
      </c>
      <c r="C10" s="2" t="s">
        <v>104</v>
      </c>
    </row>
    <row r="11" spans="2:3" ht="12.75">
      <c r="B11" s="2" t="s">
        <v>38</v>
      </c>
      <c r="C11" s="2" t="s">
        <v>39</v>
      </c>
    </row>
    <row r="13" ht="12.75">
      <c r="B13" s="35" t="s">
        <v>168</v>
      </c>
    </row>
    <row r="14" ht="12.75">
      <c r="B14" s="35"/>
    </row>
    <row r="15" spans="2:3" ht="38.25">
      <c r="B15" s="4" t="s">
        <v>32</v>
      </c>
      <c r="C15" s="27" t="s">
        <v>155</v>
      </c>
    </row>
    <row r="16" spans="2:3" ht="12.75">
      <c r="B16" s="2" t="s">
        <v>196</v>
      </c>
      <c r="C16" s="2" t="s">
        <v>34</v>
      </c>
    </row>
    <row r="17" spans="2:3" ht="12.75">
      <c r="B17" s="2" t="s">
        <v>35</v>
      </c>
      <c r="C17" s="2" t="s">
        <v>34</v>
      </c>
    </row>
    <row r="18" spans="2:3" ht="12.75">
      <c r="B18" s="2" t="s">
        <v>36</v>
      </c>
      <c r="C18" s="2" t="s">
        <v>156</v>
      </c>
    </row>
    <row r="19" spans="2:3" ht="12.75">
      <c r="B19" s="2" t="s">
        <v>190</v>
      </c>
      <c r="C19" s="34">
        <v>34059</v>
      </c>
    </row>
    <row r="20" spans="2:3" ht="12.75">
      <c r="B20" s="2" t="s">
        <v>125</v>
      </c>
      <c r="C20" s="2" t="s">
        <v>157</v>
      </c>
    </row>
    <row r="21" spans="2:3" ht="25.5">
      <c r="B21" s="28" t="s">
        <v>38</v>
      </c>
      <c r="C21" s="27" t="s">
        <v>180</v>
      </c>
    </row>
    <row r="23" ht="12.75">
      <c r="B23" s="35" t="s">
        <v>185</v>
      </c>
    </row>
    <row r="24" ht="12.75">
      <c r="B24" s="35"/>
    </row>
    <row r="25" spans="2:3" ht="38.25">
      <c r="B25" s="4" t="s">
        <v>32</v>
      </c>
      <c r="C25" s="27" t="s">
        <v>184</v>
      </c>
    </row>
    <row r="26" spans="2:3" ht="12.75">
      <c r="B26" s="2" t="s">
        <v>196</v>
      </c>
      <c r="C26" s="2" t="s">
        <v>34</v>
      </c>
    </row>
    <row r="27" spans="2:3" ht="12.75">
      <c r="B27" s="2" t="s">
        <v>35</v>
      </c>
      <c r="C27" s="2" t="s">
        <v>34</v>
      </c>
    </row>
    <row r="28" spans="2:3" ht="12.75">
      <c r="B28" s="2" t="s">
        <v>36</v>
      </c>
      <c r="C28" s="2" t="s">
        <v>183</v>
      </c>
    </row>
    <row r="29" spans="2:3" ht="12.75">
      <c r="B29" s="2" t="s">
        <v>190</v>
      </c>
      <c r="C29" s="34">
        <v>34212</v>
      </c>
    </row>
    <row r="30" spans="2:3" ht="12.75">
      <c r="B30" s="2" t="s">
        <v>125</v>
      </c>
      <c r="C30" s="2" t="s">
        <v>182</v>
      </c>
    </row>
    <row r="31" spans="2:3" ht="12.75">
      <c r="B31" s="28" t="s">
        <v>38</v>
      </c>
      <c r="C31" s="27" t="s">
        <v>181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B75">
      <selection activeCell="B2" sqref="B2"/>
    </sheetView>
  </sheetViews>
  <sheetFormatPr defaultColWidth="9.140625" defaultRowHeight="12.75"/>
  <cols>
    <col min="1" max="1" width="7.00390625" style="2" hidden="1" customWidth="1"/>
    <col min="2" max="2" width="22.00390625" style="2" customWidth="1"/>
    <col min="3" max="3" width="9.421875" style="2" customWidth="1"/>
    <col min="4" max="4" width="9.140625" style="2" customWidth="1"/>
    <col min="5" max="5" width="6.8515625" style="2" customWidth="1"/>
    <col min="6" max="6" width="4.421875" style="8" customWidth="1"/>
    <col min="7" max="7" width="9.8515625" style="2" customWidth="1"/>
    <col min="8" max="8" width="4.57421875" style="8" customWidth="1"/>
    <col min="9" max="9" width="10.140625" style="2" customWidth="1"/>
    <col min="10" max="10" width="4.28125" style="8" customWidth="1"/>
    <col min="11" max="11" width="9.8515625" style="2" customWidth="1"/>
    <col min="12" max="12" width="4.2812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3" spans="3:15" ht="12.75">
      <c r="C3" s="2" t="s">
        <v>142</v>
      </c>
      <c r="D3" s="2" t="s">
        <v>40</v>
      </c>
      <c r="E3" s="2" t="s">
        <v>114</v>
      </c>
      <c r="G3" s="8"/>
      <c r="I3" s="8"/>
      <c r="K3" s="8"/>
      <c r="L3" s="8"/>
      <c r="M3" s="8"/>
      <c r="O3" s="8"/>
    </row>
    <row r="4" spans="7:12" ht="12.75">
      <c r="G4" s="8"/>
      <c r="I4" s="8"/>
      <c r="K4" s="8"/>
      <c r="L4" s="8"/>
    </row>
    <row r="5" spans="1:13" ht="12.75">
      <c r="A5" s="2">
        <v>10</v>
      </c>
      <c r="B5" s="1" t="s">
        <v>42</v>
      </c>
      <c r="C5" s="1"/>
      <c r="G5" s="8" t="s">
        <v>197</v>
      </c>
      <c r="I5" s="8" t="s">
        <v>198</v>
      </c>
      <c r="K5" s="8" t="s">
        <v>199</v>
      </c>
      <c r="L5" s="8"/>
      <c r="M5" s="2" t="s">
        <v>41</v>
      </c>
    </row>
    <row r="6" spans="2:12" ht="12.75" customHeight="1">
      <c r="B6" s="1"/>
      <c r="C6" s="1"/>
      <c r="G6" s="8"/>
      <c r="I6" s="8"/>
      <c r="K6" s="8"/>
      <c r="L6" s="8"/>
    </row>
    <row r="7" spans="2:13" ht="12" customHeight="1">
      <c r="B7" s="2" t="s">
        <v>2</v>
      </c>
      <c r="C7" s="2" t="s">
        <v>200</v>
      </c>
      <c r="D7" s="2" t="s">
        <v>9</v>
      </c>
      <c r="E7" s="2" t="s">
        <v>43</v>
      </c>
      <c r="G7" s="9">
        <v>0.0031</v>
      </c>
      <c r="I7" s="10">
        <v>0.0046</v>
      </c>
      <c r="K7" s="10">
        <v>0.0036</v>
      </c>
      <c r="L7" s="10"/>
      <c r="M7" s="11">
        <f>AVERAGE(K7,I7,G7)</f>
        <v>0.0037666666666666664</v>
      </c>
    </row>
    <row r="8" spans="2:13" ht="12" customHeight="1">
      <c r="B8" s="2" t="s">
        <v>133</v>
      </c>
      <c r="D8" s="2" t="s">
        <v>11</v>
      </c>
      <c r="E8" s="2" t="s">
        <v>44</v>
      </c>
      <c r="F8" s="8" t="s">
        <v>45</v>
      </c>
      <c r="G8" s="10">
        <v>9.47</v>
      </c>
      <c r="H8" s="8" t="s">
        <v>45</v>
      </c>
      <c r="I8" s="10">
        <v>8.24</v>
      </c>
      <c r="J8" s="8" t="s">
        <v>45</v>
      </c>
      <c r="K8" s="10">
        <v>9.6</v>
      </c>
      <c r="L8" s="10"/>
      <c r="M8" s="12"/>
    </row>
    <row r="9" spans="2:13" ht="12" customHeight="1">
      <c r="B9" s="2" t="s">
        <v>134</v>
      </c>
      <c r="D9" s="2" t="s">
        <v>11</v>
      </c>
      <c r="E9" s="2" t="s">
        <v>44</v>
      </c>
      <c r="F9" s="8" t="s">
        <v>45</v>
      </c>
      <c r="G9" s="10">
        <v>0.303</v>
      </c>
      <c r="H9" s="8" t="s">
        <v>45</v>
      </c>
      <c r="I9" s="10">
        <v>0.255</v>
      </c>
      <c r="J9" s="8" t="s">
        <v>45</v>
      </c>
      <c r="K9" s="10">
        <v>0.36</v>
      </c>
      <c r="L9" s="10"/>
      <c r="M9" s="12"/>
    </row>
    <row r="10" spans="2:13" ht="12" customHeight="1">
      <c r="B10" s="2" t="s">
        <v>135</v>
      </c>
      <c r="D10" s="2" t="s">
        <v>11</v>
      </c>
      <c r="E10" s="2" t="s">
        <v>44</v>
      </c>
      <c r="G10" s="10">
        <v>4.5</v>
      </c>
      <c r="I10" s="10">
        <v>23.75</v>
      </c>
      <c r="K10" s="10">
        <v>3.43</v>
      </c>
      <c r="L10" s="10"/>
      <c r="M10" s="12"/>
    </row>
    <row r="11" spans="2:13" ht="12" customHeight="1">
      <c r="B11" s="2" t="s">
        <v>136</v>
      </c>
      <c r="D11" s="2" t="s">
        <v>11</v>
      </c>
      <c r="E11" s="2" t="s">
        <v>44</v>
      </c>
      <c r="F11" s="8" t="s">
        <v>45</v>
      </c>
      <c r="G11" s="10">
        <v>0.016</v>
      </c>
      <c r="H11" s="8" t="s">
        <v>45</v>
      </c>
      <c r="I11" s="10">
        <v>0.017</v>
      </c>
      <c r="J11" s="8" t="s">
        <v>45</v>
      </c>
      <c r="K11" s="10">
        <v>0.02</v>
      </c>
      <c r="L11" s="10"/>
      <c r="M11" s="12"/>
    </row>
    <row r="12" spans="2:13" ht="12" customHeight="1">
      <c r="B12" s="2" t="s">
        <v>137</v>
      </c>
      <c r="D12" s="2" t="s">
        <v>11</v>
      </c>
      <c r="E12" s="2" t="s">
        <v>44</v>
      </c>
      <c r="F12" s="8" t="s">
        <v>45</v>
      </c>
      <c r="G12" s="10">
        <v>0.352</v>
      </c>
      <c r="H12" s="8" t="s">
        <v>45</v>
      </c>
      <c r="I12" s="10">
        <v>0.09</v>
      </c>
      <c r="J12" s="8" t="s">
        <v>45</v>
      </c>
      <c r="K12" s="10">
        <v>0.11</v>
      </c>
      <c r="L12" s="10"/>
      <c r="M12" s="12"/>
    </row>
    <row r="13" spans="2:13" ht="12" customHeight="1">
      <c r="B13" s="2" t="s">
        <v>148</v>
      </c>
      <c r="D13" s="2" t="s">
        <v>11</v>
      </c>
      <c r="E13" s="2" t="s">
        <v>44</v>
      </c>
      <c r="G13" s="10">
        <v>10.18</v>
      </c>
      <c r="I13" s="10">
        <v>24.8</v>
      </c>
      <c r="K13" s="10">
        <v>21.4</v>
      </c>
      <c r="L13" s="10"/>
      <c r="M13" s="12"/>
    </row>
    <row r="14" spans="2:13" ht="12" customHeight="1">
      <c r="B14" s="2" t="s">
        <v>138</v>
      </c>
      <c r="D14" s="2" t="s">
        <v>11</v>
      </c>
      <c r="E14" s="2" t="s">
        <v>44</v>
      </c>
      <c r="F14" s="8" t="s">
        <v>45</v>
      </c>
      <c r="G14" s="10">
        <v>6.4</v>
      </c>
      <c r="H14" s="8" t="s">
        <v>45</v>
      </c>
      <c r="I14" s="10">
        <v>3.2</v>
      </c>
      <c r="J14" s="8" t="s">
        <v>45</v>
      </c>
      <c r="K14" s="10">
        <v>3.4</v>
      </c>
      <c r="L14" s="10"/>
      <c r="M14" s="12"/>
    </row>
    <row r="15" spans="2:13" ht="12" customHeight="1">
      <c r="B15" s="2" t="s">
        <v>139</v>
      </c>
      <c r="D15" s="2" t="s">
        <v>11</v>
      </c>
      <c r="E15" s="2" t="s">
        <v>44</v>
      </c>
      <c r="F15" s="8" t="s">
        <v>45</v>
      </c>
      <c r="G15" s="10">
        <v>0.29</v>
      </c>
      <c r="H15" s="8" t="s">
        <v>45</v>
      </c>
      <c r="I15" s="10">
        <v>0.27</v>
      </c>
      <c r="J15" s="8" t="s">
        <v>45</v>
      </c>
      <c r="K15" s="10">
        <v>0.41</v>
      </c>
      <c r="L15" s="10"/>
      <c r="M15" s="12"/>
    </row>
    <row r="16" spans="2:13" ht="12" customHeight="1">
      <c r="B16" s="2" t="s">
        <v>140</v>
      </c>
      <c r="D16" s="2" t="s">
        <v>11</v>
      </c>
      <c r="E16" s="2" t="s">
        <v>44</v>
      </c>
      <c r="F16" s="8" t="s">
        <v>45</v>
      </c>
      <c r="G16" s="10">
        <v>0.436</v>
      </c>
      <c r="H16" s="8" t="s">
        <v>45</v>
      </c>
      <c r="I16" s="10">
        <v>0.78</v>
      </c>
      <c r="J16" s="8" t="s">
        <v>45</v>
      </c>
      <c r="K16" s="10">
        <v>0.42</v>
      </c>
      <c r="L16" s="10"/>
      <c r="M16" s="12"/>
    </row>
    <row r="17" spans="2:13" ht="12" customHeight="1">
      <c r="B17" s="2" t="s">
        <v>141</v>
      </c>
      <c r="D17" s="2" t="s">
        <v>11</v>
      </c>
      <c r="E17" s="2" t="s">
        <v>44</v>
      </c>
      <c r="F17" s="8" t="s">
        <v>45</v>
      </c>
      <c r="G17" s="10">
        <v>21.5</v>
      </c>
      <c r="H17" s="8" t="s">
        <v>45</v>
      </c>
      <c r="I17" s="10">
        <v>16.9</v>
      </c>
      <c r="J17" s="8" t="s">
        <v>45</v>
      </c>
      <c r="K17" s="10">
        <v>17.5</v>
      </c>
      <c r="L17" s="10"/>
      <c r="M17" s="12"/>
    </row>
    <row r="18" spans="7:12" ht="12" customHeight="1">
      <c r="G18" s="10"/>
      <c r="I18" s="10"/>
      <c r="K18" s="10"/>
      <c r="L18" s="10"/>
    </row>
    <row r="19" spans="2:4" ht="12" customHeight="1">
      <c r="B19" s="2" t="s">
        <v>149</v>
      </c>
      <c r="C19" s="2" t="s">
        <v>143</v>
      </c>
      <c r="D19" s="2" t="s">
        <v>200</v>
      </c>
    </row>
    <row r="20" spans="2:13" ht="12.75">
      <c r="B20" s="2" t="s">
        <v>46</v>
      </c>
      <c r="D20" s="2" t="s">
        <v>14</v>
      </c>
      <c r="G20" s="2">
        <v>7980</v>
      </c>
      <c r="I20" s="2">
        <v>8426</v>
      </c>
      <c r="K20" s="2">
        <v>8287</v>
      </c>
      <c r="M20" s="2">
        <f>AVERAGE(I20,G20,K20)</f>
        <v>8231</v>
      </c>
    </row>
    <row r="21" spans="2:13" ht="12.75">
      <c r="B21" s="2" t="s">
        <v>144</v>
      </c>
      <c r="D21" s="2" t="s">
        <v>15</v>
      </c>
      <c r="G21" s="2">
        <v>4.5</v>
      </c>
      <c r="I21" s="2">
        <v>4.5</v>
      </c>
      <c r="K21" s="2">
        <v>4.3</v>
      </c>
      <c r="M21" s="12">
        <f>AVERAGE(I21,G21,K21)</f>
        <v>4.433333333333334</v>
      </c>
    </row>
    <row r="22" spans="2:13" ht="12.75">
      <c r="B22" s="2" t="s">
        <v>145</v>
      </c>
      <c r="D22" s="2" t="s">
        <v>15</v>
      </c>
      <c r="G22" s="2">
        <v>4.6</v>
      </c>
      <c r="I22" s="2">
        <v>4.3</v>
      </c>
      <c r="K22" s="2">
        <v>4.4</v>
      </c>
      <c r="M22" s="12">
        <f>AVERAGE(I22,G22,K22)</f>
        <v>4.433333333333333</v>
      </c>
    </row>
    <row r="23" spans="2:13" ht="12.75">
      <c r="B23" s="2" t="s">
        <v>47</v>
      </c>
      <c r="D23" s="2" t="s">
        <v>16</v>
      </c>
      <c r="G23" s="2">
        <v>90</v>
      </c>
      <c r="I23" s="2">
        <v>89</v>
      </c>
      <c r="K23" s="2">
        <v>89</v>
      </c>
      <c r="M23" s="12">
        <f>AVERAGE(I23,G23,K23)</f>
        <v>89.33333333333333</v>
      </c>
    </row>
    <row r="25" spans="2:13" ht="12.75">
      <c r="B25" s="2" t="s">
        <v>133</v>
      </c>
      <c r="C25" s="2" t="s">
        <v>200</v>
      </c>
      <c r="D25" s="2" t="s">
        <v>11</v>
      </c>
      <c r="E25" s="2" t="s">
        <v>43</v>
      </c>
      <c r="F25" s="8" t="s">
        <v>45</v>
      </c>
      <c r="G25" s="12">
        <f>G8*(21-7)/(21-G$21)</f>
        <v>8.035151515151515</v>
      </c>
      <c r="H25" s="8" t="s">
        <v>45</v>
      </c>
      <c r="I25" s="12">
        <f>I8*(21-7)/(21-I$21)</f>
        <v>6.991515151515151</v>
      </c>
      <c r="J25" s="8" t="s">
        <v>45</v>
      </c>
      <c r="K25" s="12">
        <f aca="true" t="shared" si="0" ref="K25:K34">K8*(21-7)/(21-K$21)</f>
        <v>8.047904191616768</v>
      </c>
      <c r="L25" s="33">
        <v>100</v>
      </c>
      <c r="M25" s="12">
        <f aca="true" t="shared" si="1" ref="M25:M34">AVERAGE(G25,I25,K25)</f>
        <v>7.691523619427812</v>
      </c>
    </row>
    <row r="26" spans="2:13" ht="12.75">
      <c r="B26" s="2" t="s">
        <v>134</v>
      </c>
      <c r="C26" s="2" t="s">
        <v>200</v>
      </c>
      <c r="D26" s="2" t="s">
        <v>11</v>
      </c>
      <c r="E26" s="2" t="s">
        <v>43</v>
      </c>
      <c r="F26" s="8" t="s">
        <v>45</v>
      </c>
      <c r="G26" s="12">
        <f aca="true" t="shared" si="2" ref="G26:I34">G9*(21-7)/(21-G$21)</f>
        <v>0.2570909090909091</v>
      </c>
      <c r="H26" s="8" t="s">
        <v>45</v>
      </c>
      <c r="I26" s="12">
        <f t="shared" si="2"/>
        <v>0.21636363636363637</v>
      </c>
      <c r="J26" s="8" t="s">
        <v>45</v>
      </c>
      <c r="K26" s="12">
        <f t="shared" si="0"/>
        <v>0.3017964071856288</v>
      </c>
      <c r="L26" s="12"/>
      <c r="M26" s="12">
        <f t="shared" si="1"/>
        <v>0.25841698421339143</v>
      </c>
    </row>
    <row r="27" spans="2:13" ht="12.75">
      <c r="B27" s="2" t="s">
        <v>135</v>
      </c>
      <c r="C27" s="2" t="s">
        <v>200</v>
      </c>
      <c r="D27" s="2" t="s">
        <v>11</v>
      </c>
      <c r="E27" s="2" t="s">
        <v>43</v>
      </c>
      <c r="G27" s="12">
        <f t="shared" si="2"/>
        <v>3.8181818181818183</v>
      </c>
      <c r="I27" s="12">
        <f t="shared" si="2"/>
        <v>20.151515151515152</v>
      </c>
      <c r="K27" s="12">
        <f t="shared" si="0"/>
        <v>2.8754491017964074</v>
      </c>
      <c r="L27" s="12"/>
      <c r="M27" s="12">
        <f t="shared" si="1"/>
        <v>8.948382023831124</v>
      </c>
    </row>
    <row r="28" spans="2:13" ht="12.75">
      <c r="B28" s="2" t="s">
        <v>136</v>
      </c>
      <c r="C28" s="2" t="s">
        <v>200</v>
      </c>
      <c r="D28" s="2" t="s">
        <v>11</v>
      </c>
      <c r="E28" s="2" t="s">
        <v>43</v>
      </c>
      <c r="F28" s="8" t="s">
        <v>45</v>
      </c>
      <c r="G28" s="12">
        <f t="shared" si="2"/>
        <v>0.013575757575757576</v>
      </c>
      <c r="H28" s="8" t="s">
        <v>45</v>
      </c>
      <c r="I28" s="12">
        <f t="shared" si="2"/>
        <v>0.014424242424242424</v>
      </c>
      <c r="J28" s="8" t="s">
        <v>45</v>
      </c>
      <c r="K28" s="12">
        <f t="shared" si="0"/>
        <v>0.016766467065868266</v>
      </c>
      <c r="L28" s="33">
        <v>100</v>
      </c>
      <c r="M28" s="12">
        <f t="shared" si="1"/>
        <v>0.014922155688622755</v>
      </c>
    </row>
    <row r="29" spans="2:13" ht="12.75">
      <c r="B29" s="2" t="s">
        <v>137</v>
      </c>
      <c r="C29" s="2" t="s">
        <v>200</v>
      </c>
      <c r="D29" s="2" t="s">
        <v>11</v>
      </c>
      <c r="E29" s="2" t="s">
        <v>43</v>
      </c>
      <c r="F29" s="8" t="s">
        <v>45</v>
      </c>
      <c r="G29" s="12">
        <f t="shared" si="2"/>
        <v>0.29866666666666664</v>
      </c>
      <c r="H29" s="8" t="s">
        <v>45</v>
      </c>
      <c r="I29" s="12">
        <f t="shared" si="2"/>
        <v>0.07636363636363637</v>
      </c>
      <c r="J29" s="8" t="s">
        <v>45</v>
      </c>
      <c r="K29" s="12">
        <f t="shared" si="0"/>
        <v>0.09221556886227546</v>
      </c>
      <c r="L29" s="33">
        <v>100</v>
      </c>
      <c r="M29" s="12">
        <f t="shared" si="1"/>
        <v>0.1557486239641928</v>
      </c>
    </row>
    <row r="30" spans="2:13" ht="12.75">
      <c r="B30" s="2" t="s">
        <v>148</v>
      </c>
      <c r="C30" s="2" t="s">
        <v>200</v>
      </c>
      <c r="D30" s="2" t="s">
        <v>11</v>
      </c>
      <c r="E30" s="2" t="s">
        <v>43</v>
      </c>
      <c r="G30" s="12">
        <f t="shared" si="2"/>
        <v>8.637575757575757</v>
      </c>
      <c r="I30" s="12">
        <f t="shared" si="2"/>
        <v>21.042424242424243</v>
      </c>
      <c r="K30" s="12">
        <f t="shared" si="0"/>
        <v>17.94011976047904</v>
      </c>
      <c r="L30" s="33"/>
      <c r="M30" s="12">
        <f t="shared" si="1"/>
        <v>15.873373253493014</v>
      </c>
    </row>
    <row r="31" spans="2:13" ht="12.75">
      <c r="B31" s="2" t="s">
        <v>138</v>
      </c>
      <c r="C31" s="2" t="s">
        <v>200</v>
      </c>
      <c r="D31" s="2" t="s">
        <v>11</v>
      </c>
      <c r="E31" s="2" t="s">
        <v>43</v>
      </c>
      <c r="F31" s="8" t="s">
        <v>45</v>
      </c>
      <c r="G31" s="12">
        <f t="shared" si="2"/>
        <v>5.430303030303031</v>
      </c>
      <c r="H31" s="8" t="s">
        <v>45</v>
      </c>
      <c r="I31" s="12">
        <f t="shared" si="2"/>
        <v>2.7151515151515153</v>
      </c>
      <c r="J31" s="8" t="s">
        <v>45</v>
      </c>
      <c r="K31" s="12">
        <f t="shared" si="0"/>
        <v>2.850299401197605</v>
      </c>
      <c r="L31" s="33">
        <v>100</v>
      </c>
      <c r="M31" s="12">
        <f t="shared" si="1"/>
        <v>3.665251315550717</v>
      </c>
    </row>
    <row r="32" spans="2:13" ht="12.75">
      <c r="B32" s="2" t="s">
        <v>139</v>
      </c>
      <c r="C32" s="2" t="s">
        <v>200</v>
      </c>
      <c r="D32" s="2" t="s">
        <v>11</v>
      </c>
      <c r="E32" s="2" t="s">
        <v>43</v>
      </c>
      <c r="F32" s="8" t="s">
        <v>45</v>
      </c>
      <c r="G32" s="12">
        <f t="shared" si="2"/>
        <v>0.24606060606060604</v>
      </c>
      <c r="H32" s="8" t="s">
        <v>45</v>
      </c>
      <c r="I32" s="12">
        <f t="shared" si="2"/>
        <v>0.2290909090909091</v>
      </c>
      <c r="J32" s="8" t="s">
        <v>45</v>
      </c>
      <c r="K32" s="12">
        <f t="shared" si="0"/>
        <v>0.3437125748502994</v>
      </c>
      <c r="L32" s="33">
        <v>100</v>
      </c>
      <c r="M32" s="12">
        <f t="shared" si="1"/>
        <v>0.2729546966672715</v>
      </c>
    </row>
    <row r="33" spans="2:13" ht="12.75">
      <c r="B33" s="2" t="s">
        <v>140</v>
      </c>
      <c r="C33" s="2" t="s">
        <v>200</v>
      </c>
      <c r="D33" s="2" t="s">
        <v>11</v>
      </c>
      <c r="E33" s="2" t="s">
        <v>43</v>
      </c>
      <c r="F33" s="8" t="s">
        <v>45</v>
      </c>
      <c r="G33" s="12">
        <f t="shared" si="2"/>
        <v>0.36993939393939396</v>
      </c>
      <c r="H33" s="8" t="s">
        <v>45</v>
      </c>
      <c r="I33" s="12">
        <f t="shared" si="2"/>
        <v>0.6618181818181819</v>
      </c>
      <c r="J33" s="8" t="s">
        <v>45</v>
      </c>
      <c r="K33" s="12">
        <f t="shared" si="0"/>
        <v>0.35209580838323357</v>
      </c>
      <c r="L33" s="33">
        <v>100</v>
      </c>
      <c r="M33" s="12">
        <f t="shared" si="1"/>
        <v>0.4612844613802698</v>
      </c>
    </row>
    <row r="34" spans="2:13" ht="12.75">
      <c r="B34" s="2" t="s">
        <v>141</v>
      </c>
      <c r="C34" s="2" t="s">
        <v>200</v>
      </c>
      <c r="D34" s="2" t="s">
        <v>11</v>
      </c>
      <c r="E34" s="2" t="s">
        <v>43</v>
      </c>
      <c r="F34" s="8" t="s">
        <v>45</v>
      </c>
      <c r="G34" s="12">
        <f t="shared" si="2"/>
        <v>18.242424242424242</v>
      </c>
      <c r="H34" s="8" t="s">
        <v>45</v>
      </c>
      <c r="I34" s="12">
        <f t="shared" si="2"/>
        <v>14.339393939393938</v>
      </c>
      <c r="J34" s="8" t="s">
        <v>45</v>
      </c>
      <c r="K34" s="12">
        <f t="shared" si="0"/>
        <v>14.67065868263473</v>
      </c>
      <c r="L34" s="33">
        <v>100</v>
      </c>
      <c r="M34" s="12">
        <f t="shared" si="1"/>
        <v>15.750825621484303</v>
      </c>
    </row>
    <row r="35" spans="2:13" ht="12.75">
      <c r="B35" s="2" t="s">
        <v>5</v>
      </c>
      <c r="C35" s="2" t="s">
        <v>200</v>
      </c>
      <c r="D35" s="2" t="s">
        <v>11</v>
      </c>
      <c r="E35" s="2" t="s">
        <v>43</v>
      </c>
      <c r="F35" s="8">
        <f>(G29+G31)/G35*100</f>
        <v>100</v>
      </c>
      <c r="G35" s="12">
        <f>(G31+G29)</f>
        <v>5.728969696969697</v>
      </c>
      <c r="H35" s="8">
        <f>(I29+I31)/I35*100</f>
        <v>100</v>
      </c>
      <c r="I35" s="12">
        <f>(I31+I29)</f>
        <v>2.7915151515151515</v>
      </c>
      <c r="J35" s="8">
        <f>(K29+K31)/K35*100</f>
        <v>100</v>
      </c>
      <c r="K35" s="12">
        <f>(K31+K29)</f>
        <v>2.9425149700598805</v>
      </c>
      <c r="L35" s="8">
        <f>(M29+M31)/M35*100</f>
        <v>100.00000000000003</v>
      </c>
      <c r="M35" s="12">
        <f>AVERAGE(K35,I35,G35)</f>
        <v>3.8209999395149095</v>
      </c>
    </row>
    <row r="36" spans="2:13" ht="12.75">
      <c r="B36" s="2" t="s">
        <v>6</v>
      </c>
      <c r="C36" s="2" t="s">
        <v>200</v>
      </c>
      <c r="D36" s="2" t="s">
        <v>11</v>
      </c>
      <c r="E36" s="2" t="s">
        <v>43</v>
      </c>
      <c r="F36" s="8">
        <f>(G26+G28)/G36*100</f>
        <v>3.0383846080579104</v>
      </c>
      <c r="G36" s="12">
        <f>G30+(G28+G26)</f>
        <v>8.908242424242424</v>
      </c>
      <c r="H36" s="8">
        <f>(I26+I28)/I36*100</f>
        <v>1.0848755583918315</v>
      </c>
      <c r="I36" s="12">
        <f>I30+(I28+I26)</f>
        <v>21.273212121212122</v>
      </c>
      <c r="J36" s="8">
        <f>(K26+K28)/K36*100</f>
        <v>1.7447199265381088</v>
      </c>
      <c r="K36" s="12">
        <f>K30+(K28+K26)</f>
        <v>18.258682634730537</v>
      </c>
      <c r="L36" s="8">
        <f>(M26+M28)/M36*100</f>
        <v>1.6928470219970368</v>
      </c>
      <c r="M36" s="12">
        <f>AVERAGE(K36,I36,G36)</f>
        <v>16.146712393395028</v>
      </c>
    </row>
    <row r="38" spans="2:3" ht="12.75">
      <c r="B38" s="2" t="s">
        <v>116</v>
      </c>
      <c r="C38" s="2" t="s">
        <v>146</v>
      </c>
    </row>
    <row r="39" spans="2:7" ht="12.75">
      <c r="B39" s="2" t="s">
        <v>147</v>
      </c>
      <c r="D39" s="2" t="s">
        <v>55</v>
      </c>
      <c r="G39" s="2">
        <v>0.6</v>
      </c>
    </row>
    <row r="40" spans="2:7" ht="12.75">
      <c r="B40" s="2" t="s">
        <v>117</v>
      </c>
      <c r="D40" s="2" t="s">
        <v>55</v>
      </c>
      <c r="G40" s="2">
        <v>0.3</v>
      </c>
    </row>
    <row r="41" spans="2:7" ht="12.75">
      <c r="B41" s="2" t="s">
        <v>118</v>
      </c>
      <c r="D41" s="2" t="s">
        <v>55</v>
      </c>
      <c r="G41" s="2">
        <v>1.7</v>
      </c>
    </row>
    <row r="42" spans="2:7" ht="12.75">
      <c r="B42" s="2" t="s">
        <v>119</v>
      </c>
      <c r="D42" s="2" t="s">
        <v>55</v>
      </c>
      <c r="G42" s="2">
        <v>1</v>
      </c>
    </row>
    <row r="43" spans="2:7" ht="12.75">
      <c r="B43" s="2" t="s">
        <v>120</v>
      </c>
      <c r="D43" s="2" t="s">
        <v>55</v>
      </c>
      <c r="G43" s="2">
        <v>23.8</v>
      </c>
    </row>
    <row r="44" spans="2:7" ht="12.75">
      <c r="B44" s="2" t="s">
        <v>121</v>
      </c>
      <c r="D44" s="2" t="s">
        <v>55</v>
      </c>
      <c r="G44" s="2">
        <v>14.6</v>
      </c>
    </row>
    <row r="45" spans="2:7" ht="12.75">
      <c r="B45" s="2" t="s">
        <v>122</v>
      </c>
      <c r="D45" s="2" t="s">
        <v>55</v>
      </c>
      <c r="G45" s="2">
        <v>6.7</v>
      </c>
    </row>
    <row r="46" spans="2:7" ht="12.75">
      <c r="B46" s="2" t="s">
        <v>123</v>
      </c>
      <c r="D46" s="2" t="s">
        <v>55</v>
      </c>
      <c r="G46" s="2">
        <v>51.3</v>
      </c>
    </row>
    <row r="48" spans="1:13" ht="12.75">
      <c r="A48" s="2">
        <v>11</v>
      </c>
      <c r="B48" s="1" t="s">
        <v>168</v>
      </c>
      <c r="C48" s="1"/>
      <c r="G48" s="8" t="s">
        <v>197</v>
      </c>
      <c r="I48" s="8" t="s">
        <v>198</v>
      </c>
      <c r="K48" s="8" t="s">
        <v>199</v>
      </c>
      <c r="L48" s="8"/>
      <c r="M48" s="2" t="s">
        <v>41</v>
      </c>
    </row>
    <row r="50" spans="2:13" ht="12.75">
      <c r="B50" s="2" t="s">
        <v>2</v>
      </c>
      <c r="C50" s="2" t="s">
        <v>200</v>
      </c>
      <c r="D50" s="2" t="s">
        <v>9</v>
      </c>
      <c r="E50" s="2" t="s">
        <v>43</v>
      </c>
      <c r="G50" s="2">
        <v>0.0075</v>
      </c>
      <c r="I50" s="2">
        <v>0.0107</v>
      </c>
      <c r="K50" s="2">
        <v>0.0079</v>
      </c>
      <c r="M50" s="2">
        <f>AVERAGE(K50,I50,G50)</f>
        <v>0.0087</v>
      </c>
    </row>
    <row r="51" spans="2:13" ht="12.75">
      <c r="B51" s="2" t="s">
        <v>158</v>
      </c>
      <c r="C51" s="2" t="s">
        <v>200</v>
      </c>
      <c r="D51" s="2" t="s">
        <v>10</v>
      </c>
      <c r="E51" s="2" t="s">
        <v>43</v>
      </c>
      <c r="G51" s="2">
        <v>14</v>
      </c>
      <c r="I51" s="2">
        <v>18.5</v>
      </c>
      <c r="K51" s="2">
        <v>12.2</v>
      </c>
      <c r="M51" s="2">
        <f>AVERAGE(K51,I51,G51)</f>
        <v>14.9</v>
      </c>
    </row>
    <row r="52" spans="2:13" ht="12.75">
      <c r="B52" s="2" t="s">
        <v>186</v>
      </c>
      <c r="C52" s="2" t="s">
        <v>200</v>
      </c>
      <c r="D52" s="2" t="s">
        <v>10</v>
      </c>
      <c r="E52" s="2" t="s">
        <v>43</v>
      </c>
      <c r="G52" s="2">
        <v>15.46</v>
      </c>
      <c r="I52" s="2">
        <v>18.9</v>
      </c>
      <c r="K52" s="2">
        <v>13.34</v>
      </c>
      <c r="M52" s="2">
        <f>AVERAGE(K52,I52,G52)</f>
        <v>15.899999999999999</v>
      </c>
    </row>
    <row r="53" spans="2:13" ht="12.75">
      <c r="B53" s="2" t="s">
        <v>148</v>
      </c>
      <c r="D53" s="2" t="s">
        <v>11</v>
      </c>
      <c r="E53" s="2" t="s">
        <v>44</v>
      </c>
      <c r="G53" s="2">
        <v>256.9</v>
      </c>
      <c r="I53" s="2">
        <v>492.6</v>
      </c>
      <c r="K53" s="2">
        <v>264.97</v>
      </c>
      <c r="M53" s="12"/>
    </row>
    <row r="54" spans="2:13" ht="12.75">
      <c r="B54" s="2" t="s">
        <v>216</v>
      </c>
      <c r="D54" s="2" t="s">
        <v>11</v>
      </c>
      <c r="E54" s="2" t="s">
        <v>44</v>
      </c>
      <c r="G54" s="2">
        <v>57.31</v>
      </c>
      <c r="I54" s="2">
        <v>72.52</v>
      </c>
      <c r="K54" s="2">
        <v>97.19</v>
      </c>
      <c r="M54" s="12"/>
    </row>
    <row r="56" spans="2:4" ht="12.75">
      <c r="B56" s="2" t="s">
        <v>149</v>
      </c>
      <c r="C56" s="2" t="s">
        <v>159</v>
      </c>
      <c r="D56" s="2" t="s">
        <v>200</v>
      </c>
    </row>
    <row r="57" spans="2:13" ht="12.75">
      <c r="B57" s="2" t="s">
        <v>46</v>
      </c>
      <c r="D57" s="2" t="s">
        <v>14</v>
      </c>
      <c r="G57" s="2">
        <v>8680</v>
      </c>
      <c r="I57" s="2">
        <v>8948</v>
      </c>
      <c r="K57" s="2">
        <v>8337</v>
      </c>
      <c r="M57" s="2">
        <f>AVERAGE(K57,I57,G57)</f>
        <v>8655</v>
      </c>
    </row>
    <row r="58" spans="2:13" ht="12.75">
      <c r="B58" s="2" t="s">
        <v>144</v>
      </c>
      <c r="D58" s="2" t="s">
        <v>15</v>
      </c>
      <c r="G58" s="2">
        <v>6.8</v>
      </c>
      <c r="I58" s="2">
        <v>6.7</v>
      </c>
      <c r="K58" s="2">
        <v>5.8</v>
      </c>
      <c r="M58" s="12">
        <f>AVERAGE(K58,I58,G58)</f>
        <v>6.433333333333334</v>
      </c>
    </row>
    <row r="59" spans="2:11" ht="12.75">
      <c r="B59" s="2" t="s">
        <v>145</v>
      </c>
      <c r="D59" s="2" t="s">
        <v>15</v>
      </c>
      <c r="G59" s="2">
        <v>4.64</v>
      </c>
      <c r="I59" s="2">
        <v>4.95</v>
      </c>
      <c r="K59" s="2">
        <v>4.68</v>
      </c>
    </row>
    <row r="60" spans="2:11" ht="12.75">
      <c r="B60" s="2" t="s">
        <v>47</v>
      </c>
      <c r="D60" s="2" t="s">
        <v>16</v>
      </c>
      <c r="G60" s="2">
        <v>89</v>
      </c>
      <c r="I60" s="2">
        <v>90</v>
      </c>
      <c r="K60" s="2">
        <v>89</v>
      </c>
    </row>
    <row r="62" spans="2:4" ht="12.75">
      <c r="B62" s="2" t="s">
        <v>149</v>
      </c>
      <c r="C62" s="2" t="s">
        <v>148</v>
      </c>
      <c r="D62" s="2" t="s">
        <v>201</v>
      </c>
    </row>
    <row r="63" spans="2:11" ht="12.75">
      <c r="B63" s="2" t="s">
        <v>46</v>
      </c>
      <c r="D63" s="2" t="s">
        <v>14</v>
      </c>
      <c r="G63" s="2">
        <v>8879</v>
      </c>
      <c r="I63" s="2">
        <v>8560</v>
      </c>
      <c r="K63" s="2">
        <v>8824</v>
      </c>
    </row>
    <row r="64" spans="2:11" ht="12.75">
      <c r="B64" s="2" t="s">
        <v>144</v>
      </c>
      <c r="D64" s="2" t="s">
        <v>15</v>
      </c>
      <c r="G64" s="2">
        <v>6.8</v>
      </c>
      <c r="I64" s="2">
        <v>6.7</v>
      </c>
      <c r="K64" s="2">
        <v>5.8</v>
      </c>
    </row>
    <row r="65" spans="2:11" ht="12.75">
      <c r="B65" s="2" t="s">
        <v>145</v>
      </c>
      <c r="D65" s="2" t="s">
        <v>15</v>
      </c>
      <c r="G65" s="2">
        <v>4.58</v>
      </c>
      <c r="I65" s="2">
        <v>4.53</v>
      </c>
      <c r="K65" s="2">
        <v>4.61</v>
      </c>
    </row>
    <row r="66" spans="2:11" ht="12.75">
      <c r="B66" s="2" t="s">
        <v>47</v>
      </c>
      <c r="D66" s="2" t="s">
        <v>16</v>
      </c>
      <c r="G66" s="2">
        <v>92</v>
      </c>
      <c r="I66" s="2">
        <v>93</v>
      </c>
      <c r="K66" s="2">
        <v>88</v>
      </c>
    </row>
    <row r="68" spans="2:13" ht="12.75">
      <c r="B68" s="2" t="s">
        <v>148</v>
      </c>
      <c r="C68" s="2" t="s">
        <v>201</v>
      </c>
      <c r="D68" s="2" t="s">
        <v>11</v>
      </c>
      <c r="E68" s="2" t="s">
        <v>43</v>
      </c>
      <c r="G68" s="12">
        <f>G53*(21-7)/(21-G64)</f>
        <v>253.28169014084506</v>
      </c>
      <c r="I68" s="12">
        <f>I53*(21-7)/(21-I64)</f>
        <v>482.2657342657343</v>
      </c>
      <c r="K68" s="12">
        <f>K53*(21-7)/(21-K64)</f>
        <v>244.05131578947373</v>
      </c>
      <c r="M68" s="12">
        <f>AVERAGE(K68,I68,G68)</f>
        <v>326.53291339868434</v>
      </c>
    </row>
    <row r="69" spans="2:13" ht="12.75">
      <c r="B69" s="2" t="s">
        <v>216</v>
      </c>
      <c r="C69" s="2" t="s">
        <v>201</v>
      </c>
      <c r="D69" s="2" t="s">
        <v>11</v>
      </c>
      <c r="E69" s="2" t="s">
        <v>43</v>
      </c>
      <c r="G69" s="12">
        <f>G54*(21-7)/(21-G64)</f>
        <v>56.50281690140846</v>
      </c>
      <c r="I69" s="12">
        <f>I54*(21-7)/(21-I64)</f>
        <v>70.9986013986014</v>
      </c>
      <c r="K69" s="12">
        <f>K54*(21-7)/(21-K64)</f>
        <v>89.51710526315789</v>
      </c>
      <c r="M69" s="12">
        <f>AVERAGE(K69,I69,G69)</f>
        <v>72.33950785438925</v>
      </c>
    </row>
    <row r="70" spans="2:13" ht="12.75">
      <c r="B70" s="2" t="s">
        <v>6</v>
      </c>
      <c r="C70" s="2" t="s">
        <v>201</v>
      </c>
      <c r="D70" s="2" t="s">
        <v>11</v>
      </c>
      <c r="E70" s="2" t="s">
        <v>43</v>
      </c>
      <c r="G70" s="12">
        <f>G68</f>
        <v>253.28169014084506</v>
      </c>
      <c r="I70" s="12">
        <f>I68</f>
        <v>482.2657342657343</v>
      </c>
      <c r="K70" s="12">
        <f>K68</f>
        <v>244.05131578947373</v>
      </c>
      <c r="M70" s="12">
        <f>M68</f>
        <v>326.53291339868434</v>
      </c>
    </row>
    <row r="72" spans="2:4" ht="12.75">
      <c r="B72" s="30" t="s">
        <v>161</v>
      </c>
      <c r="C72" s="30" t="s">
        <v>164</v>
      </c>
      <c r="D72" s="30"/>
    </row>
    <row r="73" spans="2:11" ht="12.75">
      <c r="B73" s="30" t="s">
        <v>162</v>
      </c>
      <c r="C73" s="30"/>
      <c r="D73" s="30" t="s">
        <v>102</v>
      </c>
      <c r="G73" s="2">
        <v>197.14</v>
      </c>
      <c r="I73" s="2">
        <v>202.3</v>
      </c>
      <c r="K73" s="2">
        <v>223.78</v>
      </c>
    </row>
    <row r="74" spans="2:11" ht="12.75">
      <c r="B74" s="30" t="s">
        <v>163</v>
      </c>
      <c r="C74" s="30" t="s">
        <v>200</v>
      </c>
      <c r="D74" s="30" t="s">
        <v>102</v>
      </c>
      <c r="G74" s="2">
        <v>0</v>
      </c>
      <c r="I74" s="2">
        <v>0</v>
      </c>
      <c r="K74" s="2">
        <v>0</v>
      </c>
    </row>
    <row r="75" spans="2:11" ht="12.75">
      <c r="B75" s="31" t="s">
        <v>7</v>
      </c>
      <c r="C75" s="30" t="s">
        <v>200</v>
      </c>
      <c r="D75" s="30" t="s">
        <v>15</v>
      </c>
      <c r="F75" s="8" t="s">
        <v>165</v>
      </c>
      <c r="G75" s="2">
        <v>99.999</v>
      </c>
      <c r="H75" s="8" t="s">
        <v>165</v>
      </c>
      <c r="I75" s="2">
        <v>99.999</v>
      </c>
      <c r="J75" s="8" t="s">
        <v>165</v>
      </c>
      <c r="K75" s="2">
        <v>99.999</v>
      </c>
    </row>
    <row r="76" spans="2:4" ht="12.75">
      <c r="B76" s="31"/>
      <c r="C76" s="30"/>
      <c r="D76" s="30"/>
    </row>
    <row r="77" spans="2:4" ht="12.75">
      <c r="B77" s="30" t="s">
        <v>161</v>
      </c>
      <c r="C77" s="30" t="s">
        <v>166</v>
      </c>
      <c r="D77" s="30"/>
    </row>
    <row r="78" spans="2:11" ht="12.75">
      <c r="B78" s="30" t="s">
        <v>162</v>
      </c>
      <c r="C78" s="30"/>
      <c r="D78" s="30" t="s">
        <v>102</v>
      </c>
      <c r="G78" s="2">
        <v>587.5</v>
      </c>
      <c r="I78" s="2">
        <v>588.4</v>
      </c>
      <c r="K78" s="2">
        <v>643.1</v>
      </c>
    </row>
    <row r="79" spans="2:11" ht="12.75">
      <c r="B79" s="30" t="s">
        <v>163</v>
      </c>
      <c r="C79" s="30" t="s">
        <v>200</v>
      </c>
      <c r="D79" s="30" t="s">
        <v>102</v>
      </c>
      <c r="G79" s="2">
        <v>0.004</v>
      </c>
      <c r="I79" s="2">
        <v>0.003</v>
      </c>
      <c r="K79" s="2">
        <v>0.003</v>
      </c>
    </row>
    <row r="80" spans="2:11" ht="12.75">
      <c r="B80" s="31" t="s">
        <v>7</v>
      </c>
      <c r="C80" s="30" t="s">
        <v>200</v>
      </c>
      <c r="D80" s="30" t="s">
        <v>15</v>
      </c>
      <c r="F80" s="8" t="s">
        <v>165</v>
      </c>
      <c r="G80" s="2">
        <v>99.999</v>
      </c>
      <c r="H80" s="8" t="s">
        <v>165</v>
      </c>
      <c r="I80" s="2">
        <v>99.999</v>
      </c>
      <c r="J80" s="8" t="s">
        <v>165</v>
      </c>
      <c r="K80" s="2">
        <v>99.999</v>
      </c>
    </row>
    <row r="81" spans="2:4" ht="12.75">
      <c r="B81" s="31"/>
      <c r="C81" s="30"/>
      <c r="D81" s="30"/>
    </row>
    <row r="82" spans="2:4" ht="12.75">
      <c r="B82" s="30" t="s">
        <v>161</v>
      </c>
      <c r="C82" s="30" t="s">
        <v>167</v>
      </c>
      <c r="D82" s="30"/>
    </row>
    <row r="83" spans="2:11" ht="12.75">
      <c r="B83" s="30" t="s">
        <v>162</v>
      </c>
      <c r="C83" s="30"/>
      <c r="D83" s="30" t="s">
        <v>102</v>
      </c>
      <c r="G83" s="2">
        <v>190.9</v>
      </c>
      <c r="I83" s="2">
        <v>186.3</v>
      </c>
      <c r="K83" s="2">
        <v>192.9</v>
      </c>
    </row>
    <row r="84" spans="2:11" ht="12.75">
      <c r="B84" s="30" t="s">
        <v>163</v>
      </c>
      <c r="C84" s="30" t="s">
        <v>200</v>
      </c>
      <c r="D84" s="30" t="s">
        <v>102</v>
      </c>
      <c r="G84" s="32">
        <v>0.000265</v>
      </c>
      <c r="I84" s="32">
        <v>0.000494</v>
      </c>
      <c r="J84" s="8" t="s">
        <v>45</v>
      </c>
      <c r="K84" s="32">
        <v>0.000253</v>
      </c>
    </row>
    <row r="85" spans="2:11" ht="12.75">
      <c r="B85" s="31" t="s">
        <v>7</v>
      </c>
      <c r="C85" s="30" t="s">
        <v>200</v>
      </c>
      <c r="D85" s="30" t="s">
        <v>15</v>
      </c>
      <c r="F85" s="8" t="s">
        <v>165</v>
      </c>
      <c r="G85" s="2">
        <v>99.999</v>
      </c>
      <c r="H85" s="8" t="s">
        <v>165</v>
      </c>
      <c r="I85" s="2">
        <v>99.999</v>
      </c>
      <c r="J85" s="8" t="s">
        <v>165</v>
      </c>
      <c r="K85" s="2">
        <v>99.999</v>
      </c>
    </row>
    <row r="87" spans="1:13" ht="12.75">
      <c r="A87" s="2">
        <v>12</v>
      </c>
      <c r="B87" s="1" t="s">
        <v>185</v>
      </c>
      <c r="C87" s="1"/>
      <c r="G87" s="8" t="s">
        <v>197</v>
      </c>
      <c r="I87" s="8" t="s">
        <v>198</v>
      </c>
      <c r="K87" s="8" t="s">
        <v>199</v>
      </c>
      <c r="L87" s="8"/>
      <c r="M87" s="2" t="s">
        <v>41</v>
      </c>
    </row>
    <row r="89" spans="2:13" ht="12.75">
      <c r="B89" s="2" t="s">
        <v>2</v>
      </c>
      <c r="C89" s="2" t="s">
        <v>200</v>
      </c>
      <c r="D89" s="2" t="s">
        <v>9</v>
      </c>
      <c r="E89" s="2" t="s">
        <v>43</v>
      </c>
      <c r="G89" s="2">
        <v>0.0474</v>
      </c>
      <c r="I89" s="2">
        <v>0.0435</v>
      </c>
      <c r="K89" s="2">
        <v>0.0384</v>
      </c>
      <c r="M89" s="11">
        <f>AVERAGE(K89,I89,G89)</f>
        <v>0.0431</v>
      </c>
    </row>
    <row r="90" spans="2:13" ht="12.75">
      <c r="B90" s="2" t="s">
        <v>158</v>
      </c>
      <c r="C90" s="2" t="s">
        <v>200</v>
      </c>
      <c r="D90" s="2" t="s">
        <v>10</v>
      </c>
      <c r="E90" s="2" t="s">
        <v>43</v>
      </c>
      <c r="G90" s="2">
        <v>37.39</v>
      </c>
      <c r="I90" s="2">
        <v>21.25</v>
      </c>
      <c r="K90" s="2">
        <v>19.99</v>
      </c>
      <c r="M90" s="12">
        <f>AVERAGE(K90,I90,G90)</f>
        <v>26.209999999999997</v>
      </c>
    </row>
    <row r="91" spans="2:13" ht="12.75">
      <c r="B91" s="2" t="s">
        <v>186</v>
      </c>
      <c r="C91" s="2" t="s">
        <v>200</v>
      </c>
      <c r="D91" s="2" t="s">
        <v>10</v>
      </c>
      <c r="E91" s="2" t="s">
        <v>43</v>
      </c>
      <c r="G91" s="2">
        <v>43.57</v>
      </c>
      <c r="I91" s="2">
        <v>22.01</v>
      </c>
      <c r="K91" s="2">
        <v>20.74</v>
      </c>
      <c r="M91" s="12">
        <f>AVERAGE(K91,I91,G91)</f>
        <v>28.77333333333333</v>
      </c>
    </row>
    <row r="92" spans="2:11" ht="12.75">
      <c r="B92" s="2" t="s">
        <v>3</v>
      </c>
      <c r="D92" s="2" t="s">
        <v>10</v>
      </c>
      <c r="E92" s="2" t="s">
        <v>44</v>
      </c>
      <c r="G92" s="2">
        <v>529.6</v>
      </c>
      <c r="I92" s="2">
        <v>505.5</v>
      </c>
      <c r="K92" s="2">
        <v>504.3</v>
      </c>
    </row>
    <row r="93" spans="2:11" ht="12.75">
      <c r="B93" s="2" t="s">
        <v>4</v>
      </c>
      <c r="D93" s="2" t="s">
        <v>10</v>
      </c>
      <c r="E93" s="2" t="s">
        <v>44</v>
      </c>
      <c r="G93" s="2">
        <v>2.2</v>
      </c>
      <c r="I93" s="2">
        <v>1.9</v>
      </c>
      <c r="K93" s="2">
        <v>1.7</v>
      </c>
    </row>
    <row r="95" spans="2:4" ht="12.75">
      <c r="B95" s="2" t="s">
        <v>149</v>
      </c>
      <c r="C95" s="2" t="s">
        <v>159</v>
      </c>
      <c r="D95" s="2" t="s">
        <v>200</v>
      </c>
    </row>
    <row r="96" spans="2:13" ht="12.75">
      <c r="B96" s="2" t="s">
        <v>46</v>
      </c>
      <c r="D96" s="2" t="s">
        <v>14</v>
      </c>
      <c r="G96" s="2">
        <v>8470</v>
      </c>
      <c r="I96" s="2">
        <v>8528</v>
      </c>
      <c r="K96" s="2">
        <v>8556</v>
      </c>
      <c r="M96" s="12">
        <f>AVERAGE(K96,I96,G96)</f>
        <v>8518</v>
      </c>
    </row>
    <row r="97" spans="2:13" ht="12.75">
      <c r="B97" s="2" t="s">
        <v>144</v>
      </c>
      <c r="D97" s="2" t="s">
        <v>15</v>
      </c>
      <c r="G97" s="2">
        <v>6.1</v>
      </c>
      <c r="I97" s="2">
        <v>6.5</v>
      </c>
      <c r="K97" s="2">
        <v>6.6</v>
      </c>
      <c r="M97" s="12">
        <f>AVERAGE(K97,I97,G97)</f>
        <v>6.3999999999999995</v>
      </c>
    </row>
    <row r="98" spans="2:11" ht="12.75">
      <c r="B98" s="2" t="s">
        <v>145</v>
      </c>
      <c r="D98" s="2" t="s">
        <v>15</v>
      </c>
      <c r="G98" s="2">
        <v>8.4</v>
      </c>
      <c r="I98" s="2">
        <v>7.93</v>
      </c>
      <c r="K98" s="2">
        <v>7.5</v>
      </c>
    </row>
    <row r="99" spans="2:11" ht="12.75">
      <c r="B99" s="2" t="s">
        <v>47</v>
      </c>
      <c r="D99" s="2" t="s">
        <v>16</v>
      </c>
      <c r="G99" s="2">
        <v>107</v>
      </c>
      <c r="I99" s="2">
        <v>108</v>
      </c>
      <c r="K99" s="2">
        <v>107</v>
      </c>
    </row>
    <row r="101" spans="2:13" ht="12.75">
      <c r="B101" s="2" t="s">
        <v>3</v>
      </c>
      <c r="C101" s="2" t="s">
        <v>200</v>
      </c>
      <c r="D101" s="2" t="s">
        <v>10</v>
      </c>
      <c r="E101" s="2" t="s">
        <v>43</v>
      </c>
      <c r="G101" s="12">
        <f>G92*(21-7)/(21-G$97)</f>
        <v>497.6107382550336</v>
      </c>
      <c r="I101" s="12">
        <f>I92*(21-7)/(21-I$97)</f>
        <v>488.0689655172414</v>
      </c>
      <c r="K101" s="12">
        <f>K92*(21-7)/(21-K$97)</f>
        <v>490.29166666666663</v>
      </c>
      <c r="M101" s="12">
        <f>AVERAGE(K101,I101,G101)</f>
        <v>491.99045681298054</v>
      </c>
    </row>
    <row r="102" spans="2:13" ht="12.75">
      <c r="B102" s="2" t="s">
        <v>4</v>
      </c>
      <c r="C102" s="2" t="s">
        <v>200</v>
      </c>
      <c r="D102" s="2" t="s">
        <v>10</v>
      </c>
      <c r="E102" s="2" t="s">
        <v>43</v>
      </c>
      <c r="G102" s="12">
        <f>G93*(21-7)/(21-G$97)</f>
        <v>2.0671140939597317</v>
      </c>
      <c r="I102" s="12">
        <f>I93*(21-7)/(21-I$97)</f>
        <v>1.8344827586206895</v>
      </c>
      <c r="K102" s="12">
        <f>K93*(21-7)/(21-K$97)</f>
        <v>1.6527777777777777</v>
      </c>
      <c r="M102" s="12">
        <f>AVERAGE(K102,I102,G102)</f>
        <v>1.8514582101193995</v>
      </c>
    </row>
    <row r="103" spans="2:13" ht="12.75">
      <c r="B103" s="2" t="s">
        <v>160</v>
      </c>
      <c r="C103" s="2" t="s">
        <v>200</v>
      </c>
      <c r="D103" s="2" t="s">
        <v>10</v>
      </c>
      <c r="E103" s="2" t="s">
        <v>43</v>
      </c>
      <c r="G103" s="12">
        <f>G101+2*G102</f>
        <v>501.74496644295306</v>
      </c>
      <c r="I103" s="12">
        <f>I101+2*I102</f>
        <v>491.73793103448276</v>
      </c>
      <c r="K103" s="12">
        <f>K101+2*K102</f>
        <v>493.5972222222222</v>
      </c>
      <c r="M103" s="12">
        <f>AVERAGE(K103,I103,G103)</f>
        <v>495.6933732332193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4"/>
  <sheetViews>
    <sheetView tabSelected="1" zoomScale="75" zoomScaleNormal="75" workbookViewId="0" topLeftCell="B80">
      <selection activeCell="I102" sqref="I102"/>
    </sheetView>
  </sheetViews>
  <sheetFormatPr defaultColWidth="9.140625" defaultRowHeight="12.75"/>
  <cols>
    <col min="1" max="1" width="9.140625" style="2" hidden="1" customWidth="1"/>
    <col min="2" max="2" width="25.140625" style="2" customWidth="1"/>
    <col min="3" max="3" width="2.57421875" style="2" customWidth="1"/>
    <col min="4" max="4" width="9.140625" style="2" customWidth="1"/>
    <col min="5" max="5" width="4.140625" style="2" customWidth="1"/>
    <col min="6" max="6" width="15.421875" style="2" customWidth="1"/>
    <col min="7" max="7" width="5.140625" style="2" customWidth="1"/>
    <col min="8" max="8" width="15.140625" style="2" customWidth="1"/>
    <col min="9" max="9" width="4.7109375" style="2" customWidth="1"/>
    <col min="10" max="10" width="17.7109375" style="2" customWidth="1"/>
    <col min="11" max="11" width="5.00390625" style="2" customWidth="1"/>
    <col min="12" max="12" width="18.28125" style="2" bestFit="1" customWidth="1"/>
    <col min="13" max="13" width="4.7109375" style="2" customWidth="1"/>
    <col min="14" max="14" width="12.57421875" style="2" customWidth="1"/>
    <col min="15" max="15" width="5.00390625" style="2" customWidth="1"/>
    <col min="16" max="16" width="12.7109375" style="2" customWidth="1"/>
    <col min="17" max="17" width="4.8515625" style="2" customWidth="1"/>
    <col min="18" max="18" width="12.7109375" style="2" customWidth="1"/>
    <col min="19" max="19" width="4.57421875" style="2" customWidth="1"/>
    <col min="20" max="20" width="14.28125" style="2" customWidth="1"/>
    <col min="21" max="21" width="3.7109375" style="2" customWidth="1"/>
    <col min="22" max="22" width="11.421875" style="2" customWidth="1"/>
    <col min="23" max="23" width="3.7109375" style="2" customWidth="1"/>
    <col min="24" max="24" width="11.421875" style="2" customWidth="1"/>
    <col min="25" max="25" width="4.57421875" style="2" customWidth="1"/>
    <col min="26" max="26" width="11.421875" style="2" customWidth="1"/>
    <col min="27" max="27" width="4.140625" style="2" customWidth="1"/>
    <col min="28" max="16384" width="11.421875" style="2" customWidth="1"/>
  </cols>
  <sheetData>
    <row r="1" spans="2:3" ht="12.75">
      <c r="B1" s="1" t="s">
        <v>107</v>
      </c>
      <c r="C1" s="1"/>
    </row>
    <row r="2" ht="12.75">
      <c r="U2" s="8"/>
    </row>
    <row r="3" spans="1:20" ht="12.75">
      <c r="A3" s="2" t="s">
        <v>151</v>
      </c>
      <c r="B3" s="1" t="s">
        <v>42</v>
      </c>
      <c r="C3" s="1" t="s">
        <v>169</v>
      </c>
      <c r="F3" s="8" t="s">
        <v>197</v>
      </c>
      <c r="H3" s="8" t="s">
        <v>198</v>
      </c>
      <c r="J3" s="8" t="s">
        <v>199</v>
      </c>
      <c r="L3" s="8" t="s">
        <v>41</v>
      </c>
      <c r="N3" s="8" t="s">
        <v>197</v>
      </c>
      <c r="P3" s="8" t="s">
        <v>198</v>
      </c>
      <c r="R3" s="8" t="s">
        <v>199</v>
      </c>
      <c r="T3" s="8" t="s">
        <v>41</v>
      </c>
    </row>
    <row r="4" spans="2:12" ht="12.75">
      <c r="B4" s="1"/>
      <c r="C4" s="1"/>
      <c r="F4" s="8"/>
      <c r="H4" s="8"/>
      <c r="J4" s="8"/>
      <c r="L4" s="8"/>
    </row>
    <row r="5" spans="2:20" ht="12.75">
      <c r="B5" s="36" t="s">
        <v>203</v>
      </c>
      <c r="C5" s="1"/>
      <c r="F5" s="8" t="s">
        <v>213</v>
      </c>
      <c r="H5" s="8" t="s">
        <v>213</v>
      </c>
      <c r="J5" s="8" t="s">
        <v>213</v>
      </c>
      <c r="L5" s="8" t="s">
        <v>213</v>
      </c>
      <c r="N5" s="2" t="s">
        <v>214</v>
      </c>
      <c r="P5" s="2" t="s">
        <v>214</v>
      </c>
      <c r="R5" s="2" t="s">
        <v>214</v>
      </c>
      <c r="T5" s="2" t="s">
        <v>214</v>
      </c>
    </row>
    <row r="6" spans="2:20" ht="12.75">
      <c r="B6" s="36" t="s">
        <v>204</v>
      </c>
      <c r="F6" s="8" t="s">
        <v>205</v>
      </c>
      <c r="H6" s="8" t="s">
        <v>205</v>
      </c>
      <c r="J6" s="8" t="s">
        <v>205</v>
      </c>
      <c r="L6" s="8" t="s">
        <v>205</v>
      </c>
      <c r="N6" s="2" t="s">
        <v>64</v>
      </c>
      <c r="P6" s="2" t="s">
        <v>64</v>
      </c>
      <c r="R6" s="2" t="s">
        <v>64</v>
      </c>
      <c r="T6" s="2" t="s">
        <v>64</v>
      </c>
    </row>
    <row r="7" spans="2:20" ht="12.75">
      <c r="B7" s="36" t="s">
        <v>219</v>
      </c>
      <c r="F7" s="8" t="s">
        <v>1</v>
      </c>
      <c r="H7" s="8" t="s">
        <v>1</v>
      </c>
      <c r="J7" s="8" t="s">
        <v>1</v>
      </c>
      <c r="L7" s="8" t="s">
        <v>1</v>
      </c>
      <c r="N7" s="2" t="s">
        <v>64</v>
      </c>
      <c r="P7" s="2" t="s">
        <v>64</v>
      </c>
      <c r="R7" s="2" t="s">
        <v>64</v>
      </c>
      <c r="T7" s="2" t="s">
        <v>64</v>
      </c>
    </row>
    <row r="8" spans="2:20" ht="12.75">
      <c r="B8" s="2" t="s">
        <v>152</v>
      </c>
      <c r="F8" s="10" t="s">
        <v>202</v>
      </c>
      <c r="H8" s="10" t="s">
        <v>48</v>
      </c>
      <c r="J8" s="10" t="s">
        <v>48</v>
      </c>
      <c r="L8" s="10" t="s">
        <v>48</v>
      </c>
      <c r="M8" s="10"/>
      <c r="N8" s="10" t="s">
        <v>64</v>
      </c>
      <c r="O8" s="10"/>
      <c r="P8" s="10" t="s">
        <v>64</v>
      </c>
      <c r="Q8" s="10"/>
      <c r="R8" s="10" t="s">
        <v>64</v>
      </c>
      <c r="S8" s="10"/>
      <c r="T8" s="10" t="s">
        <v>64</v>
      </c>
    </row>
    <row r="9" spans="2:19" ht="12.75">
      <c r="B9" s="2" t="s">
        <v>171</v>
      </c>
      <c r="D9" s="2" t="s">
        <v>102</v>
      </c>
      <c r="F9" s="12">
        <v>4331</v>
      </c>
      <c r="H9" s="12">
        <v>4331</v>
      </c>
      <c r="J9" s="12">
        <v>4331</v>
      </c>
      <c r="L9" s="12">
        <v>4331</v>
      </c>
      <c r="M9" s="12"/>
      <c r="N9" s="12"/>
      <c r="O9" s="12"/>
      <c r="P9" s="12"/>
      <c r="Q9" s="12"/>
      <c r="R9" s="12"/>
      <c r="S9" s="12"/>
    </row>
    <row r="10" spans="2:12" ht="12.75">
      <c r="B10" s="2" t="s">
        <v>49</v>
      </c>
      <c r="D10" s="2" t="s">
        <v>50</v>
      </c>
      <c r="F10" s="2">
        <v>1.109</v>
      </c>
      <c r="H10" s="2">
        <v>1.127</v>
      </c>
      <c r="J10" s="2">
        <v>1.026</v>
      </c>
      <c r="L10" s="2">
        <v>1.1</v>
      </c>
    </row>
    <row r="11" spans="2:12" ht="12.75">
      <c r="B11" s="2" t="s">
        <v>51</v>
      </c>
      <c r="D11" s="2" t="s">
        <v>52</v>
      </c>
      <c r="F11" s="2">
        <v>11167</v>
      </c>
      <c r="H11" s="2">
        <v>11690</v>
      </c>
      <c r="J11" s="2">
        <v>11560</v>
      </c>
      <c r="L11" s="2">
        <v>11140</v>
      </c>
    </row>
    <row r="12" spans="2:20" ht="12.75">
      <c r="B12" s="2" t="s">
        <v>218</v>
      </c>
      <c r="D12" s="2" t="s">
        <v>101</v>
      </c>
      <c r="F12" s="29">
        <f>F9*F11/1000000</f>
        <v>48.364277</v>
      </c>
      <c r="H12" s="29">
        <f>H9*H11/1000000</f>
        <v>50.62939</v>
      </c>
      <c r="J12" s="29">
        <f>J9*J11/1000000</f>
        <v>50.06636</v>
      </c>
      <c r="L12" s="29">
        <f>L9*L11/1000000</f>
        <v>48.24734</v>
      </c>
      <c r="N12" s="29">
        <f>F12</f>
        <v>48.364277</v>
      </c>
      <c r="P12" s="29">
        <f>H12</f>
        <v>50.62939</v>
      </c>
      <c r="R12" s="29">
        <f>J12</f>
        <v>50.06636</v>
      </c>
      <c r="T12" s="29">
        <f>L12</f>
        <v>48.24734</v>
      </c>
    </row>
    <row r="13" spans="2:12" ht="12.75">
      <c r="B13" s="2" t="s">
        <v>53</v>
      </c>
      <c r="D13" s="2" t="s">
        <v>54</v>
      </c>
      <c r="E13" s="2" t="s">
        <v>45</v>
      </c>
      <c r="F13" s="2">
        <v>6</v>
      </c>
      <c r="G13" s="2" t="s">
        <v>45</v>
      </c>
      <c r="H13" s="2">
        <v>6</v>
      </c>
      <c r="I13" s="2" t="s">
        <v>45</v>
      </c>
      <c r="J13" s="2">
        <v>6</v>
      </c>
      <c r="L13" s="2">
        <v>6</v>
      </c>
    </row>
    <row r="14" spans="2:12" ht="12.75">
      <c r="B14" s="2" t="s">
        <v>8</v>
      </c>
      <c r="D14" s="2" t="s">
        <v>55</v>
      </c>
      <c r="F14" s="2">
        <v>0.0176</v>
      </c>
      <c r="H14" s="2">
        <v>0.0246</v>
      </c>
      <c r="J14" s="2">
        <v>0.0289</v>
      </c>
      <c r="L14" s="2">
        <v>0.0237</v>
      </c>
    </row>
    <row r="15" spans="2:12" ht="12.75">
      <c r="B15" s="2" t="s">
        <v>56</v>
      </c>
      <c r="D15" s="2" t="s">
        <v>55</v>
      </c>
      <c r="F15" s="2">
        <v>39.3</v>
      </c>
      <c r="H15" s="2">
        <v>44.2</v>
      </c>
      <c r="J15" s="2">
        <v>36.8</v>
      </c>
      <c r="L15" s="2">
        <v>40.1</v>
      </c>
    </row>
    <row r="16" spans="2:12" ht="12.75">
      <c r="B16" s="2" t="s">
        <v>133</v>
      </c>
      <c r="D16" s="2" t="s">
        <v>57</v>
      </c>
      <c r="E16" s="2" t="s">
        <v>45</v>
      </c>
      <c r="F16" s="2">
        <v>1.5</v>
      </c>
      <c r="G16" s="2" t="s">
        <v>45</v>
      </c>
      <c r="H16" s="2">
        <v>1.4</v>
      </c>
      <c r="I16" s="2" t="s">
        <v>45</v>
      </c>
      <c r="J16" s="2">
        <v>1.4</v>
      </c>
      <c r="L16" s="2">
        <v>1.4</v>
      </c>
    </row>
    <row r="17" spans="2:12" ht="12.75">
      <c r="B17" s="2" t="s">
        <v>134</v>
      </c>
      <c r="D17" s="2" t="s">
        <v>57</v>
      </c>
      <c r="E17" s="2" t="s">
        <v>45</v>
      </c>
      <c r="F17" s="2">
        <v>0.12</v>
      </c>
      <c r="G17" s="2" t="s">
        <v>45</v>
      </c>
      <c r="H17" s="2">
        <v>0.12</v>
      </c>
      <c r="I17" s="2" t="s">
        <v>45</v>
      </c>
      <c r="J17" s="2">
        <v>0.12</v>
      </c>
      <c r="L17" s="2">
        <v>0.12</v>
      </c>
    </row>
    <row r="18" spans="2:12" ht="12.75">
      <c r="B18" s="2" t="s">
        <v>135</v>
      </c>
      <c r="D18" s="2" t="s">
        <v>57</v>
      </c>
      <c r="E18" s="2" t="s">
        <v>45</v>
      </c>
      <c r="F18" s="2">
        <v>0.18</v>
      </c>
      <c r="G18" s="2" t="s">
        <v>45</v>
      </c>
      <c r="H18" s="2">
        <v>0.18</v>
      </c>
      <c r="I18" s="2" t="s">
        <v>45</v>
      </c>
      <c r="J18" s="2">
        <v>0.18</v>
      </c>
      <c r="L18" s="2">
        <v>0.18</v>
      </c>
    </row>
    <row r="19" spans="2:12" ht="12.75">
      <c r="B19" s="2" t="s">
        <v>136</v>
      </c>
      <c r="D19" s="2" t="s">
        <v>57</v>
      </c>
      <c r="E19" s="2" t="s">
        <v>45</v>
      </c>
      <c r="F19" s="2">
        <v>0.01</v>
      </c>
      <c r="G19" s="2" t="s">
        <v>45</v>
      </c>
      <c r="H19" s="2">
        <v>0.01</v>
      </c>
      <c r="I19" s="2" t="s">
        <v>45</v>
      </c>
      <c r="J19" s="2">
        <v>0.01</v>
      </c>
      <c r="L19" s="2">
        <v>0.01</v>
      </c>
    </row>
    <row r="20" spans="2:12" ht="12.75">
      <c r="B20" s="2" t="s">
        <v>137</v>
      </c>
      <c r="D20" s="2" t="s">
        <v>57</v>
      </c>
      <c r="E20" s="2" t="s">
        <v>45</v>
      </c>
      <c r="F20" s="2">
        <v>0.02</v>
      </c>
      <c r="G20" s="2" t="s">
        <v>45</v>
      </c>
      <c r="H20" s="2">
        <v>0.02</v>
      </c>
      <c r="I20" s="2" t="s">
        <v>45</v>
      </c>
      <c r="J20" s="2">
        <v>0.02</v>
      </c>
      <c r="L20" s="2">
        <v>0.02</v>
      </c>
    </row>
    <row r="21" spans="2:12" ht="12.75">
      <c r="B21" s="2" t="s">
        <v>148</v>
      </c>
      <c r="D21" s="2" t="s">
        <v>57</v>
      </c>
      <c r="F21" s="2">
        <v>1.3</v>
      </c>
      <c r="H21" s="2">
        <v>1.4</v>
      </c>
      <c r="J21" s="2">
        <v>0.59</v>
      </c>
      <c r="L21" s="2">
        <v>1.1</v>
      </c>
    </row>
    <row r="22" spans="2:12" ht="12.75">
      <c r="B22" s="2" t="s">
        <v>138</v>
      </c>
      <c r="D22" s="2" t="s">
        <v>57</v>
      </c>
      <c r="E22" s="2" t="s">
        <v>45</v>
      </c>
      <c r="F22" s="2">
        <v>1.6</v>
      </c>
      <c r="G22" s="2" t="s">
        <v>45</v>
      </c>
      <c r="H22" s="2">
        <v>1.6</v>
      </c>
      <c r="I22" s="2" t="s">
        <v>45</v>
      </c>
      <c r="J22" s="2">
        <v>1.6</v>
      </c>
      <c r="L22" s="2">
        <v>1.6</v>
      </c>
    </row>
    <row r="23" spans="2:12" ht="12.75">
      <c r="B23" s="2" t="s">
        <v>139</v>
      </c>
      <c r="D23" s="2" t="s">
        <v>57</v>
      </c>
      <c r="E23" s="2" t="s">
        <v>45</v>
      </c>
      <c r="F23" s="2">
        <v>0.03</v>
      </c>
      <c r="G23" s="2" t="s">
        <v>45</v>
      </c>
      <c r="H23" s="2">
        <v>0.03</v>
      </c>
      <c r="I23" s="2" t="s">
        <v>45</v>
      </c>
      <c r="J23" s="2">
        <v>0.02</v>
      </c>
      <c r="L23" s="2">
        <v>0.03</v>
      </c>
    </row>
    <row r="24" spans="2:12" ht="12.75">
      <c r="B24" s="2" t="s">
        <v>140</v>
      </c>
      <c r="D24" s="2" t="s">
        <v>57</v>
      </c>
      <c r="E24" s="2" t="s">
        <v>45</v>
      </c>
      <c r="F24" s="2">
        <v>0.24</v>
      </c>
      <c r="G24" s="2" t="s">
        <v>45</v>
      </c>
      <c r="H24" s="2">
        <v>0.24</v>
      </c>
      <c r="I24" s="2" t="s">
        <v>45</v>
      </c>
      <c r="J24" s="2">
        <v>0.24</v>
      </c>
      <c r="L24" s="2">
        <v>0.24</v>
      </c>
    </row>
    <row r="25" spans="2:12" ht="12.75">
      <c r="B25" s="2" t="s">
        <v>141</v>
      </c>
      <c r="D25" s="2" t="s">
        <v>57</v>
      </c>
      <c r="E25" s="2" t="s">
        <v>45</v>
      </c>
      <c r="F25" s="2">
        <v>8.2</v>
      </c>
      <c r="G25" s="2" t="s">
        <v>45</v>
      </c>
      <c r="H25" s="2">
        <v>8.1</v>
      </c>
      <c r="I25" s="2" t="s">
        <v>45</v>
      </c>
      <c r="J25" s="2">
        <v>8.1</v>
      </c>
      <c r="L25" s="2">
        <v>8.1</v>
      </c>
    </row>
    <row r="26" spans="2:12" ht="12.75">
      <c r="B26" s="2" t="s">
        <v>172</v>
      </c>
      <c r="D26" s="2" t="s">
        <v>57</v>
      </c>
      <c r="E26" s="2" t="s">
        <v>45</v>
      </c>
      <c r="F26" s="2">
        <v>2.8</v>
      </c>
      <c r="G26" s="2" t="s">
        <v>45</v>
      </c>
      <c r="H26" s="2">
        <v>2.8</v>
      </c>
      <c r="I26" s="2" t="s">
        <v>45</v>
      </c>
      <c r="J26" s="2">
        <v>2.8</v>
      </c>
      <c r="L26" s="2">
        <v>2.8</v>
      </c>
    </row>
    <row r="27" spans="2:12" ht="12.75">
      <c r="B27" s="2" t="s">
        <v>150</v>
      </c>
      <c r="D27" s="2" t="s">
        <v>57</v>
      </c>
      <c r="E27" s="2" t="s">
        <v>45</v>
      </c>
      <c r="F27" s="2">
        <v>11.8</v>
      </c>
      <c r="G27" s="2" t="s">
        <v>45</v>
      </c>
      <c r="H27" s="2">
        <v>13.6</v>
      </c>
      <c r="I27" s="2" t="s">
        <v>45</v>
      </c>
      <c r="J27" s="2">
        <v>0.69</v>
      </c>
      <c r="L27" s="2">
        <v>8.7</v>
      </c>
    </row>
    <row r="29" spans="2:19" ht="12.75">
      <c r="B29" s="2" t="s">
        <v>99</v>
      </c>
      <c r="D29" s="2" t="s">
        <v>14</v>
      </c>
      <c r="F29" s="2">
        <f>emiss!G20</f>
        <v>7980</v>
      </c>
      <c r="H29" s="2">
        <f>emiss!I20</f>
        <v>8426</v>
      </c>
      <c r="J29" s="2">
        <f>emiss!K20</f>
        <v>8287</v>
      </c>
      <c r="L29" s="12">
        <f>emiss!M20</f>
        <v>8231</v>
      </c>
      <c r="M29" s="12"/>
      <c r="N29" s="12"/>
      <c r="O29" s="12"/>
      <c r="P29" s="12"/>
      <c r="Q29" s="12"/>
      <c r="R29" s="12"/>
      <c r="S29" s="12"/>
    </row>
    <row r="30" spans="2:19" ht="12.75">
      <c r="B30" s="2" t="s">
        <v>100</v>
      </c>
      <c r="D30" s="2" t="s">
        <v>15</v>
      </c>
      <c r="F30" s="2">
        <f>emiss!G21</f>
        <v>4.5</v>
      </c>
      <c r="H30" s="2">
        <f>emiss!I21</f>
        <v>4.5</v>
      </c>
      <c r="J30" s="2">
        <f>emiss!K21</f>
        <v>4.3</v>
      </c>
      <c r="L30" s="12">
        <f>emiss!M21</f>
        <v>4.433333333333334</v>
      </c>
      <c r="M30" s="12"/>
      <c r="N30" s="12"/>
      <c r="O30" s="12"/>
      <c r="P30" s="12"/>
      <c r="Q30" s="12"/>
      <c r="R30" s="12"/>
      <c r="S30" s="12"/>
    </row>
    <row r="32" spans="2:3" ht="12.75">
      <c r="B32" s="26" t="s">
        <v>113</v>
      </c>
      <c r="C32" s="26"/>
    </row>
    <row r="33" spans="2:20" ht="12.75">
      <c r="B33" s="2" t="s">
        <v>8</v>
      </c>
      <c r="D33" s="2" t="s">
        <v>13</v>
      </c>
      <c r="F33" s="12">
        <f>F9*F14/100*454/F29/60/0.0283*1000*(21-7)/(21-F30)</f>
        <v>21.67006522981974</v>
      </c>
      <c r="H33" s="12">
        <f>H9*H14/100*454/H29/60/0.0283*1000*(21-7)/(21-H30)</f>
        <v>28.68561032097251</v>
      </c>
      <c r="J33" s="12">
        <f>J9*J14/100*454/J29/60/0.0283*1000*(21-7)/(21-J30)</f>
        <v>33.85465708115821</v>
      </c>
      <c r="L33" s="12">
        <f aca="true" t="shared" si="0" ref="L33:L48">AVERAGE(F33,H33,J33)</f>
        <v>28.07011087731682</v>
      </c>
      <c r="M33" s="12"/>
      <c r="N33" s="12">
        <f>F33</f>
        <v>21.67006522981974</v>
      </c>
      <c r="O33" s="12"/>
      <c r="P33" s="12">
        <f>H33</f>
        <v>28.68561032097251</v>
      </c>
      <c r="Q33" s="12"/>
      <c r="R33" s="12">
        <f>J33</f>
        <v>33.85465708115821</v>
      </c>
      <c r="S33" s="12"/>
      <c r="T33" s="12">
        <f>L33</f>
        <v>28.07011087731682</v>
      </c>
    </row>
    <row r="34" spans="2:20" ht="12.75">
      <c r="B34" s="2" t="s">
        <v>56</v>
      </c>
      <c r="D34" s="2" t="s">
        <v>103</v>
      </c>
      <c r="F34" s="33">
        <f>F9*F15/100*454/F29/60/0.0283*1000000*(21-7)/(21-F30)</f>
        <v>48388270.65522248</v>
      </c>
      <c r="G34" s="33"/>
      <c r="H34" s="33">
        <f>H9*H15/100*454/H29/60/0.0283*1000000*(21-7)/(21-H30)</f>
        <v>51540812.040121354</v>
      </c>
      <c r="I34" s="33"/>
      <c r="J34" s="33">
        <f>J9*J15/100*454/J29/60/0.0283*1000000*(21-7)/(21-J30)</f>
        <v>43109044.31095579</v>
      </c>
      <c r="K34" s="33"/>
      <c r="L34" s="33">
        <f t="shared" si="0"/>
        <v>47679375.668766536</v>
      </c>
      <c r="M34" s="33"/>
      <c r="N34" s="33">
        <f>F34</f>
        <v>48388270.65522248</v>
      </c>
      <c r="O34" s="33"/>
      <c r="P34" s="33">
        <f>H34</f>
        <v>51540812.040121354</v>
      </c>
      <c r="Q34" s="33"/>
      <c r="R34" s="33">
        <f>J34</f>
        <v>43109044.31095579</v>
      </c>
      <c r="S34" s="33"/>
      <c r="T34" s="33">
        <f>L34</f>
        <v>47679375.668766536</v>
      </c>
    </row>
    <row r="35" spans="2:20" ht="12.75">
      <c r="B35" s="2" t="s">
        <v>133</v>
      </c>
      <c r="D35" s="2" t="s">
        <v>103</v>
      </c>
      <c r="E35" s="2">
        <v>100</v>
      </c>
      <c r="F35" s="12">
        <f aca="true" t="shared" si="1" ref="F35:F46">F$9*F16/1000000*454/F$29/60/0.0283*1000000*(21-7)/(21-F$30)</f>
        <v>184.6880559359637</v>
      </c>
      <c r="G35" s="2">
        <v>100</v>
      </c>
      <c r="H35" s="12">
        <f aca="true" t="shared" si="2" ref="H35:H46">H$9*H16/1000000*454/H$29/60/0.0283*1000000*(21-7)/(21-H$30)</f>
        <v>163.25144085106308</v>
      </c>
      <c r="I35" s="2">
        <v>100</v>
      </c>
      <c r="J35" s="12">
        <f aca="true" t="shared" si="3" ref="J35:J46">J$9*J16/1000000*454/J$29/60/0.0283*1000000*(21-7)/(21-J$30)</f>
        <v>164.0017990090709</v>
      </c>
      <c r="K35" s="2">
        <v>100</v>
      </c>
      <c r="L35" s="12">
        <f t="shared" si="0"/>
        <v>170.64709859869922</v>
      </c>
      <c r="M35" s="33">
        <f>E35</f>
        <v>100</v>
      </c>
      <c r="N35" s="12">
        <f>F35/2</f>
        <v>92.34402796798184</v>
      </c>
      <c r="O35" s="33">
        <f>G35</f>
        <v>100</v>
      </c>
      <c r="P35" s="12">
        <f>H35/2</f>
        <v>81.62572042553154</v>
      </c>
      <c r="Q35" s="33">
        <f>I35</f>
        <v>100</v>
      </c>
      <c r="R35" s="12">
        <f>J35/2</f>
        <v>82.00089950453545</v>
      </c>
      <c r="S35" s="33">
        <f>K35</f>
        <v>100</v>
      </c>
      <c r="T35" s="12">
        <f aca="true" t="shared" si="4" ref="T35:T46">L35</f>
        <v>170.64709859869922</v>
      </c>
    </row>
    <row r="36" spans="2:20" ht="12.75">
      <c r="B36" s="2" t="s">
        <v>134</v>
      </c>
      <c r="D36" s="2" t="s">
        <v>103</v>
      </c>
      <c r="E36" s="2">
        <v>100</v>
      </c>
      <c r="F36" s="12">
        <f t="shared" si="1"/>
        <v>14.775044474877095</v>
      </c>
      <c r="G36" s="2">
        <v>100</v>
      </c>
      <c r="H36" s="12">
        <f t="shared" si="2"/>
        <v>13.99298064437684</v>
      </c>
      <c r="I36" s="2">
        <v>100</v>
      </c>
      <c r="J36" s="12">
        <f t="shared" si="3"/>
        <v>14.057297057920366</v>
      </c>
      <c r="K36" s="2">
        <v>100</v>
      </c>
      <c r="L36" s="12">
        <f t="shared" si="0"/>
        <v>14.275107392391433</v>
      </c>
      <c r="M36" s="33">
        <f>E36</f>
        <v>100</v>
      </c>
      <c r="N36" s="12">
        <f aca="true" t="shared" si="5" ref="N36:R46">F36/2</f>
        <v>7.387522237438548</v>
      </c>
      <c r="O36" s="33">
        <f>G36</f>
        <v>100</v>
      </c>
      <c r="P36" s="12">
        <f t="shared" si="5"/>
        <v>6.99649032218842</v>
      </c>
      <c r="Q36" s="33">
        <f>I36</f>
        <v>100</v>
      </c>
      <c r="R36" s="12">
        <f t="shared" si="5"/>
        <v>7.028648528960183</v>
      </c>
      <c r="S36" s="33">
        <f>K36</f>
        <v>100</v>
      </c>
      <c r="T36" s="12">
        <f t="shared" si="4"/>
        <v>14.275107392391433</v>
      </c>
    </row>
    <row r="37" spans="2:20" ht="12.75">
      <c r="B37" s="2" t="s">
        <v>135</v>
      </c>
      <c r="D37" s="2" t="s">
        <v>103</v>
      </c>
      <c r="E37" s="2">
        <v>100</v>
      </c>
      <c r="F37" s="12">
        <f t="shared" si="1"/>
        <v>22.162566712315638</v>
      </c>
      <c r="G37" s="2">
        <v>100</v>
      </c>
      <c r="H37" s="12">
        <f t="shared" si="2"/>
        <v>20.98947096656525</v>
      </c>
      <c r="I37" s="2">
        <v>100</v>
      </c>
      <c r="J37" s="12">
        <f t="shared" si="3"/>
        <v>21.085945586880545</v>
      </c>
      <c r="K37" s="2">
        <v>100</v>
      </c>
      <c r="L37" s="12">
        <f t="shared" si="0"/>
        <v>21.412661088587143</v>
      </c>
      <c r="M37" s="33">
        <f>E37</f>
        <v>100</v>
      </c>
      <c r="N37" s="12">
        <f t="shared" si="5"/>
        <v>11.081283356157819</v>
      </c>
      <c r="O37" s="33">
        <f>G37</f>
        <v>100</v>
      </c>
      <c r="P37" s="12">
        <f t="shared" si="5"/>
        <v>10.494735483282625</v>
      </c>
      <c r="Q37" s="33">
        <f>I37</f>
        <v>100</v>
      </c>
      <c r="R37" s="12">
        <f t="shared" si="5"/>
        <v>10.542972793440272</v>
      </c>
      <c r="S37" s="33">
        <f>K37</f>
        <v>100</v>
      </c>
      <c r="T37" s="12">
        <f t="shared" si="4"/>
        <v>21.412661088587143</v>
      </c>
    </row>
    <row r="38" spans="2:20" ht="12.75">
      <c r="B38" s="2" t="s">
        <v>136</v>
      </c>
      <c r="D38" s="2" t="s">
        <v>103</v>
      </c>
      <c r="E38" s="2">
        <v>100</v>
      </c>
      <c r="F38" s="12">
        <f t="shared" si="1"/>
        <v>1.2312537062397582</v>
      </c>
      <c r="G38" s="2">
        <v>100</v>
      </c>
      <c r="H38" s="12">
        <f t="shared" si="2"/>
        <v>1.1660817203647362</v>
      </c>
      <c r="I38" s="2">
        <v>100</v>
      </c>
      <c r="J38" s="12">
        <f t="shared" si="3"/>
        <v>1.1714414214933642</v>
      </c>
      <c r="K38" s="2">
        <v>100</v>
      </c>
      <c r="L38" s="12">
        <f t="shared" si="0"/>
        <v>1.1895922826992862</v>
      </c>
      <c r="M38" s="33">
        <f>E38</f>
        <v>100</v>
      </c>
      <c r="N38" s="12">
        <f t="shared" si="5"/>
        <v>0.6156268531198791</v>
      </c>
      <c r="O38" s="33">
        <f>G38</f>
        <v>100</v>
      </c>
      <c r="P38" s="12">
        <f t="shared" si="5"/>
        <v>0.5830408601823681</v>
      </c>
      <c r="Q38" s="33">
        <f>I38</f>
        <v>100</v>
      </c>
      <c r="R38" s="12">
        <f t="shared" si="5"/>
        <v>0.5857207107466821</v>
      </c>
      <c r="S38" s="33">
        <f>K38</f>
        <v>100</v>
      </c>
      <c r="T38" s="12">
        <f t="shared" si="4"/>
        <v>1.1895922826992862</v>
      </c>
    </row>
    <row r="39" spans="2:20" ht="12.75">
      <c r="B39" s="2" t="s">
        <v>137</v>
      </c>
      <c r="D39" s="2" t="s">
        <v>103</v>
      </c>
      <c r="E39" s="2">
        <v>100</v>
      </c>
      <c r="F39" s="12">
        <f t="shared" si="1"/>
        <v>2.4625074124795163</v>
      </c>
      <c r="G39" s="2">
        <v>100</v>
      </c>
      <c r="H39" s="12">
        <f t="shared" si="2"/>
        <v>2.3321634407294725</v>
      </c>
      <c r="I39" s="2">
        <v>100</v>
      </c>
      <c r="J39" s="12">
        <f t="shared" si="3"/>
        <v>2.3428828429867283</v>
      </c>
      <c r="K39" s="2">
        <v>100</v>
      </c>
      <c r="L39" s="12">
        <f t="shared" si="0"/>
        <v>2.3791845653985724</v>
      </c>
      <c r="M39" s="33">
        <f>E39</f>
        <v>100</v>
      </c>
      <c r="N39" s="12">
        <f t="shared" si="5"/>
        <v>1.2312537062397582</v>
      </c>
      <c r="O39" s="33">
        <f>G39</f>
        <v>100</v>
      </c>
      <c r="P39" s="12">
        <f t="shared" si="5"/>
        <v>1.1660817203647362</v>
      </c>
      <c r="Q39" s="33">
        <f>I39</f>
        <v>100</v>
      </c>
      <c r="R39" s="12">
        <f t="shared" si="5"/>
        <v>1.1714414214933642</v>
      </c>
      <c r="S39" s="33">
        <f>K39</f>
        <v>100</v>
      </c>
      <c r="T39" s="12">
        <f t="shared" si="4"/>
        <v>2.3791845653985724</v>
      </c>
    </row>
    <row r="40" spans="2:20" ht="12.75">
      <c r="B40" s="2" t="s">
        <v>148</v>
      </c>
      <c r="D40" s="2" t="s">
        <v>103</v>
      </c>
      <c r="F40" s="12">
        <f t="shared" si="1"/>
        <v>160.06298181116853</v>
      </c>
      <c r="H40" s="12">
        <f t="shared" si="2"/>
        <v>163.25144085106308</v>
      </c>
      <c r="J40" s="12">
        <f t="shared" si="3"/>
        <v>69.11504386810846</v>
      </c>
      <c r="L40" s="12">
        <f t="shared" si="0"/>
        <v>130.80982217678002</v>
      </c>
      <c r="M40" s="33"/>
      <c r="N40" s="12">
        <f>F40</f>
        <v>160.06298181116853</v>
      </c>
      <c r="O40" s="33"/>
      <c r="P40" s="12">
        <f>H40</f>
        <v>163.25144085106308</v>
      </c>
      <c r="Q40" s="33"/>
      <c r="R40" s="12">
        <f>J40</f>
        <v>69.11504386810846</v>
      </c>
      <c r="S40" s="33"/>
      <c r="T40" s="12">
        <f t="shared" si="4"/>
        <v>130.80982217678002</v>
      </c>
    </row>
    <row r="41" spans="2:20" ht="12.75">
      <c r="B41" s="2" t="s">
        <v>138</v>
      </c>
      <c r="D41" s="2" t="s">
        <v>103</v>
      </c>
      <c r="E41" s="2">
        <v>100</v>
      </c>
      <c r="F41" s="12">
        <f t="shared" si="1"/>
        <v>197.0005929983613</v>
      </c>
      <c r="G41" s="2">
        <v>100</v>
      </c>
      <c r="H41" s="12">
        <f t="shared" si="2"/>
        <v>186.57307525835785</v>
      </c>
      <c r="I41" s="2">
        <v>100</v>
      </c>
      <c r="J41" s="12">
        <f t="shared" si="3"/>
        <v>187.43062743893822</v>
      </c>
      <c r="K41" s="2">
        <v>100</v>
      </c>
      <c r="L41" s="12">
        <f t="shared" si="0"/>
        <v>190.33476523188577</v>
      </c>
      <c r="M41" s="33">
        <f aca="true" t="shared" si="6" ref="M41:M48">E41</f>
        <v>100</v>
      </c>
      <c r="N41" s="12">
        <f t="shared" si="5"/>
        <v>98.50029649918065</v>
      </c>
      <c r="O41" s="33">
        <f aca="true" t="shared" si="7" ref="O41:O48">G41</f>
        <v>100</v>
      </c>
      <c r="P41" s="12">
        <f t="shared" si="5"/>
        <v>93.28653762917892</v>
      </c>
      <c r="Q41" s="33">
        <f aca="true" t="shared" si="8" ref="Q41:Q48">I41</f>
        <v>100</v>
      </c>
      <c r="R41" s="12">
        <f t="shared" si="5"/>
        <v>93.71531371946911</v>
      </c>
      <c r="S41" s="33">
        <f aca="true" t="shared" si="9" ref="S41:S48">K41</f>
        <v>100</v>
      </c>
      <c r="T41" s="12">
        <f t="shared" si="4"/>
        <v>190.33476523188577</v>
      </c>
    </row>
    <row r="42" spans="2:20" ht="12.75">
      <c r="B42" s="2" t="s">
        <v>139</v>
      </c>
      <c r="D42" s="2" t="s">
        <v>103</v>
      </c>
      <c r="E42" s="2">
        <v>100</v>
      </c>
      <c r="F42" s="12">
        <f t="shared" si="1"/>
        <v>3.693761118719274</v>
      </c>
      <c r="G42" s="2">
        <v>100</v>
      </c>
      <c r="H42" s="12">
        <f t="shared" si="2"/>
        <v>3.49824516109421</v>
      </c>
      <c r="I42" s="2">
        <v>100</v>
      </c>
      <c r="J42" s="12">
        <f t="shared" si="3"/>
        <v>2.3428828429867283</v>
      </c>
      <c r="K42" s="2">
        <v>100</v>
      </c>
      <c r="L42" s="12">
        <f t="shared" si="0"/>
        <v>3.1782963742667376</v>
      </c>
      <c r="M42" s="33">
        <f t="shared" si="6"/>
        <v>100</v>
      </c>
      <c r="N42" s="12">
        <f t="shared" si="5"/>
        <v>1.846880559359637</v>
      </c>
      <c r="O42" s="33">
        <f t="shared" si="7"/>
        <v>100</v>
      </c>
      <c r="P42" s="12">
        <f t="shared" si="5"/>
        <v>1.749122580547105</v>
      </c>
      <c r="Q42" s="33">
        <f t="shared" si="8"/>
        <v>100</v>
      </c>
      <c r="R42" s="12">
        <f t="shared" si="5"/>
        <v>1.1714414214933642</v>
      </c>
      <c r="S42" s="33">
        <f t="shared" si="9"/>
        <v>100</v>
      </c>
      <c r="T42" s="12">
        <f t="shared" si="4"/>
        <v>3.1782963742667376</v>
      </c>
    </row>
    <row r="43" spans="2:20" ht="12.75">
      <c r="B43" s="2" t="s">
        <v>140</v>
      </c>
      <c r="D43" s="2" t="s">
        <v>103</v>
      </c>
      <c r="E43" s="2">
        <v>100</v>
      </c>
      <c r="F43" s="12">
        <f t="shared" si="1"/>
        <v>29.55008894975419</v>
      </c>
      <c r="G43" s="2">
        <v>100</v>
      </c>
      <c r="H43" s="12">
        <f t="shared" si="2"/>
        <v>27.98596128875368</v>
      </c>
      <c r="I43" s="2">
        <v>100</v>
      </c>
      <c r="J43" s="12">
        <f t="shared" si="3"/>
        <v>28.11459411584073</v>
      </c>
      <c r="K43" s="2">
        <v>100</v>
      </c>
      <c r="L43" s="12">
        <f t="shared" si="0"/>
        <v>28.550214784782867</v>
      </c>
      <c r="M43" s="33">
        <f t="shared" si="6"/>
        <v>100</v>
      </c>
      <c r="N43" s="12">
        <f t="shared" si="5"/>
        <v>14.775044474877095</v>
      </c>
      <c r="O43" s="33">
        <f t="shared" si="7"/>
        <v>100</v>
      </c>
      <c r="P43" s="12">
        <f t="shared" si="5"/>
        <v>13.99298064437684</v>
      </c>
      <c r="Q43" s="33">
        <f t="shared" si="8"/>
        <v>100</v>
      </c>
      <c r="R43" s="12">
        <f t="shared" si="5"/>
        <v>14.057297057920366</v>
      </c>
      <c r="S43" s="33">
        <f t="shared" si="9"/>
        <v>100</v>
      </c>
      <c r="T43" s="12">
        <f t="shared" si="4"/>
        <v>28.550214784782867</v>
      </c>
    </row>
    <row r="44" spans="2:20" ht="12.75">
      <c r="B44" s="2" t="s">
        <v>141</v>
      </c>
      <c r="D44" s="2" t="s">
        <v>103</v>
      </c>
      <c r="E44" s="2">
        <v>100</v>
      </c>
      <c r="F44" s="12">
        <f t="shared" si="1"/>
        <v>1009.6280391166013</v>
      </c>
      <c r="G44" s="2">
        <v>100</v>
      </c>
      <c r="H44" s="12">
        <f t="shared" si="2"/>
        <v>944.5261934954365</v>
      </c>
      <c r="I44" s="2">
        <v>100</v>
      </c>
      <c r="J44" s="12">
        <f t="shared" si="3"/>
        <v>948.8675514096246</v>
      </c>
      <c r="K44" s="2">
        <v>100</v>
      </c>
      <c r="L44" s="12">
        <f t="shared" si="0"/>
        <v>967.6739280072208</v>
      </c>
      <c r="M44" s="33">
        <f t="shared" si="6"/>
        <v>100</v>
      </c>
      <c r="N44" s="12">
        <f t="shared" si="5"/>
        <v>504.81401955830063</v>
      </c>
      <c r="O44" s="33">
        <f t="shared" si="7"/>
        <v>100</v>
      </c>
      <c r="P44" s="12">
        <f t="shared" si="5"/>
        <v>472.26309674771824</v>
      </c>
      <c r="Q44" s="33">
        <f t="shared" si="8"/>
        <v>100</v>
      </c>
      <c r="R44" s="12">
        <f t="shared" si="5"/>
        <v>474.4337757048123</v>
      </c>
      <c r="S44" s="33">
        <f t="shared" si="9"/>
        <v>100</v>
      </c>
      <c r="T44" s="12">
        <f t="shared" si="4"/>
        <v>967.6739280072208</v>
      </c>
    </row>
    <row r="45" spans="2:20" ht="12.75">
      <c r="B45" s="2" t="s">
        <v>172</v>
      </c>
      <c r="D45" s="2" t="s">
        <v>103</v>
      </c>
      <c r="E45" s="2">
        <v>100</v>
      </c>
      <c r="F45" s="12">
        <f t="shared" si="1"/>
        <v>344.7510377471322</v>
      </c>
      <c r="G45" s="2">
        <v>100</v>
      </c>
      <c r="H45" s="12">
        <f t="shared" si="2"/>
        <v>326.50288170212616</v>
      </c>
      <c r="I45" s="2">
        <v>100</v>
      </c>
      <c r="J45" s="12">
        <f t="shared" si="3"/>
        <v>328.0035980181418</v>
      </c>
      <c r="K45" s="2">
        <v>100</v>
      </c>
      <c r="L45" s="12">
        <f t="shared" si="0"/>
        <v>333.08583915580004</v>
      </c>
      <c r="M45" s="33">
        <f t="shared" si="6"/>
        <v>100</v>
      </c>
      <c r="N45" s="12">
        <f t="shared" si="5"/>
        <v>172.3755188735661</v>
      </c>
      <c r="O45" s="33">
        <f t="shared" si="7"/>
        <v>100</v>
      </c>
      <c r="P45" s="12">
        <f t="shared" si="5"/>
        <v>163.25144085106308</v>
      </c>
      <c r="Q45" s="33">
        <f t="shared" si="8"/>
        <v>100</v>
      </c>
      <c r="R45" s="12">
        <f t="shared" si="5"/>
        <v>164.0017990090709</v>
      </c>
      <c r="S45" s="33">
        <f t="shared" si="9"/>
        <v>100</v>
      </c>
      <c r="T45" s="12">
        <f t="shared" si="4"/>
        <v>333.08583915580004</v>
      </c>
    </row>
    <row r="46" spans="2:20" ht="12.75">
      <c r="B46" s="2" t="s">
        <v>150</v>
      </c>
      <c r="D46" s="2" t="s">
        <v>103</v>
      </c>
      <c r="E46" s="2">
        <v>100</v>
      </c>
      <c r="F46" s="12">
        <f t="shared" si="1"/>
        <v>1452.8793733629145</v>
      </c>
      <c r="G46" s="2">
        <v>100</v>
      </c>
      <c r="H46" s="12">
        <f t="shared" si="2"/>
        <v>1585.8711396960414</v>
      </c>
      <c r="I46" s="2">
        <v>100</v>
      </c>
      <c r="J46" s="12">
        <f t="shared" si="3"/>
        <v>80.82945808304208</v>
      </c>
      <c r="K46" s="2">
        <v>100</v>
      </c>
      <c r="L46" s="12">
        <f t="shared" si="0"/>
        <v>1039.859990380666</v>
      </c>
      <c r="M46" s="33">
        <f t="shared" si="6"/>
        <v>100</v>
      </c>
      <c r="N46" s="12">
        <f t="shared" si="5"/>
        <v>726.4396866814573</v>
      </c>
      <c r="O46" s="33">
        <f t="shared" si="7"/>
        <v>100</v>
      </c>
      <c r="P46" s="12">
        <f t="shared" si="5"/>
        <v>792.9355698480207</v>
      </c>
      <c r="Q46" s="33">
        <f t="shared" si="8"/>
        <v>100</v>
      </c>
      <c r="R46" s="12">
        <f t="shared" si="5"/>
        <v>40.41472904152104</v>
      </c>
      <c r="S46" s="33">
        <f t="shared" si="9"/>
        <v>100</v>
      </c>
      <c r="T46" s="12">
        <f t="shared" si="4"/>
        <v>1039.859990380666</v>
      </c>
    </row>
    <row r="47" spans="2:20" ht="12.75">
      <c r="B47" s="2" t="s">
        <v>5</v>
      </c>
      <c r="D47" s="2" t="s">
        <v>103</v>
      </c>
      <c r="E47" s="33">
        <f>(E39*F39+E41*F41)/F47</f>
        <v>100</v>
      </c>
      <c r="F47" s="12">
        <f>(F39+F41)</f>
        <v>199.4631004108408</v>
      </c>
      <c r="G47" s="33">
        <f>(G39*H39+G41*H41)/H47</f>
        <v>100</v>
      </c>
      <c r="H47" s="12">
        <f>(H39+H41)</f>
        <v>188.9052386990873</v>
      </c>
      <c r="I47" s="33">
        <f>(I39*J39+I41*J41)/J47</f>
        <v>99.99999999999999</v>
      </c>
      <c r="J47" s="12">
        <f>(J39+J41)</f>
        <v>189.77351028192496</v>
      </c>
      <c r="K47" s="33">
        <f>(K39*L39+K41*L41)/L47</f>
        <v>99.99999999999999</v>
      </c>
      <c r="L47" s="12">
        <f t="shared" si="0"/>
        <v>192.71394979728436</v>
      </c>
      <c r="M47" s="33">
        <f t="shared" si="6"/>
        <v>100</v>
      </c>
      <c r="N47" s="12">
        <f>F47</f>
        <v>199.4631004108408</v>
      </c>
      <c r="O47" s="33">
        <f t="shared" si="7"/>
        <v>100</v>
      </c>
      <c r="P47" s="12">
        <f>H47</f>
        <v>188.9052386990873</v>
      </c>
      <c r="Q47" s="33">
        <f t="shared" si="8"/>
        <v>99.99999999999999</v>
      </c>
      <c r="R47" s="12">
        <f>J47</f>
        <v>189.77351028192496</v>
      </c>
      <c r="S47" s="33">
        <f t="shared" si="9"/>
        <v>99.99999999999999</v>
      </c>
      <c r="T47" s="12">
        <f>L47</f>
        <v>192.71394979728436</v>
      </c>
    </row>
    <row r="48" spans="2:20" ht="12.75">
      <c r="B48" s="2" t="s">
        <v>6</v>
      </c>
      <c r="D48" s="2" t="s">
        <v>103</v>
      </c>
      <c r="E48" s="33">
        <f>(E36*F36+E38*F38+E40*F40)/F48</f>
        <v>9.090909090909092</v>
      </c>
      <c r="F48" s="12">
        <f>(F36+F38)+F40</f>
        <v>176.06927999228537</v>
      </c>
      <c r="G48" s="33">
        <f>(G36*H36+G38*H38+G40*H40)/H48</f>
        <v>8.496732026143793</v>
      </c>
      <c r="H48" s="12">
        <f>(H36+H38)+H40</f>
        <v>178.41050321580465</v>
      </c>
      <c r="I48" s="33">
        <f>(I36*J36+I38*J38+I40*J40)/J48</f>
        <v>18.055555555555557</v>
      </c>
      <c r="J48" s="12">
        <f>(J36+J38)+J40</f>
        <v>84.3437823475222</v>
      </c>
      <c r="K48" s="33">
        <f>(K36*L36+K38*L38+K40*L40)/L48</f>
        <v>10.572380944612835</v>
      </c>
      <c r="L48" s="12">
        <f t="shared" si="0"/>
        <v>146.27452185187073</v>
      </c>
      <c r="M48" s="33">
        <f t="shared" si="6"/>
        <v>9.090909090909092</v>
      </c>
      <c r="N48" s="12">
        <f>F48</f>
        <v>176.06927999228537</v>
      </c>
      <c r="O48" s="33">
        <f t="shared" si="7"/>
        <v>8.496732026143793</v>
      </c>
      <c r="P48" s="12">
        <f>H48</f>
        <v>178.41050321580465</v>
      </c>
      <c r="Q48" s="33">
        <f t="shared" si="8"/>
        <v>18.055555555555557</v>
      </c>
      <c r="R48" s="12">
        <f>J48</f>
        <v>84.3437823475222</v>
      </c>
      <c r="S48" s="33">
        <f t="shared" si="9"/>
        <v>10.572380944612835</v>
      </c>
      <c r="T48" s="12">
        <f>L48</f>
        <v>146.27452185187073</v>
      </c>
    </row>
    <row r="52" spans="1:28" ht="12.75">
      <c r="A52" s="2" t="s">
        <v>151</v>
      </c>
      <c r="B52" s="1" t="s">
        <v>168</v>
      </c>
      <c r="C52" s="1" t="s">
        <v>170</v>
      </c>
      <c r="F52" s="8" t="s">
        <v>197</v>
      </c>
      <c r="H52" s="8" t="s">
        <v>198</v>
      </c>
      <c r="J52" s="8" t="s">
        <v>199</v>
      </c>
      <c r="L52" s="8" t="s">
        <v>41</v>
      </c>
      <c r="N52" s="8" t="s">
        <v>197</v>
      </c>
      <c r="P52" s="8" t="s">
        <v>198</v>
      </c>
      <c r="R52" s="8" t="s">
        <v>199</v>
      </c>
      <c r="T52" s="8" t="s">
        <v>41</v>
      </c>
      <c r="V52" s="8" t="s">
        <v>197</v>
      </c>
      <c r="X52" s="8" t="s">
        <v>198</v>
      </c>
      <c r="Z52" s="8" t="s">
        <v>199</v>
      </c>
      <c r="AB52" s="8" t="s">
        <v>41</v>
      </c>
    </row>
    <row r="53" spans="2:20" ht="12.75">
      <c r="B53" s="1"/>
      <c r="C53" s="1"/>
      <c r="F53" s="8"/>
      <c r="H53" s="8"/>
      <c r="J53" s="8"/>
      <c r="L53" s="8"/>
      <c r="N53" s="8"/>
      <c r="P53" s="8"/>
      <c r="R53" s="8"/>
      <c r="T53" s="8"/>
    </row>
    <row r="54" spans="2:28" ht="12.75">
      <c r="B54" s="36" t="s">
        <v>203</v>
      </c>
      <c r="C54" s="1"/>
      <c r="F54" s="8" t="s">
        <v>213</v>
      </c>
      <c r="H54" s="8" t="s">
        <v>213</v>
      </c>
      <c r="J54" s="8" t="s">
        <v>213</v>
      </c>
      <c r="L54" s="8" t="s">
        <v>213</v>
      </c>
      <c r="N54" s="8" t="s">
        <v>214</v>
      </c>
      <c r="P54" s="8" t="s">
        <v>214</v>
      </c>
      <c r="R54" s="8" t="s">
        <v>214</v>
      </c>
      <c r="T54" s="8" t="s">
        <v>214</v>
      </c>
      <c r="V54" s="8" t="s">
        <v>215</v>
      </c>
      <c r="W54" s="8"/>
      <c r="X54" s="8" t="s">
        <v>215</v>
      </c>
      <c r="Y54" s="8"/>
      <c r="Z54" s="8" t="s">
        <v>215</v>
      </c>
      <c r="AA54" s="8"/>
      <c r="AB54" s="8" t="s">
        <v>215</v>
      </c>
    </row>
    <row r="55" spans="2:28" ht="12.75">
      <c r="B55" s="36" t="s">
        <v>204</v>
      </c>
      <c r="F55" s="8" t="s">
        <v>205</v>
      </c>
      <c r="H55" s="8" t="s">
        <v>205</v>
      </c>
      <c r="J55" s="8" t="s">
        <v>205</v>
      </c>
      <c r="L55" s="8" t="s">
        <v>205</v>
      </c>
      <c r="N55" s="8" t="s">
        <v>12</v>
      </c>
      <c r="P55" s="8" t="s">
        <v>12</v>
      </c>
      <c r="R55" s="8" t="s">
        <v>12</v>
      </c>
      <c r="T55" s="8" t="s">
        <v>12</v>
      </c>
      <c r="V55" s="8" t="s">
        <v>64</v>
      </c>
      <c r="X55" s="8" t="s">
        <v>64</v>
      </c>
      <c r="Z55" s="8" t="s">
        <v>64</v>
      </c>
      <c r="AB55" s="8" t="s">
        <v>64</v>
      </c>
    </row>
    <row r="56" spans="2:28" ht="12.75">
      <c r="B56" s="36" t="s">
        <v>219</v>
      </c>
      <c r="F56" s="8" t="s">
        <v>1</v>
      </c>
      <c r="H56" s="8" t="s">
        <v>1</v>
      </c>
      <c r="J56" s="8" t="s">
        <v>1</v>
      </c>
      <c r="L56" s="8" t="s">
        <v>1</v>
      </c>
      <c r="N56" s="8" t="s">
        <v>12</v>
      </c>
      <c r="P56" s="8" t="s">
        <v>12</v>
      </c>
      <c r="R56" s="8" t="s">
        <v>12</v>
      </c>
      <c r="T56" s="8" t="s">
        <v>12</v>
      </c>
      <c r="V56" s="8" t="s">
        <v>64</v>
      </c>
      <c r="X56" s="8" t="s">
        <v>64</v>
      </c>
      <c r="Z56" s="8" t="s">
        <v>64</v>
      </c>
      <c r="AB56" s="8" t="s">
        <v>64</v>
      </c>
    </row>
    <row r="57" spans="2:28" ht="12.75">
      <c r="B57" s="2" t="s">
        <v>152</v>
      </c>
      <c r="F57" s="2" t="s">
        <v>48</v>
      </c>
      <c r="H57" s="2" t="s">
        <v>48</v>
      </c>
      <c r="J57" s="2" t="s">
        <v>48</v>
      </c>
      <c r="L57" s="2" t="s">
        <v>48</v>
      </c>
      <c r="N57" s="2" t="s">
        <v>12</v>
      </c>
      <c r="P57" s="2" t="s">
        <v>12</v>
      </c>
      <c r="R57" s="2" t="s">
        <v>12</v>
      </c>
      <c r="T57" s="2" t="s">
        <v>12</v>
      </c>
      <c r="V57" s="2" t="s">
        <v>64</v>
      </c>
      <c r="X57" s="2" t="s">
        <v>64</v>
      </c>
      <c r="Z57" s="2" t="s">
        <v>64</v>
      </c>
      <c r="AB57" s="2" t="s">
        <v>64</v>
      </c>
    </row>
    <row r="58" spans="2:19" ht="12.75">
      <c r="B58" s="2" t="s">
        <v>217</v>
      </c>
      <c r="D58" s="2" t="s">
        <v>102</v>
      </c>
      <c r="F58" s="12">
        <f>F63/F62*100/453.6</f>
        <v>4895.416612896286</v>
      </c>
      <c r="H58" s="12">
        <f>H63/H62*100/453.6</f>
        <v>4903.620042508931</v>
      </c>
      <c r="J58" s="12">
        <f>J63/J62*100/453.6</f>
        <v>4946.991965510484</v>
      </c>
      <c r="L58" s="12">
        <f>L63/L62*100/453.6</f>
        <v>4877.5405223817925</v>
      </c>
      <c r="M58" s="12"/>
      <c r="O58" s="12"/>
      <c r="Q58" s="12"/>
      <c r="S58" s="12"/>
    </row>
    <row r="59" spans="2:12" ht="12.75">
      <c r="B59" s="2" t="s">
        <v>51</v>
      </c>
      <c r="D59" s="2" t="s">
        <v>52</v>
      </c>
      <c r="F59" s="2">
        <v>9550</v>
      </c>
      <c r="H59" s="2">
        <v>9568</v>
      </c>
      <c r="J59" s="2">
        <v>8773</v>
      </c>
      <c r="L59" s="2">
        <v>9297</v>
      </c>
    </row>
    <row r="61" spans="2:12" ht="12.75">
      <c r="B61" s="2" t="s">
        <v>53</v>
      </c>
      <c r="D61" s="2" t="s">
        <v>54</v>
      </c>
      <c r="E61" s="2" t="s">
        <v>45</v>
      </c>
      <c r="F61" s="2">
        <v>6</v>
      </c>
      <c r="H61" s="2">
        <v>6</v>
      </c>
      <c r="J61" s="2">
        <v>6</v>
      </c>
      <c r="L61" s="2">
        <v>6</v>
      </c>
    </row>
    <row r="62" spans="2:12" ht="12.75">
      <c r="B62" s="2" t="s">
        <v>8</v>
      </c>
      <c r="D62" s="2" t="s">
        <v>55</v>
      </c>
      <c r="F62" s="2">
        <v>0.041</v>
      </c>
      <c r="H62" s="2">
        <v>0.039</v>
      </c>
      <c r="J62" s="2">
        <v>0.045</v>
      </c>
      <c r="L62" s="2">
        <v>0.042</v>
      </c>
    </row>
    <row r="63" spans="2:12" ht="12.75">
      <c r="B63" s="2" t="s">
        <v>8</v>
      </c>
      <c r="D63" s="2" t="s">
        <v>173</v>
      </c>
      <c r="F63" s="2">
        <v>910.43</v>
      </c>
      <c r="H63" s="2">
        <v>867.47</v>
      </c>
      <c r="J63" s="2">
        <v>1009.78</v>
      </c>
      <c r="L63" s="2">
        <v>929.23</v>
      </c>
    </row>
    <row r="64" spans="2:12" ht="12.75">
      <c r="B64" s="2" t="s">
        <v>56</v>
      </c>
      <c r="D64" s="2" t="s">
        <v>55</v>
      </c>
      <c r="F64" s="2">
        <v>51.8</v>
      </c>
      <c r="H64" s="2">
        <v>47.7</v>
      </c>
      <c r="J64" s="2">
        <v>48.4</v>
      </c>
      <c r="L64" s="2">
        <v>49.3</v>
      </c>
    </row>
    <row r="65" spans="2:12" ht="12.75">
      <c r="B65" s="2" t="s">
        <v>56</v>
      </c>
      <c r="D65" s="2" t="s">
        <v>173</v>
      </c>
      <c r="F65" s="2">
        <v>1150256.6</v>
      </c>
      <c r="H65" s="2">
        <v>1060978.2</v>
      </c>
      <c r="J65" s="2">
        <v>1086074.1</v>
      </c>
      <c r="L65" s="2">
        <v>1099103</v>
      </c>
    </row>
    <row r="66" spans="2:12" ht="12.75">
      <c r="B66" s="2" t="s">
        <v>133</v>
      </c>
      <c r="D66" s="2" t="s">
        <v>57</v>
      </c>
      <c r="E66" s="2" t="s">
        <v>45</v>
      </c>
      <c r="F66" s="2">
        <v>1.4</v>
      </c>
      <c r="G66" s="2" t="s">
        <v>45</v>
      </c>
      <c r="H66" s="2">
        <v>1.5</v>
      </c>
      <c r="I66" s="2" t="s">
        <v>45</v>
      </c>
      <c r="J66" s="2">
        <v>1.4</v>
      </c>
      <c r="L66" s="2">
        <v>1.4</v>
      </c>
    </row>
    <row r="67" spans="2:12" ht="12.75">
      <c r="B67" s="2" t="s">
        <v>134</v>
      </c>
      <c r="D67" s="2" t="s">
        <v>57</v>
      </c>
      <c r="E67" s="2" t="s">
        <v>45</v>
      </c>
      <c r="F67" s="2">
        <v>0.12</v>
      </c>
      <c r="G67" s="2" t="s">
        <v>45</v>
      </c>
      <c r="H67" s="2">
        <v>0.12</v>
      </c>
      <c r="I67" s="2" t="s">
        <v>45</v>
      </c>
      <c r="J67" s="2">
        <v>0.12</v>
      </c>
      <c r="L67" s="2">
        <v>0.12</v>
      </c>
    </row>
    <row r="68" spans="2:12" ht="12.75">
      <c r="B68" s="2" t="s">
        <v>135</v>
      </c>
      <c r="D68" s="2" t="s">
        <v>57</v>
      </c>
      <c r="E68" s="2" t="s">
        <v>45</v>
      </c>
      <c r="F68" s="2">
        <v>0.17</v>
      </c>
      <c r="G68" s="2" t="s">
        <v>45</v>
      </c>
      <c r="H68" s="2">
        <v>0.18</v>
      </c>
      <c r="I68" s="2" t="s">
        <v>45</v>
      </c>
      <c r="J68" s="2">
        <v>0.18</v>
      </c>
      <c r="L68" s="2">
        <v>0.18</v>
      </c>
    </row>
    <row r="69" spans="2:12" ht="12.75">
      <c r="B69" s="2" t="s">
        <v>136</v>
      </c>
      <c r="D69" s="2" t="s">
        <v>57</v>
      </c>
      <c r="E69" s="2" t="s">
        <v>45</v>
      </c>
      <c r="F69" s="2">
        <v>0.01</v>
      </c>
      <c r="G69" s="2" t="s">
        <v>45</v>
      </c>
      <c r="H69" s="2">
        <v>0.01</v>
      </c>
      <c r="I69" s="2" t="s">
        <v>45</v>
      </c>
      <c r="J69" s="2">
        <v>0.01</v>
      </c>
      <c r="L69" s="2">
        <v>0.01</v>
      </c>
    </row>
    <row r="70" spans="2:12" ht="12.75">
      <c r="B70" s="2" t="s">
        <v>137</v>
      </c>
      <c r="D70" s="2" t="s">
        <v>57</v>
      </c>
      <c r="E70" s="2" t="s">
        <v>45</v>
      </c>
      <c r="F70" s="2">
        <v>0.02</v>
      </c>
      <c r="G70" s="2" t="s">
        <v>45</v>
      </c>
      <c r="H70" s="2">
        <v>0.02</v>
      </c>
      <c r="I70" s="2" t="s">
        <v>45</v>
      </c>
      <c r="J70" s="2">
        <v>0.02</v>
      </c>
      <c r="L70" s="2">
        <v>0.02</v>
      </c>
    </row>
    <row r="71" spans="2:12" ht="12.75">
      <c r="B71" s="2" t="s">
        <v>148</v>
      </c>
      <c r="D71" s="2" t="s">
        <v>57</v>
      </c>
      <c r="F71" s="2">
        <v>1.3</v>
      </c>
      <c r="H71" s="2">
        <v>1</v>
      </c>
      <c r="J71" s="2">
        <v>0.95</v>
      </c>
      <c r="L71" s="2">
        <v>1.1</v>
      </c>
    </row>
    <row r="72" spans="2:20" ht="12.75">
      <c r="B72" s="2" t="s">
        <v>148</v>
      </c>
      <c r="D72" s="2" t="s">
        <v>173</v>
      </c>
      <c r="N72" s="12">
        <f>0.165*454-(F58*454*F71/1000000)</f>
        <v>72.02072511506861</v>
      </c>
      <c r="P72" s="12">
        <f>0.165*454-(H58*454*H71/1000000)</f>
        <v>72.68375650070094</v>
      </c>
      <c r="R72" s="12">
        <f>0.165*454-(J58*454*J71/1000000)</f>
        <v>72.77636236527532</v>
      </c>
      <c r="T72" s="12">
        <f>0.165*454-(L58*454*L71/1000000)</f>
        <v>72.47415626312252</v>
      </c>
    </row>
    <row r="73" spans="2:12" ht="12.75">
      <c r="B73" s="2" t="s">
        <v>138</v>
      </c>
      <c r="D73" s="2" t="s">
        <v>57</v>
      </c>
      <c r="E73" s="2" t="s">
        <v>45</v>
      </c>
      <c r="F73" s="2">
        <v>1.5</v>
      </c>
      <c r="G73" s="2" t="s">
        <v>45</v>
      </c>
      <c r="H73" s="2">
        <v>1.6</v>
      </c>
      <c r="I73" s="2" t="s">
        <v>45</v>
      </c>
      <c r="J73" s="2">
        <v>1.6</v>
      </c>
      <c r="L73" s="2">
        <v>1.6</v>
      </c>
    </row>
    <row r="74" spans="2:12" ht="12.75">
      <c r="B74" s="2" t="s">
        <v>139</v>
      </c>
      <c r="D74" s="2" t="s">
        <v>57</v>
      </c>
      <c r="E74" s="2" t="s">
        <v>45</v>
      </c>
      <c r="F74" s="2">
        <v>0.05</v>
      </c>
      <c r="G74" s="2" t="s">
        <v>45</v>
      </c>
      <c r="H74" s="2">
        <v>0.01</v>
      </c>
      <c r="I74" s="2" t="s">
        <v>45</v>
      </c>
      <c r="J74" s="2">
        <v>0.01</v>
      </c>
      <c r="L74" s="2">
        <v>0.02</v>
      </c>
    </row>
    <row r="75" spans="2:12" ht="12.75">
      <c r="B75" s="2" t="s">
        <v>140</v>
      </c>
      <c r="D75" s="2" t="s">
        <v>57</v>
      </c>
      <c r="E75" s="2" t="s">
        <v>45</v>
      </c>
      <c r="F75" s="2">
        <v>0.23</v>
      </c>
      <c r="G75" s="2" t="s">
        <v>45</v>
      </c>
      <c r="H75" s="2">
        <v>0.24</v>
      </c>
      <c r="I75" s="2" t="s">
        <v>45</v>
      </c>
      <c r="J75" s="2">
        <v>0.24</v>
      </c>
      <c r="L75" s="2">
        <v>0.24</v>
      </c>
    </row>
    <row r="76" spans="2:12" ht="12.75">
      <c r="B76" s="2" t="s">
        <v>141</v>
      </c>
      <c r="D76" s="2" t="s">
        <v>57</v>
      </c>
      <c r="E76" s="2" t="s">
        <v>45</v>
      </c>
      <c r="F76" s="2">
        <v>7.9</v>
      </c>
      <c r="G76" s="2" t="s">
        <v>45</v>
      </c>
      <c r="H76" s="2">
        <v>8.2</v>
      </c>
      <c r="I76" s="2" t="s">
        <v>45</v>
      </c>
      <c r="J76" s="2">
        <v>8.1</v>
      </c>
      <c r="L76" s="2">
        <v>8.1</v>
      </c>
    </row>
    <row r="78" spans="2:20" ht="12.75">
      <c r="B78" s="2" t="s">
        <v>99</v>
      </c>
      <c r="D78" s="2" t="s">
        <v>14</v>
      </c>
      <c r="F78" s="2">
        <f>emiss!G57</f>
        <v>8680</v>
      </c>
      <c r="H78" s="2">
        <f>emiss!I57</f>
        <v>8948</v>
      </c>
      <c r="J78" s="2">
        <f>emiss!K57</f>
        <v>8337</v>
      </c>
      <c r="L78" s="2">
        <f>emiss!M57</f>
        <v>8655</v>
      </c>
      <c r="N78" s="2">
        <v>8680</v>
      </c>
      <c r="P78" s="2">
        <v>8948</v>
      </c>
      <c r="R78" s="2">
        <v>8337</v>
      </c>
      <c r="T78" s="2">
        <v>8655</v>
      </c>
    </row>
    <row r="79" spans="2:20" ht="12.75">
      <c r="B79" s="2" t="s">
        <v>100</v>
      </c>
      <c r="D79" s="2" t="s">
        <v>15</v>
      </c>
      <c r="F79" s="2">
        <f>emiss!G58</f>
        <v>6.8</v>
      </c>
      <c r="H79" s="2">
        <f>emiss!I58</f>
        <v>6.7</v>
      </c>
      <c r="J79" s="2">
        <f>emiss!K58</f>
        <v>5.8</v>
      </c>
      <c r="L79" s="12">
        <f>emiss!M58</f>
        <v>6.433333333333334</v>
      </c>
      <c r="N79" s="2">
        <v>6.8</v>
      </c>
      <c r="P79" s="2">
        <v>6.7</v>
      </c>
      <c r="R79" s="2">
        <v>5.8</v>
      </c>
      <c r="T79" s="12">
        <v>6.433333333333334</v>
      </c>
    </row>
    <row r="80" spans="2:28" ht="12.75">
      <c r="B80" s="2" t="s">
        <v>218</v>
      </c>
      <c r="D80" s="2" t="s">
        <v>101</v>
      </c>
      <c r="F80" s="12">
        <f>F58*F59/1000000</f>
        <v>46.75122865315953</v>
      </c>
      <c r="H80" s="12">
        <f>H58*H59/1000000</f>
        <v>46.91783656672545</v>
      </c>
      <c r="J80" s="12">
        <f>J58*J59/1000000</f>
        <v>43.39996051342348</v>
      </c>
      <c r="L80" s="12">
        <f>L58*L59/1000000</f>
        <v>45.346494236583524</v>
      </c>
      <c r="M80" s="12"/>
      <c r="N80" s="12"/>
      <c r="O80" s="12"/>
      <c r="P80" s="12"/>
      <c r="Q80" s="12"/>
      <c r="R80" s="12"/>
      <c r="S80" s="12"/>
      <c r="T80" s="12"/>
      <c r="V80" s="12">
        <f>F80</f>
        <v>46.75122865315953</v>
      </c>
      <c r="X80" s="12">
        <f>H80</f>
        <v>46.91783656672545</v>
      </c>
      <c r="Z80" s="12">
        <f>J80</f>
        <v>43.39996051342348</v>
      </c>
      <c r="AB80" s="12">
        <f>L80</f>
        <v>45.346494236583524</v>
      </c>
    </row>
    <row r="82" spans="2:3" ht="12.75">
      <c r="B82" s="26" t="s">
        <v>113</v>
      </c>
      <c r="C82" s="26"/>
    </row>
    <row r="83" spans="2:28" ht="12.75">
      <c r="B83" s="2" t="s">
        <v>8</v>
      </c>
      <c r="D83" s="2" t="s">
        <v>13</v>
      </c>
      <c r="F83" s="29">
        <f>F63/F78/60*1000*(21-7)/(21-F79)/0.0283</f>
        <v>60.90161929822027</v>
      </c>
      <c r="H83" s="29">
        <f>H63/H78/60*1000*(21-7)/(21-H79)/0.0283</f>
        <v>55.896266550363805</v>
      </c>
      <c r="J83" s="29">
        <f>J63/J78/60*1000*(21-7)/(21-J79)/0.0283</f>
        <v>65.69975121305562</v>
      </c>
      <c r="L83" s="33">
        <f aca="true" t="shared" si="10" ref="L83:L94">AVERAGE(F83,H83,J83)</f>
        <v>60.83254568721323</v>
      </c>
      <c r="M83" s="29"/>
      <c r="N83" s="29"/>
      <c r="O83" s="29"/>
      <c r="P83" s="29"/>
      <c r="Q83" s="29"/>
      <c r="R83" s="29"/>
      <c r="S83" s="29"/>
      <c r="V83" s="12">
        <f aca="true" t="shared" si="11" ref="V83:V94">SUM(N83,F83)</f>
        <v>60.90161929822027</v>
      </c>
      <c r="W83" s="12"/>
      <c r="X83" s="12">
        <f aca="true" t="shared" si="12" ref="X83:X94">SUM(P83,H83)</f>
        <v>55.896266550363805</v>
      </c>
      <c r="Y83" s="12"/>
      <c r="Z83" s="12">
        <f aca="true" t="shared" si="13" ref="Z83:Z94">SUM(R83,J83)</f>
        <v>65.69975121305562</v>
      </c>
      <c r="AA83" s="12"/>
      <c r="AB83" s="12">
        <f aca="true" t="shared" si="14" ref="AB83:AB94">AVERAGE(V83,X83,Z83)</f>
        <v>60.83254568721323</v>
      </c>
    </row>
    <row r="84" spans="2:28" ht="12.75">
      <c r="B84" s="2" t="s">
        <v>56</v>
      </c>
      <c r="D84" s="2" t="s">
        <v>103</v>
      </c>
      <c r="F84" s="33">
        <f>F65/F78/0.0283*1000000*(21-7)/(21-F79)/60</f>
        <v>76944399.40299115</v>
      </c>
      <c r="H84" s="33">
        <f>H65/H78/0.0283*1000000*(21-7)/(21-H79)/60</f>
        <v>68365154.15095069</v>
      </c>
      <c r="J84" s="33">
        <f>J65/J78/0.0283*1000000*(21-7)/(21-J79)/60</f>
        <v>70663707.1133745</v>
      </c>
      <c r="L84" s="33">
        <f t="shared" si="10"/>
        <v>71991086.88910545</v>
      </c>
      <c r="M84" s="33"/>
      <c r="N84" s="33"/>
      <c r="O84" s="33"/>
      <c r="P84" s="33"/>
      <c r="Q84" s="33"/>
      <c r="R84" s="33"/>
      <c r="S84" s="33"/>
      <c r="V84" s="12">
        <f t="shared" si="11"/>
        <v>76944399.40299115</v>
      </c>
      <c r="W84" s="12"/>
      <c r="X84" s="12">
        <f t="shared" si="12"/>
        <v>68365154.15095069</v>
      </c>
      <c r="Y84" s="12"/>
      <c r="Z84" s="12">
        <f t="shared" si="13"/>
        <v>70663707.1133745</v>
      </c>
      <c r="AA84" s="12"/>
      <c r="AB84" s="12">
        <f t="shared" si="14"/>
        <v>71991086.88910545</v>
      </c>
    </row>
    <row r="85" spans="2:28" ht="12.75">
      <c r="B85" s="2" t="s">
        <v>133</v>
      </c>
      <c r="D85" s="2" t="s">
        <v>103</v>
      </c>
      <c r="E85" s="2">
        <v>100</v>
      </c>
      <c r="F85" s="12">
        <f aca="true" t="shared" si="15" ref="F85:F90">F$58*454*F66/F$78/0.0283*(21-7)/(21-F$79)/60</f>
        <v>208.14013219957832</v>
      </c>
      <c r="G85" s="2">
        <v>100</v>
      </c>
      <c r="H85" s="12">
        <f aca="true" t="shared" si="16" ref="H85:H90">H$58*454*H66/H$78/0.0283*(21-7)/(21-H$79)/60</f>
        <v>215.17522227195394</v>
      </c>
      <c r="I85" s="2">
        <v>100</v>
      </c>
      <c r="J85" s="12">
        <f aca="true" t="shared" si="17" ref="J85:J90">J$58*454*J66/J$78/0.0283*(21-7)/(21-J$79)/60</f>
        <v>204.57947222721026</v>
      </c>
      <c r="K85" s="2">
        <v>100</v>
      </c>
      <c r="L85" s="33">
        <f t="shared" si="10"/>
        <v>209.2982755662475</v>
      </c>
      <c r="M85" s="12"/>
      <c r="N85" s="12"/>
      <c r="O85" s="12"/>
      <c r="P85" s="12"/>
      <c r="Q85" s="12"/>
      <c r="R85" s="12"/>
      <c r="S85" s="12"/>
      <c r="U85" s="2">
        <v>100</v>
      </c>
      <c r="V85" s="12">
        <f t="shared" si="11"/>
        <v>208.14013219957832</v>
      </c>
      <c r="W85" s="2">
        <v>100</v>
      </c>
      <c r="X85" s="12">
        <f t="shared" si="12"/>
        <v>215.17522227195394</v>
      </c>
      <c r="Y85" s="2">
        <v>100</v>
      </c>
      <c r="Z85" s="12">
        <f t="shared" si="13"/>
        <v>204.57947222721026</v>
      </c>
      <c r="AA85" s="2">
        <v>100</v>
      </c>
      <c r="AB85" s="12">
        <f t="shared" si="14"/>
        <v>209.2982755662475</v>
      </c>
    </row>
    <row r="86" spans="2:28" ht="12.75">
      <c r="B86" s="2" t="s">
        <v>134</v>
      </c>
      <c r="D86" s="2" t="s">
        <v>103</v>
      </c>
      <c r="E86" s="2">
        <v>100</v>
      </c>
      <c r="F86" s="12">
        <f t="shared" si="15"/>
        <v>17.84058275996386</v>
      </c>
      <c r="G86" s="2">
        <v>100</v>
      </c>
      <c r="H86" s="12">
        <f t="shared" si="16"/>
        <v>17.214017781756315</v>
      </c>
      <c r="I86" s="2">
        <v>100</v>
      </c>
      <c r="J86" s="12">
        <f t="shared" si="17"/>
        <v>17.535383333760876</v>
      </c>
      <c r="K86" s="2">
        <v>100</v>
      </c>
      <c r="L86" s="33">
        <f t="shared" si="10"/>
        <v>17.529994625160352</v>
      </c>
      <c r="M86" s="12"/>
      <c r="N86" s="12"/>
      <c r="O86" s="12"/>
      <c r="P86" s="12"/>
      <c r="Q86" s="12"/>
      <c r="R86" s="12"/>
      <c r="S86" s="12"/>
      <c r="U86" s="2">
        <v>100</v>
      </c>
      <c r="V86" s="12">
        <f t="shared" si="11"/>
        <v>17.84058275996386</v>
      </c>
      <c r="W86" s="2">
        <v>100</v>
      </c>
      <c r="X86" s="12">
        <f t="shared" si="12"/>
        <v>17.214017781756315</v>
      </c>
      <c r="Y86" s="2">
        <v>100</v>
      </c>
      <c r="Z86" s="12">
        <f t="shared" si="13"/>
        <v>17.535383333760876</v>
      </c>
      <c r="AA86" s="2">
        <v>100</v>
      </c>
      <c r="AB86" s="12">
        <f t="shared" si="14"/>
        <v>17.529994625160352</v>
      </c>
    </row>
    <row r="87" spans="2:28" ht="12.75">
      <c r="B87" s="2" t="s">
        <v>135</v>
      </c>
      <c r="D87" s="2" t="s">
        <v>103</v>
      </c>
      <c r="E87" s="2">
        <v>100</v>
      </c>
      <c r="F87" s="12">
        <f t="shared" si="15"/>
        <v>25.274158909948806</v>
      </c>
      <c r="G87" s="2">
        <v>100</v>
      </c>
      <c r="H87" s="12">
        <f t="shared" si="16"/>
        <v>25.82102667263447</v>
      </c>
      <c r="I87" s="2">
        <v>100</v>
      </c>
      <c r="J87" s="12">
        <f t="shared" si="17"/>
        <v>26.303075000641318</v>
      </c>
      <c r="K87" s="2">
        <v>100</v>
      </c>
      <c r="L87" s="33">
        <f t="shared" si="10"/>
        <v>25.7994201944082</v>
      </c>
      <c r="M87" s="12"/>
      <c r="N87" s="12"/>
      <c r="O87" s="12"/>
      <c r="P87" s="12"/>
      <c r="Q87" s="12"/>
      <c r="R87" s="12"/>
      <c r="S87" s="12"/>
      <c r="U87" s="2">
        <v>100</v>
      </c>
      <c r="V87" s="12">
        <f t="shared" si="11"/>
        <v>25.274158909948806</v>
      </c>
      <c r="W87" s="2">
        <v>100</v>
      </c>
      <c r="X87" s="12">
        <f t="shared" si="12"/>
        <v>25.82102667263447</v>
      </c>
      <c r="Y87" s="2">
        <v>100</v>
      </c>
      <c r="Z87" s="12">
        <f t="shared" si="13"/>
        <v>26.303075000641318</v>
      </c>
      <c r="AA87" s="2">
        <v>100</v>
      </c>
      <c r="AB87" s="12">
        <f t="shared" si="14"/>
        <v>25.7994201944082</v>
      </c>
    </row>
    <row r="88" spans="2:28" ht="12.75">
      <c r="B88" s="2" t="s">
        <v>136</v>
      </c>
      <c r="D88" s="2" t="s">
        <v>103</v>
      </c>
      <c r="E88" s="2">
        <v>100</v>
      </c>
      <c r="F88" s="12">
        <f t="shared" si="15"/>
        <v>1.4867152299969886</v>
      </c>
      <c r="G88" s="2">
        <v>100</v>
      </c>
      <c r="H88" s="12">
        <f t="shared" si="16"/>
        <v>1.4345014818130262</v>
      </c>
      <c r="I88" s="2">
        <v>100</v>
      </c>
      <c r="J88" s="12">
        <f t="shared" si="17"/>
        <v>1.4612819444800733</v>
      </c>
      <c r="K88" s="2">
        <v>100</v>
      </c>
      <c r="L88" s="33">
        <f t="shared" si="10"/>
        <v>1.4608328854300294</v>
      </c>
      <c r="M88" s="12"/>
      <c r="N88" s="12"/>
      <c r="O88" s="12"/>
      <c r="P88" s="12"/>
      <c r="Q88" s="12"/>
      <c r="R88" s="12"/>
      <c r="S88" s="12"/>
      <c r="U88" s="2">
        <v>100</v>
      </c>
      <c r="V88" s="12">
        <f t="shared" si="11"/>
        <v>1.4867152299969886</v>
      </c>
      <c r="W88" s="2">
        <v>100</v>
      </c>
      <c r="X88" s="12">
        <f t="shared" si="12"/>
        <v>1.4345014818130262</v>
      </c>
      <c r="Y88" s="2">
        <v>100</v>
      </c>
      <c r="Z88" s="12">
        <f t="shared" si="13"/>
        <v>1.4612819444800733</v>
      </c>
      <c r="AA88" s="2">
        <v>100</v>
      </c>
      <c r="AB88" s="12">
        <f t="shared" si="14"/>
        <v>1.4608328854300294</v>
      </c>
    </row>
    <row r="89" spans="2:28" ht="12.75">
      <c r="B89" s="2" t="s">
        <v>137</v>
      </c>
      <c r="D89" s="2" t="s">
        <v>103</v>
      </c>
      <c r="E89" s="2">
        <v>100</v>
      </c>
      <c r="F89" s="12">
        <f t="shared" si="15"/>
        <v>2.973430459993977</v>
      </c>
      <c r="G89" s="2">
        <v>100</v>
      </c>
      <c r="H89" s="12">
        <f t="shared" si="16"/>
        <v>2.8690029636260523</v>
      </c>
      <c r="I89" s="2">
        <v>100</v>
      </c>
      <c r="J89" s="12">
        <f t="shared" si="17"/>
        <v>2.9225638889601466</v>
      </c>
      <c r="K89" s="2">
        <v>100</v>
      </c>
      <c r="L89" s="33">
        <f t="shared" si="10"/>
        <v>2.921665770860059</v>
      </c>
      <c r="M89" s="12"/>
      <c r="N89" s="12"/>
      <c r="O89" s="12"/>
      <c r="P89" s="12"/>
      <c r="Q89" s="12"/>
      <c r="R89" s="12"/>
      <c r="S89" s="12"/>
      <c r="U89" s="2">
        <v>100</v>
      </c>
      <c r="V89" s="12">
        <f t="shared" si="11"/>
        <v>2.973430459993977</v>
      </c>
      <c r="W89" s="2">
        <v>100</v>
      </c>
      <c r="X89" s="12">
        <f t="shared" si="12"/>
        <v>2.8690029636260523</v>
      </c>
      <c r="Y89" s="2">
        <v>100</v>
      </c>
      <c r="Z89" s="12">
        <f t="shared" si="13"/>
        <v>2.9225638889601466</v>
      </c>
      <c r="AA89" s="2">
        <v>100</v>
      </c>
      <c r="AB89" s="12">
        <f t="shared" si="14"/>
        <v>2.921665770860059</v>
      </c>
    </row>
    <row r="90" spans="2:28" ht="12.75">
      <c r="B90" s="2" t="s">
        <v>148</v>
      </c>
      <c r="D90" s="2" t="s">
        <v>103</v>
      </c>
      <c r="F90" s="12">
        <f t="shared" si="15"/>
        <v>193.27297989960846</v>
      </c>
      <c r="H90" s="12">
        <f t="shared" si="16"/>
        <v>143.4501481813026</v>
      </c>
      <c r="J90" s="12">
        <f t="shared" si="17"/>
        <v>138.82178472560696</v>
      </c>
      <c r="L90" s="33">
        <f t="shared" si="10"/>
        <v>158.514970935506</v>
      </c>
      <c r="M90" s="12"/>
      <c r="N90" s="12">
        <f>N72/N$78/0.0283*(21-7)/(21-N$79)/60*1000000</f>
        <v>4817.700188416112</v>
      </c>
      <c r="O90" s="12"/>
      <c r="P90" s="12">
        <f>P72/P$78/0.0283*(21-7)/(21-P$79)/60*1000000</f>
        <v>4683.44798926178</v>
      </c>
      <c r="Q90" s="12"/>
      <c r="R90" s="12">
        <f>R72/R$78/0.0283*(21-7)/(21-R$79)/60*1000000</f>
        <v>4735.07982094097</v>
      </c>
      <c r="S90" s="12"/>
      <c r="T90" s="12">
        <f>T72/T$78/0.0283*(21-7)/(21-T$79)/60*1000000</f>
        <v>4739.649901992369</v>
      </c>
      <c r="V90" s="12">
        <f t="shared" si="11"/>
        <v>5010.973168315721</v>
      </c>
      <c r="X90" s="12">
        <f t="shared" si="12"/>
        <v>4826.898137443082</v>
      </c>
      <c r="Z90" s="12">
        <f t="shared" si="13"/>
        <v>4873.901605666578</v>
      </c>
      <c r="AB90" s="12">
        <f t="shared" si="14"/>
        <v>4903.9243038084605</v>
      </c>
    </row>
    <row r="91" spans="2:28" ht="12.75">
      <c r="B91" s="2" t="s">
        <v>138</v>
      </c>
      <c r="D91" s="2" t="s">
        <v>103</v>
      </c>
      <c r="E91" s="2">
        <v>100</v>
      </c>
      <c r="F91" s="12">
        <f>F$58*454*F73/F$78/0.0283*(21-7)/(21-F$79)/60</f>
        <v>223.00728449954826</v>
      </c>
      <c r="G91" s="2">
        <v>100</v>
      </c>
      <c r="H91" s="12">
        <f>H$58*454*H73/H$78/0.0283*(21-7)/(21-H$79)/60</f>
        <v>229.5202370900842</v>
      </c>
      <c r="I91" s="2">
        <v>100</v>
      </c>
      <c r="J91" s="12">
        <f>J$58*454*J73/J$78/0.0283*(21-7)/(21-J$79)/60</f>
        <v>233.80511111681173</v>
      </c>
      <c r="K91" s="2">
        <v>100</v>
      </c>
      <c r="L91" s="33">
        <f t="shared" si="10"/>
        <v>228.7775442354814</v>
      </c>
      <c r="M91" s="12"/>
      <c r="N91" s="12"/>
      <c r="O91" s="12"/>
      <c r="P91" s="12"/>
      <c r="Q91" s="12"/>
      <c r="R91" s="12"/>
      <c r="S91" s="12"/>
      <c r="U91" s="2">
        <v>100</v>
      </c>
      <c r="V91" s="12">
        <f t="shared" si="11"/>
        <v>223.00728449954826</v>
      </c>
      <c r="W91" s="2">
        <v>100</v>
      </c>
      <c r="X91" s="12">
        <f t="shared" si="12"/>
        <v>229.5202370900842</v>
      </c>
      <c r="Y91" s="2">
        <v>100</v>
      </c>
      <c r="Z91" s="12">
        <f t="shared" si="13"/>
        <v>233.80511111681173</v>
      </c>
      <c r="AA91" s="2">
        <v>100</v>
      </c>
      <c r="AB91" s="12">
        <f t="shared" si="14"/>
        <v>228.7775442354814</v>
      </c>
    </row>
    <row r="92" spans="2:28" ht="12.75">
      <c r="B92" s="2" t="s">
        <v>139</v>
      </c>
      <c r="D92" s="2" t="s">
        <v>103</v>
      </c>
      <c r="E92" s="2">
        <v>100</v>
      </c>
      <c r="F92" s="12">
        <f>F$58*454*F74/F$78/0.0283*(21-7)/(21-F$79)/60</f>
        <v>7.433576149984942</v>
      </c>
      <c r="G92" s="2">
        <v>100</v>
      </c>
      <c r="H92" s="12">
        <f>H$58*454*H74/H$78/0.0283*(21-7)/(21-H$79)/60</f>
        <v>1.4345014818130262</v>
      </c>
      <c r="I92" s="2">
        <v>100</v>
      </c>
      <c r="J92" s="12">
        <f>J$58*454*J74/J$78/0.0283*(21-7)/(21-J$79)/60</f>
        <v>1.4612819444800733</v>
      </c>
      <c r="K92" s="2">
        <v>100</v>
      </c>
      <c r="L92" s="33">
        <f t="shared" si="10"/>
        <v>3.443119858759347</v>
      </c>
      <c r="M92" s="12"/>
      <c r="N92" s="12"/>
      <c r="O92" s="12"/>
      <c r="P92" s="12"/>
      <c r="Q92" s="12"/>
      <c r="R92" s="12"/>
      <c r="S92" s="12"/>
      <c r="U92" s="2">
        <v>100</v>
      </c>
      <c r="V92" s="12">
        <f t="shared" si="11"/>
        <v>7.433576149984942</v>
      </c>
      <c r="W92" s="2">
        <v>100</v>
      </c>
      <c r="X92" s="12">
        <f t="shared" si="12"/>
        <v>1.4345014818130262</v>
      </c>
      <c r="Y92" s="2">
        <v>100</v>
      </c>
      <c r="Z92" s="12">
        <f t="shared" si="13"/>
        <v>1.4612819444800733</v>
      </c>
      <c r="AA92" s="2">
        <v>100</v>
      </c>
      <c r="AB92" s="12">
        <f t="shared" si="14"/>
        <v>3.443119858759347</v>
      </c>
    </row>
    <row r="93" spans="2:28" ht="12.75">
      <c r="B93" s="2" t="s">
        <v>140</v>
      </c>
      <c r="D93" s="2" t="s">
        <v>103</v>
      </c>
      <c r="E93" s="2">
        <v>100</v>
      </c>
      <c r="F93" s="12">
        <f>F$58*454*F75/F$78/0.0283*(21-7)/(21-F$79)/60</f>
        <v>34.19445028993073</v>
      </c>
      <c r="G93" s="2">
        <v>100</v>
      </c>
      <c r="H93" s="12">
        <f>H$58*454*H75/H$78/0.0283*(21-7)/(21-H$79)/60</f>
        <v>34.42803556351263</v>
      </c>
      <c r="I93" s="2">
        <v>100</v>
      </c>
      <c r="J93" s="12">
        <f>J$58*454*J75/J$78/0.0283*(21-7)/(21-J$79)/60</f>
        <v>35.07076666752175</v>
      </c>
      <c r="K93" s="2">
        <v>100</v>
      </c>
      <c r="L93" s="33">
        <f t="shared" si="10"/>
        <v>34.56441750698837</v>
      </c>
      <c r="M93" s="12"/>
      <c r="N93" s="12"/>
      <c r="O93" s="12"/>
      <c r="P93" s="12"/>
      <c r="Q93" s="12"/>
      <c r="R93" s="12"/>
      <c r="S93" s="12"/>
      <c r="U93" s="2">
        <v>100</v>
      </c>
      <c r="V93" s="12">
        <f t="shared" si="11"/>
        <v>34.19445028993073</v>
      </c>
      <c r="W93" s="2">
        <v>100</v>
      </c>
      <c r="X93" s="12">
        <f t="shared" si="12"/>
        <v>34.42803556351263</v>
      </c>
      <c r="Y93" s="2">
        <v>100</v>
      </c>
      <c r="Z93" s="12">
        <f t="shared" si="13"/>
        <v>35.07076666752175</v>
      </c>
      <c r="AA93" s="2">
        <v>100</v>
      </c>
      <c r="AB93" s="12">
        <f t="shared" si="14"/>
        <v>34.56441750698837</v>
      </c>
    </row>
    <row r="94" spans="2:28" ht="12.75">
      <c r="B94" s="2" t="s">
        <v>141</v>
      </c>
      <c r="D94" s="2" t="s">
        <v>103</v>
      </c>
      <c r="E94" s="2">
        <v>100</v>
      </c>
      <c r="F94" s="12">
        <f>F$58*454*F76/F$78/0.0283*(21-7)/(21-F$79)/60</f>
        <v>1174.505031697621</v>
      </c>
      <c r="G94" s="2">
        <v>100</v>
      </c>
      <c r="H94" s="12">
        <f>H$58*454*H76/H$78/0.0283*(21-7)/(21-H$79)/60</f>
        <v>1176.2912150866816</v>
      </c>
      <c r="I94" s="2">
        <v>100</v>
      </c>
      <c r="J94" s="12">
        <f>J$58*454*J76/J$78/0.0283*(21-7)/(21-J$79)/60</f>
        <v>1183.6383750288592</v>
      </c>
      <c r="K94" s="2">
        <v>100</v>
      </c>
      <c r="L94" s="33">
        <f t="shared" si="10"/>
        <v>1178.1448739377206</v>
      </c>
      <c r="M94" s="12"/>
      <c r="N94" s="12"/>
      <c r="O94" s="12"/>
      <c r="P94" s="12"/>
      <c r="Q94" s="12"/>
      <c r="R94" s="12"/>
      <c r="S94" s="12"/>
      <c r="U94" s="2">
        <v>100</v>
      </c>
      <c r="V94" s="12">
        <f t="shared" si="11"/>
        <v>1174.505031697621</v>
      </c>
      <c r="W94" s="2">
        <v>100</v>
      </c>
      <c r="X94" s="12">
        <f t="shared" si="12"/>
        <v>1176.2912150866816</v>
      </c>
      <c r="Y94" s="2">
        <v>100</v>
      </c>
      <c r="Z94" s="12">
        <f t="shared" si="13"/>
        <v>1183.6383750288592</v>
      </c>
      <c r="AA94" s="2">
        <v>100</v>
      </c>
      <c r="AB94" s="12">
        <f t="shared" si="14"/>
        <v>1178.1448739377206</v>
      </c>
    </row>
    <row r="95" spans="6:28" ht="12.75">
      <c r="F95" s="12"/>
      <c r="H95" s="12"/>
      <c r="J95" s="12"/>
      <c r="L95" s="33"/>
      <c r="M95" s="12"/>
      <c r="N95" s="12"/>
      <c r="O95" s="12"/>
      <c r="P95" s="12"/>
      <c r="Q95" s="12"/>
      <c r="R95" s="12"/>
      <c r="S95" s="12"/>
      <c r="V95" s="12"/>
      <c r="W95" s="12"/>
      <c r="X95" s="12"/>
      <c r="Y95" s="12"/>
      <c r="Z95" s="12"/>
      <c r="AA95" s="12"/>
      <c r="AB95" s="12"/>
    </row>
    <row r="96" spans="2:28" ht="12.75">
      <c r="B96" s="2" t="s">
        <v>5</v>
      </c>
      <c r="D96" s="2" t="s">
        <v>103</v>
      </c>
      <c r="E96" s="33">
        <f>(E89*F89+E91*F91)/F96</f>
        <v>100</v>
      </c>
      <c r="F96" s="12">
        <f>(F91+F89)</f>
        <v>225.98071495954224</v>
      </c>
      <c r="G96" s="33">
        <f>(G89*H89+G91*H91)/H96</f>
        <v>99.99999999999999</v>
      </c>
      <c r="H96" s="12">
        <f>(H91+H89)</f>
        <v>232.38924005371027</v>
      </c>
      <c r="I96" s="33">
        <f>(I89*J89+I91*J91)/J96</f>
        <v>99.99999999999999</v>
      </c>
      <c r="J96" s="12">
        <f>(J91+J89)</f>
        <v>236.72767500577189</v>
      </c>
      <c r="K96" s="33">
        <f>(K89*L89+K91*L91)/L96</f>
        <v>100</v>
      </c>
      <c r="L96" s="33">
        <f>AVERAGE(F96,H96,J96)</f>
        <v>231.69921000634145</v>
      </c>
      <c r="M96" s="12"/>
      <c r="N96" s="12"/>
      <c r="O96" s="12"/>
      <c r="P96" s="12"/>
      <c r="Q96" s="12"/>
      <c r="R96" s="12"/>
      <c r="S96" s="12"/>
      <c r="U96" s="33">
        <f>(U89*V89+U91*V91)/V96</f>
        <v>100</v>
      </c>
      <c r="V96" s="12">
        <f>SUM(N96,F96)</f>
        <v>225.98071495954224</v>
      </c>
      <c r="W96" s="33">
        <f>(W89*X89+W91*X91)/X96</f>
        <v>99.99999999999999</v>
      </c>
      <c r="X96" s="12">
        <f>SUM(P96,H96)</f>
        <v>232.38924005371027</v>
      </c>
      <c r="Y96" s="33">
        <f>(Y89*Z89+Y91*Z91)/Z96</f>
        <v>99.99999999999999</v>
      </c>
      <c r="Z96" s="12">
        <f>SUM(R96,J96)</f>
        <v>236.72767500577189</v>
      </c>
      <c r="AA96" s="33">
        <f>(AA89*AB89+AA91*AB91)/AB96</f>
        <v>100</v>
      </c>
      <c r="AB96" s="12">
        <f>AVERAGE(V96,X96,Z96)</f>
        <v>231.69921000634145</v>
      </c>
    </row>
    <row r="97" spans="2:28" ht="12.75">
      <c r="B97" s="2" t="s">
        <v>6</v>
      </c>
      <c r="D97" s="2" t="s">
        <v>103</v>
      </c>
      <c r="E97" s="33">
        <f>(E86*F86+E88*F88+E90*F90)/F97</f>
        <v>8.783783783783784</v>
      </c>
      <c r="F97" s="12">
        <f>F90+(F87+F88)</f>
        <v>220.03385403955426</v>
      </c>
      <c r="G97" s="33">
        <f>(G86*H86+G88*H88+G90*H90)/H97</f>
        <v>10.924369747899162</v>
      </c>
      <c r="H97" s="12">
        <f>H90+(H87+H88)</f>
        <v>170.7056763357501</v>
      </c>
      <c r="I97" s="33">
        <f>(I86*J86+I88*J88+I90*J90)/J97</f>
        <v>11.403508771929822</v>
      </c>
      <c r="J97" s="12">
        <f>J90+(J87+J88)</f>
        <v>166.58614167072835</v>
      </c>
      <c r="K97" s="33">
        <f>(K86*L86+K88*L88+K90*L90)/L97</f>
        <v>10.222475904010658</v>
      </c>
      <c r="L97" s="33">
        <f>AVERAGE(F97,H97,J97)</f>
        <v>185.7752240153442</v>
      </c>
      <c r="M97" s="12"/>
      <c r="N97" s="12">
        <f>N90</f>
        <v>4817.700188416112</v>
      </c>
      <c r="O97" s="12"/>
      <c r="P97" s="12">
        <f>P90</f>
        <v>4683.44798926178</v>
      </c>
      <c r="Q97" s="12"/>
      <c r="R97" s="12">
        <f>R90</f>
        <v>4735.07982094097</v>
      </c>
      <c r="S97" s="12"/>
      <c r="T97" s="12">
        <f>T90</f>
        <v>4739.649901992369</v>
      </c>
      <c r="U97" s="33"/>
      <c r="V97" s="12">
        <f>SUM(N97,F97)</f>
        <v>5037.734042455666</v>
      </c>
      <c r="W97" s="33"/>
      <c r="X97" s="12">
        <f>SUM(P97,H97)</f>
        <v>4854.153665597531</v>
      </c>
      <c r="Y97" s="33"/>
      <c r="Z97" s="12">
        <f>SUM(R97,J97)</f>
        <v>4901.665962611699</v>
      </c>
      <c r="AA97" s="12"/>
      <c r="AB97" s="12">
        <f>AVERAGE(V97,X97,Z97)</f>
        <v>4931.184556888299</v>
      </c>
    </row>
    <row r="100" spans="1:20" ht="12.75">
      <c r="A100" s="2" t="s">
        <v>151</v>
      </c>
      <c r="B100" s="1" t="s">
        <v>185</v>
      </c>
      <c r="F100" s="8" t="s">
        <v>197</v>
      </c>
      <c r="H100" s="8" t="s">
        <v>198</v>
      </c>
      <c r="J100" s="8" t="s">
        <v>199</v>
      </c>
      <c r="L100" s="8" t="s">
        <v>41</v>
      </c>
      <c r="N100" s="8" t="s">
        <v>197</v>
      </c>
      <c r="P100" s="8" t="s">
        <v>198</v>
      </c>
      <c r="R100" s="8" t="s">
        <v>199</v>
      </c>
      <c r="T100" s="8" t="s">
        <v>41</v>
      </c>
    </row>
    <row r="101" spans="2:12" ht="12.75">
      <c r="B101" s="1"/>
      <c r="F101" s="8"/>
      <c r="H101" s="8"/>
      <c r="J101" s="8"/>
      <c r="L101" s="8"/>
    </row>
    <row r="102" spans="2:20" ht="12.75">
      <c r="B102" s="36" t="s">
        <v>203</v>
      </c>
      <c r="C102" s="1"/>
      <c r="F102" s="8" t="s">
        <v>213</v>
      </c>
      <c r="H102" s="8" t="s">
        <v>213</v>
      </c>
      <c r="J102" s="8" t="s">
        <v>213</v>
      </c>
      <c r="L102" s="8" t="s">
        <v>213</v>
      </c>
      <c r="N102" s="2" t="s">
        <v>214</v>
      </c>
      <c r="P102" s="2" t="s">
        <v>214</v>
      </c>
      <c r="R102" s="2" t="s">
        <v>214</v>
      </c>
      <c r="T102" s="2" t="s">
        <v>214</v>
      </c>
    </row>
    <row r="103" spans="2:20" ht="12.75">
      <c r="B103" s="36" t="s">
        <v>204</v>
      </c>
      <c r="F103" s="8" t="s">
        <v>205</v>
      </c>
      <c r="H103" s="8" t="s">
        <v>205</v>
      </c>
      <c r="J103" s="8" t="s">
        <v>205</v>
      </c>
      <c r="L103" s="8" t="s">
        <v>205</v>
      </c>
      <c r="N103" s="2" t="s">
        <v>64</v>
      </c>
      <c r="P103" s="2" t="s">
        <v>64</v>
      </c>
      <c r="R103" s="2" t="s">
        <v>64</v>
      </c>
      <c r="T103" s="2" t="s">
        <v>64</v>
      </c>
    </row>
    <row r="104" spans="2:20" ht="12.75">
      <c r="B104" s="36" t="s">
        <v>219</v>
      </c>
      <c r="F104" s="8" t="s">
        <v>1</v>
      </c>
      <c r="H104" s="8" t="s">
        <v>1</v>
      </c>
      <c r="J104" s="8" t="s">
        <v>1</v>
      </c>
      <c r="L104" s="8" t="s">
        <v>1</v>
      </c>
      <c r="N104" s="2" t="s">
        <v>64</v>
      </c>
      <c r="P104" s="2" t="s">
        <v>64</v>
      </c>
      <c r="R104" s="2" t="s">
        <v>64</v>
      </c>
      <c r="T104" s="2" t="s">
        <v>64</v>
      </c>
    </row>
    <row r="105" spans="2:20" ht="12.75">
      <c r="B105" s="2" t="s">
        <v>152</v>
      </c>
      <c r="F105" s="2" t="s">
        <v>48</v>
      </c>
      <c r="H105" s="2" t="s">
        <v>48</v>
      </c>
      <c r="J105" s="2" t="s">
        <v>48</v>
      </c>
      <c r="L105" s="2" t="s">
        <v>48</v>
      </c>
      <c r="M105" s="10"/>
      <c r="N105" s="10" t="s">
        <v>64</v>
      </c>
      <c r="O105" s="10"/>
      <c r="P105" s="10" t="s">
        <v>64</v>
      </c>
      <c r="Q105" s="10"/>
      <c r="R105" s="10" t="s">
        <v>64</v>
      </c>
      <c r="S105" s="10"/>
      <c r="T105" s="10" t="s">
        <v>64</v>
      </c>
    </row>
    <row r="106" spans="2:19" ht="12.75">
      <c r="B106" s="2" t="s">
        <v>217</v>
      </c>
      <c r="D106" s="2" t="s">
        <v>173</v>
      </c>
      <c r="F106" s="33">
        <v>22225905.9</v>
      </c>
      <c r="H106" s="33">
        <v>2216788.6</v>
      </c>
      <c r="J106" s="33">
        <v>2236928.4</v>
      </c>
      <c r="L106" s="33">
        <v>2200000</v>
      </c>
      <c r="M106" s="12"/>
      <c r="N106" s="12"/>
      <c r="O106" s="12"/>
      <c r="P106" s="12"/>
      <c r="Q106" s="12"/>
      <c r="R106" s="12"/>
      <c r="S106" s="12"/>
    </row>
    <row r="107" spans="2:12" ht="12.75">
      <c r="B107" s="2" t="s">
        <v>51</v>
      </c>
      <c r="D107" s="2" t="s">
        <v>52</v>
      </c>
      <c r="F107" s="2">
        <v>8640</v>
      </c>
      <c r="H107" s="2">
        <v>8460</v>
      </c>
      <c r="J107" s="2">
        <v>9660</v>
      </c>
      <c r="L107" s="2">
        <v>8920</v>
      </c>
    </row>
    <row r="108" spans="2:20" ht="12.75">
      <c r="B108" s="2" t="s">
        <v>53</v>
      </c>
      <c r="D108" s="2" t="s">
        <v>54</v>
      </c>
      <c r="E108" s="2" t="s">
        <v>45</v>
      </c>
      <c r="F108" s="2">
        <v>6</v>
      </c>
      <c r="H108" s="2">
        <v>6</v>
      </c>
      <c r="J108" s="2">
        <v>6</v>
      </c>
      <c r="L108" s="2">
        <v>6</v>
      </c>
      <c r="N108" s="29"/>
      <c r="P108" s="29"/>
      <c r="R108" s="29"/>
      <c r="T108" s="29"/>
    </row>
    <row r="109" spans="2:12" ht="12.75">
      <c r="B109" s="2" t="s">
        <v>8</v>
      </c>
      <c r="D109" s="2" t="s">
        <v>55</v>
      </c>
      <c r="F109" s="2">
        <v>0.29</v>
      </c>
      <c r="H109" s="2">
        <v>0.32</v>
      </c>
      <c r="J109" s="2">
        <v>0.35</v>
      </c>
      <c r="L109" s="2">
        <v>0.32</v>
      </c>
    </row>
    <row r="110" spans="2:12" ht="12.75">
      <c r="B110" s="2" t="s">
        <v>8</v>
      </c>
      <c r="D110" s="2" t="s">
        <v>173</v>
      </c>
      <c r="F110" s="2">
        <v>912.6</v>
      </c>
      <c r="H110" s="2">
        <v>864.5</v>
      </c>
      <c r="J110" s="2">
        <v>1006.6</v>
      </c>
      <c r="L110" s="2">
        <f>AVERAGE(J110,H110,F110)</f>
        <v>927.9</v>
      </c>
    </row>
    <row r="111" spans="2:12" ht="12.75">
      <c r="B111" s="2" t="s">
        <v>56</v>
      </c>
      <c r="D111" s="2" t="s">
        <v>55</v>
      </c>
      <c r="F111" s="2">
        <v>54.8</v>
      </c>
      <c r="H111" s="2">
        <v>55.6</v>
      </c>
      <c r="J111" s="2">
        <v>49.3</v>
      </c>
      <c r="L111" s="2">
        <v>53.2</v>
      </c>
    </row>
    <row r="112" spans="2:12" ht="12.75">
      <c r="B112" s="2" t="s">
        <v>56</v>
      </c>
      <c r="D112" s="2" t="s">
        <v>173</v>
      </c>
      <c r="F112" s="2">
        <v>1153019.3</v>
      </c>
      <c r="H112" s="2">
        <v>1057408.1</v>
      </c>
      <c r="J112" s="2">
        <v>1082673.3</v>
      </c>
      <c r="L112" s="12">
        <f>AVERAGE(J112,H112,F112)</f>
        <v>1097700.2333333334</v>
      </c>
    </row>
    <row r="114" spans="2:12" ht="12.75">
      <c r="B114" s="2" t="s">
        <v>99</v>
      </c>
      <c r="D114" s="2" t="s">
        <v>14</v>
      </c>
      <c r="F114" s="2">
        <f>emiss!G96</f>
        <v>8470</v>
      </c>
      <c r="H114" s="2">
        <f>emiss!I96</f>
        <v>8528</v>
      </c>
      <c r="J114" s="2">
        <f>emiss!K96</f>
        <v>8556</v>
      </c>
      <c r="L114" s="2">
        <f>emiss!M96</f>
        <v>8518</v>
      </c>
    </row>
    <row r="115" spans="2:12" ht="12.75">
      <c r="B115" s="2" t="s">
        <v>100</v>
      </c>
      <c r="D115" s="2" t="s">
        <v>15</v>
      </c>
      <c r="F115" s="2">
        <f>emiss!G97</f>
        <v>6.1</v>
      </c>
      <c r="H115" s="2">
        <f>emiss!I97</f>
        <v>6.5</v>
      </c>
      <c r="J115" s="2">
        <f>emiss!K97</f>
        <v>6.6</v>
      </c>
      <c r="L115" s="2">
        <f>emiss!M97</f>
        <v>6.3999999999999995</v>
      </c>
    </row>
    <row r="116" spans="2:20" ht="12.75">
      <c r="B116" s="2" t="s">
        <v>218</v>
      </c>
      <c r="D116" s="2" t="s">
        <v>101</v>
      </c>
      <c r="F116" s="12">
        <f>F106*F107/1000000/454</f>
        <v>422.9775924581498</v>
      </c>
      <c r="H116" s="12">
        <f>H106*H107/1000000/454</f>
        <v>41.30843955066079</v>
      </c>
      <c r="J116" s="12">
        <f>J106*J107/1000000/454</f>
        <v>47.59631793832599</v>
      </c>
      <c r="L116" s="12">
        <f>L106*L107/1000000/454</f>
        <v>43.22466960352423</v>
      </c>
      <c r="N116" s="12">
        <f>F116</f>
        <v>422.9775924581498</v>
      </c>
      <c r="P116" s="12">
        <f>H116</f>
        <v>41.30843955066079</v>
      </c>
      <c r="R116" s="12">
        <f>J116</f>
        <v>47.59631793832599</v>
      </c>
      <c r="T116" s="12">
        <f>L116</f>
        <v>43.22466960352423</v>
      </c>
    </row>
    <row r="118" spans="2:3" ht="12.75">
      <c r="B118" s="26" t="s">
        <v>113</v>
      </c>
      <c r="C118" s="26"/>
    </row>
    <row r="119" spans="2:20" ht="12.75">
      <c r="B119" s="2" t="s">
        <v>8</v>
      </c>
      <c r="D119" s="2" t="s">
        <v>13</v>
      </c>
      <c r="F119" s="12">
        <f>F110/F114/60*1000*(21-7)/(21-F115)/0.0283</f>
        <v>59.6212580163839</v>
      </c>
      <c r="G119" s="12"/>
      <c r="H119" s="12">
        <f>H110/H114/60*1000*(21-7)/(21-H115)/0.0283</f>
        <v>57.64214764116693</v>
      </c>
      <c r="I119" s="12"/>
      <c r="J119" s="12">
        <f>J110/J114/60*1000*(21-7)/(21-J115)/0.0283</f>
        <v>67.36185029226756</v>
      </c>
      <c r="K119" s="12"/>
      <c r="L119" s="12">
        <f>L110/L114/60*1000*(21-7)/(21-L115)/0.0283</f>
        <v>61.51783359120002</v>
      </c>
      <c r="N119" s="12">
        <f>F119</f>
        <v>59.6212580163839</v>
      </c>
      <c r="P119" s="12">
        <f>H119</f>
        <v>57.64214764116693</v>
      </c>
      <c r="R119" s="12">
        <f>J119</f>
        <v>67.36185029226756</v>
      </c>
      <c r="T119" s="12">
        <f>L119</f>
        <v>61.51783359120002</v>
      </c>
    </row>
    <row r="120" spans="2:20" ht="12.75">
      <c r="B120" s="2" t="s">
        <v>56</v>
      </c>
      <c r="D120" s="2" t="s">
        <v>103</v>
      </c>
      <c r="F120" s="33">
        <f>F112/F114/0.0283*1000000*(21-7)/(21-F115)/60</f>
        <v>75328140.6784685</v>
      </c>
      <c r="H120" s="33">
        <f>H112/H114/0.0283*1000000*(21-7)/(21-H115)/60</f>
        <v>70504654.50221607</v>
      </c>
      <c r="J120" s="33">
        <f>J112/J114/0.0283*1000000*(21-7)/(21-J115)/60</f>
        <v>72452689.00261801</v>
      </c>
      <c r="L120" s="33">
        <f>L112/L114/0.0283*1000000*(21-7)/(21-L115)/60</f>
        <v>72775234.70979784</v>
      </c>
      <c r="N120" s="33">
        <f>F120</f>
        <v>75328140.6784685</v>
      </c>
      <c r="O120" s="33"/>
      <c r="P120" s="33">
        <f>H120</f>
        <v>70504654.50221607</v>
      </c>
      <c r="Q120" s="33"/>
      <c r="R120" s="33">
        <f>J120</f>
        <v>72452689.00261801</v>
      </c>
      <c r="S120" s="33"/>
      <c r="T120" s="33">
        <f>L120</f>
        <v>72775234.70979784</v>
      </c>
    </row>
    <row r="125" spans="13:19" ht="12.75">
      <c r="M125" s="12"/>
      <c r="N125" s="12"/>
      <c r="O125" s="12"/>
      <c r="P125" s="12"/>
      <c r="Q125" s="12"/>
      <c r="R125" s="12"/>
      <c r="S125" s="12"/>
    </row>
    <row r="126" spans="13:19" ht="12.75">
      <c r="M126" s="12"/>
      <c r="N126" s="12"/>
      <c r="O126" s="12"/>
      <c r="P126" s="12"/>
      <c r="Q126" s="12"/>
      <c r="R126" s="12"/>
      <c r="S126" s="12"/>
    </row>
    <row r="129" spans="13:20" ht="12.75">
      <c r="M129" s="12"/>
      <c r="N129" s="12"/>
      <c r="O129" s="12"/>
      <c r="P129" s="12"/>
      <c r="Q129" s="12"/>
      <c r="R129" s="12"/>
      <c r="S129" s="12"/>
      <c r="T129" s="12"/>
    </row>
    <row r="130" spans="13:20" ht="12.75">
      <c r="M130" s="12"/>
      <c r="N130" s="37"/>
      <c r="O130" s="12"/>
      <c r="P130" s="37"/>
      <c r="Q130" s="12"/>
      <c r="R130" s="37"/>
      <c r="S130" s="12"/>
      <c r="T130" s="37"/>
    </row>
    <row r="131" spans="13:20" ht="12.75">
      <c r="M131" s="12"/>
      <c r="N131" s="12"/>
      <c r="O131" s="12"/>
      <c r="P131" s="12"/>
      <c r="Q131" s="12"/>
      <c r="R131" s="12"/>
      <c r="S131" s="12"/>
      <c r="T131" s="12"/>
    </row>
    <row r="132" spans="13:20" ht="12.75">
      <c r="M132" s="12"/>
      <c r="N132" s="12"/>
      <c r="O132" s="12"/>
      <c r="P132" s="12"/>
      <c r="Q132" s="12"/>
      <c r="R132" s="12"/>
      <c r="S132" s="12"/>
      <c r="T132" s="12"/>
    </row>
    <row r="133" spans="13:20" ht="12.75">
      <c r="M133" s="12"/>
      <c r="N133" s="12"/>
      <c r="O133" s="12"/>
      <c r="P133" s="12"/>
      <c r="Q133" s="12"/>
      <c r="R133" s="12"/>
      <c r="S133" s="12"/>
      <c r="T133" s="12"/>
    </row>
    <row r="134" spans="13:20" ht="12.75">
      <c r="M134" s="12"/>
      <c r="N134" s="12"/>
      <c r="O134" s="12"/>
      <c r="P134" s="12"/>
      <c r="Q134" s="12"/>
      <c r="R134" s="12"/>
      <c r="S134" s="12"/>
      <c r="T134" s="12"/>
    </row>
    <row r="135" spans="13:20" ht="12.75">
      <c r="M135" s="12"/>
      <c r="N135" s="12"/>
      <c r="O135" s="12"/>
      <c r="P135" s="12"/>
      <c r="Q135" s="12"/>
      <c r="R135" s="12"/>
      <c r="S135" s="12"/>
      <c r="T135" s="12"/>
    </row>
    <row r="136" spans="13:20" ht="12.75">
      <c r="M136" s="12"/>
      <c r="N136" s="12"/>
      <c r="O136" s="12"/>
      <c r="P136" s="12"/>
      <c r="Q136" s="12"/>
      <c r="R136" s="12"/>
      <c r="S136" s="12"/>
      <c r="T136" s="12"/>
    </row>
    <row r="137" spans="13:20" ht="12.75">
      <c r="M137" s="12"/>
      <c r="N137" s="12"/>
      <c r="O137" s="12"/>
      <c r="P137" s="12"/>
      <c r="Q137" s="12"/>
      <c r="R137" s="12"/>
      <c r="S137" s="12"/>
      <c r="T137" s="12"/>
    </row>
    <row r="138" spans="13:20" ht="12.75">
      <c r="M138" s="12"/>
      <c r="N138" s="12"/>
      <c r="O138" s="12"/>
      <c r="P138" s="12"/>
      <c r="Q138" s="12"/>
      <c r="R138" s="12"/>
      <c r="S138" s="12"/>
      <c r="T138" s="12"/>
    </row>
    <row r="139" spans="13:20" ht="12.75">
      <c r="M139" s="12"/>
      <c r="N139" s="12"/>
      <c r="O139" s="12"/>
      <c r="P139" s="12"/>
      <c r="Q139" s="12"/>
      <c r="R139" s="12"/>
      <c r="S139" s="12"/>
      <c r="T139" s="12"/>
    </row>
    <row r="140" spans="13:20" ht="12.75">
      <c r="M140" s="12"/>
      <c r="N140" s="12"/>
      <c r="O140" s="12"/>
      <c r="P140" s="12"/>
      <c r="Q140" s="12"/>
      <c r="R140" s="12"/>
      <c r="S140" s="12"/>
      <c r="T140" s="12"/>
    </row>
    <row r="141" spans="13:20" ht="12.75">
      <c r="M141" s="12"/>
      <c r="N141" s="12"/>
      <c r="O141" s="12"/>
      <c r="P141" s="12"/>
      <c r="Q141" s="12"/>
      <c r="R141" s="12"/>
      <c r="S141" s="12"/>
      <c r="T141" s="12"/>
    </row>
    <row r="142" spans="13:20" ht="12.75">
      <c r="M142" s="12"/>
      <c r="N142" s="12"/>
      <c r="O142" s="12"/>
      <c r="P142" s="12"/>
      <c r="Q142" s="12"/>
      <c r="R142" s="12"/>
      <c r="S142" s="12"/>
      <c r="T142" s="12"/>
    </row>
    <row r="143" spans="13:20" ht="12.75">
      <c r="M143" s="12"/>
      <c r="N143" s="12"/>
      <c r="O143" s="12"/>
      <c r="P143" s="12"/>
      <c r="Q143" s="12"/>
      <c r="R143" s="12"/>
      <c r="S143" s="12"/>
      <c r="T143" s="12"/>
    </row>
    <row r="144" spans="13:20" ht="12.75">
      <c r="M144" s="12"/>
      <c r="N144" s="12"/>
      <c r="O144" s="12"/>
      <c r="P144" s="12"/>
      <c r="Q144" s="12"/>
      <c r="R144" s="12"/>
      <c r="S144" s="12"/>
      <c r="T144" s="1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" sqref="B2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3" width="9.28125" style="2" customWidth="1"/>
    <col min="4" max="4" width="8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58</v>
      </c>
    </row>
    <row r="2" spans="2:3" ht="12.75">
      <c r="B2" s="2" t="s">
        <v>40</v>
      </c>
      <c r="C2" s="8" t="s">
        <v>41</v>
      </c>
    </row>
    <row r="4" ht="12.75">
      <c r="A4" s="1" t="s">
        <v>168</v>
      </c>
    </row>
    <row r="5" spans="4:6" ht="12.75">
      <c r="D5" s="8"/>
      <c r="E5" s="8"/>
      <c r="F5" s="8"/>
    </row>
    <row r="6" spans="1:6" ht="12.75">
      <c r="A6" s="2" t="s">
        <v>174</v>
      </c>
      <c r="B6" s="2" t="s">
        <v>175</v>
      </c>
      <c r="C6" s="8">
        <v>1450</v>
      </c>
      <c r="D6" s="8"/>
      <c r="E6" s="8"/>
      <c r="F6" s="8"/>
    </row>
    <row r="7" ht="12.75">
      <c r="A7" s="2" t="s">
        <v>176</v>
      </c>
    </row>
    <row r="8" spans="1:3" ht="12.75">
      <c r="A8" s="2" t="s">
        <v>177</v>
      </c>
      <c r="C8" s="2">
        <v>2.07</v>
      </c>
    </row>
    <row r="9" spans="1:3" ht="12.75">
      <c r="A9" s="2" t="s">
        <v>178</v>
      </c>
      <c r="B9" s="2" t="s">
        <v>179</v>
      </c>
      <c r="C9" s="2">
        <v>0.117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B26">
      <selection activeCell="B2" sqref="B2"/>
    </sheetView>
  </sheetViews>
  <sheetFormatPr defaultColWidth="9.140625" defaultRowHeight="12.75"/>
  <cols>
    <col min="1" max="1" width="2.140625" style="14" customWidth="1"/>
    <col min="2" max="2" width="25.8515625" style="14" customWidth="1"/>
    <col min="3" max="3" width="7.57421875" style="14" customWidth="1"/>
    <col min="4" max="4" width="5.57421875" style="14" customWidth="1"/>
    <col min="5" max="5" width="7.421875" style="15" customWidth="1"/>
    <col min="6" max="6" width="8.140625" style="16" customWidth="1"/>
    <col min="7" max="7" width="7.8515625" style="15" customWidth="1"/>
    <col min="8" max="8" width="8.140625" style="16" customWidth="1"/>
    <col min="9" max="9" width="5.140625" style="15" customWidth="1"/>
    <col min="10" max="10" width="7.00390625" style="15" customWidth="1"/>
    <col min="11" max="11" width="8.7109375" style="15" customWidth="1"/>
    <col min="12" max="12" width="7.8515625" style="15" customWidth="1"/>
    <col min="13" max="13" width="8.7109375" style="15" customWidth="1"/>
    <col min="14" max="14" width="4.8515625" style="15" customWidth="1"/>
    <col min="15" max="15" width="7.8515625" style="15" customWidth="1"/>
    <col min="16" max="16" width="10.00390625" style="15" customWidth="1"/>
    <col min="17" max="17" width="8.7109375" style="15" customWidth="1"/>
    <col min="18" max="18" width="10.00390625" style="15" customWidth="1"/>
    <col min="19" max="19" width="7.7109375" style="14" customWidth="1"/>
    <col min="20" max="20" width="7.8515625" style="14" customWidth="1"/>
    <col min="21" max="21" width="7.7109375" style="14" customWidth="1"/>
    <col min="22" max="22" width="7.00390625" style="14" customWidth="1"/>
    <col min="23" max="23" width="7.421875" style="14" customWidth="1"/>
    <col min="24" max="16384" width="10.8515625" style="14" customWidth="1"/>
  </cols>
  <sheetData>
    <row r="1" ht="12.75">
      <c r="A1" s="13" t="s">
        <v>96</v>
      </c>
    </row>
    <row r="2" ht="12.75">
      <c r="A2" s="14" t="s">
        <v>228</v>
      </c>
    </row>
    <row r="3" spans="1:3" ht="12.75">
      <c r="A3" s="14" t="s">
        <v>225</v>
      </c>
      <c r="C3" s="14" t="s">
        <v>226</v>
      </c>
    </row>
    <row r="4" spans="1:18" ht="12.75">
      <c r="A4" s="14" t="s">
        <v>227</v>
      </c>
      <c r="C4" s="17" t="s">
        <v>42</v>
      </c>
      <c r="D4" s="17"/>
      <c r="E4" s="18"/>
      <c r="F4" s="19"/>
      <c r="G4" s="18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4" ht="12.75">
      <c r="A5" s="14" t="s">
        <v>223</v>
      </c>
      <c r="C5" s="36" t="s">
        <v>224</v>
      </c>
      <c r="D5" s="17"/>
    </row>
    <row r="6" spans="3:17" ht="12.75">
      <c r="C6" s="17"/>
      <c r="D6" s="17"/>
      <c r="E6" s="20"/>
      <c r="G6" s="20"/>
      <c r="J6" s="20"/>
      <c r="L6" s="20"/>
      <c r="O6" s="20"/>
      <c r="Q6" s="20"/>
    </row>
    <row r="7" spans="3:18" ht="12.75">
      <c r="C7" s="17" t="s">
        <v>59</v>
      </c>
      <c r="D7" s="17"/>
      <c r="E7" s="21" t="s">
        <v>60</v>
      </c>
      <c r="F7" s="21"/>
      <c r="G7" s="21"/>
      <c r="H7" s="21"/>
      <c r="I7" s="22"/>
      <c r="J7" s="21" t="s">
        <v>61</v>
      </c>
      <c r="K7" s="21"/>
      <c r="L7" s="21"/>
      <c r="M7" s="21"/>
      <c r="N7" s="22"/>
      <c r="O7" s="21" t="s">
        <v>62</v>
      </c>
      <c r="P7" s="21"/>
      <c r="Q7" s="21"/>
      <c r="R7" s="21"/>
    </row>
    <row r="8" spans="3:18" ht="12.75">
      <c r="C8" s="17" t="s">
        <v>63</v>
      </c>
      <c r="E8" s="20" t="s">
        <v>64</v>
      </c>
      <c r="F8" s="19" t="s">
        <v>65</v>
      </c>
      <c r="G8" s="20" t="s">
        <v>64</v>
      </c>
      <c r="H8" s="19" t="s">
        <v>65</v>
      </c>
      <c r="J8" s="20" t="s">
        <v>64</v>
      </c>
      <c r="K8" s="20" t="s">
        <v>66</v>
      </c>
      <c r="L8" s="20" t="s">
        <v>64</v>
      </c>
      <c r="M8" s="20" t="s">
        <v>66</v>
      </c>
      <c r="O8" s="20" t="s">
        <v>64</v>
      </c>
      <c r="P8" s="20" t="s">
        <v>66</v>
      </c>
      <c r="Q8" s="20" t="s">
        <v>64</v>
      </c>
      <c r="R8" s="20" t="s">
        <v>66</v>
      </c>
    </row>
    <row r="9" spans="3:18" ht="12.75">
      <c r="C9" s="17"/>
      <c r="E9" s="20" t="s">
        <v>222</v>
      </c>
      <c r="F9" s="20" t="s">
        <v>222</v>
      </c>
      <c r="G9" s="20" t="s">
        <v>97</v>
      </c>
      <c r="H9" s="19" t="s">
        <v>97</v>
      </c>
      <c r="J9" s="20" t="s">
        <v>222</v>
      </c>
      <c r="K9" s="20" t="s">
        <v>222</v>
      </c>
      <c r="L9" s="20" t="s">
        <v>97</v>
      </c>
      <c r="M9" s="19" t="s">
        <v>97</v>
      </c>
      <c r="O9" s="20" t="s">
        <v>222</v>
      </c>
      <c r="P9" s="20" t="s">
        <v>222</v>
      </c>
      <c r="Q9" s="20" t="s">
        <v>97</v>
      </c>
      <c r="R9" s="19" t="s">
        <v>97</v>
      </c>
    </row>
    <row r="10" ht="13.5" customHeight="1">
      <c r="A10" s="14" t="s">
        <v>106</v>
      </c>
    </row>
    <row r="11" spans="2:18" ht="12.75">
      <c r="B11" s="14" t="s">
        <v>67</v>
      </c>
      <c r="C11" s="17">
        <v>1</v>
      </c>
      <c r="D11" s="17" t="s">
        <v>45</v>
      </c>
      <c r="E11" s="16">
        <v>0.007</v>
      </c>
      <c r="F11" s="16">
        <f>IF(E11="","",E11*$C11)</f>
        <v>0.007</v>
      </c>
      <c r="G11" s="16">
        <f>IF(E11=0,"",IF(D11="nd",E11/2,E11))</f>
        <v>0.0035</v>
      </c>
      <c r="H11" s="16">
        <f>IF(G11="","",G11*$C11)</f>
        <v>0.0035</v>
      </c>
      <c r="I11" s="16" t="s">
        <v>45</v>
      </c>
      <c r="J11" s="2">
        <v>0.005</v>
      </c>
      <c r="K11" s="16">
        <f>IF(J11="","",J11*$C11)</f>
        <v>0.005</v>
      </c>
      <c r="L11" s="16">
        <f>IF(J11=0,"",IF(I11="nd",J11/2,J11))</f>
        <v>0.0025</v>
      </c>
      <c r="M11" s="16">
        <f>IF(L11="","",L11*$C11)</f>
        <v>0.0025</v>
      </c>
      <c r="N11" s="16" t="s">
        <v>45</v>
      </c>
      <c r="O11" s="2">
        <v>0.007</v>
      </c>
      <c r="P11" s="16">
        <f>IF(O11="","",O11*$C11)</f>
        <v>0.007</v>
      </c>
      <c r="Q11" s="16">
        <f>IF(O11=0,"",IF(N11="nd",O11/2,O11))</f>
        <v>0.0035</v>
      </c>
      <c r="R11" s="16">
        <f>IF(Q11="","",Q11*$C11)</f>
        <v>0.0035</v>
      </c>
    </row>
    <row r="12" spans="2:18" ht="12.75">
      <c r="B12" s="14" t="s">
        <v>68</v>
      </c>
      <c r="C12" s="17">
        <v>0</v>
      </c>
      <c r="D12" s="17"/>
      <c r="E12" s="16"/>
      <c r="F12" s="16">
        <f>IF(E12="","",E12*$C12)</f>
      </c>
      <c r="G12" s="16">
        <f>IF(E12=0,"",IF(D12="nd",E12/2,E12))</f>
      </c>
      <c r="H12" s="16">
        <f>IF(G12="","",G12*$C12)</f>
      </c>
      <c r="I12" s="16"/>
      <c r="J12" s="2"/>
      <c r="K12" s="16">
        <f>IF(J12="","",J12*$C12)</f>
      </c>
      <c r="L12" s="16">
        <f>IF(J12=0,"",IF(I12="nd",J12/2,J12))</f>
      </c>
      <c r="M12" s="16">
        <f>IF(L12="","",L12*$C12)</f>
      </c>
      <c r="N12" s="16"/>
      <c r="O12" s="2"/>
      <c r="P12" s="16">
        <f>IF(O12="","",O12*$C12)</f>
      </c>
      <c r="Q12" s="16">
        <f>IF(O12=0,"",IF(N12="nd",O12/2,O12))</f>
      </c>
      <c r="R12" s="16">
        <f>IF(Q12="","",Q12*$C12)</f>
      </c>
    </row>
    <row r="13" spans="2:18" ht="12.75">
      <c r="B13" s="14" t="s">
        <v>69</v>
      </c>
      <c r="C13" s="17">
        <v>0.5</v>
      </c>
      <c r="D13" s="17" t="s">
        <v>45</v>
      </c>
      <c r="E13" s="16">
        <v>0.044</v>
      </c>
      <c r="F13" s="16">
        <f aca="true" t="shared" si="0" ref="F13:H35">IF(E13="","",E13*$C13)</f>
        <v>0.022</v>
      </c>
      <c r="G13" s="16">
        <f>IF(E13=0,"",IF(D13="nd",E13/2,E13))</f>
        <v>0.022</v>
      </c>
      <c r="H13" s="16">
        <f t="shared" si="0"/>
        <v>0.011</v>
      </c>
      <c r="I13" s="16" t="s">
        <v>45</v>
      </c>
      <c r="J13" s="2">
        <v>0.012</v>
      </c>
      <c r="K13" s="16">
        <f aca="true" t="shared" si="1" ref="K13:M28">IF(J13="","",J13*$C13)</f>
        <v>0.006</v>
      </c>
      <c r="L13" s="16">
        <f>IF(J13=0,"",IF(I13="nd",J13/2,J13))</f>
        <v>0.006</v>
      </c>
      <c r="M13" s="16">
        <f t="shared" si="1"/>
        <v>0.003</v>
      </c>
      <c r="N13" s="16" t="s">
        <v>45</v>
      </c>
      <c r="O13" s="2">
        <v>0.01</v>
      </c>
      <c r="P13" s="16">
        <f aca="true" t="shared" si="2" ref="P13:R28">IF(O13="","",O13*$C13)</f>
        <v>0.005</v>
      </c>
      <c r="Q13" s="16">
        <f>IF(O13=0,"",IF(N13="nd",O13/2,O13))</f>
        <v>0.005</v>
      </c>
      <c r="R13" s="16">
        <f t="shared" si="2"/>
        <v>0.0025</v>
      </c>
    </row>
    <row r="14" spans="2:18" ht="12.75">
      <c r="B14" s="14" t="s">
        <v>70</v>
      </c>
      <c r="C14" s="17">
        <v>0</v>
      </c>
      <c r="D14" s="17"/>
      <c r="E14" s="16"/>
      <c r="F14" s="16">
        <f t="shared" si="0"/>
      </c>
      <c r="G14" s="16">
        <f aca="true" t="shared" si="3" ref="G14:G35">IF(E14=0,"",IF(D14="nd",E14/2,E14))</f>
      </c>
      <c r="H14" s="16">
        <f t="shared" si="0"/>
      </c>
      <c r="I14" s="16"/>
      <c r="J14" s="2"/>
      <c r="K14" s="16">
        <f t="shared" si="1"/>
      </c>
      <c r="L14" s="16">
        <f aca="true" t="shared" si="4" ref="L14:L29">IF(J14=0,"",IF(I14="nd",J14/2,J14))</f>
      </c>
      <c r="M14" s="16">
        <f t="shared" si="1"/>
      </c>
      <c r="N14" s="16"/>
      <c r="O14" s="2"/>
      <c r="P14" s="16">
        <f t="shared" si="2"/>
      </c>
      <c r="Q14" s="16">
        <f aca="true" t="shared" si="5" ref="Q14:Q29">IF(O14=0,"",IF(N14="nd",O14/2,O14))</f>
      </c>
      <c r="R14" s="16">
        <f t="shared" si="2"/>
      </c>
    </row>
    <row r="15" spans="2:18" ht="12.75">
      <c r="B15" s="14" t="s">
        <v>71</v>
      </c>
      <c r="C15" s="17">
        <v>0.1</v>
      </c>
      <c r="D15" s="17" t="s">
        <v>45</v>
      </c>
      <c r="E15" s="16">
        <v>0.089</v>
      </c>
      <c r="F15" s="16">
        <f t="shared" si="0"/>
        <v>0.0089</v>
      </c>
      <c r="G15" s="16">
        <f t="shared" si="3"/>
        <v>0.0445</v>
      </c>
      <c r="H15" s="16">
        <f t="shared" si="0"/>
        <v>0.00445</v>
      </c>
      <c r="I15" s="16" t="s">
        <v>45</v>
      </c>
      <c r="J15" s="2">
        <v>0.015</v>
      </c>
      <c r="K15" s="16">
        <f t="shared" si="1"/>
        <v>0.0015</v>
      </c>
      <c r="L15" s="16">
        <f t="shared" si="4"/>
        <v>0.0075</v>
      </c>
      <c r="M15" s="16">
        <f t="shared" si="1"/>
        <v>0.00075</v>
      </c>
      <c r="N15" s="16" t="s">
        <v>45</v>
      </c>
      <c r="O15" s="2">
        <v>0.014</v>
      </c>
      <c r="P15" s="16">
        <f t="shared" si="2"/>
        <v>0.0014000000000000002</v>
      </c>
      <c r="Q15" s="16">
        <f t="shared" si="5"/>
        <v>0.007</v>
      </c>
      <c r="R15" s="16">
        <f t="shared" si="2"/>
        <v>0.0007000000000000001</v>
      </c>
    </row>
    <row r="16" spans="2:18" ht="12.75">
      <c r="B16" s="14" t="s">
        <v>72</v>
      </c>
      <c r="C16" s="17">
        <v>0.1</v>
      </c>
      <c r="D16" s="17" t="s">
        <v>45</v>
      </c>
      <c r="E16" s="16">
        <v>0.116</v>
      </c>
      <c r="F16" s="16">
        <f t="shared" si="0"/>
        <v>0.011600000000000001</v>
      </c>
      <c r="G16" s="16">
        <f t="shared" si="3"/>
        <v>0.058</v>
      </c>
      <c r="H16" s="16">
        <f t="shared" si="0"/>
        <v>0.0058000000000000005</v>
      </c>
      <c r="I16" s="16" t="s">
        <v>45</v>
      </c>
      <c r="J16" s="2">
        <v>0.012</v>
      </c>
      <c r="K16" s="16">
        <f t="shared" si="1"/>
        <v>0.0012000000000000001</v>
      </c>
      <c r="L16" s="16">
        <f t="shared" si="4"/>
        <v>0.006</v>
      </c>
      <c r="M16" s="16">
        <f t="shared" si="1"/>
        <v>0.0006000000000000001</v>
      </c>
      <c r="N16" s="16" t="s">
        <v>45</v>
      </c>
      <c r="O16" s="2">
        <v>0.012</v>
      </c>
      <c r="P16" s="16">
        <f t="shared" si="2"/>
        <v>0.0012000000000000001</v>
      </c>
      <c r="Q16" s="16">
        <f t="shared" si="5"/>
        <v>0.006</v>
      </c>
      <c r="R16" s="16">
        <f t="shared" si="2"/>
        <v>0.0006000000000000001</v>
      </c>
    </row>
    <row r="17" spans="2:18" ht="12.75">
      <c r="B17" s="14" t="s">
        <v>73</v>
      </c>
      <c r="C17" s="17">
        <v>0.1</v>
      </c>
      <c r="D17" s="17" t="s">
        <v>45</v>
      </c>
      <c r="E17" s="16">
        <v>0.215</v>
      </c>
      <c r="F17" s="16">
        <f t="shared" si="0"/>
        <v>0.021500000000000002</v>
      </c>
      <c r="G17" s="16">
        <f t="shared" si="3"/>
        <v>0.1075</v>
      </c>
      <c r="H17" s="16">
        <f t="shared" si="0"/>
        <v>0.010750000000000001</v>
      </c>
      <c r="I17" s="16" t="s">
        <v>45</v>
      </c>
      <c r="J17" s="2">
        <v>0.015</v>
      </c>
      <c r="K17" s="16">
        <f t="shared" si="1"/>
        <v>0.0015</v>
      </c>
      <c r="L17" s="16">
        <f t="shared" si="4"/>
        <v>0.0075</v>
      </c>
      <c r="M17" s="16">
        <f t="shared" si="1"/>
        <v>0.00075</v>
      </c>
      <c r="N17" s="16" t="s">
        <v>45</v>
      </c>
      <c r="O17" s="2">
        <v>0.01</v>
      </c>
      <c r="P17" s="16">
        <f t="shared" si="2"/>
        <v>0.001</v>
      </c>
      <c r="Q17" s="16">
        <f t="shared" si="5"/>
        <v>0.005</v>
      </c>
      <c r="R17" s="16">
        <f t="shared" si="2"/>
        <v>0.0005</v>
      </c>
    </row>
    <row r="18" spans="2:18" ht="12.75">
      <c r="B18" s="14" t="s">
        <v>74</v>
      </c>
      <c r="C18" s="17">
        <v>0</v>
      </c>
      <c r="D18" s="17"/>
      <c r="E18" s="16"/>
      <c r="F18" s="16">
        <f t="shared" si="0"/>
      </c>
      <c r="G18" s="16">
        <f t="shared" si="3"/>
      </c>
      <c r="H18" s="16">
        <f t="shared" si="0"/>
      </c>
      <c r="I18" s="16"/>
      <c r="J18" s="2"/>
      <c r="K18" s="16">
        <f t="shared" si="1"/>
      </c>
      <c r="L18" s="16">
        <f t="shared" si="4"/>
      </c>
      <c r="M18" s="16">
        <f t="shared" si="1"/>
      </c>
      <c r="N18" s="16"/>
      <c r="O18" s="2"/>
      <c r="P18" s="16">
        <f t="shared" si="2"/>
      </c>
      <c r="Q18" s="16">
        <f t="shared" si="5"/>
      </c>
      <c r="R18" s="16">
        <f t="shared" si="2"/>
      </c>
    </row>
    <row r="19" spans="2:18" ht="12.75">
      <c r="B19" s="14" t="s">
        <v>75</v>
      </c>
      <c r="C19" s="17">
        <v>0.01</v>
      </c>
      <c r="D19" s="17" t="s">
        <v>45</v>
      </c>
      <c r="E19" s="16">
        <v>0.745</v>
      </c>
      <c r="F19" s="16">
        <f t="shared" si="0"/>
        <v>0.00745</v>
      </c>
      <c r="G19" s="16">
        <f t="shared" si="3"/>
        <v>0.3725</v>
      </c>
      <c r="H19" s="16">
        <f t="shared" si="0"/>
        <v>0.003725</v>
      </c>
      <c r="I19" s="16" t="s">
        <v>45</v>
      </c>
      <c r="J19" s="2">
        <v>0.03</v>
      </c>
      <c r="K19" s="16">
        <f t="shared" si="1"/>
        <v>0.0003</v>
      </c>
      <c r="L19" s="16">
        <f t="shared" si="4"/>
        <v>0.015</v>
      </c>
      <c r="M19" s="16">
        <f t="shared" si="1"/>
        <v>0.00015</v>
      </c>
      <c r="N19" s="16" t="s">
        <v>45</v>
      </c>
      <c r="O19" s="2">
        <v>0.012</v>
      </c>
      <c r="P19" s="16">
        <f t="shared" si="2"/>
        <v>0.00012</v>
      </c>
      <c r="Q19" s="16">
        <f t="shared" si="5"/>
        <v>0.006</v>
      </c>
      <c r="R19" s="16">
        <f t="shared" si="2"/>
        <v>6E-05</v>
      </c>
    </row>
    <row r="20" spans="2:18" ht="12.75">
      <c r="B20" s="14" t="s">
        <v>76</v>
      </c>
      <c r="C20" s="17">
        <v>0</v>
      </c>
      <c r="D20" s="17"/>
      <c r="E20" s="16"/>
      <c r="F20" s="16">
        <f t="shared" si="0"/>
      </c>
      <c r="G20" s="16">
        <f t="shared" si="3"/>
      </c>
      <c r="H20" s="16">
        <f t="shared" si="0"/>
      </c>
      <c r="I20" s="16"/>
      <c r="J20" s="2"/>
      <c r="K20" s="16">
        <f t="shared" si="1"/>
      </c>
      <c r="L20" s="16">
        <f t="shared" si="4"/>
      </c>
      <c r="M20" s="16">
        <f t="shared" si="1"/>
      </c>
      <c r="N20" s="16"/>
      <c r="O20" s="2"/>
      <c r="P20" s="16">
        <f t="shared" si="2"/>
      </c>
      <c r="Q20" s="16">
        <f t="shared" si="5"/>
      </c>
      <c r="R20" s="16">
        <f t="shared" si="2"/>
      </c>
    </row>
    <row r="21" spans="2:18" ht="12.75">
      <c r="B21" s="14" t="s">
        <v>77</v>
      </c>
      <c r="C21" s="17">
        <v>0.001</v>
      </c>
      <c r="D21" s="17" t="s">
        <v>45</v>
      </c>
      <c r="E21" s="16">
        <v>0.969</v>
      </c>
      <c r="F21" s="16">
        <f t="shared" si="0"/>
        <v>0.000969</v>
      </c>
      <c r="G21" s="16">
        <f t="shared" si="3"/>
        <v>0.4845</v>
      </c>
      <c r="H21" s="16">
        <f t="shared" si="0"/>
        <v>0.0004845</v>
      </c>
      <c r="I21" s="16"/>
      <c r="J21" s="2">
        <v>0.057</v>
      </c>
      <c r="K21" s="16">
        <f t="shared" si="1"/>
        <v>5.7E-05</v>
      </c>
      <c r="L21" s="16">
        <f t="shared" si="4"/>
        <v>0.057</v>
      </c>
      <c r="M21" s="16">
        <f t="shared" si="1"/>
        <v>5.7E-05</v>
      </c>
      <c r="N21" s="16" t="s">
        <v>45</v>
      </c>
      <c r="O21" s="2">
        <v>0.027</v>
      </c>
      <c r="P21" s="16">
        <f t="shared" si="2"/>
        <v>2.7E-05</v>
      </c>
      <c r="Q21" s="16">
        <f t="shared" si="5"/>
        <v>0.0135</v>
      </c>
      <c r="R21" s="16">
        <f t="shared" si="2"/>
        <v>1.35E-05</v>
      </c>
    </row>
    <row r="22" spans="2:18" ht="12.75">
      <c r="B22" s="14" t="s">
        <v>78</v>
      </c>
      <c r="C22" s="17">
        <v>0.1</v>
      </c>
      <c r="D22" s="17" t="s">
        <v>45</v>
      </c>
      <c r="E22" s="16">
        <v>0.059</v>
      </c>
      <c r="F22" s="16">
        <f t="shared" si="0"/>
        <v>0.0059</v>
      </c>
      <c r="G22" s="16">
        <f t="shared" si="3"/>
        <v>0.0295</v>
      </c>
      <c r="H22" s="16">
        <f t="shared" si="0"/>
        <v>0.00295</v>
      </c>
      <c r="I22" s="16" t="s">
        <v>45</v>
      </c>
      <c r="J22" s="2">
        <v>0.047</v>
      </c>
      <c r="K22" s="16">
        <f t="shared" si="1"/>
        <v>0.0047</v>
      </c>
      <c r="L22" s="16">
        <f t="shared" si="4"/>
        <v>0.0235</v>
      </c>
      <c r="M22" s="16">
        <f t="shared" si="1"/>
        <v>0.00235</v>
      </c>
      <c r="N22" s="16" t="s">
        <v>45</v>
      </c>
      <c r="O22" s="2">
        <v>0.043</v>
      </c>
      <c r="P22" s="16">
        <f t="shared" si="2"/>
        <v>0.0043</v>
      </c>
      <c r="Q22" s="16">
        <f t="shared" si="5"/>
        <v>0.0215</v>
      </c>
      <c r="R22" s="16">
        <f t="shared" si="2"/>
        <v>0.00215</v>
      </c>
    </row>
    <row r="23" spans="2:18" ht="12.75">
      <c r="B23" s="14" t="s">
        <v>79</v>
      </c>
      <c r="C23" s="17">
        <v>0</v>
      </c>
      <c r="D23" s="17"/>
      <c r="E23" s="16"/>
      <c r="F23" s="16">
        <f t="shared" si="0"/>
      </c>
      <c r="G23" s="16">
        <f t="shared" si="3"/>
      </c>
      <c r="H23" s="16">
        <f t="shared" si="0"/>
      </c>
      <c r="I23" s="16"/>
      <c r="J23" s="2"/>
      <c r="K23" s="16">
        <f t="shared" si="1"/>
      </c>
      <c r="L23" s="16">
        <f t="shared" si="4"/>
      </c>
      <c r="M23" s="16">
        <f t="shared" si="1"/>
      </c>
      <c r="N23" s="16"/>
      <c r="O23" s="2"/>
      <c r="P23" s="16">
        <f t="shared" si="2"/>
      </c>
      <c r="Q23" s="16">
        <f t="shared" si="5"/>
      </c>
      <c r="R23" s="16">
        <f t="shared" si="2"/>
      </c>
    </row>
    <row r="24" spans="2:18" ht="12.75">
      <c r="B24" s="14" t="s">
        <v>80</v>
      </c>
      <c r="C24" s="17">
        <v>0.05</v>
      </c>
      <c r="D24" s="17" t="s">
        <v>45</v>
      </c>
      <c r="E24" s="16">
        <v>0.076</v>
      </c>
      <c r="F24" s="16">
        <f t="shared" si="0"/>
        <v>0.0038</v>
      </c>
      <c r="G24" s="16">
        <f t="shared" si="3"/>
        <v>0.038</v>
      </c>
      <c r="H24" s="16">
        <f t="shared" si="0"/>
        <v>0.0019</v>
      </c>
      <c r="I24" s="16" t="s">
        <v>45</v>
      </c>
      <c r="J24" s="2">
        <v>0.045</v>
      </c>
      <c r="K24" s="16">
        <f t="shared" si="1"/>
        <v>0.00225</v>
      </c>
      <c r="L24" s="16">
        <f t="shared" si="4"/>
        <v>0.0225</v>
      </c>
      <c r="M24" s="16">
        <f t="shared" si="1"/>
        <v>0.001125</v>
      </c>
      <c r="N24" s="16" t="s">
        <v>45</v>
      </c>
      <c r="O24" s="2">
        <v>0.031</v>
      </c>
      <c r="P24" s="16">
        <f t="shared" si="2"/>
        <v>0.0015500000000000002</v>
      </c>
      <c r="Q24" s="16">
        <f t="shared" si="5"/>
        <v>0.0155</v>
      </c>
      <c r="R24" s="16">
        <f t="shared" si="2"/>
        <v>0.0007750000000000001</v>
      </c>
    </row>
    <row r="25" spans="2:18" ht="12.75">
      <c r="B25" s="14" t="s">
        <v>81</v>
      </c>
      <c r="C25" s="17">
        <v>0.5</v>
      </c>
      <c r="D25" s="17" t="s">
        <v>45</v>
      </c>
      <c r="E25" s="16">
        <v>0.168</v>
      </c>
      <c r="F25" s="16">
        <f t="shared" si="0"/>
        <v>0.084</v>
      </c>
      <c r="G25" s="16">
        <f t="shared" si="3"/>
        <v>0.084</v>
      </c>
      <c r="H25" s="16">
        <f t="shared" si="0"/>
        <v>0.042</v>
      </c>
      <c r="I25" s="16" t="s">
        <v>45</v>
      </c>
      <c r="J25" s="2">
        <v>0.047</v>
      </c>
      <c r="K25" s="16">
        <f t="shared" si="1"/>
        <v>0.0235</v>
      </c>
      <c r="L25" s="16">
        <f t="shared" si="4"/>
        <v>0.0235</v>
      </c>
      <c r="M25" s="16">
        <f t="shared" si="1"/>
        <v>0.01175</v>
      </c>
      <c r="N25" s="16" t="s">
        <v>45</v>
      </c>
      <c r="O25" s="2">
        <v>0.039</v>
      </c>
      <c r="P25" s="16">
        <f t="shared" si="2"/>
        <v>0.0195</v>
      </c>
      <c r="Q25" s="16">
        <f t="shared" si="5"/>
        <v>0.0195</v>
      </c>
      <c r="R25" s="16">
        <f t="shared" si="2"/>
        <v>0.00975</v>
      </c>
    </row>
    <row r="26" spans="2:18" ht="12.75">
      <c r="B26" s="14" t="s">
        <v>82</v>
      </c>
      <c r="C26" s="17">
        <v>0</v>
      </c>
      <c r="D26" s="17"/>
      <c r="E26" s="16"/>
      <c r="F26" s="16">
        <f t="shared" si="0"/>
      </c>
      <c r="G26" s="16">
        <f t="shared" si="3"/>
      </c>
      <c r="H26" s="16">
        <f t="shared" si="0"/>
      </c>
      <c r="I26" s="16"/>
      <c r="J26" s="2"/>
      <c r="K26" s="16">
        <f t="shared" si="1"/>
      </c>
      <c r="L26" s="16">
        <f t="shared" si="4"/>
      </c>
      <c r="M26" s="16">
        <f t="shared" si="1"/>
      </c>
      <c r="N26" s="16"/>
      <c r="O26" s="2"/>
      <c r="P26" s="16">
        <f t="shared" si="2"/>
      </c>
      <c r="Q26" s="16">
        <f t="shared" si="5"/>
      </c>
      <c r="R26" s="16">
        <f t="shared" si="2"/>
      </c>
    </row>
    <row r="27" spans="2:18" ht="12.75">
      <c r="B27" s="14" t="s">
        <v>83</v>
      </c>
      <c r="C27" s="17">
        <v>0.1</v>
      </c>
      <c r="D27" s="17" t="s">
        <v>45</v>
      </c>
      <c r="E27" s="16">
        <v>0.52</v>
      </c>
      <c r="F27" s="16">
        <f t="shared" si="0"/>
        <v>0.052000000000000005</v>
      </c>
      <c r="G27" s="16">
        <f t="shared" si="3"/>
        <v>0.26</v>
      </c>
      <c r="H27" s="16">
        <f t="shared" si="0"/>
        <v>0.026000000000000002</v>
      </c>
      <c r="I27" s="16"/>
      <c r="J27" s="2">
        <v>0.075</v>
      </c>
      <c r="K27" s="16">
        <f t="shared" si="1"/>
        <v>0.0075</v>
      </c>
      <c r="L27" s="16">
        <f t="shared" si="4"/>
        <v>0.075</v>
      </c>
      <c r="M27" s="16">
        <f t="shared" si="1"/>
        <v>0.0075</v>
      </c>
      <c r="N27" s="16" t="s">
        <v>45</v>
      </c>
      <c r="O27" s="2">
        <v>0.056</v>
      </c>
      <c r="P27" s="16">
        <f t="shared" si="2"/>
        <v>0.005600000000000001</v>
      </c>
      <c r="Q27" s="16">
        <f t="shared" si="5"/>
        <v>0.028</v>
      </c>
      <c r="R27" s="16">
        <f t="shared" si="2"/>
        <v>0.0028000000000000004</v>
      </c>
    </row>
    <row r="28" spans="2:18" ht="12.75">
      <c r="B28" s="14" t="s">
        <v>84</v>
      </c>
      <c r="C28" s="17">
        <v>0.1</v>
      </c>
      <c r="D28" s="17" t="s">
        <v>45</v>
      </c>
      <c r="E28" s="16">
        <v>0.187</v>
      </c>
      <c r="F28" s="16">
        <f t="shared" si="0"/>
        <v>0.0187</v>
      </c>
      <c r="G28" s="16">
        <f t="shared" si="3"/>
        <v>0.0935</v>
      </c>
      <c r="H28" s="16">
        <f t="shared" si="0"/>
        <v>0.00935</v>
      </c>
      <c r="I28" s="16"/>
      <c r="J28" s="2">
        <v>0.032</v>
      </c>
      <c r="K28" s="16">
        <f t="shared" si="1"/>
        <v>0.0032</v>
      </c>
      <c r="L28" s="16">
        <f t="shared" si="4"/>
        <v>0.032</v>
      </c>
      <c r="M28" s="16">
        <f t="shared" si="1"/>
        <v>0.0032</v>
      </c>
      <c r="N28" s="16"/>
      <c r="O28" s="2">
        <v>0.019</v>
      </c>
      <c r="P28" s="16">
        <f t="shared" si="2"/>
        <v>0.0019</v>
      </c>
      <c r="Q28" s="16">
        <f t="shared" si="5"/>
        <v>0.019</v>
      </c>
      <c r="R28" s="16">
        <f t="shared" si="2"/>
        <v>0.0019</v>
      </c>
    </row>
    <row r="29" spans="2:18" ht="12.75">
      <c r="B29" s="14" t="s">
        <v>85</v>
      </c>
      <c r="C29" s="17">
        <v>0.1</v>
      </c>
      <c r="D29" s="17" t="s">
        <v>45</v>
      </c>
      <c r="E29" s="16">
        <v>0.348</v>
      </c>
      <c r="F29" s="16">
        <f t="shared" si="0"/>
        <v>0.0348</v>
      </c>
      <c r="G29" s="16">
        <f t="shared" si="3"/>
        <v>0.174</v>
      </c>
      <c r="H29" s="16">
        <f t="shared" si="0"/>
        <v>0.0174</v>
      </c>
      <c r="I29" s="16"/>
      <c r="J29" s="2">
        <v>0.032</v>
      </c>
      <c r="K29" s="16">
        <f aca="true" t="shared" si="6" ref="K29:M35">IF(J29="","",J29*$C29)</f>
        <v>0.0032</v>
      </c>
      <c r="L29" s="16">
        <f t="shared" si="4"/>
        <v>0.032</v>
      </c>
      <c r="M29" s="16">
        <f t="shared" si="6"/>
        <v>0.0032</v>
      </c>
      <c r="N29" s="16" t="s">
        <v>45</v>
      </c>
      <c r="O29" s="2">
        <v>0.024</v>
      </c>
      <c r="P29" s="16">
        <f aca="true" t="shared" si="7" ref="P29:R35">IF(O29="","",O29*$C29)</f>
        <v>0.0024000000000000002</v>
      </c>
      <c r="Q29" s="16">
        <f t="shared" si="5"/>
        <v>0.012</v>
      </c>
      <c r="R29" s="16">
        <f t="shared" si="7"/>
        <v>0.0012000000000000001</v>
      </c>
    </row>
    <row r="30" spans="2:18" ht="12.75">
      <c r="B30" s="14" t="s">
        <v>86</v>
      </c>
      <c r="C30" s="17">
        <v>0.1</v>
      </c>
      <c r="D30" s="17" t="s">
        <v>45</v>
      </c>
      <c r="E30" s="16">
        <v>0.015</v>
      </c>
      <c r="F30" s="16">
        <f t="shared" si="0"/>
        <v>0.0015</v>
      </c>
      <c r="G30" s="16">
        <f t="shared" si="3"/>
        <v>0.0075</v>
      </c>
      <c r="H30" s="16">
        <f t="shared" si="0"/>
        <v>0.00075</v>
      </c>
      <c r="I30" s="16" t="s">
        <v>45</v>
      </c>
      <c r="J30" s="2">
        <v>0.015</v>
      </c>
      <c r="K30" s="16">
        <f t="shared" si="6"/>
        <v>0.0015</v>
      </c>
      <c r="L30" s="16">
        <f aca="true" t="shared" si="8" ref="L30:L35">IF(J30=0,"",IF(I30="nd",J30/2,J30))</f>
        <v>0.0075</v>
      </c>
      <c r="M30" s="16">
        <f t="shared" si="6"/>
        <v>0.00075</v>
      </c>
      <c r="N30" s="16" t="s">
        <v>45</v>
      </c>
      <c r="O30" s="2">
        <v>0.012</v>
      </c>
      <c r="P30" s="16">
        <f t="shared" si="7"/>
        <v>0.0012000000000000001</v>
      </c>
      <c r="Q30" s="16">
        <f aca="true" t="shared" si="9" ref="Q30:Q35">IF(O30=0,"",IF(N30="nd",O30/2,O30))</f>
        <v>0.006</v>
      </c>
      <c r="R30" s="16">
        <f t="shared" si="7"/>
        <v>0.0006000000000000001</v>
      </c>
    </row>
    <row r="31" spans="2:18" ht="12.75">
      <c r="B31" s="14" t="s">
        <v>87</v>
      </c>
      <c r="C31" s="17">
        <v>0</v>
      </c>
      <c r="D31" s="17"/>
      <c r="E31" s="16"/>
      <c r="F31" s="16">
        <f t="shared" si="0"/>
      </c>
      <c r="G31" s="16">
        <f t="shared" si="3"/>
      </c>
      <c r="H31" s="16">
        <f t="shared" si="0"/>
      </c>
      <c r="I31" s="16"/>
      <c r="J31" s="2"/>
      <c r="K31" s="16">
        <f t="shared" si="6"/>
      </c>
      <c r="L31" s="16">
        <f t="shared" si="8"/>
      </c>
      <c r="M31" s="16">
        <f t="shared" si="6"/>
      </c>
      <c r="N31" s="16"/>
      <c r="O31" s="2"/>
      <c r="P31" s="16">
        <f t="shared" si="7"/>
      </c>
      <c r="Q31" s="16">
        <f t="shared" si="9"/>
      </c>
      <c r="R31" s="16">
        <f t="shared" si="7"/>
      </c>
    </row>
    <row r="32" spans="2:18" ht="12.75">
      <c r="B32" s="14" t="s">
        <v>88</v>
      </c>
      <c r="C32" s="17">
        <v>0.01</v>
      </c>
      <c r="D32" s="17" t="s">
        <v>45</v>
      </c>
      <c r="E32" s="16">
        <v>0.841</v>
      </c>
      <c r="F32" s="16">
        <f t="shared" si="0"/>
        <v>0.008409999999999999</v>
      </c>
      <c r="G32" s="16">
        <f t="shared" si="3"/>
        <v>0.4205</v>
      </c>
      <c r="H32" s="16">
        <f t="shared" si="0"/>
        <v>0.0042049999999999995</v>
      </c>
      <c r="I32" s="16"/>
      <c r="J32" s="2">
        <v>0.045</v>
      </c>
      <c r="K32" s="16">
        <f t="shared" si="6"/>
        <v>0.00045</v>
      </c>
      <c r="L32" s="16">
        <f t="shared" si="8"/>
        <v>0.045</v>
      </c>
      <c r="M32" s="16">
        <f t="shared" si="6"/>
        <v>0.00045</v>
      </c>
      <c r="N32" s="16" t="s">
        <v>45</v>
      </c>
      <c r="O32" s="2">
        <v>0.019</v>
      </c>
      <c r="P32" s="16">
        <f t="shared" si="7"/>
        <v>0.00019</v>
      </c>
      <c r="Q32" s="16">
        <f t="shared" si="9"/>
        <v>0.0095</v>
      </c>
      <c r="R32" s="16">
        <f t="shared" si="7"/>
        <v>9.5E-05</v>
      </c>
    </row>
    <row r="33" spans="2:18" ht="12.75">
      <c r="B33" s="14" t="s">
        <v>89</v>
      </c>
      <c r="C33" s="17">
        <v>0.01</v>
      </c>
      <c r="D33" s="17" t="s">
        <v>45</v>
      </c>
      <c r="E33" s="16">
        <v>0.067</v>
      </c>
      <c r="F33" s="16">
        <f t="shared" si="0"/>
        <v>0.00067</v>
      </c>
      <c r="G33" s="16">
        <f t="shared" si="3"/>
        <v>0.0335</v>
      </c>
      <c r="H33" s="16">
        <f t="shared" si="0"/>
        <v>0.000335</v>
      </c>
      <c r="I33" s="16" t="s">
        <v>45</v>
      </c>
      <c r="J33" s="2">
        <v>0.017</v>
      </c>
      <c r="K33" s="16">
        <f t="shared" si="6"/>
        <v>0.00017</v>
      </c>
      <c r="L33" s="16">
        <f t="shared" si="8"/>
        <v>0.0085</v>
      </c>
      <c r="M33" s="16">
        <f t="shared" si="6"/>
        <v>8.5E-05</v>
      </c>
      <c r="N33" s="16" t="s">
        <v>45</v>
      </c>
      <c r="O33" s="2">
        <v>0.014</v>
      </c>
      <c r="P33" s="16">
        <f t="shared" si="7"/>
        <v>0.00014000000000000001</v>
      </c>
      <c r="Q33" s="16">
        <f t="shared" si="9"/>
        <v>0.007</v>
      </c>
      <c r="R33" s="16">
        <f t="shared" si="7"/>
        <v>7.000000000000001E-05</v>
      </c>
    </row>
    <row r="34" spans="2:18" ht="12.75">
      <c r="B34" s="14" t="s">
        <v>90</v>
      </c>
      <c r="C34" s="17">
        <v>0</v>
      </c>
      <c r="D34" s="17"/>
      <c r="E34" s="16"/>
      <c r="F34" s="16">
        <f t="shared" si="0"/>
      </c>
      <c r="G34" s="16">
        <f t="shared" si="3"/>
      </c>
      <c r="H34" s="16">
        <f t="shared" si="0"/>
      </c>
      <c r="I34" s="16"/>
      <c r="J34" s="2"/>
      <c r="K34" s="16">
        <f t="shared" si="6"/>
      </c>
      <c r="L34" s="16">
        <f t="shared" si="8"/>
      </c>
      <c r="M34" s="16">
        <f t="shared" si="6"/>
      </c>
      <c r="N34" s="16"/>
      <c r="O34" s="2"/>
      <c r="P34" s="16">
        <f t="shared" si="7"/>
      </c>
      <c r="Q34" s="16">
        <f t="shared" si="9"/>
      </c>
      <c r="R34" s="16">
        <f t="shared" si="7"/>
      </c>
    </row>
    <row r="35" spans="2:18" ht="12.75">
      <c r="B35" s="14" t="s">
        <v>91</v>
      </c>
      <c r="C35" s="17">
        <v>0.001</v>
      </c>
      <c r="D35" s="17" t="s">
        <v>45</v>
      </c>
      <c r="E35" s="16">
        <v>0.195</v>
      </c>
      <c r="F35" s="16">
        <f t="shared" si="0"/>
        <v>0.00019500000000000002</v>
      </c>
      <c r="G35" s="16">
        <f t="shared" si="3"/>
        <v>0.0975</v>
      </c>
      <c r="H35" s="16">
        <f t="shared" si="0"/>
        <v>9.750000000000001E-05</v>
      </c>
      <c r="I35" s="16" t="s">
        <v>45</v>
      </c>
      <c r="J35" s="2">
        <v>0.035</v>
      </c>
      <c r="K35" s="16">
        <f t="shared" si="6"/>
        <v>3.5000000000000004E-05</v>
      </c>
      <c r="L35" s="16">
        <f t="shared" si="8"/>
        <v>0.0175</v>
      </c>
      <c r="M35" s="16">
        <f t="shared" si="6"/>
        <v>1.7500000000000002E-05</v>
      </c>
      <c r="N35" s="16" t="s">
        <v>45</v>
      </c>
      <c r="O35" s="2">
        <v>0.019</v>
      </c>
      <c r="P35" s="16">
        <f t="shared" si="7"/>
        <v>1.9E-05</v>
      </c>
      <c r="Q35" s="16">
        <f t="shared" si="9"/>
        <v>0.0095</v>
      </c>
      <c r="R35" s="16">
        <f t="shared" si="7"/>
        <v>9.5E-06</v>
      </c>
    </row>
    <row r="36" spans="5:17" ht="12.75">
      <c r="E36" s="23"/>
      <c r="G36" s="23"/>
      <c r="I36" s="23"/>
      <c r="J36" s="23"/>
      <c r="K36" s="23"/>
      <c r="L36" s="23"/>
      <c r="M36" s="23"/>
      <c r="N36" s="23"/>
      <c r="O36" s="23"/>
      <c r="Q36" s="23"/>
    </row>
    <row r="37" spans="2:18" ht="12.75">
      <c r="B37" s="14" t="s">
        <v>92</v>
      </c>
      <c r="E37" s="23"/>
      <c r="F37" s="23">
        <v>4.5</v>
      </c>
      <c r="G37" s="23"/>
      <c r="H37" s="23">
        <v>4.5</v>
      </c>
      <c r="I37" s="23"/>
      <c r="J37" s="23"/>
      <c r="K37" s="23">
        <v>4.6</v>
      </c>
      <c r="L37" s="23"/>
      <c r="M37" s="23">
        <v>4.6</v>
      </c>
      <c r="N37" s="23"/>
      <c r="O37" s="23"/>
      <c r="P37" s="23">
        <v>4.3</v>
      </c>
      <c r="Q37" s="23"/>
      <c r="R37" s="23">
        <v>4.3</v>
      </c>
    </row>
    <row r="38" spans="5:18" ht="12.75">
      <c r="E38" s="23"/>
      <c r="F38" s="2"/>
      <c r="G38" s="23"/>
      <c r="H38" s="2"/>
      <c r="I38" s="2"/>
      <c r="J38" s="23"/>
      <c r="K38" s="2"/>
      <c r="L38" s="23"/>
      <c r="M38" s="2"/>
      <c r="N38" s="23"/>
      <c r="O38" s="23"/>
      <c r="P38" s="23"/>
      <c r="Q38" s="23"/>
      <c r="R38" s="23"/>
    </row>
    <row r="39" spans="2:18" ht="12.75">
      <c r="B39" s="14" t="s">
        <v>93</v>
      </c>
      <c r="C39" s="16"/>
      <c r="D39" s="38">
        <f>(F39-H39)*2/F39*100</f>
        <v>100</v>
      </c>
      <c r="E39" s="16"/>
      <c r="F39" s="16">
        <f>SUM(F11:F35)*(21-7)/(21-F37)</f>
        <v>0.2455464242424242</v>
      </c>
      <c r="G39" s="16"/>
      <c r="H39" s="16">
        <f>SUM(H11:H35)*(21-7)/(21-H37)</f>
        <v>0.1227732121212121</v>
      </c>
      <c r="I39" s="38">
        <f>(K39-M39)*2/K39*100</f>
        <v>76.78611710869777</v>
      </c>
      <c r="J39" s="16"/>
      <c r="K39" s="16">
        <f>SUM(K11:K35)*(21-7)/(21-K37)</f>
        <v>0.052979756097560976</v>
      </c>
      <c r="L39" s="16"/>
      <c r="M39" s="16">
        <f>SUM(M11:M35)*(21-7)/(21-M37)</f>
        <v>0.03263920731707317</v>
      </c>
      <c r="N39" s="38">
        <f>(P39-R39)*2/P39*100</f>
        <v>96.38412058006317</v>
      </c>
      <c r="O39" s="16"/>
      <c r="P39" s="16">
        <f>SUM(P11:P35)*(21-7)/(21-P37)</f>
        <v>0.044050538922155685</v>
      </c>
      <c r="Q39" s="16"/>
      <c r="R39" s="16">
        <f>SUM(R11:R35)*(21-7)/(21-R37)</f>
        <v>0.022821676646706587</v>
      </c>
    </row>
    <row r="40" spans="5:17" ht="12.75">
      <c r="E40" s="24"/>
      <c r="G40" s="24"/>
      <c r="I40" s="24"/>
      <c r="J40" s="24"/>
      <c r="K40" s="24"/>
      <c r="L40" s="24"/>
      <c r="M40" s="24"/>
      <c r="N40" s="24"/>
      <c r="O40" s="24"/>
      <c r="Q40" s="24"/>
    </row>
    <row r="41" spans="2:23" s="23" customFormat="1" ht="12.75">
      <c r="B41" s="23" t="s">
        <v>105</v>
      </c>
      <c r="C41" s="24">
        <f>AVERAGE(H39,M39,R39)</f>
        <v>0.05941136536166395</v>
      </c>
      <c r="F41" s="16"/>
      <c r="H41" s="16"/>
      <c r="P41" s="15"/>
      <c r="R41" s="15"/>
      <c r="S41" s="14"/>
      <c r="T41" s="14"/>
      <c r="U41" s="14"/>
      <c r="V41" s="14"/>
      <c r="W41" s="14"/>
    </row>
    <row r="43" spans="5:18" ht="12.75">
      <c r="E43" s="14"/>
      <c r="G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5:18" ht="12.75">
      <c r="E44" s="14"/>
      <c r="G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5:18" ht="12.75">
      <c r="E45" s="14"/>
      <c r="G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5:18" ht="12.75">
      <c r="E46" s="14"/>
      <c r="G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5:18" ht="12.75">
      <c r="E47" s="14"/>
      <c r="G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5:18" ht="12.75">
      <c r="E48" s="14"/>
      <c r="G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5:18" ht="12.75">
      <c r="E49" s="14"/>
      <c r="G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5:18" ht="12.75">
      <c r="E50" s="14"/>
      <c r="G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5:18" ht="12.75">
      <c r="E51" s="14"/>
      <c r="G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5:18" ht="12.75">
      <c r="E52" s="14"/>
      <c r="G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5:18" ht="12.75">
      <c r="E53" s="14"/>
      <c r="G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5:18" ht="12.75">
      <c r="E54" s="14"/>
      <c r="G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5:18" ht="12.75">
      <c r="E55" s="14"/>
      <c r="G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5:18" ht="12.75">
      <c r="E56" s="14"/>
      <c r="G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5:18" ht="12.75">
      <c r="E57" s="14"/>
      <c r="G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5:18" ht="12.75">
      <c r="E58" s="14"/>
      <c r="G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5:18" ht="12.75">
      <c r="E59" s="14"/>
      <c r="G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5:18" ht="12.75">
      <c r="E60" s="14"/>
      <c r="G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5:18" ht="12.75">
      <c r="E61" s="14"/>
      <c r="G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5:18" ht="12.75">
      <c r="E62" s="14"/>
      <c r="G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2004-02-25T17:01:12Z</cp:lastPrinted>
  <dcterms:created xsi:type="dcterms:W3CDTF">2000-11-29T18:43:41Z</dcterms:created>
  <dcterms:modified xsi:type="dcterms:W3CDTF">2004-02-25T17:01:18Z</dcterms:modified>
  <cp:category/>
  <cp:version/>
  <cp:contentType/>
  <cp:contentStatus/>
</cp:coreProperties>
</file>