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65416" windowWidth="11940" windowHeight="6690" tabRatio="670" activeTab="0"/>
  </bookViews>
  <sheets>
    <sheet name="list" sheetId="1" r:id="rId1"/>
    <sheet name="source" sheetId="2" r:id="rId2"/>
    <sheet name="cond" sheetId="3" r:id="rId3"/>
    <sheet name="emiss" sheetId="4" r:id="rId4"/>
    <sheet name="feed" sheetId="5" r:id="rId5"/>
    <sheet name="process" sheetId="6" r:id="rId6"/>
    <sheet name="df c1" sheetId="7" r:id="rId7"/>
    <sheet name="df c2" sheetId="8" r:id="rId8"/>
    <sheet name="df c3" sheetId="9" r:id="rId9"/>
  </sheets>
  <definedNames>
    <definedName name="_xlnm.Print_Area" localSheetId="6">'df c1'!$A$1:$R$45</definedName>
    <definedName name="_xlnm.Print_Area" localSheetId="7">'df c2'!$A$1:$R$45</definedName>
    <definedName name="_xlnm.Print_Area" localSheetId="8">'df c3'!$A$1:$R$47</definedName>
    <definedName name="_xlnm.Print_Titles" localSheetId="4">'feed'!$B:$B</definedName>
  </definedNames>
  <calcPr fullCalcOnLoad="1"/>
</workbook>
</file>

<file path=xl/sharedStrings.xml><?xml version="1.0" encoding="utf-8"?>
<sst xmlns="http://schemas.openxmlformats.org/spreadsheetml/2006/main" count="1151" uniqueCount="244">
  <si>
    <t>Stack Gas Emissions</t>
  </si>
  <si>
    <t>HW</t>
  </si>
  <si>
    <t>PM</t>
  </si>
  <si>
    <t>HCl</t>
  </si>
  <si>
    <t>Cl2</t>
  </si>
  <si>
    <t>SVM</t>
  </si>
  <si>
    <t>LVM</t>
  </si>
  <si>
    <t>DRE</t>
  </si>
  <si>
    <t>Ash</t>
  </si>
  <si>
    <t>gr/dscf</t>
  </si>
  <si>
    <t>ppmv</t>
  </si>
  <si>
    <t>µg/dscm</t>
  </si>
  <si>
    <t>Spike</t>
  </si>
  <si>
    <t>mg/dscm</t>
  </si>
  <si>
    <t>dscfm</t>
  </si>
  <si>
    <t>%</t>
  </si>
  <si>
    <t>°F</t>
  </si>
  <si>
    <t>EPA ID No.</t>
  </si>
  <si>
    <t>Facility Name</t>
  </si>
  <si>
    <t>Facility Location</t>
  </si>
  <si>
    <t>Unit ID Name/No.</t>
  </si>
  <si>
    <t>Other Sister Facilities</t>
  </si>
  <si>
    <t>Combustor Characteristics</t>
  </si>
  <si>
    <t>APCS Characteristics</t>
  </si>
  <si>
    <t>Natural gas</t>
  </si>
  <si>
    <t>Stack Characteristics</t>
  </si>
  <si>
    <t xml:space="preserve">     Report Name/Date</t>
  </si>
  <si>
    <t xml:space="preserve">     Report Prepar</t>
  </si>
  <si>
    <t>Radian International</t>
  </si>
  <si>
    <t xml:space="preserve">     Testing Firm</t>
  </si>
  <si>
    <t xml:space="preserve">     Testing Dates</t>
  </si>
  <si>
    <t xml:space="preserve">     Content</t>
  </si>
  <si>
    <t>Units</t>
  </si>
  <si>
    <t>Cond Avg</t>
  </si>
  <si>
    <t>y</t>
  </si>
  <si>
    <t xml:space="preserve">   Stack Gas Flowrate</t>
  </si>
  <si>
    <t xml:space="preserve">   Temperature</t>
  </si>
  <si>
    <t>nd</t>
  </si>
  <si>
    <t>&gt;</t>
  </si>
  <si>
    <t>Heat Content</t>
  </si>
  <si>
    <t>lb/hr</t>
  </si>
  <si>
    <t>Chlorine</t>
  </si>
  <si>
    <t>Stack Gas Flowrate</t>
  </si>
  <si>
    <t>Process Information</t>
  </si>
  <si>
    <t>I-TEF</t>
  </si>
  <si>
    <t>Run 1</t>
  </si>
  <si>
    <t>Run 2</t>
  </si>
  <si>
    <t>Run 3</t>
  </si>
  <si>
    <t>Wght Fact</t>
  </si>
  <si>
    <t>Total</t>
  </si>
  <si>
    <t xml:space="preserve"> TEQ</t>
  </si>
  <si>
    <t>TEQ</t>
  </si>
  <si>
    <t>Detected in sample volume (ng)</t>
  </si>
  <si>
    <t>2,3,7,8-TCDD</t>
  </si>
  <si>
    <t>TCDD Other</t>
  </si>
  <si>
    <t>1,2,3,7,8-PCDD</t>
  </si>
  <si>
    <t>PCDD Other</t>
  </si>
  <si>
    <t>1,2,3,4,7,8-HxCDD</t>
  </si>
  <si>
    <t>1,2,3,6,7,8-HxCDD</t>
  </si>
  <si>
    <t>1,2,3,7,8,9-HxCDD</t>
  </si>
  <si>
    <t>HxCDD Other</t>
  </si>
  <si>
    <t>1,2,3,4,6,7,8-HpCDD</t>
  </si>
  <si>
    <t>HpCDD Other</t>
  </si>
  <si>
    <t>OCDD</t>
  </si>
  <si>
    <t>2,3,7,8-TCDF</t>
  </si>
  <si>
    <t>TCDF Other</t>
  </si>
  <si>
    <t>1,2,3,7,8-PCDF</t>
  </si>
  <si>
    <t>2,3,4,7,8-PCDF</t>
  </si>
  <si>
    <t>PCDF Other</t>
  </si>
  <si>
    <t>1,2,3,4,7,8-HxCDF</t>
  </si>
  <si>
    <t>1,2,3,6,7,8-HxCDF</t>
  </si>
  <si>
    <t>2,3,4,6,7,8-HxCDF</t>
  </si>
  <si>
    <t>1,2,3,7,8,9-HxCDF</t>
  </si>
  <si>
    <t>HxCDF Other</t>
  </si>
  <si>
    <t>1,2,3,4,6,7,8-HpCDF</t>
  </si>
  <si>
    <t>1,2,3,4,7,8,9-HpCDF</t>
  </si>
  <si>
    <t>HpCDF Other</t>
  </si>
  <si>
    <t>OCDF</t>
  </si>
  <si>
    <t>Gas sample volume (dscf)</t>
  </si>
  <si>
    <t>O2 (%)</t>
  </si>
  <si>
    <t>PCDD/PCDF (ng in sample)</t>
  </si>
  <si>
    <t>PCDD/PCDF (ng/dscm @ 7% O2)</t>
  </si>
  <si>
    <t>The Dow Chemical Company</t>
  </si>
  <si>
    <t>Pittsburg</t>
  </si>
  <si>
    <t>CA</t>
  </si>
  <si>
    <t>MMBtu/hr</t>
  </si>
  <si>
    <t>Anhydrous HCl Production Rate</t>
  </si>
  <si>
    <t xml:space="preserve"> </t>
  </si>
  <si>
    <t xml:space="preserve">   </t>
  </si>
  <si>
    <t>MS HAF</t>
  </si>
  <si>
    <t>851C1</t>
  </si>
  <si>
    <t>Stack Gas Flowrate(dscfm)</t>
  </si>
  <si>
    <t xml:space="preserve">Total </t>
  </si>
  <si>
    <t>(lb/hr)</t>
  </si>
  <si>
    <t>(ng)</t>
  </si>
  <si>
    <t>851C2</t>
  </si>
  <si>
    <t>851C3</t>
  </si>
  <si>
    <t>None</t>
  </si>
  <si>
    <t>Capacity (MMBtu/hr)</t>
  </si>
  <si>
    <t>Liq</t>
  </si>
  <si>
    <t>Chlorinated liquids and gas streams</t>
  </si>
  <si>
    <t>Trial burn, max comb chamber temp</t>
  </si>
  <si>
    <t>Trial burn, min comb chamber temp</t>
  </si>
  <si>
    <t xml:space="preserve">Risk burn, normal operating conditions </t>
  </si>
  <si>
    <t>7% O2</t>
  </si>
  <si>
    <t>Feedstreams</t>
  </si>
  <si>
    <t>g/hr</t>
  </si>
  <si>
    <t>Heating Value</t>
  </si>
  <si>
    <t>Btu/lb</t>
  </si>
  <si>
    <t>Natural Gas</t>
  </si>
  <si>
    <t>pH</t>
  </si>
  <si>
    <t>gal/1000scf</t>
  </si>
  <si>
    <t>ug/dscm</t>
  </si>
  <si>
    <t>Oxygen</t>
  </si>
  <si>
    <t>Liq Waste</t>
  </si>
  <si>
    <t>PCDD/PCDF</t>
  </si>
  <si>
    <t>Facility Name and ID:</t>
  </si>
  <si>
    <t>Condition ID:</t>
  </si>
  <si>
    <t>Condition/Test Date:</t>
  </si>
  <si>
    <t xml:space="preserve"> 1/2 ND</t>
  </si>
  <si>
    <t xml:space="preserve">  1/2 ND</t>
  </si>
  <si>
    <t>The Dow Chemical Company, CAD076528678</t>
  </si>
  <si>
    <t>Max comb chamber temperature November 1-3, 1999</t>
  </si>
  <si>
    <t>Normal conditions October 19-21, 1999</t>
  </si>
  <si>
    <t>Min comb chamber temperature October 25-27, 1999</t>
  </si>
  <si>
    <t>TEQ Cond Avg</t>
  </si>
  <si>
    <t>Total Cond Avg</t>
  </si>
  <si>
    <r>
      <t>(lb/hr)*10</t>
    </r>
    <r>
      <rPr>
        <vertAlign val="superscript"/>
        <sz val="10"/>
        <rFont val="Arial"/>
        <family val="2"/>
      </rPr>
      <t>-11</t>
    </r>
  </si>
  <si>
    <t>CAD076528678</t>
  </si>
  <si>
    <t>Hazardous Wastes</t>
  </si>
  <si>
    <t>Supplemental Fuel</t>
  </si>
  <si>
    <t>Manufacturing Services HAF</t>
  </si>
  <si>
    <t>Permitting Status</t>
  </si>
  <si>
    <t>November 1-3, 1999</t>
  </si>
  <si>
    <t>October 25-27, 1999</t>
  </si>
  <si>
    <t>October 19-21, 1999</t>
  </si>
  <si>
    <t>n</t>
  </si>
  <si>
    <t>NaOH Scrubber</t>
  </si>
  <si>
    <t xml:space="preserve">     Scrubber pH</t>
  </si>
  <si>
    <t xml:space="preserve">     Scrubber L/G</t>
  </si>
  <si>
    <t xml:space="preserve">     Scrubber Blowdown</t>
  </si>
  <si>
    <t>Feedrate MTEC Calculations</t>
  </si>
  <si>
    <t>Combustion Temp</t>
  </si>
  <si>
    <t>Trail Burn Report For The Dow Chemical Company Manufacturing Services Halogen Acid Furnace; Volume 1 of 5, January 2000</t>
  </si>
  <si>
    <t>PM, HCl/Cl2, metals, Cr+6, organics, PCDD/F</t>
  </si>
  <si>
    <t>PM, HCl/Cl2, DRE, CO, PCDD/F</t>
  </si>
  <si>
    <t>DRE, CO, PCDD/F</t>
  </si>
  <si>
    <t>Phase II ID No.</t>
  </si>
  <si>
    <t>Source Description</t>
  </si>
  <si>
    <t xml:space="preserve">     Cond Description</t>
  </si>
  <si>
    <t xml:space="preserve">    City</t>
  </si>
  <si>
    <t xml:space="preserve">    State</t>
  </si>
  <si>
    <t>Soot Blowing</t>
  </si>
  <si>
    <t>Haz Waste Description</t>
  </si>
  <si>
    <t xml:space="preserve">    Diameter (ft)</t>
  </si>
  <si>
    <t xml:space="preserve">    Height (ft)</t>
  </si>
  <si>
    <t xml:space="preserve">    Gas Velocity (ft/sec)</t>
  </si>
  <si>
    <t xml:space="preserve">    Gas Temperature (°F)</t>
  </si>
  <si>
    <t>Arsenic</t>
  </si>
  <si>
    <t>Cadmium</t>
  </si>
  <si>
    <t>Nickel</t>
  </si>
  <si>
    <t>Comments</t>
  </si>
  <si>
    <t>Trial Burn</t>
  </si>
  <si>
    <t>PM, HCl/Cl2</t>
  </si>
  <si>
    <t>Metals</t>
  </si>
  <si>
    <t>Cr +6</t>
  </si>
  <si>
    <t>POHC Feedrate</t>
  </si>
  <si>
    <t>Emission Rate</t>
  </si>
  <si>
    <t xml:space="preserve">   O2</t>
  </si>
  <si>
    <t xml:space="preserve">   Moisture</t>
  </si>
  <si>
    <t>MCB</t>
  </si>
  <si>
    <t>POHC DRE</t>
  </si>
  <si>
    <t>TCE</t>
  </si>
  <si>
    <t>HC (RA)</t>
  </si>
  <si>
    <t>CO (MHRA)</t>
  </si>
  <si>
    <t>Chromium</t>
  </si>
  <si>
    <t>Total Chlorine</t>
  </si>
  <si>
    <t>Sampling Train</t>
  </si>
  <si>
    <t>Barium</t>
  </si>
  <si>
    <t>Beryllium</t>
  </si>
  <si>
    <t>Zinc</t>
  </si>
  <si>
    <t>Thallium</t>
  </si>
  <si>
    <t>Lead</t>
  </si>
  <si>
    <t>Cumene</t>
  </si>
  <si>
    <t xml:space="preserve">851C1 </t>
  </si>
  <si>
    <t xml:space="preserve">851C2 </t>
  </si>
  <si>
    <t xml:space="preserve">851C3 </t>
  </si>
  <si>
    <t>Risk Burn</t>
  </si>
  <si>
    <t>*</t>
  </si>
  <si>
    <t>Thermal Feedrate</t>
  </si>
  <si>
    <t>Mercury</t>
  </si>
  <si>
    <t>Manganese</t>
  </si>
  <si>
    <t>Feedstream Description</t>
  </si>
  <si>
    <t>HWC Burn Status (Date if Terminated)</t>
  </si>
  <si>
    <t>Q/HClABS/WS</t>
  </si>
  <si>
    <t>Quench, acid absorber, caustic scrubber.  Acid absorber includes two falling-film absorbers and a wetted packed bed column; dilute aqueous NaOH in caustic scrubber</t>
  </si>
  <si>
    <t>Copper</t>
  </si>
  <si>
    <t xml:space="preserve">     Cond Dates</t>
  </si>
  <si>
    <t>HCl Production Furnace</t>
  </si>
  <si>
    <t>Cond Description</t>
  </si>
  <si>
    <t>Number of Sister Facilities</t>
  </si>
  <si>
    <t>APCS Detailed Acronym</t>
  </si>
  <si>
    <t>APCS General Class</t>
  </si>
  <si>
    <t>WQ,LEWS</t>
  </si>
  <si>
    <t>E1</t>
  </si>
  <si>
    <t>E2</t>
  </si>
  <si>
    <t>E3</t>
  </si>
  <si>
    <t>E4</t>
  </si>
  <si>
    <t>R1</t>
  </si>
  <si>
    <t>R2</t>
  </si>
  <si>
    <t>R3</t>
  </si>
  <si>
    <t>Chromium (Hex)</t>
  </si>
  <si>
    <t>Combustor Class</t>
  </si>
  <si>
    <t>Combustor Type</t>
  </si>
  <si>
    <t>source</t>
  </si>
  <si>
    <t>cond</t>
  </si>
  <si>
    <t>emiss</t>
  </si>
  <si>
    <t>feed</t>
  </si>
  <si>
    <t>process</t>
  </si>
  <si>
    <t>Feed Class</t>
  </si>
  <si>
    <t>Feedstream Number</t>
  </si>
  <si>
    <t>F1</t>
  </si>
  <si>
    <t>F2</t>
  </si>
  <si>
    <t>F3</t>
  </si>
  <si>
    <t>F4</t>
  </si>
  <si>
    <t>Liq HW</t>
  </si>
  <si>
    <t>NG</t>
  </si>
  <si>
    <t>Selenium</t>
  </si>
  <si>
    <t>Feed Rate</t>
  </si>
  <si>
    <t>Feed Class 2</t>
  </si>
  <si>
    <t>MF</t>
  </si>
  <si>
    <t>Estimated Firing Rate</t>
  </si>
  <si>
    <t>Tier I for all metals except As, Cd, and Cr+6 (Tier lll).  Nickel spiked but not Tier III?</t>
  </si>
  <si>
    <t>No Be</t>
  </si>
  <si>
    <t>No Pb</t>
  </si>
  <si>
    <t>No Cd</t>
  </si>
  <si>
    <t>df c1</t>
  </si>
  <si>
    <t>Full ND</t>
  </si>
  <si>
    <t>Trial burn</t>
  </si>
  <si>
    <t>df c2</t>
  </si>
  <si>
    <t>df c3</t>
  </si>
  <si>
    <t>PCCD/PCDF</t>
  </si>
  <si>
    <t>Risk burn</t>
  </si>
  <si>
    <t>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</si>
</sst>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  <numFmt numFmtId="168" formatCode="0.0000000"/>
    <numFmt numFmtId="169" formatCode="0.000000"/>
    <numFmt numFmtId="170" formatCode="0.0E+00"/>
    <numFmt numFmtId="171" formatCode="0.00000000"/>
    <numFmt numFmtId="172" formatCode="mmmm\-yy"/>
  </numFmts>
  <fonts count="8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0" fontId="0" fillId="0" borderId="0" xfId="19">
      <alignment/>
      <protection/>
    </xf>
    <xf numFmtId="0" fontId="0" fillId="0" borderId="0" xfId="19" applyFont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0" fontId="0" fillId="0" borderId="0" xfId="19" applyFont="1" applyAlignment="1">
      <alignment vertical="top" wrapText="1"/>
      <protection/>
    </xf>
    <xf numFmtId="0" fontId="4" fillId="0" borderId="0" xfId="0" applyFont="1" applyFill="1" applyBorder="1" applyAlignment="1">
      <alignment horizontal="left"/>
    </xf>
    <xf numFmtId="165" fontId="4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65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165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5" fillId="0" borderId="0" xfId="19" applyFont="1">
      <alignment/>
      <protection/>
    </xf>
    <xf numFmtId="0" fontId="4" fillId="0" borderId="0" xfId="19" applyFont="1">
      <alignment/>
      <protection/>
    </xf>
    <xf numFmtId="0" fontId="4" fillId="0" borderId="0" xfId="19" applyFont="1" applyAlignment="1">
      <alignment horizontal="left"/>
      <protection/>
    </xf>
    <xf numFmtId="165" fontId="4" fillId="0" borderId="0" xfId="19" applyNumberFormat="1" applyFont="1" applyAlignment="1">
      <alignment horizontal="left"/>
      <protection/>
    </xf>
    <xf numFmtId="0" fontId="4" fillId="0" borderId="0" xfId="19" applyFont="1" applyAlignment="1">
      <alignment vertical="top" wrapText="1"/>
      <protection/>
    </xf>
    <xf numFmtId="2" fontId="4" fillId="0" borderId="0" xfId="19" applyNumberFormat="1" applyFont="1" applyAlignment="1">
      <alignment horizontal="left"/>
      <protection/>
    </xf>
    <xf numFmtId="0" fontId="4" fillId="0" borderId="0" xfId="19" applyFont="1" applyAlignment="1">
      <alignment vertical="top"/>
      <protection/>
    </xf>
    <xf numFmtId="15" fontId="4" fillId="0" borderId="0" xfId="19" applyNumberFormat="1" applyFont="1">
      <alignment/>
      <protection/>
    </xf>
    <xf numFmtId="1" fontId="4" fillId="0" borderId="0" xfId="19" applyNumberFormat="1" applyFont="1">
      <alignment/>
      <protection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1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167" fontId="4" fillId="0" borderId="0" xfId="0" applyNumberFormat="1" applyFont="1" applyAlignment="1">
      <alignment horizontal="center"/>
    </xf>
    <xf numFmtId="169" fontId="4" fillId="0" borderId="0" xfId="0" applyNumberFormat="1" applyFont="1" applyAlignment="1">
      <alignment/>
    </xf>
    <xf numFmtId="169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/>
    </xf>
    <xf numFmtId="166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166" fontId="4" fillId="0" borderId="0" xfId="0" applyNumberFormat="1" applyFont="1" applyBorder="1" applyAlignment="1">
      <alignment/>
    </xf>
    <xf numFmtId="11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11" fontId="4" fillId="0" borderId="0" xfId="0" applyNumberFormat="1" applyFont="1" applyBorder="1" applyAlignment="1">
      <alignment horizontal="left"/>
    </xf>
    <xf numFmtId="1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 horizontal="right"/>
    </xf>
    <xf numFmtId="167" fontId="4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4" fillId="0" borderId="0" xfId="19" applyFont="1" applyAlignment="1">
      <alignment wrapText="1"/>
      <protection/>
    </xf>
    <xf numFmtId="0" fontId="0" fillId="0" borderId="0" xfId="19" applyFont="1" applyAlignment="1">
      <alignment wrapText="1"/>
      <protection/>
    </xf>
    <xf numFmtId="17" fontId="4" fillId="0" borderId="0" xfId="19" applyNumberFormat="1" applyFont="1" applyAlignment="1">
      <alignment horizontal="left"/>
      <protection/>
    </xf>
    <xf numFmtId="168" fontId="0" fillId="0" borderId="0" xfId="0" applyNumberFormat="1" applyFont="1" applyAlignment="1">
      <alignment/>
    </xf>
    <xf numFmtId="1" fontId="4" fillId="0" borderId="0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-750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tabSelected="1" workbookViewId="0" topLeftCell="A1">
      <selection activeCell="I27" sqref="I27"/>
    </sheetView>
  </sheetViews>
  <sheetFormatPr defaultColWidth="9.140625" defaultRowHeight="12.75"/>
  <sheetData>
    <row r="1" ht="12.75">
      <c r="A1" t="s">
        <v>214</v>
      </c>
    </row>
    <row r="2" ht="12.75">
      <c r="A2" t="s">
        <v>215</v>
      </c>
    </row>
    <row r="3" ht="12.75">
      <c r="A3" t="s">
        <v>216</v>
      </c>
    </row>
    <row r="4" ht="12.75">
      <c r="A4" t="s">
        <v>217</v>
      </c>
    </row>
    <row r="5" ht="12.75">
      <c r="A5" t="s">
        <v>218</v>
      </c>
    </row>
    <row r="6" ht="12.75">
      <c r="A6" t="s">
        <v>236</v>
      </c>
    </row>
    <row r="7" ht="12.75">
      <c r="A7" t="s">
        <v>239</v>
      </c>
    </row>
    <row r="8" ht="12.75">
      <c r="A8" t="s">
        <v>240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52"/>
  <sheetViews>
    <sheetView workbookViewId="0" topLeftCell="B1">
      <selection activeCell="B2" sqref="B2"/>
    </sheetView>
  </sheetViews>
  <sheetFormatPr defaultColWidth="9.140625" defaultRowHeight="12.75"/>
  <cols>
    <col min="1" max="1" width="2.8515625" style="6" hidden="1" customWidth="1"/>
    <col min="2" max="2" width="25.28125" style="6" customWidth="1"/>
    <col min="3" max="3" width="55.7109375" style="6" customWidth="1"/>
    <col min="4" max="4" width="9.00390625" style="6" customWidth="1"/>
    <col min="5" max="16384" width="11.421875" style="6" customWidth="1"/>
  </cols>
  <sheetData>
    <row r="1" spans="2:3" s="7" customFormat="1" ht="12.75">
      <c r="B1" s="29" t="s">
        <v>148</v>
      </c>
      <c r="C1" s="30"/>
    </row>
    <row r="2" spans="2:3" s="7" customFormat="1" ht="12.75">
      <c r="B2" s="30"/>
      <c r="C2" s="30"/>
    </row>
    <row r="3" spans="2:3" s="7" customFormat="1" ht="12.75">
      <c r="B3" s="30" t="s">
        <v>147</v>
      </c>
      <c r="C3" s="31">
        <v>851</v>
      </c>
    </row>
    <row r="4" spans="2:3" s="7" customFormat="1" ht="12.75">
      <c r="B4" s="30" t="s">
        <v>17</v>
      </c>
      <c r="C4" s="30" t="s">
        <v>128</v>
      </c>
    </row>
    <row r="5" spans="2:3" s="7" customFormat="1" ht="12.75">
      <c r="B5" s="30" t="s">
        <v>18</v>
      </c>
      <c r="C5" s="30" t="s">
        <v>82</v>
      </c>
    </row>
    <row r="6" spans="2:3" s="7" customFormat="1" ht="12.75">
      <c r="B6" s="30" t="s">
        <v>19</v>
      </c>
      <c r="C6" s="30"/>
    </row>
    <row r="7" spans="2:3" s="7" customFormat="1" ht="12.75">
      <c r="B7" s="30" t="s">
        <v>150</v>
      </c>
      <c r="C7" s="30" t="s">
        <v>83</v>
      </c>
    </row>
    <row r="8" spans="2:3" s="7" customFormat="1" ht="12.75">
      <c r="B8" s="30" t="s">
        <v>151</v>
      </c>
      <c r="C8" s="30" t="s">
        <v>84</v>
      </c>
    </row>
    <row r="9" spans="2:3" s="7" customFormat="1" ht="12.75">
      <c r="B9" s="30" t="s">
        <v>20</v>
      </c>
      <c r="C9" s="30" t="s">
        <v>89</v>
      </c>
    </row>
    <row r="10" spans="2:3" s="7" customFormat="1" ht="12.75">
      <c r="B10" s="30" t="s">
        <v>21</v>
      </c>
      <c r="C10" s="30" t="s">
        <v>97</v>
      </c>
    </row>
    <row r="11" spans="2:3" s="7" customFormat="1" ht="12.75">
      <c r="B11" s="30" t="s">
        <v>200</v>
      </c>
      <c r="C11" s="31">
        <v>0</v>
      </c>
    </row>
    <row r="12" spans="2:3" s="7" customFormat="1" ht="12.75">
      <c r="B12" s="30" t="s">
        <v>212</v>
      </c>
      <c r="C12" s="30" t="s">
        <v>198</v>
      </c>
    </row>
    <row r="13" spans="2:3" s="7" customFormat="1" ht="12.75">
      <c r="B13" s="30" t="s">
        <v>213</v>
      </c>
      <c r="C13" s="30"/>
    </row>
    <row r="14" spans="2:3" s="7" customFormat="1" ht="12.75">
      <c r="B14" s="30" t="s">
        <v>22</v>
      </c>
      <c r="C14" s="30" t="s">
        <v>131</v>
      </c>
    </row>
    <row r="15" spans="2:3" s="7" customFormat="1" ht="12.75">
      <c r="B15" s="30" t="s">
        <v>98</v>
      </c>
      <c r="C15" s="32">
        <f>feed!L32+feed!T32</f>
        <v>5.5</v>
      </c>
    </row>
    <row r="16" spans="2:3" s="7" customFormat="1" ht="12.75">
      <c r="B16" s="30" t="s">
        <v>152</v>
      </c>
      <c r="C16" s="30" t="s">
        <v>97</v>
      </c>
    </row>
    <row r="17" spans="2:3" s="15" customFormat="1" ht="12.75">
      <c r="B17" s="30" t="s">
        <v>201</v>
      </c>
      <c r="C17" s="31" t="s">
        <v>194</v>
      </c>
    </row>
    <row r="18" spans="2:3" s="15" customFormat="1" ht="12.75">
      <c r="B18" s="30" t="s">
        <v>202</v>
      </c>
      <c r="C18" s="31" t="s">
        <v>203</v>
      </c>
    </row>
    <row r="19" spans="2:3" s="7" customFormat="1" ht="38.25">
      <c r="B19" s="33" t="s">
        <v>23</v>
      </c>
      <c r="C19" s="33" t="s">
        <v>195</v>
      </c>
    </row>
    <row r="20" spans="2:3" s="7" customFormat="1" ht="12.75">
      <c r="B20" s="30" t="s">
        <v>129</v>
      </c>
      <c r="C20" s="30" t="s">
        <v>99</v>
      </c>
    </row>
    <row r="21" spans="2:3" s="7" customFormat="1" ht="12.75">
      <c r="B21" s="30" t="s">
        <v>153</v>
      </c>
      <c r="C21" s="30" t="s">
        <v>100</v>
      </c>
    </row>
    <row r="22" spans="2:3" s="7" customFormat="1" ht="12.75">
      <c r="B22" s="30" t="s">
        <v>130</v>
      </c>
      <c r="C22" s="30" t="s">
        <v>24</v>
      </c>
    </row>
    <row r="23" spans="2:3" s="7" customFormat="1" ht="12.75">
      <c r="B23" s="30"/>
      <c r="C23" s="30"/>
    </row>
    <row r="24" spans="2:3" s="7" customFormat="1" ht="12.75">
      <c r="B24" s="30" t="s">
        <v>25</v>
      </c>
      <c r="C24" s="30"/>
    </row>
    <row r="25" spans="2:3" s="7" customFormat="1" ht="12.75">
      <c r="B25" s="30" t="s">
        <v>154</v>
      </c>
      <c r="C25" s="31">
        <v>0.678</v>
      </c>
    </row>
    <row r="26" spans="2:3" s="7" customFormat="1" ht="12.75">
      <c r="B26" s="30" t="s">
        <v>155</v>
      </c>
      <c r="C26" s="34">
        <v>74.5</v>
      </c>
    </row>
    <row r="27" spans="2:3" s="7" customFormat="1" ht="12.75">
      <c r="B27" s="30" t="s">
        <v>156</v>
      </c>
      <c r="C27" s="30"/>
    </row>
    <row r="28" spans="2:3" s="7" customFormat="1" ht="12.75">
      <c r="B28" s="30" t="s">
        <v>157</v>
      </c>
      <c r="C28" s="31">
        <v>154</v>
      </c>
    </row>
    <row r="29" spans="2:3" s="7" customFormat="1" ht="12.75">
      <c r="B29" s="30"/>
      <c r="C29" s="30"/>
    </row>
    <row r="30" spans="2:3" s="7" customFormat="1" ht="25.5">
      <c r="B30" s="33" t="s">
        <v>132</v>
      </c>
      <c r="C30" s="33" t="s">
        <v>232</v>
      </c>
    </row>
    <row r="31" spans="2:3" s="75" customFormat="1" ht="25.5">
      <c r="B31" s="74" t="s">
        <v>193</v>
      </c>
      <c r="C31" s="74"/>
    </row>
    <row r="32" spans="2:3" s="7" customFormat="1" ht="12.75">
      <c r="B32" s="30"/>
      <c r="C32" s="30"/>
    </row>
    <row r="52" ht="12.75">
      <c r="C52" s="7" t="s">
        <v>88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C31"/>
  <sheetViews>
    <sheetView workbookViewId="0" topLeftCell="B1">
      <selection activeCell="B2" sqref="B2"/>
    </sheetView>
  </sheetViews>
  <sheetFormatPr defaultColWidth="9.140625" defaultRowHeight="12.75"/>
  <cols>
    <col min="1" max="1" width="3.28125" style="39" hidden="1" customWidth="1"/>
    <col min="2" max="2" width="20.00390625" style="39" customWidth="1"/>
    <col min="3" max="3" width="52.57421875" style="39" customWidth="1"/>
    <col min="4" max="16384" width="9.140625" style="39" customWidth="1"/>
  </cols>
  <sheetData>
    <row r="1" ht="12.75">
      <c r="B1" s="38" t="s">
        <v>199</v>
      </c>
    </row>
    <row r="3" ht="12.75">
      <c r="B3" s="73" t="s">
        <v>90</v>
      </c>
    </row>
    <row r="4" ht="12.75">
      <c r="B4" s="73"/>
    </row>
    <row r="5" spans="2:3" s="35" customFormat="1" ht="38.25">
      <c r="B5" s="35" t="s">
        <v>26</v>
      </c>
      <c r="C5" s="33" t="s">
        <v>143</v>
      </c>
    </row>
    <row r="6" spans="2:3" s="30" customFormat="1" ht="12.75">
      <c r="B6" s="30" t="s">
        <v>27</v>
      </c>
      <c r="C6" s="30" t="s">
        <v>28</v>
      </c>
    </row>
    <row r="7" spans="2:3" s="30" customFormat="1" ht="12.75">
      <c r="B7" s="30" t="s">
        <v>29</v>
      </c>
      <c r="C7" s="30" t="s">
        <v>28</v>
      </c>
    </row>
    <row r="8" spans="2:3" s="30" customFormat="1" ht="12.75">
      <c r="B8" s="30" t="s">
        <v>30</v>
      </c>
      <c r="C8" s="36" t="s">
        <v>133</v>
      </c>
    </row>
    <row r="9" spans="2:3" s="30" customFormat="1" ht="12.75">
      <c r="B9" s="30" t="s">
        <v>197</v>
      </c>
      <c r="C9" s="76">
        <v>35003</v>
      </c>
    </row>
    <row r="10" spans="2:3" s="30" customFormat="1" ht="12.75">
      <c r="B10" s="30" t="s">
        <v>149</v>
      </c>
      <c r="C10" s="30" t="s">
        <v>101</v>
      </c>
    </row>
    <row r="11" spans="2:3" s="30" customFormat="1" ht="12.75">
      <c r="B11" s="30" t="s">
        <v>31</v>
      </c>
      <c r="C11" s="30" t="s">
        <v>145</v>
      </c>
    </row>
    <row r="12" s="30" customFormat="1" ht="12.75"/>
    <row r="13" s="30" customFormat="1" ht="12.75">
      <c r="B13" s="73" t="s">
        <v>95</v>
      </c>
    </row>
    <row r="14" ht="12.75">
      <c r="B14" s="73"/>
    </row>
    <row r="15" spans="2:3" s="35" customFormat="1" ht="38.25">
      <c r="B15" s="35" t="s">
        <v>26</v>
      </c>
      <c r="C15" s="33" t="s">
        <v>143</v>
      </c>
    </row>
    <row r="16" spans="2:3" s="30" customFormat="1" ht="12.75">
      <c r="B16" s="30" t="s">
        <v>27</v>
      </c>
      <c r="C16" s="30" t="s">
        <v>28</v>
      </c>
    </row>
    <row r="17" spans="2:3" s="30" customFormat="1" ht="12.75">
      <c r="B17" s="30" t="s">
        <v>29</v>
      </c>
      <c r="C17" s="30" t="s">
        <v>28</v>
      </c>
    </row>
    <row r="18" spans="2:3" s="30" customFormat="1" ht="12.75">
      <c r="B18" s="30" t="s">
        <v>30</v>
      </c>
      <c r="C18" s="37" t="s">
        <v>134</v>
      </c>
    </row>
    <row r="19" spans="2:3" s="30" customFormat="1" ht="12.75">
      <c r="B19" s="30" t="s">
        <v>197</v>
      </c>
      <c r="C19" s="76">
        <v>34972</v>
      </c>
    </row>
    <row r="20" spans="2:3" s="30" customFormat="1" ht="12.75">
      <c r="B20" s="30" t="s">
        <v>149</v>
      </c>
      <c r="C20" s="30" t="s">
        <v>102</v>
      </c>
    </row>
    <row r="21" spans="2:3" s="30" customFormat="1" ht="12.75">
      <c r="B21" s="30" t="s">
        <v>31</v>
      </c>
      <c r="C21" s="30" t="s">
        <v>146</v>
      </c>
    </row>
    <row r="22" s="30" customFormat="1" ht="12.75"/>
    <row r="23" s="30" customFormat="1" ht="12.75">
      <c r="B23" s="73" t="s">
        <v>96</v>
      </c>
    </row>
    <row r="24" ht="12.75">
      <c r="B24" s="73"/>
    </row>
    <row r="25" spans="2:3" s="35" customFormat="1" ht="38.25">
      <c r="B25" s="35" t="s">
        <v>26</v>
      </c>
      <c r="C25" s="33" t="s">
        <v>143</v>
      </c>
    </row>
    <row r="26" spans="2:3" s="30" customFormat="1" ht="12.75">
      <c r="B26" s="30" t="s">
        <v>27</v>
      </c>
      <c r="C26" s="30" t="s">
        <v>28</v>
      </c>
    </row>
    <row r="27" spans="2:3" s="30" customFormat="1" ht="12.75">
      <c r="B27" s="30" t="s">
        <v>29</v>
      </c>
      <c r="C27" s="30" t="s">
        <v>28</v>
      </c>
    </row>
    <row r="28" spans="2:3" s="30" customFormat="1" ht="12.75">
      <c r="B28" s="30" t="s">
        <v>30</v>
      </c>
      <c r="C28" s="36" t="s">
        <v>135</v>
      </c>
    </row>
    <row r="29" spans="2:3" s="30" customFormat="1" ht="12.75">
      <c r="B29" s="30" t="s">
        <v>197</v>
      </c>
      <c r="C29" s="76">
        <v>34972</v>
      </c>
    </row>
    <row r="30" spans="2:3" s="30" customFormat="1" ht="12.75">
      <c r="B30" s="30" t="s">
        <v>149</v>
      </c>
      <c r="C30" s="30" t="s">
        <v>103</v>
      </c>
    </row>
    <row r="31" spans="2:3" s="30" customFormat="1" ht="12.75">
      <c r="B31" s="30" t="s">
        <v>31</v>
      </c>
      <c r="C31" s="30" t="s">
        <v>144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135"/>
  <sheetViews>
    <sheetView workbookViewId="0" topLeftCell="B108">
      <selection activeCell="B2" sqref="B2"/>
    </sheetView>
  </sheetViews>
  <sheetFormatPr defaultColWidth="9.140625" defaultRowHeight="12.75"/>
  <cols>
    <col min="1" max="1" width="3.57421875" style="0" customWidth="1"/>
    <col min="2" max="2" width="20.28125" style="0" customWidth="1"/>
    <col min="3" max="3" width="4.57421875" style="0" customWidth="1"/>
    <col min="5" max="5" width="6.8515625" style="0" customWidth="1"/>
    <col min="6" max="6" width="3.140625" style="1" customWidth="1"/>
    <col min="7" max="7" width="9.57421875" style="0" customWidth="1"/>
    <col min="8" max="8" width="2.7109375" style="1" customWidth="1"/>
    <col min="9" max="9" width="8.7109375" style="0" customWidth="1"/>
    <col min="10" max="10" width="3.00390625" style="1" customWidth="1"/>
    <col min="11" max="11" width="9.8515625" style="0" customWidth="1"/>
    <col min="12" max="12" width="3.7109375" style="1" customWidth="1"/>
    <col min="13" max="13" width="9.8515625" style="0" customWidth="1"/>
    <col min="14" max="14" width="3.7109375" style="0" customWidth="1"/>
    <col min="15" max="15" width="6.421875" style="0" bestFit="1" customWidth="1"/>
    <col min="16" max="16" width="3.140625" style="0" customWidth="1"/>
    <col min="17" max="16384" width="11.421875" style="0" customWidth="1"/>
  </cols>
  <sheetData>
    <row r="1" spans="2:27" s="8" customFormat="1" ht="12.75">
      <c r="B1" s="38" t="s">
        <v>0</v>
      </c>
      <c r="C1" s="38"/>
      <c r="D1" s="39"/>
      <c r="E1" s="39"/>
      <c r="F1" s="40"/>
      <c r="G1" s="39"/>
      <c r="H1" s="40"/>
      <c r="I1" s="39"/>
      <c r="J1" s="40"/>
      <c r="K1" s="39"/>
      <c r="L1" s="40"/>
      <c r="M1" s="39"/>
      <c r="N1"/>
      <c r="O1"/>
      <c r="P1"/>
      <c r="Q1"/>
      <c r="R1"/>
      <c r="S1"/>
      <c r="T1"/>
      <c r="U1"/>
      <c r="V1"/>
      <c r="W1"/>
      <c r="X1"/>
      <c r="Y1"/>
      <c r="Z1"/>
      <c r="AA1"/>
    </row>
    <row r="2" spans="2:27" s="8" customFormat="1" ht="12.75">
      <c r="B2" s="39"/>
      <c r="C2" s="39"/>
      <c r="D2" s="39"/>
      <c r="E2" s="39"/>
      <c r="F2" s="40"/>
      <c r="G2" s="39"/>
      <c r="H2" s="40"/>
      <c r="I2" s="39"/>
      <c r="J2" s="40"/>
      <c r="K2" s="39"/>
      <c r="L2" s="40"/>
      <c r="M2" s="39"/>
      <c r="N2"/>
      <c r="O2"/>
      <c r="P2"/>
      <c r="Q2"/>
      <c r="R2"/>
      <c r="S2"/>
      <c r="T2"/>
      <c r="U2"/>
      <c r="V2"/>
      <c r="W2"/>
      <c r="X2"/>
      <c r="Y2"/>
      <c r="Z2"/>
      <c r="AA2"/>
    </row>
    <row r="3" spans="2:27" s="8" customFormat="1" ht="12.75">
      <c r="B3" s="39"/>
      <c r="C3" s="39" t="s">
        <v>161</v>
      </c>
      <c r="D3" s="39" t="s">
        <v>32</v>
      </c>
      <c r="E3" s="39" t="s">
        <v>104</v>
      </c>
      <c r="F3" s="40"/>
      <c r="G3" s="40"/>
      <c r="H3" s="40"/>
      <c r="I3" s="40"/>
      <c r="J3" s="40"/>
      <c r="K3" s="40"/>
      <c r="L3" s="40"/>
      <c r="M3" s="40"/>
      <c r="N3"/>
      <c r="O3"/>
      <c r="P3"/>
      <c r="Q3"/>
      <c r="R3"/>
      <c r="S3"/>
      <c r="T3"/>
      <c r="U3"/>
      <c r="V3"/>
      <c r="W3"/>
      <c r="X3"/>
      <c r="Y3"/>
      <c r="Z3"/>
      <c r="AA3"/>
    </row>
    <row r="4" spans="2:27" s="8" customFormat="1" ht="12.75">
      <c r="B4" s="39"/>
      <c r="C4" s="39"/>
      <c r="D4" s="39"/>
      <c r="E4" s="39"/>
      <c r="F4" s="40"/>
      <c r="G4" s="40"/>
      <c r="H4" s="40"/>
      <c r="I4" s="40"/>
      <c r="J4" s="40"/>
      <c r="K4" s="40"/>
      <c r="L4" s="40"/>
      <c r="M4" s="39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2:27" s="8" customFormat="1" ht="12.75">
      <c r="B5" s="39"/>
      <c r="C5" s="39"/>
      <c r="D5" s="39"/>
      <c r="E5" s="39"/>
      <c r="F5" s="40"/>
      <c r="G5" s="40"/>
      <c r="H5" s="40"/>
      <c r="I5" s="40"/>
      <c r="J5" s="40"/>
      <c r="K5" s="40"/>
      <c r="L5" s="40"/>
      <c r="M5" s="39"/>
      <c r="N5"/>
      <c r="O5"/>
      <c r="P5"/>
      <c r="Q5"/>
      <c r="R5"/>
      <c r="S5"/>
      <c r="T5"/>
      <c r="U5"/>
      <c r="V5"/>
      <c r="W5"/>
      <c r="X5"/>
      <c r="Y5"/>
      <c r="Z5"/>
      <c r="AA5"/>
    </row>
    <row r="6" spans="1:27" s="8" customFormat="1" ht="12.75">
      <c r="A6" s="8">
        <v>1</v>
      </c>
      <c r="B6" s="38" t="s">
        <v>90</v>
      </c>
      <c r="C6" s="38" t="s">
        <v>162</v>
      </c>
      <c r="D6" s="39"/>
      <c r="E6" s="39"/>
      <c r="F6" s="40"/>
      <c r="G6" s="40" t="s">
        <v>208</v>
      </c>
      <c r="H6" s="40"/>
      <c r="I6" s="40" t="s">
        <v>209</v>
      </c>
      <c r="J6" s="40"/>
      <c r="K6" s="40" t="s">
        <v>210</v>
      </c>
      <c r="L6" s="40"/>
      <c r="M6" s="40" t="s">
        <v>33</v>
      </c>
      <c r="N6"/>
      <c r="O6"/>
      <c r="P6"/>
      <c r="Q6"/>
      <c r="R6"/>
      <c r="S6"/>
      <c r="T6"/>
      <c r="U6"/>
      <c r="V6"/>
      <c r="W6"/>
      <c r="X6"/>
      <c r="Y6"/>
      <c r="Z6"/>
      <c r="AA6"/>
    </row>
    <row r="7" spans="2:27" s="8" customFormat="1" ht="12.75" customHeight="1">
      <c r="B7" s="38"/>
      <c r="C7" s="38"/>
      <c r="D7" s="39"/>
      <c r="E7" s="39"/>
      <c r="F7" s="40"/>
      <c r="G7" s="40"/>
      <c r="H7" s="40"/>
      <c r="I7" s="40"/>
      <c r="J7" s="40"/>
      <c r="K7" s="40"/>
      <c r="L7" s="40"/>
      <c r="M7" s="39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2:27" s="8" customFormat="1" ht="12.75">
      <c r="B8" s="39" t="s">
        <v>2</v>
      </c>
      <c r="C8" s="39" t="s">
        <v>204</v>
      </c>
      <c r="D8" s="39" t="s">
        <v>9</v>
      </c>
      <c r="E8" s="39" t="s">
        <v>34</v>
      </c>
      <c r="F8" s="40"/>
      <c r="G8" s="44">
        <f>10.7*0.001</f>
        <v>0.0107</v>
      </c>
      <c r="H8" s="70"/>
      <c r="I8" s="44">
        <v>0.0101</v>
      </c>
      <c r="J8" s="70"/>
      <c r="K8" s="44">
        <v>0.0123</v>
      </c>
      <c r="L8" s="70"/>
      <c r="M8" s="44">
        <f>AVERAGE(G8,I8,K8)</f>
        <v>0.011033333333333332</v>
      </c>
      <c r="N8"/>
      <c r="O8"/>
      <c r="P8"/>
      <c r="Q8"/>
      <c r="R8"/>
      <c r="S8"/>
      <c r="T8"/>
      <c r="U8"/>
      <c r="V8"/>
      <c r="W8"/>
      <c r="X8"/>
      <c r="Y8"/>
      <c r="Z8"/>
      <c r="AA8"/>
    </row>
    <row r="9" spans="2:27" s="8" customFormat="1" ht="12.75">
      <c r="B9" s="39" t="s">
        <v>173</v>
      </c>
      <c r="C9" s="39" t="s">
        <v>204</v>
      </c>
      <c r="D9" s="39" t="s">
        <v>10</v>
      </c>
      <c r="E9" s="39" t="s">
        <v>34</v>
      </c>
      <c r="F9" s="40"/>
      <c r="G9" s="43">
        <v>0.1</v>
      </c>
      <c r="H9" s="53"/>
      <c r="I9" s="43">
        <v>0.5</v>
      </c>
      <c r="J9" s="53"/>
      <c r="K9" s="43">
        <v>0.5</v>
      </c>
      <c r="L9" s="53"/>
      <c r="M9" s="43">
        <v>0.4</v>
      </c>
      <c r="N9"/>
      <c r="O9"/>
      <c r="P9"/>
      <c r="Q9"/>
      <c r="R9"/>
      <c r="S9"/>
      <c r="T9"/>
      <c r="U9"/>
      <c r="V9"/>
      <c r="W9"/>
      <c r="X9"/>
      <c r="Y9"/>
      <c r="Z9"/>
      <c r="AA9"/>
    </row>
    <row r="10" spans="2:27" s="8" customFormat="1" ht="12.75">
      <c r="B10" s="39" t="s">
        <v>174</v>
      </c>
      <c r="C10" s="39" t="s">
        <v>204</v>
      </c>
      <c r="D10" s="39" t="s">
        <v>10</v>
      </c>
      <c r="E10" s="39" t="s">
        <v>34</v>
      </c>
      <c r="F10" s="40"/>
      <c r="G10" s="39">
        <v>25</v>
      </c>
      <c r="H10" s="40"/>
      <c r="I10" s="39">
        <v>34</v>
      </c>
      <c r="J10" s="40"/>
      <c r="K10" s="39">
        <v>28</v>
      </c>
      <c r="L10" s="40"/>
      <c r="M10" s="42">
        <f>AVERAGE(G10,I10,K10)</f>
        <v>29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2:27" s="8" customFormat="1" ht="12.75">
      <c r="B11" s="39" t="s">
        <v>3</v>
      </c>
      <c r="C11" s="39"/>
      <c r="D11" s="39" t="s">
        <v>10</v>
      </c>
      <c r="E11" s="39" t="s">
        <v>136</v>
      </c>
      <c r="F11" s="40"/>
      <c r="G11" s="39">
        <v>22.1</v>
      </c>
      <c r="H11" s="40"/>
      <c r="I11" s="39">
        <v>26.4</v>
      </c>
      <c r="J11" s="40"/>
      <c r="K11" s="39">
        <v>37.6</v>
      </c>
      <c r="L11" s="40"/>
      <c r="M11" s="43"/>
      <c r="N11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2:27" s="8" customFormat="1" ht="12.75">
      <c r="B12" s="39" t="s">
        <v>4</v>
      </c>
      <c r="C12" s="39"/>
      <c r="D12" s="39" t="s">
        <v>10</v>
      </c>
      <c r="E12" s="39" t="s">
        <v>136</v>
      </c>
      <c r="F12" s="40"/>
      <c r="G12" s="39">
        <v>0.075</v>
      </c>
      <c r="H12" s="40"/>
      <c r="I12" s="39">
        <v>1.41</v>
      </c>
      <c r="J12" s="40"/>
      <c r="K12" s="39">
        <v>0.198</v>
      </c>
      <c r="L12" s="40"/>
      <c r="M12" s="44"/>
      <c r="N12"/>
      <c r="O12"/>
      <c r="P12"/>
      <c r="Q12"/>
      <c r="R12"/>
      <c r="S12"/>
      <c r="T12"/>
      <c r="U12"/>
      <c r="V12"/>
      <c r="W12"/>
      <c r="X12"/>
      <c r="Y12"/>
      <c r="Z12"/>
      <c r="AA12"/>
    </row>
    <row r="13" spans="2:27" s="8" customFormat="1" ht="13.5" customHeight="1">
      <c r="B13" s="16" t="s">
        <v>211</v>
      </c>
      <c r="C13" s="39"/>
      <c r="D13" s="39" t="s">
        <v>40</v>
      </c>
      <c r="E13" s="39"/>
      <c r="F13" s="40"/>
      <c r="G13" s="45">
        <v>1.51E-05</v>
      </c>
      <c r="H13" s="46"/>
      <c r="I13" s="45">
        <v>1.26E-05</v>
      </c>
      <c r="J13" s="46"/>
      <c r="K13" s="45">
        <v>7.23E-06</v>
      </c>
      <c r="L13" s="46"/>
      <c r="M13" s="45"/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2:27" s="8" customFormat="1" ht="12.75">
      <c r="B14" s="39" t="s">
        <v>175</v>
      </c>
      <c r="C14" s="39"/>
      <c r="D14" s="39" t="s">
        <v>40</v>
      </c>
      <c r="E14" s="39"/>
      <c r="F14" s="40"/>
      <c r="G14" s="45">
        <v>9.5E-05</v>
      </c>
      <c r="H14" s="46"/>
      <c r="I14" s="45">
        <v>9.4E-05</v>
      </c>
      <c r="J14" s="46"/>
      <c r="K14" s="45">
        <v>0.000216</v>
      </c>
      <c r="L14" s="46"/>
      <c r="M14" s="45"/>
      <c r="N14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2:27" s="8" customFormat="1" ht="12.75">
      <c r="B15" s="39" t="s">
        <v>158</v>
      </c>
      <c r="C15" s="39"/>
      <c r="D15" s="39" t="s">
        <v>40</v>
      </c>
      <c r="E15" s="39"/>
      <c r="F15" s="40"/>
      <c r="G15" s="47">
        <v>2.4E-06</v>
      </c>
      <c r="H15" s="48"/>
      <c r="I15" s="47">
        <v>2.5E-06</v>
      </c>
      <c r="J15" s="48" t="s">
        <v>37</v>
      </c>
      <c r="K15" s="47">
        <v>1.9E-06</v>
      </c>
      <c r="L15" s="48"/>
      <c r="M15" s="47"/>
      <c r="N15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2:27" s="8" customFormat="1" ht="12.75">
      <c r="B16" s="39" t="s">
        <v>159</v>
      </c>
      <c r="C16" s="39"/>
      <c r="D16" s="39" t="s">
        <v>40</v>
      </c>
      <c r="E16" s="39"/>
      <c r="F16" s="40"/>
      <c r="G16" s="45">
        <v>2.01E-05</v>
      </c>
      <c r="H16" s="46"/>
      <c r="I16" s="45">
        <v>1.6E-05</v>
      </c>
      <c r="J16" s="46"/>
      <c r="K16" s="45">
        <v>1.64E-05</v>
      </c>
      <c r="L16" s="46"/>
      <c r="M16" s="45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2:27" s="8" customFormat="1" ht="12.75">
      <c r="B17" s="39" t="s">
        <v>160</v>
      </c>
      <c r="C17" s="39"/>
      <c r="D17" s="39" t="s">
        <v>40</v>
      </c>
      <c r="E17" s="39"/>
      <c r="F17" s="40"/>
      <c r="G17" s="45">
        <v>0.00166</v>
      </c>
      <c r="H17" s="46"/>
      <c r="I17" s="45">
        <v>0.00154</v>
      </c>
      <c r="J17" s="46"/>
      <c r="K17" s="45">
        <v>0.0019</v>
      </c>
      <c r="L17" s="46"/>
      <c r="M17" s="45"/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2:27" s="8" customFormat="1" ht="12.75">
      <c r="B18" s="39"/>
      <c r="C18" s="39"/>
      <c r="D18" s="39"/>
      <c r="E18" s="39"/>
      <c r="F18" s="40"/>
      <c r="G18" s="45"/>
      <c r="H18" s="46"/>
      <c r="I18" s="45"/>
      <c r="J18" s="46"/>
      <c r="K18" s="45"/>
      <c r="L18" s="46"/>
      <c r="M18" s="45"/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2:27" s="8" customFormat="1" ht="12.75">
      <c r="B19" s="16" t="s">
        <v>211</v>
      </c>
      <c r="C19" s="16" t="s">
        <v>206</v>
      </c>
      <c r="D19" s="16" t="s">
        <v>11</v>
      </c>
      <c r="E19" s="16" t="s">
        <v>34</v>
      </c>
      <c r="F19" s="40"/>
      <c r="G19" s="17">
        <f>(G13*454/(G$42*60*0.0283))*10^6*(14/(21-G$43))</f>
        <v>3.240833713282622</v>
      </c>
      <c r="H19" s="23"/>
      <c r="I19" s="17">
        <f>(I13*454/(I42*60*0.0283))*10^6*(14/(21-I43))</f>
        <v>2.636665044217021</v>
      </c>
      <c r="J19" s="23"/>
      <c r="K19" s="17">
        <f>(K13*454/(K42*60*0.0283))*10^6*(14/(21-K43))</f>
        <v>1.4418120758053645</v>
      </c>
      <c r="L19" s="23"/>
      <c r="M19" s="17">
        <f>AVERAGE(K19,I19,G19)</f>
        <v>2.4397702777683357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2:27" s="8" customFormat="1" ht="12.75">
      <c r="B20" s="16" t="s">
        <v>175</v>
      </c>
      <c r="C20" s="16" t="s">
        <v>205</v>
      </c>
      <c r="D20" s="16" t="s">
        <v>11</v>
      </c>
      <c r="E20" s="16" t="s">
        <v>34</v>
      </c>
      <c r="F20" s="40"/>
      <c r="G20" s="17">
        <f>(G14*454/(G$42*60*0.0283))*10^6*(14/(21-G$43))</f>
        <v>20.3893511762814</v>
      </c>
      <c r="H20" s="23"/>
      <c r="I20" s="17">
        <f>(I14*454/(I$42*60*0.0283))*10^6*(14/(21-I$43))</f>
        <v>19.67035826638095</v>
      </c>
      <c r="J20" s="23"/>
      <c r="K20" s="17">
        <f>(K14*454/(K$42*60*0.0283))*10^6*(14/(21-K$43))</f>
        <v>43.07488359252541</v>
      </c>
      <c r="L20" s="23"/>
      <c r="M20" s="17">
        <f>AVERAGE(K20,I20,G20)</f>
        <v>27.711531011729253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2:27" s="8" customFormat="1" ht="12.75">
      <c r="B21" s="16" t="s">
        <v>158</v>
      </c>
      <c r="C21" s="16" t="s">
        <v>205</v>
      </c>
      <c r="D21" s="16" t="s">
        <v>11</v>
      </c>
      <c r="E21" s="16" t="s">
        <v>34</v>
      </c>
      <c r="F21" s="40"/>
      <c r="G21" s="17">
        <f>(G15*454/(G$42*60*0.0283))*10^6*(14/(21-G$43))</f>
        <v>0.5150993981376354</v>
      </c>
      <c r="H21" s="23"/>
      <c r="I21" s="17">
        <f>(I15*454/(I$42*60*0.0283))*10^6*(14/(21-I$43))</f>
        <v>0.523147826233536</v>
      </c>
      <c r="J21" s="23" t="s">
        <v>37</v>
      </c>
      <c r="K21" s="17">
        <f>(K15*454/(K$42*60*0.0283))*10^6*(14/(21-K$43))</f>
        <v>0.37889943900832534</v>
      </c>
      <c r="L21" s="78">
        <f>K21/(M21*3)*100</f>
        <v>26.7367837641276</v>
      </c>
      <c r="M21" s="17">
        <f>AVERAGE(K21,I21,G21)</f>
        <v>0.4723822211264989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2:27" s="8" customFormat="1" ht="12.75">
      <c r="B22" s="16" t="s">
        <v>159</v>
      </c>
      <c r="C22" s="16" t="s">
        <v>205</v>
      </c>
      <c r="D22" s="16" t="s">
        <v>11</v>
      </c>
      <c r="E22" s="16" t="s">
        <v>34</v>
      </c>
      <c r="F22" s="40"/>
      <c r="G22" s="17">
        <f>(G16*454/(G$42*60*0.0283))*10^6*(14/(21-G$43))</f>
        <v>4.313957459402697</v>
      </c>
      <c r="H22" s="23"/>
      <c r="I22" s="17">
        <f>(I16*454/(I$42*60*0.0283))*10^6*(14/(21-I$43))</f>
        <v>3.348146087894629</v>
      </c>
      <c r="J22" s="23"/>
      <c r="K22" s="17">
        <f>(K16*454/(K$42*60*0.0283))*10^6*(14/(21-K$43))</f>
        <v>3.270500420913966</v>
      </c>
      <c r="L22" s="23"/>
      <c r="M22" s="17">
        <f>AVERAGE(K22,I22,G22)</f>
        <v>3.6442013227370977</v>
      </c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2:27" s="8" customFormat="1" ht="12.75">
      <c r="B23" s="16" t="s">
        <v>160</v>
      </c>
      <c r="C23" s="16" t="s">
        <v>205</v>
      </c>
      <c r="D23" s="16" t="s">
        <v>11</v>
      </c>
      <c r="E23" s="16" t="s">
        <v>34</v>
      </c>
      <c r="F23" s="40"/>
      <c r="G23" s="17">
        <f>(G17*454/(G$42*60*0.0283))*10^6*(14/(21-G$43))</f>
        <v>356.27708371186446</v>
      </c>
      <c r="H23" s="23"/>
      <c r="I23" s="17">
        <f>(I17*454/(I$42*60*0.0283))*10^6*(14/(21-I$43))</f>
        <v>322.2590609598581</v>
      </c>
      <c r="J23" s="23"/>
      <c r="K23" s="17">
        <f>(K17*454/(K$42*60*0.0283))*10^6*(14/(21-K$43))</f>
        <v>378.8994390083254</v>
      </c>
      <c r="L23" s="23"/>
      <c r="M23" s="17">
        <f>AVERAGE(K23,I23,G23)</f>
        <v>352.47852789334934</v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2:27" s="8" customFormat="1" ht="12.75">
      <c r="B24" s="16" t="s">
        <v>6</v>
      </c>
      <c r="C24" s="16" t="s">
        <v>205</v>
      </c>
      <c r="D24" s="16" t="s">
        <v>11</v>
      </c>
      <c r="E24" s="16" t="s">
        <v>34</v>
      </c>
      <c r="F24" s="40"/>
      <c r="G24" s="17">
        <f>(G20+G21)</f>
        <v>20.904450574419037</v>
      </c>
      <c r="H24" s="17"/>
      <c r="I24" s="17">
        <f>(I20+I21)</f>
        <v>20.193506092614488</v>
      </c>
      <c r="J24" s="78">
        <v>1</v>
      </c>
      <c r="K24" s="17">
        <f>(K20+K21)</f>
        <v>43.45378303153373</v>
      </c>
      <c r="L24" s="23">
        <f>L21*M21/M24</f>
        <v>0.5905189699135494</v>
      </c>
      <c r="M24" s="17">
        <f>AVERAGE(G24:K24)</f>
        <v>21.387934924641815</v>
      </c>
      <c r="N24"/>
      <c r="O24" t="s">
        <v>233</v>
      </c>
      <c r="P24"/>
      <c r="Q24"/>
      <c r="R24"/>
      <c r="S24"/>
      <c r="T24"/>
      <c r="U24"/>
      <c r="V24"/>
      <c r="W24"/>
      <c r="X24"/>
      <c r="Y24"/>
      <c r="Z24"/>
      <c r="AA24"/>
    </row>
    <row r="25" spans="2:27" s="8" customFormat="1" ht="12.75">
      <c r="B25" s="16" t="s">
        <v>5</v>
      </c>
      <c r="C25" s="16" t="s">
        <v>205</v>
      </c>
      <c r="D25" s="16" t="s">
        <v>11</v>
      </c>
      <c r="E25" s="16" t="s">
        <v>34</v>
      </c>
      <c r="F25" s="40"/>
      <c r="G25" s="17">
        <f>G22</f>
        <v>4.313957459402697</v>
      </c>
      <c r="H25" s="17"/>
      <c r="I25" s="17">
        <f>I22</f>
        <v>3.348146087894629</v>
      </c>
      <c r="J25" s="17"/>
      <c r="K25" s="17">
        <f>K22</f>
        <v>3.270500420913966</v>
      </c>
      <c r="L25" s="23"/>
      <c r="M25" s="17">
        <f>AVERAGE(G25:K25)</f>
        <v>3.6442013227370977</v>
      </c>
      <c r="N25"/>
      <c r="O25" t="s">
        <v>234</v>
      </c>
      <c r="P25"/>
      <c r="Q25"/>
      <c r="R25"/>
      <c r="S25"/>
      <c r="T25"/>
      <c r="U25"/>
      <c r="V25"/>
      <c r="W25"/>
      <c r="X25"/>
      <c r="Y25"/>
      <c r="Z25"/>
      <c r="AA25"/>
    </row>
    <row r="26" spans="2:27" s="8" customFormat="1" ht="12.75">
      <c r="B26" s="16"/>
      <c r="C26" s="16"/>
      <c r="D26" s="16"/>
      <c r="E26" s="16"/>
      <c r="F26" s="40"/>
      <c r="G26" s="17"/>
      <c r="H26" s="17"/>
      <c r="I26" s="17"/>
      <c r="J26" s="17"/>
      <c r="K26" s="17"/>
      <c r="L26" s="23"/>
      <c r="M26" s="17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2:27" s="8" customFormat="1" ht="12.75">
      <c r="B27" s="16" t="s">
        <v>3</v>
      </c>
      <c r="C27" s="16" t="s">
        <v>204</v>
      </c>
      <c r="D27" s="16" t="s">
        <v>10</v>
      </c>
      <c r="E27" s="16" t="s">
        <v>34</v>
      </c>
      <c r="F27" s="40"/>
      <c r="G27" s="17">
        <f>G11*(14/(21-G43))</f>
        <v>18.30769230769231</v>
      </c>
      <c r="H27" s="23"/>
      <c r="I27" s="17">
        <f>I11*(14/(21-I43))</f>
        <v>21.488372093023255</v>
      </c>
      <c r="J27" s="23"/>
      <c r="K27" s="17">
        <f>K11*(14/(21-K43))</f>
        <v>30.427745664739884</v>
      </c>
      <c r="L27" s="23"/>
      <c r="M27" s="17">
        <f>AVERAGE(K27,I27,G27)</f>
        <v>23.40793668848515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2:27" s="8" customFormat="1" ht="12.75">
      <c r="B28" s="16" t="s">
        <v>4</v>
      </c>
      <c r="C28" s="16" t="s">
        <v>204</v>
      </c>
      <c r="D28" s="16" t="s">
        <v>10</v>
      </c>
      <c r="E28" s="16" t="s">
        <v>34</v>
      </c>
      <c r="F28" s="40"/>
      <c r="G28" s="17">
        <f>G12*(14/(21-G43))</f>
        <v>0.062130177514792904</v>
      </c>
      <c r="H28" s="23"/>
      <c r="I28" s="17">
        <f>I12*(14/(21-I43))</f>
        <v>1.147674418604651</v>
      </c>
      <c r="J28" s="23"/>
      <c r="K28" s="17">
        <f>K12*(14/(21-K43))</f>
        <v>0.16023121387283237</v>
      </c>
      <c r="L28" s="23"/>
      <c r="M28" s="17">
        <f>AVERAGE(K28,I28,G28)</f>
        <v>0.45667860333075877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2:27" s="8" customFormat="1" ht="12.75">
      <c r="B29" s="16" t="s">
        <v>176</v>
      </c>
      <c r="C29" s="16" t="s">
        <v>204</v>
      </c>
      <c r="D29" s="16" t="s">
        <v>10</v>
      </c>
      <c r="E29" s="16" t="s">
        <v>34</v>
      </c>
      <c r="F29" s="40"/>
      <c r="G29" s="17">
        <f>2*G28+G27</f>
        <v>18.431952662721898</v>
      </c>
      <c r="H29" s="23"/>
      <c r="I29" s="17">
        <f>2*I28+I27</f>
        <v>23.78372093023256</v>
      </c>
      <c r="J29" s="23"/>
      <c r="K29" s="17">
        <f>2*K28+K27</f>
        <v>30.748208092485548</v>
      </c>
      <c r="L29" s="23"/>
      <c r="M29" s="17">
        <f>AVERAGE(K29,I29,G29)</f>
        <v>24.321293895146667</v>
      </c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2:27" s="8" customFormat="1" ht="12.75">
      <c r="B30" s="39"/>
      <c r="C30" s="39"/>
      <c r="D30" s="39"/>
      <c r="E30" s="39"/>
      <c r="F30" s="40"/>
      <c r="G30" s="39"/>
      <c r="H30" s="40"/>
      <c r="I30" s="39"/>
      <c r="J30" s="40"/>
      <c r="K30" s="39"/>
      <c r="L30" s="40"/>
      <c r="M30" s="44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2:27" s="8" customFormat="1" ht="12.75">
      <c r="B31" s="16" t="s">
        <v>171</v>
      </c>
      <c r="C31" s="16" t="s">
        <v>170</v>
      </c>
      <c r="D31" s="39"/>
      <c r="E31" s="39"/>
      <c r="F31" s="40"/>
      <c r="G31" s="39"/>
      <c r="H31" s="40"/>
      <c r="I31" s="39"/>
      <c r="J31" s="40"/>
      <c r="K31" s="39"/>
      <c r="L31" s="40"/>
      <c r="M31" s="44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2:27" s="8" customFormat="1" ht="12.75">
      <c r="B32" s="16" t="s">
        <v>166</v>
      </c>
      <c r="C32" s="16"/>
      <c r="D32" s="39" t="s">
        <v>40</v>
      </c>
      <c r="E32" s="39"/>
      <c r="F32" s="40"/>
      <c r="G32" s="39">
        <v>2.88</v>
      </c>
      <c r="H32" s="40"/>
      <c r="I32" s="39">
        <v>2.84</v>
      </c>
      <c r="J32" s="40"/>
      <c r="K32" s="39">
        <v>2.88</v>
      </c>
      <c r="L32" s="40"/>
      <c r="M32" s="44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2:27" s="8" customFormat="1" ht="12.75">
      <c r="B33" s="16" t="s">
        <v>167</v>
      </c>
      <c r="C33" s="16" t="s">
        <v>207</v>
      </c>
      <c r="D33" s="39" t="s">
        <v>40</v>
      </c>
      <c r="E33" s="39"/>
      <c r="F33" s="40" t="s">
        <v>37</v>
      </c>
      <c r="G33" s="41">
        <v>5.65E-06</v>
      </c>
      <c r="H33" s="40" t="s">
        <v>37</v>
      </c>
      <c r="I33" s="41">
        <v>5.78E-06</v>
      </c>
      <c r="J33" s="40" t="s">
        <v>37</v>
      </c>
      <c r="K33" s="41">
        <v>5.47E-06</v>
      </c>
      <c r="L33" s="40"/>
      <c r="M33" s="44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2:27" s="8" customFormat="1" ht="12.75">
      <c r="B34" s="16" t="s">
        <v>7</v>
      </c>
      <c r="C34" s="16" t="s">
        <v>207</v>
      </c>
      <c r="D34" s="39" t="s">
        <v>15</v>
      </c>
      <c r="E34" s="39"/>
      <c r="F34" s="40" t="s">
        <v>38</v>
      </c>
      <c r="G34" s="39">
        <v>99.999</v>
      </c>
      <c r="H34" s="40" t="s">
        <v>38</v>
      </c>
      <c r="I34" s="39">
        <v>99.999</v>
      </c>
      <c r="J34" s="40" t="s">
        <v>38</v>
      </c>
      <c r="K34" s="39">
        <v>99.999</v>
      </c>
      <c r="L34" s="40"/>
      <c r="M34" s="4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2:27" s="8" customFormat="1" ht="12.75">
      <c r="B35" s="16"/>
      <c r="C35" s="16"/>
      <c r="D35" s="39"/>
      <c r="E35" s="39"/>
      <c r="F35" s="40"/>
      <c r="G35" s="39"/>
      <c r="H35" s="40"/>
      <c r="I35" s="39"/>
      <c r="J35" s="40"/>
      <c r="K35" s="39"/>
      <c r="L35" s="40"/>
      <c r="M35" s="44"/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2:27" s="8" customFormat="1" ht="12.75">
      <c r="B36" s="16" t="s">
        <v>171</v>
      </c>
      <c r="C36" s="16" t="s">
        <v>172</v>
      </c>
      <c r="D36" s="39"/>
      <c r="E36" s="39"/>
      <c r="F36" s="40"/>
      <c r="G36" s="39"/>
      <c r="H36" s="40"/>
      <c r="I36" s="39"/>
      <c r="J36" s="40"/>
      <c r="K36" s="39"/>
      <c r="L36" s="40"/>
      <c r="M36" s="44"/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2:27" s="8" customFormat="1" ht="12.75">
      <c r="B37" s="16" t="s">
        <v>166</v>
      </c>
      <c r="C37" s="16"/>
      <c r="D37" s="39" t="s">
        <v>40</v>
      </c>
      <c r="E37" s="39"/>
      <c r="F37" s="40"/>
      <c r="G37" s="39">
        <v>2.8</v>
      </c>
      <c r="H37" s="40"/>
      <c r="I37" s="39">
        <v>2.79</v>
      </c>
      <c r="J37" s="40"/>
      <c r="K37" s="39">
        <v>2.82</v>
      </c>
      <c r="L37" s="40"/>
      <c r="M37" s="44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2:27" s="8" customFormat="1" ht="12.75">
      <c r="B38" s="16" t="s">
        <v>167</v>
      </c>
      <c r="C38" s="16" t="s">
        <v>207</v>
      </c>
      <c r="D38" s="39" t="s">
        <v>40</v>
      </c>
      <c r="E38" s="39"/>
      <c r="F38" s="40" t="s">
        <v>37</v>
      </c>
      <c r="G38" s="41">
        <v>1.34E-05</v>
      </c>
      <c r="H38" s="40" t="s">
        <v>37</v>
      </c>
      <c r="I38" s="41">
        <v>1.63E-05</v>
      </c>
      <c r="J38" s="40" t="s">
        <v>37</v>
      </c>
      <c r="K38" s="41">
        <v>1.91E-05</v>
      </c>
      <c r="L38" s="40"/>
      <c r="M38" s="44"/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2:27" s="8" customFormat="1" ht="12.75">
      <c r="B39" s="39" t="s">
        <v>7</v>
      </c>
      <c r="C39" s="39" t="s">
        <v>207</v>
      </c>
      <c r="D39" s="39" t="s">
        <v>15</v>
      </c>
      <c r="E39" s="39"/>
      <c r="F39" s="40" t="s">
        <v>38</v>
      </c>
      <c r="G39" s="39">
        <v>99.999</v>
      </c>
      <c r="H39" s="40" t="s">
        <v>38</v>
      </c>
      <c r="I39" s="39">
        <v>99.999</v>
      </c>
      <c r="J39" s="40" t="s">
        <v>38</v>
      </c>
      <c r="K39" s="39">
        <v>99.999</v>
      </c>
      <c r="L39" s="40"/>
      <c r="M39" s="44"/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2:27" s="8" customFormat="1" ht="12.75">
      <c r="B40" s="39"/>
      <c r="C40" s="39"/>
      <c r="D40" s="39"/>
      <c r="E40" s="39"/>
      <c r="F40" s="40"/>
      <c r="G40" s="39"/>
      <c r="H40" s="40"/>
      <c r="I40" s="39"/>
      <c r="J40" s="40"/>
      <c r="K40" s="39"/>
      <c r="L40" s="40"/>
      <c r="M40" s="44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2:27" s="8" customFormat="1" ht="12.75" customHeight="1">
      <c r="B41" s="39" t="s">
        <v>177</v>
      </c>
      <c r="C41" s="39" t="s">
        <v>163</v>
      </c>
      <c r="D41" s="39" t="s">
        <v>204</v>
      </c>
      <c r="E41" s="39"/>
      <c r="F41" s="40"/>
      <c r="G41" s="39"/>
      <c r="H41" s="40"/>
      <c r="I41" s="39"/>
      <c r="J41" s="40"/>
      <c r="K41" s="39"/>
      <c r="L41" s="40"/>
      <c r="M41" s="39"/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2:27" s="8" customFormat="1" ht="12" customHeight="1">
      <c r="B42" s="39" t="s">
        <v>35</v>
      </c>
      <c r="C42" s="39"/>
      <c r="D42" s="39" t="s">
        <v>14</v>
      </c>
      <c r="E42" s="39"/>
      <c r="F42" s="40"/>
      <c r="G42" s="39">
        <v>1032</v>
      </c>
      <c r="H42" s="40"/>
      <c r="I42" s="39">
        <v>1040</v>
      </c>
      <c r="J42" s="40"/>
      <c r="K42" s="39">
        <v>1085</v>
      </c>
      <c r="L42" s="40"/>
      <c r="M42" s="42">
        <f>AVERAGE(G42,I42,K42)</f>
        <v>1052.3333333333333</v>
      </c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2:27" s="8" customFormat="1" ht="12.75">
      <c r="B43" s="39" t="s">
        <v>168</v>
      </c>
      <c r="C43" s="39"/>
      <c r="D43" s="39" t="s">
        <v>15</v>
      </c>
      <c r="E43" s="39"/>
      <c r="F43" s="40"/>
      <c r="G43" s="39">
        <v>4.1</v>
      </c>
      <c r="H43" s="40"/>
      <c r="I43" s="39">
        <v>3.8</v>
      </c>
      <c r="J43" s="40"/>
      <c r="K43" s="39">
        <v>3.7</v>
      </c>
      <c r="L43" s="40"/>
      <c r="M43" s="43">
        <f>AVERAGE(G43,I43,K43)</f>
        <v>3.8666666666666667</v>
      </c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2:27" s="8" customFormat="1" ht="12.75">
      <c r="B44" s="39" t="s">
        <v>169</v>
      </c>
      <c r="C44" s="39"/>
      <c r="D44" s="39" t="s">
        <v>15</v>
      </c>
      <c r="E44" s="39"/>
      <c r="F44" s="40"/>
      <c r="G44" s="39">
        <v>4.8</v>
      </c>
      <c r="H44" s="40"/>
      <c r="I44" s="39">
        <v>4.7</v>
      </c>
      <c r="J44" s="40"/>
      <c r="K44" s="39">
        <v>4.3</v>
      </c>
      <c r="L44" s="40"/>
      <c r="M44" s="43">
        <f>AVERAGE(G44,I44,K44)</f>
        <v>4.6000000000000005</v>
      </c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2:27" s="8" customFormat="1" ht="12.75">
      <c r="B45" s="39" t="s">
        <v>36</v>
      </c>
      <c r="C45" s="39"/>
      <c r="D45" s="39" t="s">
        <v>16</v>
      </c>
      <c r="E45" s="39"/>
      <c r="F45" s="40"/>
      <c r="G45" s="39">
        <v>158</v>
      </c>
      <c r="H45" s="40"/>
      <c r="I45" s="39">
        <v>157</v>
      </c>
      <c r="J45" s="40"/>
      <c r="K45" s="39">
        <v>146</v>
      </c>
      <c r="L45" s="40"/>
      <c r="M45" s="42">
        <f>AVERAGE(G45,I45,K45)</f>
        <v>153.66666666666666</v>
      </c>
      <c r="N45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2:27" s="8" customFormat="1" ht="13.5" customHeight="1">
      <c r="B46" s="39"/>
      <c r="C46" s="39"/>
      <c r="D46" s="39"/>
      <c r="E46" s="39"/>
      <c r="F46" s="40"/>
      <c r="G46" s="39"/>
      <c r="H46" s="40"/>
      <c r="I46" s="39"/>
      <c r="J46" s="40"/>
      <c r="K46" s="39"/>
      <c r="L46" s="40"/>
      <c r="M46" s="42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2:27" s="8" customFormat="1" ht="13.5" customHeight="1">
      <c r="B47" s="39" t="s">
        <v>177</v>
      </c>
      <c r="C47" s="39" t="s">
        <v>164</v>
      </c>
      <c r="D47" s="39" t="s">
        <v>205</v>
      </c>
      <c r="E47" s="39"/>
      <c r="F47" s="40"/>
      <c r="G47" s="39"/>
      <c r="H47" s="40"/>
      <c r="I47" s="39"/>
      <c r="J47" s="40"/>
      <c r="K47" s="39"/>
      <c r="L47" s="40"/>
      <c r="M47" s="39"/>
      <c r="N47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2:27" s="8" customFormat="1" ht="13.5" customHeight="1">
      <c r="B48" s="39" t="s">
        <v>35</v>
      </c>
      <c r="C48" s="39"/>
      <c r="D48" s="39" t="s">
        <v>14</v>
      </c>
      <c r="E48" s="39"/>
      <c r="F48" s="40"/>
      <c r="G48" s="39">
        <v>1043</v>
      </c>
      <c r="H48" s="40"/>
      <c r="I48" s="39">
        <v>1037</v>
      </c>
      <c r="J48" s="40"/>
      <c r="K48" s="39">
        <v>1050</v>
      </c>
      <c r="L48" s="40"/>
      <c r="M48" s="42">
        <f>AVERAGE(G48,I48,K48)</f>
        <v>1043.3333333333333</v>
      </c>
      <c r="N48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2:27" s="8" customFormat="1" ht="13.5" customHeight="1">
      <c r="B49" s="39" t="s">
        <v>168</v>
      </c>
      <c r="C49" s="39"/>
      <c r="D49" s="39" t="s">
        <v>15</v>
      </c>
      <c r="E49" s="39"/>
      <c r="F49" s="40"/>
      <c r="G49" s="39">
        <v>4.1</v>
      </c>
      <c r="H49" s="40"/>
      <c r="I49" s="39">
        <v>3.8</v>
      </c>
      <c r="J49" s="40"/>
      <c r="K49" s="39">
        <v>3.7</v>
      </c>
      <c r="L49" s="40"/>
      <c r="M49" s="43">
        <f>AVERAGE(G49,I49,K49)</f>
        <v>3.8666666666666667</v>
      </c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2:27" s="8" customFormat="1" ht="13.5" customHeight="1">
      <c r="B50" s="39" t="s">
        <v>169</v>
      </c>
      <c r="C50" s="39"/>
      <c r="D50" s="39" t="s">
        <v>15</v>
      </c>
      <c r="E50" s="39"/>
      <c r="F50" s="40"/>
      <c r="G50" s="39">
        <v>4.6</v>
      </c>
      <c r="H50" s="40"/>
      <c r="I50" s="39">
        <v>4.4</v>
      </c>
      <c r="J50" s="40"/>
      <c r="K50" s="39">
        <v>4.1</v>
      </c>
      <c r="L50" s="40"/>
      <c r="M50" s="43">
        <f>AVERAGE(G50,I50,K50)</f>
        <v>4.366666666666666</v>
      </c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2:27" s="8" customFormat="1" ht="13.5" customHeight="1">
      <c r="B51" s="39" t="s">
        <v>36</v>
      </c>
      <c r="C51" s="39"/>
      <c r="D51" s="39" t="s">
        <v>16</v>
      </c>
      <c r="E51" s="39"/>
      <c r="F51" s="40"/>
      <c r="G51" s="39">
        <v>159</v>
      </c>
      <c r="H51" s="40"/>
      <c r="I51" s="39">
        <v>153</v>
      </c>
      <c r="J51" s="40"/>
      <c r="K51" s="39">
        <v>147</v>
      </c>
      <c r="L51" s="40"/>
      <c r="M51" s="42">
        <f>AVERAGE(G51,I51,K51)</f>
        <v>153</v>
      </c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2:27" s="8" customFormat="1" ht="13.5" customHeight="1">
      <c r="B52" s="39"/>
      <c r="C52" s="39"/>
      <c r="D52" s="39"/>
      <c r="E52" s="39"/>
      <c r="F52" s="40"/>
      <c r="G52" s="39"/>
      <c r="H52" s="40"/>
      <c r="I52" s="39"/>
      <c r="J52" s="40"/>
      <c r="K52" s="39"/>
      <c r="L52" s="40"/>
      <c r="M52" s="39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2:27" s="8" customFormat="1" ht="13.5" customHeight="1">
      <c r="B53" s="39" t="s">
        <v>177</v>
      </c>
      <c r="C53" s="39" t="s">
        <v>165</v>
      </c>
      <c r="D53" s="39" t="s">
        <v>206</v>
      </c>
      <c r="E53" s="39"/>
      <c r="F53" s="40"/>
      <c r="G53" s="39"/>
      <c r="H53" s="40"/>
      <c r="I53" s="39"/>
      <c r="J53" s="40"/>
      <c r="K53" s="39"/>
      <c r="L53" s="40"/>
      <c r="M53" s="39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2:27" s="8" customFormat="1" ht="13.5" customHeight="1">
      <c r="B54" s="39" t="s">
        <v>35</v>
      </c>
      <c r="C54" s="39"/>
      <c r="D54" s="39" t="s">
        <v>14</v>
      </c>
      <c r="E54" s="39"/>
      <c r="F54" s="40"/>
      <c r="G54" s="39">
        <v>1082</v>
      </c>
      <c r="H54" s="40"/>
      <c r="I54" s="39">
        <v>1077</v>
      </c>
      <c r="J54" s="40"/>
      <c r="K54" s="39">
        <v>1052</v>
      </c>
      <c r="L54" s="40"/>
      <c r="M54" s="42">
        <f>AVERAGE(G54,I54,K54)</f>
        <v>1070.3333333333333</v>
      </c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2:27" s="8" customFormat="1" ht="13.5" customHeight="1">
      <c r="B55" s="39" t="s">
        <v>168</v>
      </c>
      <c r="C55" s="39"/>
      <c r="D55" s="39" t="s">
        <v>15</v>
      </c>
      <c r="E55" s="39"/>
      <c r="F55" s="40"/>
      <c r="G55" s="39">
        <v>4.1</v>
      </c>
      <c r="H55" s="40"/>
      <c r="I55" s="39">
        <v>3.8</v>
      </c>
      <c r="J55" s="40"/>
      <c r="K55" s="39">
        <v>3.7</v>
      </c>
      <c r="L55" s="40"/>
      <c r="M55" s="43">
        <f>AVERAGE(G55,I55,K55)</f>
        <v>3.8666666666666667</v>
      </c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2:27" s="8" customFormat="1" ht="13.5" customHeight="1">
      <c r="B56" s="39" t="s">
        <v>169</v>
      </c>
      <c r="C56" s="39"/>
      <c r="D56" s="39" t="s">
        <v>15</v>
      </c>
      <c r="E56" s="39"/>
      <c r="F56" s="40"/>
      <c r="G56" s="39">
        <v>4.1</v>
      </c>
      <c r="H56" s="40"/>
      <c r="I56" s="39">
        <v>4.6</v>
      </c>
      <c r="J56" s="40"/>
      <c r="K56" s="39">
        <v>4.2</v>
      </c>
      <c r="L56" s="40"/>
      <c r="M56" s="43">
        <f>AVERAGE(G56,I56,K56)</f>
        <v>4.3</v>
      </c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2:27" s="8" customFormat="1" ht="13.5" customHeight="1">
      <c r="B57" s="39" t="s">
        <v>36</v>
      </c>
      <c r="C57" s="39"/>
      <c r="D57" s="39" t="s">
        <v>16</v>
      </c>
      <c r="E57" s="39"/>
      <c r="F57" s="40"/>
      <c r="G57" s="39">
        <v>158</v>
      </c>
      <c r="H57" s="40"/>
      <c r="I57" s="39">
        <v>160</v>
      </c>
      <c r="J57" s="40"/>
      <c r="K57" s="39">
        <v>145</v>
      </c>
      <c r="L57" s="40"/>
      <c r="M57" s="42">
        <f>AVERAGE(G57,I57,K57)</f>
        <v>154.33333333333334</v>
      </c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2:27" s="8" customFormat="1" ht="13.5" customHeight="1">
      <c r="B58" s="39"/>
      <c r="C58" s="39"/>
      <c r="D58" s="39"/>
      <c r="E58" s="39"/>
      <c r="F58" s="40"/>
      <c r="G58" s="39"/>
      <c r="H58" s="40"/>
      <c r="I58" s="39"/>
      <c r="J58" s="40"/>
      <c r="K58" s="39"/>
      <c r="L58" s="40"/>
      <c r="M58" s="42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2:27" s="8" customFormat="1" ht="13.5" customHeight="1">
      <c r="B59" s="39" t="s">
        <v>177</v>
      </c>
      <c r="C59" s="39" t="s">
        <v>115</v>
      </c>
      <c r="D59" s="39" t="s">
        <v>207</v>
      </c>
      <c r="E59" s="39"/>
      <c r="F59" s="40"/>
      <c r="G59" s="39"/>
      <c r="H59" s="40"/>
      <c r="I59" s="39"/>
      <c r="J59" s="40"/>
      <c r="K59" s="39"/>
      <c r="L59" s="40"/>
      <c r="M59" s="42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2:27" s="8" customFormat="1" ht="13.5" customHeight="1">
      <c r="B60" s="39" t="s">
        <v>35</v>
      </c>
      <c r="C60" s="39"/>
      <c r="D60" s="39" t="s">
        <v>14</v>
      </c>
      <c r="E60" s="39"/>
      <c r="F60" s="40"/>
      <c r="G60" s="39">
        <v>1157</v>
      </c>
      <c r="H60" s="40"/>
      <c r="I60" s="39">
        <v>1068</v>
      </c>
      <c r="J60" s="40"/>
      <c r="K60" s="39">
        <v>1110</v>
      </c>
      <c r="L60" s="40"/>
      <c r="M60" s="42">
        <v>1112</v>
      </c>
      <c r="N60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2:27" s="8" customFormat="1" ht="13.5" customHeight="1">
      <c r="B61" s="39" t="s">
        <v>168</v>
      </c>
      <c r="C61" s="39"/>
      <c r="D61" s="39" t="s">
        <v>15</v>
      </c>
      <c r="E61" s="39"/>
      <c r="F61" s="40"/>
      <c r="G61" s="39">
        <v>4.1</v>
      </c>
      <c r="H61" s="40"/>
      <c r="I61" s="39">
        <v>3.8</v>
      </c>
      <c r="J61" s="40"/>
      <c r="K61" s="39">
        <v>3.7</v>
      </c>
      <c r="L61" s="40"/>
      <c r="M61" s="42">
        <v>3.9</v>
      </c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2:27" s="8" customFormat="1" ht="13.5" customHeight="1">
      <c r="B62" s="39" t="s">
        <v>169</v>
      </c>
      <c r="C62" s="39"/>
      <c r="D62" s="39" t="s">
        <v>15</v>
      </c>
      <c r="E62" s="39"/>
      <c r="F62" s="40"/>
      <c r="G62" s="39">
        <v>4.1</v>
      </c>
      <c r="H62" s="40"/>
      <c r="I62" s="39">
        <v>3.9</v>
      </c>
      <c r="J62" s="40"/>
      <c r="K62" s="39">
        <v>3.6</v>
      </c>
      <c r="L62" s="40"/>
      <c r="M62" s="42">
        <v>3.9</v>
      </c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2:27" s="8" customFormat="1" ht="13.5" customHeight="1">
      <c r="B63" s="39" t="s">
        <v>36</v>
      </c>
      <c r="C63" s="39"/>
      <c r="D63" s="39" t="s">
        <v>16</v>
      </c>
      <c r="E63" s="39"/>
      <c r="F63" s="40"/>
      <c r="G63" s="39">
        <v>157</v>
      </c>
      <c r="H63" s="40"/>
      <c r="I63" s="39">
        <v>152</v>
      </c>
      <c r="J63" s="40"/>
      <c r="K63" s="39">
        <v>145</v>
      </c>
      <c r="L63" s="40"/>
      <c r="M63" s="42">
        <v>151</v>
      </c>
      <c r="N63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2:27" s="8" customFormat="1" ht="13.5" customHeight="1">
      <c r="B64" s="39"/>
      <c r="C64" s="39"/>
      <c r="D64" s="39"/>
      <c r="E64" s="39"/>
      <c r="F64" s="40"/>
      <c r="G64" s="39"/>
      <c r="H64" s="40"/>
      <c r="I64" s="39"/>
      <c r="J64" s="40"/>
      <c r="K64" s="39"/>
      <c r="L64" s="40"/>
      <c r="M64" s="42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2:27" s="8" customFormat="1" ht="13.5" customHeight="1">
      <c r="B65" s="39"/>
      <c r="C65" s="39"/>
      <c r="D65" s="39"/>
      <c r="E65" s="39"/>
      <c r="F65" s="40"/>
      <c r="G65" s="39"/>
      <c r="H65" s="40"/>
      <c r="I65" s="39"/>
      <c r="J65" s="40"/>
      <c r="K65" s="39"/>
      <c r="L65" s="40"/>
      <c r="M65" s="42"/>
      <c r="N65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1:27" s="8" customFormat="1" ht="12.75">
      <c r="A66" s="8">
        <v>2</v>
      </c>
      <c r="B66" s="38" t="s">
        <v>95</v>
      </c>
      <c r="C66" s="38" t="s">
        <v>162</v>
      </c>
      <c r="D66" s="39"/>
      <c r="E66" s="39"/>
      <c r="F66" s="40"/>
      <c r="G66" s="40" t="s">
        <v>208</v>
      </c>
      <c r="H66" s="40"/>
      <c r="I66" s="40" t="s">
        <v>209</v>
      </c>
      <c r="J66" s="40"/>
      <c r="K66" s="40" t="s">
        <v>210</v>
      </c>
      <c r="L66" s="40"/>
      <c r="M66" s="40" t="s">
        <v>33</v>
      </c>
      <c r="N66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2:27" s="8" customFormat="1" ht="12.75">
      <c r="B67" s="39"/>
      <c r="C67" s="39"/>
      <c r="D67" s="39"/>
      <c r="E67" s="39"/>
      <c r="F67" s="40"/>
      <c r="G67" s="40"/>
      <c r="H67" s="40"/>
      <c r="I67" s="40"/>
      <c r="J67" s="40"/>
      <c r="K67" s="40"/>
      <c r="L67" s="40"/>
      <c r="M67" s="39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2:27" s="8" customFormat="1" ht="12.75">
      <c r="B68" s="39" t="s">
        <v>174</v>
      </c>
      <c r="C68" s="39" t="s">
        <v>204</v>
      </c>
      <c r="D68" s="39" t="s">
        <v>10</v>
      </c>
      <c r="E68" s="39" t="s">
        <v>34</v>
      </c>
      <c r="F68" s="40"/>
      <c r="G68" s="39">
        <v>9</v>
      </c>
      <c r="H68" s="40"/>
      <c r="I68" s="39">
        <v>9</v>
      </c>
      <c r="J68" s="40"/>
      <c r="K68" s="39">
        <v>9</v>
      </c>
      <c r="L68" s="40"/>
      <c r="M68" s="42">
        <f>AVERAGE(G68,I68,K68)</f>
        <v>9</v>
      </c>
      <c r="N68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2:27" s="8" customFormat="1" ht="12.75">
      <c r="B69" s="39" t="s">
        <v>173</v>
      </c>
      <c r="C69" s="39" t="s">
        <v>204</v>
      </c>
      <c r="D69" s="39" t="s">
        <v>10</v>
      </c>
      <c r="E69" s="39" t="s">
        <v>34</v>
      </c>
      <c r="F69" s="40"/>
      <c r="G69" s="39">
        <v>0.1</v>
      </c>
      <c r="H69" s="40"/>
      <c r="I69" s="39">
        <v>0.1</v>
      </c>
      <c r="J69" s="40"/>
      <c r="K69" s="39">
        <v>0.1</v>
      </c>
      <c r="L69" s="40"/>
      <c r="M69" s="43">
        <v>0.1</v>
      </c>
      <c r="N69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2:27" s="8" customFormat="1" ht="12.75">
      <c r="B70" s="39"/>
      <c r="C70" s="39"/>
      <c r="D70" s="39"/>
      <c r="E70" s="39"/>
      <c r="F70" s="40"/>
      <c r="G70" s="39"/>
      <c r="H70" s="40"/>
      <c r="I70" s="39"/>
      <c r="J70" s="40"/>
      <c r="K70" s="39"/>
      <c r="L70" s="40"/>
      <c r="M70" s="42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2:27" s="8" customFormat="1" ht="12.75">
      <c r="B71" s="39" t="s">
        <v>171</v>
      </c>
      <c r="C71" s="39" t="s">
        <v>170</v>
      </c>
      <c r="D71" s="39"/>
      <c r="E71" s="39"/>
      <c r="F71" s="40"/>
      <c r="G71" s="39"/>
      <c r="H71" s="40"/>
      <c r="I71" s="39"/>
      <c r="J71" s="40"/>
      <c r="K71" s="39"/>
      <c r="L71" s="40"/>
      <c r="M71" s="42"/>
      <c r="N71"/>
      <c r="O71"/>
      <c r="P71"/>
      <c r="Q71"/>
      <c r="R71"/>
      <c r="S71"/>
      <c r="T71"/>
      <c r="U71"/>
      <c r="V71"/>
      <c r="W71"/>
      <c r="X71"/>
      <c r="Y71"/>
      <c r="Z71"/>
      <c r="AA71"/>
    </row>
    <row r="72" spans="2:27" s="8" customFormat="1" ht="12.75">
      <c r="B72" s="39" t="s">
        <v>166</v>
      </c>
      <c r="C72" s="39"/>
      <c r="D72" s="39" t="s">
        <v>40</v>
      </c>
      <c r="E72" s="39"/>
      <c r="F72" s="40"/>
      <c r="G72" s="39">
        <v>2.8</v>
      </c>
      <c r="H72" s="40"/>
      <c r="I72" s="39">
        <v>2.8</v>
      </c>
      <c r="J72" s="40"/>
      <c r="K72" s="39">
        <v>2.8</v>
      </c>
      <c r="L72" s="40"/>
      <c r="M72" s="42"/>
      <c r="N72"/>
      <c r="O72"/>
      <c r="P72"/>
      <c r="Q72"/>
      <c r="R72"/>
      <c r="S72"/>
      <c r="T72"/>
      <c r="U72"/>
      <c r="V72"/>
      <c r="W72"/>
      <c r="X72"/>
      <c r="Y72"/>
      <c r="Z72"/>
      <c r="AA72"/>
    </row>
    <row r="73" spans="2:27" s="8" customFormat="1" ht="12.75">
      <c r="B73" s="39" t="s">
        <v>167</v>
      </c>
      <c r="C73" s="39" t="s">
        <v>204</v>
      </c>
      <c r="D73" s="39" t="s">
        <v>40</v>
      </c>
      <c r="E73" s="39"/>
      <c r="F73" s="40" t="s">
        <v>37</v>
      </c>
      <c r="G73" s="41">
        <v>3.91E-06</v>
      </c>
      <c r="H73" s="40" t="s">
        <v>37</v>
      </c>
      <c r="I73" s="41">
        <v>4.14E-06</v>
      </c>
      <c r="J73" s="40" t="s">
        <v>37</v>
      </c>
      <c r="K73" s="41">
        <v>3.96E-06</v>
      </c>
      <c r="L73" s="40"/>
      <c r="M73" s="42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2:27" s="8" customFormat="1" ht="12.75">
      <c r="B74" s="39" t="s">
        <v>7</v>
      </c>
      <c r="C74" s="39" t="s">
        <v>204</v>
      </c>
      <c r="D74" s="39" t="s">
        <v>15</v>
      </c>
      <c r="E74" s="39"/>
      <c r="F74" s="40" t="s">
        <v>38</v>
      </c>
      <c r="G74" s="39">
        <v>99.999</v>
      </c>
      <c r="H74" s="40" t="s">
        <v>38</v>
      </c>
      <c r="I74" s="39">
        <v>99.999</v>
      </c>
      <c r="J74" s="40" t="s">
        <v>38</v>
      </c>
      <c r="K74" s="39">
        <v>99.999</v>
      </c>
      <c r="L74" s="40"/>
      <c r="M74" s="42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2:27" s="8" customFormat="1" ht="12.75">
      <c r="B75" s="39"/>
      <c r="C75" s="39"/>
      <c r="D75" s="39"/>
      <c r="E75" s="39"/>
      <c r="F75" s="40"/>
      <c r="G75" s="39"/>
      <c r="H75" s="40"/>
      <c r="I75" s="39"/>
      <c r="J75" s="40"/>
      <c r="K75" s="39"/>
      <c r="L75" s="40"/>
      <c r="M75" s="42"/>
      <c r="N7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2:27" s="8" customFormat="1" ht="12.75">
      <c r="B76" s="39" t="s">
        <v>171</v>
      </c>
      <c r="C76" s="39" t="s">
        <v>172</v>
      </c>
      <c r="D76" s="39"/>
      <c r="E76" s="39"/>
      <c r="F76" s="40"/>
      <c r="G76" s="39"/>
      <c r="H76" s="40"/>
      <c r="I76" s="39"/>
      <c r="J76" s="40"/>
      <c r="K76" s="39"/>
      <c r="L76" s="40"/>
      <c r="M76" s="42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2:27" s="8" customFormat="1" ht="12.75">
      <c r="B77" s="39" t="s">
        <v>166</v>
      </c>
      <c r="C77" s="39"/>
      <c r="D77" s="39" t="s">
        <v>40</v>
      </c>
      <c r="E77" s="39"/>
      <c r="F77" s="40"/>
      <c r="G77" s="39">
        <v>2.68</v>
      </c>
      <c r="H77" s="40"/>
      <c r="I77" s="39">
        <v>2.67</v>
      </c>
      <c r="J77" s="40"/>
      <c r="K77" s="39">
        <v>2.64</v>
      </c>
      <c r="L77" s="40"/>
      <c r="M77" s="42"/>
      <c r="N77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2:27" s="8" customFormat="1" ht="12.75">
      <c r="B78" s="39" t="s">
        <v>167</v>
      </c>
      <c r="C78" s="39" t="s">
        <v>204</v>
      </c>
      <c r="D78" s="39" t="s">
        <v>40</v>
      </c>
      <c r="E78" s="39"/>
      <c r="F78" s="40" t="s">
        <v>37</v>
      </c>
      <c r="G78" s="41">
        <v>1.19E-05</v>
      </c>
      <c r="H78" s="40" t="s">
        <v>37</v>
      </c>
      <c r="I78" s="41">
        <v>1.36E-05</v>
      </c>
      <c r="J78" s="40" t="s">
        <v>37</v>
      </c>
      <c r="K78" s="41">
        <v>3.9E-05</v>
      </c>
      <c r="L78" s="40"/>
      <c r="M78" s="42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2:27" s="8" customFormat="1" ht="12.75">
      <c r="B79" s="39" t="s">
        <v>7</v>
      </c>
      <c r="C79" s="39" t="s">
        <v>204</v>
      </c>
      <c r="D79" s="39" t="s">
        <v>15</v>
      </c>
      <c r="E79" s="39"/>
      <c r="F79" s="40" t="s">
        <v>38</v>
      </c>
      <c r="G79" s="39">
        <v>99.999</v>
      </c>
      <c r="H79" s="40" t="s">
        <v>38</v>
      </c>
      <c r="I79" s="39">
        <v>99.999</v>
      </c>
      <c r="J79" s="40" t="s">
        <v>38</v>
      </c>
      <c r="K79" s="39">
        <v>99.999</v>
      </c>
      <c r="L79" s="40"/>
      <c r="M79" s="42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2:27" s="8" customFormat="1" ht="12.75">
      <c r="B80" s="39"/>
      <c r="C80" s="39"/>
      <c r="D80" s="39"/>
      <c r="E80" s="39"/>
      <c r="F80" s="40"/>
      <c r="G80" s="39"/>
      <c r="H80" s="40"/>
      <c r="I80" s="39"/>
      <c r="J80" s="40"/>
      <c r="K80" s="39"/>
      <c r="L80" s="40"/>
      <c r="M80" s="39"/>
      <c r="N80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2:27" s="8" customFormat="1" ht="12.75">
      <c r="B81" s="39" t="s">
        <v>177</v>
      </c>
      <c r="C81" s="39" t="s">
        <v>115</v>
      </c>
      <c r="D81" s="39" t="s">
        <v>204</v>
      </c>
      <c r="E81" s="39"/>
      <c r="F81" s="40"/>
      <c r="G81" s="39"/>
      <c r="H81" s="40"/>
      <c r="I81" s="39"/>
      <c r="J81" s="40"/>
      <c r="K81" s="39"/>
      <c r="L81" s="40"/>
      <c r="M81" s="39"/>
      <c r="N8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2:27" s="8" customFormat="1" ht="12.75">
      <c r="B82" s="39" t="s">
        <v>35</v>
      </c>
      <c r="C82" s="39"/>
      <c r="D82" s="39" t="s">
        <v>14</v>
      </c>
      <c r="E82" s="39"/>
      <c r="F82" s="40"/>
      <c r="G82" s="39">
        <v>1064</v>
      </c>
      <c r="H82" s="40"/>
      <c r="I82" s="39">
        <v>1117</v>
      </c>
      <c r="J82" s="40"/>
      <c r="K82" s="39">
        <v>1086</v>
      </c>
      <c r="L82" s="40"/>
      <c r="M82" s="39">
        <v>1089</v>
      </c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2:27" s="8" customFormat="1" ht="12.75">
      <c r="B83" s="39" t="s">
        <v>168</v>
      </c>
      <c r="C83" s="39"/>
      <c r="D83" s="39" t="s">
        <v>15</v>
      </c>
      <c r="E83" s="39"/>
      <c r="F83" s="40"/>
      <c r="G83" s="39">
        <v>8.7</v>
      </c>
      <c r="H83" s="40"/>
      <c r="I83" s="39">
        <v>7.9</v>
      </c>
      <c r="J83" s="40"/>
      <c r="K83" s="39">
        <v>7.9</v>
      </c>
      <c r="L83" s="40"/>
      <c r="M83" s="39">
        <v>8.2</v>
      </c>
      <c r="N83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2:27" s="8" customFormat="1" ht="12.75">
      <c r="B84" s="39" t="s">
        <v>169</v>
      </c>
      <c r="C84" s="39"/>
      <c r="D84" s="39" t="s">
        <v>15</v>
      </c>
      <c r="E84" s="39"/>
      <c r="F84" s="40"/>
      <c r="G84" s="39">
        <v>3.5</v>
      </c>
      <c r="H84" s="40"/>
      <c r="I84" s="39">
        <v>3.4</v>
      </c>
      <c r="J84" s="40"/>
      <c r="K84" s="39">
        <v>3.3</v>
      </c>
      <c r="L84" s="40"/>
      <c r="M84" s="39">
        <v>3.4</v>
      </c>
      <c r="N84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2:27" s="8" customFormat="1" ht="12.75">
      <c r="B85" s="39" t="s">
        <v>36</v>
      </c>
      <c r="C85" s="39"/>
      <c r="D85" s="39" t="s">
        <v>16</v>
      </c>
      <c r="E85" s="39"/>
      <c r="F85" s="40"/>
      <c r="G85" s="39">
        <v>152</v>
      </c>
      <c r="H85" s="40"/>
      <c r="I85" s="39">
        <v>149</v>
      </c>
      <c r="J85" s="40"/>
      <c r="K85" s="39">
        <v>149</v>
      </c>
      <c r="L85" s="40"/>
      <c r="M85" s="39">
        <v>150</v>
      </c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2:27" s="8" customFormat="1" ht="12.75" customHeight="1">
      <c r="B86" s="39"/>
      <c r="C86" s="39"/>
      <c r="D86" s="39"/>
      <c r="E86" s="39"/>
      <c r="F86" s="40"/>
      <c r="G86" s="39"/>
      <c r="H86" s="40"/>
      <c r="I86" s="39"/>
      <c r="J86" s="40"/>
      <c r="K86" s="39"/>
      <c r="L86" s="40"/>
      <c r="M86" s="39"/>
      <c r="N86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2:27" s="8" customFormat="1" ht="12.75" customHeight="1">
      <c r="B87" s="39"/>
      <c r="C87" s="39"/>
      <c r="D87" s="39"/>
      <c r="E87" s="39"/>
      <c r="F87" s="40"/>
      <c r="G87" s="39"/>
      <c r="H87" s="40"/>
      <c r="I87" s="39"/>
      <c r="J87" s="40"/>
      <c r="K87" s="39"/>
      <c r="L87" s="40"/>
      <c r="M87" s="39"/>
      <c r="N87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1:27" s="8" customFormat="1" ht="12.75">
      <c r="A88" s="8">
        <v>3</v>
      </c>
      <c r="B88" s="38" t="s">
        <v>96</v>
      </c>
      <c r="C88" s="38"/>
      <c r="D88" s="39"/>
      <c r="E88" s="39"/>
      <c r="F88" s="40"/>
      <c r="G88" s="40" t="s">
        <v>208</v>
      </c>
      <c r="H88" s="40"/>
      <c r="I88" s="40" t="s">
        <v>209</v>
      </c>
      <c r="J88" s="40"/>
      <c r="K88" s="40" t="s">
        <v>210</v>
      </c>
      <c r="L88" s="40"/>
      <c r="M88" s="40" t="s">
        <v>33</v>
      </c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2:27" s="8" customFormat="1" ht="16.5" customHeight="1">
      <c r="B89" s="39"/>
      <c r="C89" s="39"/>
      <c r="D89" s="39"/>
      <c r="E89" s="39"/>
      <c r="F89" s="40"/>
      <c r="G89" s="40"/>
      <c r="H89" s="40"/>
      <c r="I89" s="40"/>
      <c r="J89" s="40"/>
      <c r="K89" s="40"/>
      <c r="L89" s="40"/>
      <c r="M89" s="3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2:27" s="8" customFormat="1" ht="12.75">
      <c r="B90" s="39" t="s">
        <v>2</v>
      </c>
      <c r="C90" s="39" t="s">
        <v>204</v>
      </c>
      <c r="D90" s="39" t="s">
        <v>9</v>
      </c>
      <c r="E90" s="39" t="s">
        <v>34</v>
      </c>
      <c r="F90" s="40"/>
      <c r="G90" s="49">
        <v>0.00055</v>
      </c>
      <c r="H90" s="50"/>
      <c r="I90" s="49">
        <v>0.00021</v>
      </c>
      <c r="J90" s="50"/>
      <c r="K90" s="49">
        <v>0.00056</v>
      </c>
      <c r="L90" s="50"/>
      <c r="M90" s="49">
        <f>AVERAGE(G90,I90,K90)</f>
        <v>0.00044</v>
      </c>
      <c r="N90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2:27" s="8" customFormat="1" ht="12.75">
      <c r="B91" s="39" t="s">
        <v>174</v>
      </c>
      <c r="C91" s="39" t="s">
        <v>204</v>
      </c>
      <c r="D91" s="39" t="s">
        <v>10</v>
      </c>
      <c r="E91" s="39" t="s">
        <v>34</v>
      </c>
      <c r="F91" s="40"/>
      <c r="G91" s="39">
        <v>9</v>
      </c>
      <c r="H91" s="40"/>
      <c r="I91" s="39">
        <v>9</v>
      </c>
      <c r="J91" s="40"/>
      <c r="K91" s="39">
        <v>31</v>
      </c>
      <c r="L91" s="40"/>
      <c r="M91" s="43">
        <f aca="true" t="shared" si="0" ref="M91:M129">AVERAGE(G91,I91,K91)</f>
        <v>16.333333333333332</v>
      </c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2:27" s="8" customFormat="1" ht="12.75">
      <c r="B92" s="39" t="s">
        <v>173</v>
      </c>
      <c r="C92" s="39" t="s">
        <v>204</v>
      </c>
      <c r="D92" s="39" t="s">
        <v>10</v>
      </c>
      <c r="E92" s="39" t="s">
        <v>34</v>
      </c>
      <c r="F92" s="40"/>
      <c r="G92" s="39">
        <v>0.1</v>
      </c>
      <c r="H92" s="40"/>
      <c r="I92" s="39">
        <v>0.1</v>
      </c>
      <c r="J92" s="40"/>
      <c r="K92" s="39">
        <v>0.1</v>
      </c>
      <c r="L92" s="40"/>
      <c r="M92" s="43">
        <v>0.1</v>
      </c>
      <c r="N92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2:27" s="8" customFormat="1" ht="12.75">
      <c r="B93" s="39" t="s">
        <v>3</v>
      </c>
      <c r="C93" s="39"/>
      <c r="D93" s="39" t="s">
        <v>10</v>
      </c>
      <c r="E93" s="39" t="s">
        <v>136</v>
      </c>
      <c r="F93" s="40"/>
      <c r="G93" s="39">
        <v>10.4</v>
      </c>
      <c r="H93" s="40"/>
      <c r="I93" s="39">
        <v>14.2</v>
      </c>
      <c r="J93" s="40"/>
      <c r="K93" s="39">
        <v>19.6</v>
      </c>
      <c r="L93" s="40"/>
      <c r="M93" s="43">
        <f t="shared" si="0"/>
        <v>14.733333333333334</v>
      </c>
      <c r="N93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2:27" s="8" customFormat="1" ht="12.75">
      <c r="B94" s="39" t="s">
        <v>4</v>
      </c>
      <c r="C94" s="39"/>
      <c r="D94" s="39" t="s">
        <v>10</v>
      </c>
      <c r="E94" s="39" t="s">
        <v>136</v>
      </c>
      <c r="F94" s="40"/>
      <c r="G94" s="39">
        <v>0.039</v>
      </c>
      <c r="H94" s="40"/>
      <c r="I94" s="39">
        <v>0.035</v>
      </c>
      <c r="J94" s="40"/>
      <c r="K94" s="39">
        <v>0.033</v>
      </c>
      <c r="L94" s="40"/>
      <c r="M94" s="51">
        <f t="shared" si="0"/>
        <v>0.03566666666666667</v>
      </c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2:27" s="8" customFormat="1" ht="12.75" customHeight="1">
      <c r="B95" s="16" t="s">
        <v>211</v>
      </c>
      <c r="C95" s="39"/>
      <c r="D95" s="39" t="s">
        <v>40</v>
      </c>
      <c r="E95" s="39"/>
      <c r="F95" s="40"/>
      <c r="G95" s="47">
        <v>5.4E-06</v>
      </c>
      <c r="H95" s="48"/>
      <c r="I95" s="47">
        <v>2.2E-06</v>
      </c>
      <c r="J95" s="48"/>
      <c r="K95" s="47">
        <v>2.5E-06</v>
      </c>
      <c r="L95" s="48"/>
      <c r="M95" s="47">
        <f t="shared" si="0"/>
        <v>3.3666666666666665E-06</v>
      </c>
      <c r="N9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2:27" s="8" customFormat="1" ht="12.75">
      <c r="B96" s="39" t="s">
        <v>175</v>
      </c>
      <c r="C96" s="39"/>
      <c r="D96" s="39" t="s">
        <v>40</v>
      </c>
      <c r="E96" s="39"/>
      <c r="F96" s="40"/>
      <c r="G96" s="47">
        <v>1.43E-05</v>
      </c>
      <c r="H96" s="48"/>
      <c r="I96" s="47">
        <v>1.43E-05</v>
      </c>
      <c r="J96" s="48"/>
      <c r="K96" s="47">
        <v>1.45E-05</v>
      </c>
      <c r="L96" s="48"/>
      <c r="M96" s="47">
        <f>AVERAGE(G96,I96,K96)</f>
        <v>1.4366666666666667E-05</v>
      </c>
      <c r="N96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2:27" s="8" customFormat="1" ht="12.75">
      <c r="B97" s="39" t="s">
        <v>158</v>
      </c>
      <c r="C97" s="39"/>
      <c r="D97" s="39" t="s">
        <v>40</v>
      </c>
      <c r="E97" s="39"/>
      <c r="F97" s="40"/>
      <c r="G97" s="47">
        <v>1.2E-06</v>
      </c>
      <c r="H97" s="48"/>
      <c r="I97" s="47">
        <v>1.2E-06</v>
      </c>
      <c r="J97" s="48"/>
      <c r="K97" s="47">
        <v>2.6E-06</v>
      </c>
      <c r="L97" s="48"/>
      <c r="M97" s="47">
        <f t="shared" si="0"/>
        <v>1.6666666666666665E-06</v>
      </c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2:27" s="8" customFormat="1" ht="12.75">
      <c r="B98" s="39" t="s">
        <v>159</v>
      </c>
      <c r="C98" s="39"/>
      <c r="D98" s="39" t="s">
        <v>40</v>
      </c>
      <c r="E98" s="39"/>
      <c r="F98" s="40"/>
      <c r="G98" s="47">
        <v>3.7E-06</v>
      </c>
      <c r="H98" s="48"/>
      <c r="I98" s="47">
        <v>4.7E-06</v>
      </c>
      <c r="J98" s="48"/>
      <c r="K98" s="47">
        <v>3.4E-06</v>
      </c>
      <c r="L98" s="48"/>
      <c r="M98" s="47">
        <f t="shared" si="0"/>
        <v>3.9333333333333335E-06</v>
      </c>
      <c r="N98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2:27" s="8" customFormat="1" ht="12.75">
      <c r="B99" s="39" t="s">
        <v>160</v>
      </c>
      <c r="C99" s="39"/>
      <c r="D99" s="39" t="s">
        <v>40</v>
      </c>
      <c r="E99" s="39"/>
      <c r="F99" s="40"/>
      <c r="G99" s="47">
        <v>1.78E-05</v>
      </c>
      <c r="H99" s="48"/>
      <c r="I99" s="47">
        <v>1.55E-05</v>
      </c>
      <c r="J99" s="48"/>
      <c r="K99" s="47">
        <v>1.87E-05</v>
      </c>
      <c r="L99" s="48"/>
      <c r="M99" s="47">
        <f t="shared" si="0"/>
        <v>1.7333333333333332E-05</v>
      </c>
      <c r="N99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2:27" s="8" customFormat="1" ht="12.75">
      <c r="B100" s="39"/>
      <c r="C100" s="39"/>
      <c r="D100" s="39"/>
      <c r="E100" s="39"/>
      <c r="F100" s="40"/>
      <c r="G100" s="47"/>
      <c r="H100" s="48"/>
      <c r="I100" s="47"/>
      <c r="J100" s="48"/>
      <c r="K100" s="47"/>
      <c r="L100" s="48"/>
      <c r="M100" s="47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2:27" s="8" customFormat="1" ht="12.75">
      <c r="B101" s="16" t="s">
        <v>211</v>
      </c>
      <c r="C101" s="16" t="s">
        <v>206</v>
      </c>
      <c r="D101" s="16" t="s">
        <v>11</v>
      </c>
      <c r="E101" s="16" t="s">
        <v>34</v>
      </c>
      <c r="F101" s="40"/>
      <c r="G101" s="17">
        <f>(G95*454/(G$120*60*0.0283))*10^6*(14/(21-G$121))</f>
        <v>1.3954345452550467</v>
      </c>
      <c r="H101" s="23"/>
      <c r="I101" s="17">
        <f>(I95*454/(I$120*60*0.0283))*10^6*(14/(21-I$121))</f>
        <v>0.5400667692651397</v>
      </c>
      <c r="J101" s="23"/>
      <c r="K101" s="17">
        <f>(K95*454/(K$120*60*0.0283))*10^6*(14/(21-K$121))</f>
        <v>0.6479714387565167</v>
      </c>
      <c r="L101" s="23"/>
      <c r="M101" s="17">
        <f aca="true" t="shared" si="1" ref="M101:M107">AVERAGE(G101:K101)</f>
        <v>0.8611575844255678</v>
      </c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2:27" s="8" customFormat="1" ht="12.75">
      <c r="B102" s="16" t="s">
        <v>175</v>
      </c>
      <c r="C102" s="16" t="s">
        <v>205</v>
      </c>
      <c r="D102" s="16" t="s">
        <v>11</v>
      </c>
      <c r="E102" s="16" t="s">
        <v>34</v>
      </c>
      <c r="F102" s="40"/>
      <c r="G102" s="17">
        <f>(G96*454/(G$126*60*0.0283))*10^6*(14/(21-G$127))</f>
        <v>3.764974662428193</v>
      </c>
      <c r="H102" s="48"/>
      <c r="I102" s="17">
        <f>(I96*454/(I$126*60*0.0283))*10^6*(14/(21-I$127))</f>
        <v>3.500860089313708</v>
      </c>
      <c r="J102" s="48"/>
      <c r="K102" s="17">
        <f>(K96*454/(K$126*60*0.0283))*10^6*(14/(21-K$127))</f>
        <v>3.556289147754572</v>
      </c>
      <c r="L102" s="48"/>
      <c r="M102" s="17">
        <f t="shared" si="1"/>
        <v>3.6073746331654912</v>
      </c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2:27" s="8" customFormat="1" ht="12.75">
      <c r="B103" s="16" t="s">
        <v>158</v>
      </c>
      <c r="C103" s="16" t="s">
        <v>205</v>
      </c>
      <c r="D103" s="16" t="s">
        <v>11</v>
      </c>
      <c r="E103" s="16" t="s">
        <v>34</v>
      </c>
      <c r="F103" s="40"/>
      <c r="G103" s="17">
        <f aca="true" t="shared" si="2" ref="G103:I105">(G97*454/(G$126*60*0.0283))*10^6*(14/(21-G$127))</f>
        <v>0.315941929714254</v>
      </c>
      <c r="H103" s="48"/>
      <c r="I103" s="17">
        <f t="shared" si="2"/>
        <v>0.29377846903331817</v>
      </c>
      <c r="J103" s="48"/>
      <c r="K103" s="17">
        <f>(K97*454/(K$126*60*0.0283))*10^6*(14/(21-K$127))</f>
        <v>0.637679433390475</v>
      </c>
      <c r="L103" s="48"/>
      <c r="M103" s="17">
        <f t="shared" si="1"/>
        <v>0.41579994404601567</v>
      </c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2:27" s="8" customFormat="1" ht="12.75">
      <c r="B104" s="16" t="s">
        <v>159</v>
      </c>
      <c r="C104" s="16" t="s">
        <v>205</v>
      </c>
      <c r="D104" s="16" t="s">
        <v>11</v>
      </c>
      <c r="E104" s="16" t="s">
        <v>34</v>
      </c>
      <c r="F104" s="40"/>
      <c r="G104" s="17">
        <f t="shared" si="2"/>
        <v>0.9741542832856165</v>
      </c>
      <c r="H104" s="48"/>
      <c r="I104" s="17">
        <f t="shared" si="2"/>
        <v>1.1506323370471627</v>
      </c>
      <c r="J104" s="48"/>
      <c r="K104" s="17">
        <f>(K98*454/(K$126*60*0.0283))*10^6*(14/(21-K$127))</f>
        <v>0.8338884898183135</v>
      </c>
      <c r="L104" s="48"/>
      <c r="M104" s="17">
        <f t="shared" si="1"/>
        <v>0.9862250367170309</v>
      </c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2:27" s="8" customFormat="1" ht="12.75">
      <c r="B105" s="16" t="s">
        <v>160</v>
      </c>
      <c r="C105" s="16" t="s">
        <v>205</v>
      </c>
      <c r="D105" s="16" t="s">
        <v>11</v>
      </c>
      <c r="E105" s="16" t="s">
        <v>34</v>
      </c>
      <c r="F105" s="40"/>
      <c r="G105" s="17">
        <f t="shared" si="2"/>
        <v>4.686471957428101</v>
      </c>
      <c r="H105" s="48"/>
      <c r="I105" s="17">
        <f t="shared" si="2"/>
        <v>3.7946385583470263</v>
      </c>
      <c r="J105" s="48"/>
      <c r="K105" s="17">
        <f>(K99*454/(K$126*60*0.0283))*10^6*(14/(21-K$127))</f>
        <v>4.5863866940007245</v>
      </c>
      <c r="L105" s="48"/>
      <c r="M105" s="17">
        <f t="shared" si="1"/>
        <v>4.355832403258618</v>
      </c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2:27" s="8" customFormat="1" ht="12.75">
      <c r="B106" s="16" t="s">
        <v>5</v>
      </c>
      <c r="C106" s="16" t="s">
        <v>205</v>
      </c>
      <c r="D106" s="16" t="s">
        <v>11</v>
      </c>
      <c r="E106" s="16" t="s">
        <v>34</v>
      </c>
      <c r="F106" s="40"/>
      <c r="G106" s="17">
        <f>G104</f>
        <v>0.9741542832856165</v>
      </c>
      <c r="H106" s="17"/>
      <c r="I106" s="17">
        <f>I104</f>
        <v>1.1506323370471627</v>
      </c>
      <c r="J106" s="17"/>
      <c r="K106" s="17">
        <f>K104</f>
        <v>0.8338884898183135</v>
      </c>
      <c r="L106" s="23"/>
      <c r="M106" s="17">
        <f t="shared" si="1"/>
        <v>0.9862250367170309</v>
      </c>
      <c r="N106"/>
      <c r="O106" t="s">
        <v>235</v>
      </c>
      <c r="P106"/>
      <c r="Q106"/>
      <c r="R106"/>
      <c r="S106"/>
      <c r="T106"/>
      <c r="U106"/>
      <c r="V106"/>
      <c r="W106"/>
      <c r="X106"/>
      <c r="Y106"/>
      <c r="Z106"/>
      <c r="AA106"/>
    </row>
    <row r="107" spans="2:27" s="8" customFormat="1" ht="12.75">
      <c r="B107" s="16" t="s">
        <v>6</v>
      </c>
      <c r="C107" s="16" t="s">
        <v>205</v>
      </c>
      <c r="D107" s="16" t="s">
        <v>11</v>
      </c>
      <c r="E107" s="16" t="s">
        <v>34</v>
      </c>
      <c r="F107" s="40"/>
      <c r="G107" s="17">
        <f>(G102+G103)</f>
        <v>4.080916592142446</v>
      </c>
      <c r="H107" s="17"/>
      <c r="I107" s="17">
        <f>(I102+I103)</f>
        <v>3.794638558347026</v>
      </c>
      <c r="J107" s="17"/>
      <c r="K107" s="17">
        <f>(K102+K103)</f>
        <v>4.193968581145047</v>
      </c>
      <c r="L107" s="23"/>
      <c r="M107" s="17">
        <f t="shared" si="1"/>
        <v>4.023174577211506</v>
      </c>
      <c r="N107"/>
      <c r="O107" t="s">
        <v>233</v>
      </c>
      <c r="P107"/>
      <c r="Q107"/>
      <c r="R107"/>
      <c r="S107"/>
      <c r="T107"/>
      <c r="U107"/>
      <c r="V107"/>
      <c r="W107"/>
      <c r="X107"/>
      <c r="Y107"/>
      <c r="Z107"/>
      <c r="AA107"/>
    </row>
    <row r="108" spans="2:27" s="8" customFormat="1" ht="12.75">
      <c r="B108" s="16"/>
      <c r="C108" s="16"/>
      <c r="D108" s="16"/>
      <c r="E108" s="16"/>
      <c r="F108" s="40"/>
      <c r="G108" s="17"/>
      <c r="H108" s="17"/>
      <c r="I108" s="17"/>
      <c r="J108" s="17"/>
      <c r="K108" s="17"/>
      <c r="L108" s="23"/>
      <c r="M108" s="17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2:27" s="8" customFormat="1" ht="12.75">
      <c r="B109" s="16" t="s">
        <v>3</v>
      </c>
      <c r="C109" s="39" t="s">
        <v>204</v>
      </c>
      <c r="D109" s="16" t="s">
        <v>10</v>
      </c>
      <c r="E109" s="16" t="s">
        <v>34</v>
      </c>
      <c r="F109" s="40"/>
      <c r="G109" s="17">
        <f>G93*(14/(21-G115))</f>
        <v>10.865671641791044</v>
      </c>
      <c r="H109" s="23"/>
      <c r="I109" s="17">
        <f>I93*(14/(21-I115))</f>
        <v>14.302158273381293</v>
      </c>
      <c r="J109" s="23"/>
      <c r="K109" s="17">
        <f>K93*(14/(21-K115))</f>
        <v>19.741007194244606</v>
      </c>
      <c r="L109" s="23"/>
      <c r="M109" s="17">
        <f>M93*(14/(21-M115))</f>
        <v>15.019417475728156</v>
      </c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2:27" s="8" customFormat="1" ht="12.75">
      <c r="B110" s="16" t="s">
        <v>4</v>
      </c>
      <c r="C110" s="39" t="s">
        <v>204</v>
      </c>
      <c r="D110" s="16" t="s">
        <v>10</v>
      </c>
      <c r="E110" s="16" t="s">
        <v>34</v>
      </c>
      <c r="F110" s="40"/>
      <c r="G110" s="18">
        <f>G94*(14/(21-G115))</f>
        <v>0.04074626865671641</v>
      </c>
      <c r="H110" s="24"/>
      <c r="I110" s="18">
        <f>I94*(14/(21-I115))</f>
        <v>0.03525179856115108</v>
      </c>
      <c r="J110" s="24"/>
      <c r="K110" s="18">
        <f>K94*(14/(21-K115))</f>
        <v>0.03323741007194245</v>
      </c>
      <c r="L110" s="24"/>
      <c r="M110" s="18">
        <f>M94*(14/(21-M115))</f>
        <v>0.03635922330097088</v>
      </c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2:27" s="8" customFormat="1" ht="12.75">
      <c r="B111" s="16" t="s">
        <v>176</v>
      </c>
      <c r="C111" s="39" t="s">
        <v>204</v>
      </c>
      <c r="D111" s="16" t="s">
        <v>10</v>
      </c>
      <c r="E111" s="16" t="s">
        <v>34</v>
      </c>
      <c r="F111" s="40"/>
      <c r="G111" s="17">
        <f>2*G110+G109</f>
        <v>10.947164179104478</v>
      </c>
      <c r="H111" s="23"/>
      <c r="I111" s="17">
        <f>2*I110+I109</f>
        <v>14.372661870503595</v>
      </c>
      <c r="J111" s="23"/>
      <c r="K111" s="17">
        <f>2*K110+K109</f>
        <v>19.80748201438849</v>
      </c>
      <c r="L111" s="23"/>
      <c r="M111" s="17">
        <f>2*M110+M109</f>
        <v>15.092135922330097</v>
      </c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2:27" s="8" customFormat="1" ht="13.5" customHeight="1">
      <c r="B112" s="39"/>
      <c r="C112" s="39"/>
      <c r="D112" s="39"/>
      <c r="E112" s="39"/>
      <c r="F112" s="40"/>
      <c r="G112" s="39"/>
      <c r="H112" s="40"/>
      <c r="I112" s="39"/>
      <c r="J112" s="40"/>
      <c r="K112" s="39"/>
      <c r="L112" s="40"/>
      <c r="M112" s="47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2:27" s="8" customFormat="1" ht="12" customHeight="1">
      <c r="B113" s="39" t="s">
        <v>177</v>
      </c>
      <c r="C113" s="39" t="s">
        <v>163</v>
      </c>
      <c r="D113" s="39" t="s">
        <v>204</v>
      </c>
      <c r="E113" s="39"/>
      <c r="F113" s="40"/>
      <c r="G113" s="39"/>
      <c r="H113" s="40"/>
      <c r="I113" s="39"/>
      <c r="J113" s="40"/>
      <c r="K113" s="39"/>
      <c r="L113" s="40"/>
      <c r="M113" s="47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</row>
    <row r="114" spans="2:27" s="8" customFormat="1" ht="12.75">
      <c r="B114" s="39" t="s">
        <v>35</v>
      </c>
      <c r="C114" s="39"/>
      <c r="D114" s="39" t="s">
        <v>14</v>
      </c>
      <c r="E114" s="39"/>
      <c r="F114" s="40"/>
      <c r="G114" s="39">
        <v>1063</v>
      </c>
      <c r="H114" s="40"/>
      <c r="I114" s="39">
        <v>1117</v>
      </c>
      <c r="J114" s="40"/>
      <c r="K114" s="39">
        <v>1095</v>
      </c>
      <c r="L114" s="40"/>
      <c r="M114" s="43">
        <f t="shared" si="0"/>
        <v>1091.6666666666667</v>
      </c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</row>
    <row r="115" spans="2:27" s="8" customFormat="1" ht="12.75">
      <c r="B115" s="39" t="s">
        <v>168</v>
      </c>
      <c r="C115" s="39"/>
      <c r="D115" s="39" t="s">
        <v>15</v>
      </c>
      <c r="E115" s="39"/>
      <c r="F115" s="40"/>
      <c r="G115" s="39">
        <v>7.6</v>
      </c>
      <c r="H115" s="40"/>
      <c r="I115" s="39">
        <v>7.1</v>
      </c>
      <c r="J115" s="40"/>
      <c r="K115" s="39">
        <v>7.1</v>
      </c>
      <c r="L115" s="40"/>
      <c r="M115" s="43">
        <f t="shared" si="0"/>
        <v>7.266666666666666</v>
      </c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2:27" s="8" customFormat="1" ht="12.75">
      <c r="B116" s="39" t="s">
        <v>169</v>
      </c>
      <c r="C116" s="39"/>
      <c r="D116" s="39" t="s">
        <v>15</v>
      </c>
      <c r="E116" s="39"/>
      <c r="F116" s="40"/>
      <c r="G116" s="39">
        <v>4.9</v>
      </c>
      <c r="H116" s="40"/>
      <c r="I116" s="39">
        <v>4.5</v>
      </c>
      <c r="J116" s="40"/>
      <c r="K116" s="39">
        <v>4.9</v>
      </c>
      <c r="L116" s="40"/>
      <c r="M116" s="43">
        <f t="shared" si="0"/>
        <v>4.766666666666667</v>
      </c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</row>
    <row r="117" spans="2:27" s="8" customFormat="1" ht="12.75">
      <c r="B117" s="39" t="s">
        <v>36</v>
      </c>
      <c r="C117" s="39"/>
      <c r="D117" s="39" t="s">
        <v>16</v>
      </c>
      <c r="E117" s="39"/>
      <c r="F117" s="40"/>
      <c r="G117" s="39">
        <v>165</v>
      </c>
      <c r="H117" s="40"/>
      <c r="I117" s="39">
        <v>162</v>
      </c>
      <c r="J117" s="40"/>
      <c r="K117" s="39">
        <v>162</v>
      </c>
      <c r="L117" s="40"/>
      <c r="M117" s="42">
        <f t="shared" si="0"/>
        <v>163</v>
      </c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</row>
    <row r="118" spans="2:27" s="8" customFormat="1" ht="14.25" customHeight="1">
      <c r="B118" s="39"/>
      <c r="C118" s="39"/>
      <c r="D118" s="39"/>
      <c r="E118" s="39"/>
      <c r="F118" s="40"/>
      <c r="G118" s="39"/>
      <c r="H118" s="40"/>
      <c r="I118" s="39"/>
      <c r="J118" s="40"/>
      <c r="K118" s="39"/>
      <c r="L118" s="40"/>
      <c r="M118" s="42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2:27" s="8" customFormat="1" ht="14.25" customHeight="1">
      <c r="B119" s="39" t="s">
        <v>177</v>
      </c>
      <c r="C119" s="39" t="s">
        <v>164</v>
      </c>
      <c r="D119" s="39" t="s">
        <v>205</v>
      </c>
      <c r="E119" s="39"/>
      <c r="F119" s="40"/>
      <c r="G119" s="39"/>
      <c r="H119" s="40"/>
      <c r="I119" s="39"/>
      <c r="J119" s="40"/>
      <c r="K119" s="39"/>
      <c r="L119" s="40"/>
      <c r="M119" s="42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</row>
    <row r="120" spans="2:27" s="8" customFormat="1" ht="14.25" customHeight="1">
      <c r="B120" s="39" t="s">
        <v>35</v>
      </c>
      <c r="C120" s="39"/>
      <c r="D120" s="39" t="s">
        <v>14</v>
      </c>
      <c r="E120" s="39"/>
      <c r="F120" s="40"/>
      <c r="G120" s="39">
        <v>1081</v>
      </c>
      <c r="H120" s="40"/>
      <c r="I120" s="39">
        <v>1097</v>
      </c>
      <c r="J120" s="40"/>
      <c r="K120" s="39">
        <v>1039</v>
      </c>
      <c r="L120" s="40"/>
      <c r="M120" s="42">
        <f t="shared" si="0"/>
        <v>1072.3333333333333</v>
      </c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</row>
    <row r="121" spans="2:27" s="8" customFormat="1" ht="14.25" customHeight="1">
      <c r="B121" s="39" t="s">
        <v>168</v>
      </c>
      <c r="C121" s="39"/>
      <c r="D121" s="39" t="s">
        <v>15</v>
      </c>
      <c r="E121" s="39"/>
      <c r="F121" s="40"/>
      <c r="G121" s="39">
        <v>7.6</v>
      </c>
      <c r="H121" s="40"/>
      <c r="I121" s="39">
        <v>7.1</v>
      </c>
      <c r="J121" s="40"/>
      <c r="K121" s="39">
        <v>7.1</v>
      </c>
      <c r="L121" s="40"/>
      <c r="M121" s="42">
        <f t="shared" si="0"/>
        <v>7.266666666666666</v>
      </c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2:27" s="8" customFormat="1" ht="14.25" customHeight="1">
      <c r="B122" s="39" t="s">
        <v>169</v>
      </c>
      <c r="C122" s="39"/>
      <c r="D122" s="39" t="s">
        <v>15</v>
      </c>
      <c r="E122" s="39"/>
      <c r="F122" s="40"/>
      <c r="G122" s="39">
        <v>4.7</v>
      </c>
      <c r="H122" s="40"/>
      <c r="I122" s="39">
        <v>4.4</v>
      </c>
      <c r="J122" s="40"/>
      <c r="K122" s="39">
        <v>5</v>
      </c>
      <c r="L122" s="40"/>
      <c r="M122" s="42">
        <f t="shared" si="0"/>
        <v>4.7</v>
      </c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</row>
    <row r="123" spans="2:27" s="8" customFormat="1" ht="14.25" customHeight="1">
      <c r="B123" s="39" t="s">
        <v>36</v>
      </c>
      <c r="C123" s="39"/>
      <c r="D123" s="39" t="s">
        <v>16</v>
      </c>
      <c r="E123" s="39"/>
      <c r="F123" s="40"/>
      <c r="G123" s="39">
        <v>165</v>
      </c>
      <c r="H123" s="40"/>
      <c r="I123" s="39">
        <v>164</v>
      </c>
      <c r="J123" s="40"/>
      <c r="K123" s="39">
        <v>162</v>
      </c>
      <c r="L123" s="40"/>
      <c r="M123" s="42">
        <f t="shared" si="0"/>
        <v>163.66666666666666</v>
      </c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</row>
    <row r="124" spans="2:27" s="8" customFormat="1" ht="14.25" customHeight="1">
      <c r="B124" s="39"/>
      <c r="C124" s="39"/>
      <c r="D124" s="39"/>
      <c r="E124" s="39"/>
      <c r="F124" s="40"/>
      <c r="G124" s="39"/>
      <c r="H124" s="40"/>
      <c r="I124" s="39"/>
      <c r="J124" s="40"/>
      <c r="K124" s="39"/>
      <c r="L124" s="40"/>
      <c r="M124" s="42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2:27" s="8" customFormat="1" ht="14.25" customHeight="1">
      <c r="B125" s="39" t="s">
        <v>177</v>
      </c>
      <c r="C125" s="39" t="s">
        <v>165</v>
      </c>
      <c r="D125" s="39" t="s">
        <v>206</v>
      </c>
      <c r="E125" s="39"/>
      <c r="F125" s="40"/>
      <c r="G125" s="39"/>
      <c r="H125" s="40"/>
      <c r="I125" s="39"/>
      <c r="J125" s="40"/>
      <c r="K125" s="39"/>
      <c r="L125" s="40"/>
      <c r="M125" s="42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</row>
    <row r="126" spans="2:27" s="8" customFormat="1" ht="14.25" customHeight="1">
      <c r="B126" s="39" t="s">
        <v>35</v>
      </c>
      <c r="C126" s="39"/>
      <c r="D126" s="39" t="s">
        <v>14</v>
      </c>
      <c r="E126" s="39"/>
      <c r="F126" s="40"/>
      <c r="G126" s="39">
        <v>1061</v>
      </c>
      <c r="H126" s="40"/>
      <c r="I126" s="39">
        <v>1100</v>
      </c>
      <c r="J126" s="40"/>
      <c r="K126" s="39">
        <v>1098</v>
      </c>
      <c r="L126" s="40"/>
      <c r="M126" s="42">
        <f t="shared" si="0"/>
        <v>1086.3333333333333</v>
      </c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</row>
    <row r="127" spans="2:27" s="8" customFormat="1" ht="14.25" customHeight="1">
      <c r="B127" s="39" t="s">
        <v>168</v>
      </c>
      <c r="C127" s="39"/>
      <c r="D127" s="39" t="s">
        <v>15</v>
      </c>
      <c r="E127" s="39"/>
      <c r="F127" s="40"/>
      <c r="G127" s="39">
        <v>7.6</v>
      </c>
      <c r="H127" s="40"/>
      <c r="I127" s="39">
        <v>7.1</v>
      </c>
      <c r="J127" s="40"/>
      <c r="K127" s="39">
        <v>7.1</v>
      </c>
      <c r="L127" s="40"/>
      <c r="M127" s="43">
        <f t="shared" si="0"/>
        <v>7.266666666666666</v>
      </c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2:27" s="8" customFormat="1" ht="12.75">
      <c r="B128" s="39" t="s">
        <v>169</v>
      </c>
      <c r="C128" s="39"/>
      <c r="D128" s="39" t="s">
        <v>15</v>
      </c>
      <c r="E128" s="39"/>
      <c r="F128" s="40"/>
      <c r="G128" s="39">
        <v>3.5</v>
      </c>
      <c r="H128" s="40"/>
      <c r="I128" s="39">
        <v>4</v>
      </c>
      <c r="J128" s="40"/>
      <c r="K128" s="39">
        <v>3.6</v>
      </c>
      <c r="L128" s="40"/>
      <c r="M128" s="43">
        <f t="shared" si="0"/>
        <v>3.6999999999999997</v>
      </c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</row>
    <row r="129" spans="2:27" s="8" customFormat="1" ht="12.75">
      <c r="B129" s="39" t="s">
        <v>36</v>
      </c>
      <c r="C129" s="39"/>
      <c r="D129" s="39" t="s">
        <v>16</v>
      </c>
      <c r="E129" s="39"/>
      <c r="F129" s="40"/>
      <c r="G129" s="39">
        <v>147</v>
      </c>
      <c r="H129" s="40"/>
      <c r="I129" s="39">
        <v>155</v>
      </c>
      <c r="J129" s="40"/>
      <c r="K129" s="39">
        <v>159</v>
      </c>
      <c r="L129" s="40"/>
      <c r="M129" s="42">
        <f t="shared" si="0"/>
        <v>153.66666666666666</v>
      </c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</row>
    <row r="130" spans="2:27" s="8" customFormat="1" ht="12.75">
      <c r="B130" s="39"/>
      <c r="C130" s="39"/>
      <c r="D130" s="39"/>
      <c r="E130" s="39"/>
      <c r="F130" s="40"/>
      <c r="G130" s="39"/>
      <c r="H130" s="40"/>
      <c r="I130" s="39"/>
      <c r="J130" s="40"/>
      <c r="K130" s="39"/>
      <c r="L130" s="40"/>
      <c r="M130" s="39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2:13" ht="12.75">
      <c r="B131" s="39" t="s">
        <v>177</v>
      </c>
      <c r="C131" s="39" t="s">
        <v>115</v>
      </c>
      <c r="D131" s="39" t="s">
        <v>207</v>
      </c>
      <c r="E131" s="39"/>
      <c r="F131" s="40"/>
      <c r="G131" s="39"/>
      <c r="H131" s="40"/>
      <c r="I131" s="39"/>
      <c r="J131" s="40"/>
      <c r="K131" s="39"/>
      <c r="L131" s="40"/>
      <c r="M131" s="39"/>
    </row>
    <row r="132" spans="2:13" ht="12.75">
      <c r="B132" s="39" t="s">
        <v>35</v>
      </c>
      <c r="C132" s="39"/>
      <c r="D132" s="39" t="s">
        <v>14</v>
      </c>
      <c r="E132" s="39"/>
      <c r="F132" s="40"/>
      <c r="G132" s="39">
        <v>1097</v>
      </c>
      <c r="H132" s="40"/>
      <c r="I132" s="39">
        <v>1098</v>
      </c>
      <c r="J132" s="40"/>
      <c r="K132" s="39">
        <v>1051</v>
      </c>
      <c r="L132" s="40"/>
      <c r="M132" s="39">
        <v>1106</v>
      </c>
    </row>
    <row r="133" spans="2:13" ht="12.75">
      <c r="B133" s="39" t="s">
        <v>168</v>
      </c>
      <c r="C133" s="39"/>
      <c r="D133" s="39" t="s">
        <v>15</v>
      </c>
      <c r="E133" s="39"/>
      <c r="F133" s="40"/>
      <c r="G133" s="39">
        <v>7.6</v>
      </c>
      <c r="H133" s="40"/>
      <c r="I133" s="39">
        <v>7.1</v>
      </c>
      <c r="J133" s="40"/>
      <c r="K133" s="39">
        <v>7.1</v>
      </c>
      <c r="L133" s="40"/>
      <c r="M133" s="39">
        <v>7.3</v>
      </c>
    </row>
    <row r="134" spans="2:13" ht="12.75">
      <c r="B134" s="39" t="s">
        <v>169</v>
      </c>
      <c r="C134" s="39"/>
      <c r="D134" s="39" t="s">
        <v>15</v>
      </c>
      <c r="E134" s="39"/>
      <c r="F134" s="40"/>
      <c r="G134" s="39">
        <v>3.6</v>
      </c>
      <c r="H134" s="40"/>
      <c r="I134" s="39">
        <v>3.6</v>
      </c>
      <c r="J134" s="40"/>
      <c r="K134" s="39">
        <v>3.7</v>
      </c>
      <c r="L134" s="40"/>
      <c r="M134" s="39">
        <v>3.9</v>
      </c>
    </row>
    <row r="135" spans="2:13" ht="12.75">
      <c r="B135" s="39" t="s">
        <v>36</v>
      </c>
      <c r="C135" s="39"/>
      <c r="D135" s="39" t="s">
        <v>16</v>
      </c>
      <c r="E135" s="39"/>
      <c r="F135" s="40"/>
      <c r="G135" s="39">
        <v>148</v>
      </c>
      <c r="H135" s="40"/>
      <c r="I135" s="39">
        <v>150</v>
      </c>
      <c r="J135" s="40"/>
      <c r="K135" s="39">
        <v>153</v>
      </c>
      <c r="L135" s="40"/>
      <c r="M135" s="39">
        <v>151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O136"/>
  <sheetViews>
    <sheetView zoomScale="75" zoomScaleNormal="75" workbookViewId="0" topLeftCell="R1">
      <selection activeCell="B2" sqref="B2"/>
    </sheetView>
  </sheetViews>
  <sheetFormatPr defaultColWidth="9.140625" defaultRowHeight="12.75"/>
  <cols>
    <col min="1" max="1" width="9.140625" style="0" hidden="1" customWidth="1"/>
    <col min="2" max="2" width="24.8515625" style="0" customWidth="1"/>
    <col min="3" max="3" width="2.57421875" style="0" customWidth="1"/>
    <col min="4" max="4" width="8.421875" style="0" customWidth="1"/>
    <col min="5" max="5" width="4.140625" style="1" customWidth="1"/>
    <col min="6" max="6" width="10.140625" style="1" customWidth="1"/>
    <col min="7" max="7" width="4.57421875" style="1" customWidth="1"/>
    <col min="8" max="8" width="10.421875" style="1" customWidth="1"/>
    <col min="9" max="9" width="4.421875" style="1" customWidth="1"/>
    <col min="10" max="10" width="12.57421875" style="1" customWidth="1"/>
    <col min="11" max="11" width="4.421875" style="1" customWidth="1"/>
    <col min="12" max="12" width="10.7109375" style="0" bestFit="1" customWidth="1"/>
    <col min="13" max="13" width="2.8515625" style="0" customWidth="1"/>
    <col min="14" max="14" width="9.8515625" style="0" customWidth="1"/>
    <col min="15" max="15" width="2.8515625" style="0" customWidth="1"/>
    <col min="16" max="16" width="9.8515625" style="0" customWidth="1"/>
    <col min="17" max="17" width="2.8515625" style="0" customWidth="1"/>
    <col min="18" max="18" width="13.8515625" style="0" customWidth="1"/>
    <col min="19" max="19" width="2.8515625" style="0" customWidth="1"/>
    <col min="20" max="20" width="10.57421875" style="0" customWidth="1"/>
    <col min="21" max="21" width="4.7109375" style="0" customWidth="1"/>
    <col min="22" max="22" width="13.140625" style="0" customWidth="1"/>
    <col min="23" max="23" width="3.7109375" style="0" customWidth="1"/>
    <col min="24" max="24" width="16.28125" style="0" customWidth="1"/>
    <col min="25" max="25" width="3.7109375" style="0" customWidth="1"/>
    <col min="26" max="26" width="11.00390625" style="0" customWidth="1"/>
    <col min="27" max="27" width="3.7109375" style="0" customWidth="1"/>
    <col min="28" max="28" width="11.57421875" style="0" customWidth="1"/>
    <col min="29" max="29" width="3.140625" style="0" hidden="1" customWidth="1"/>
    <col min="30" max="30" width="4.140625" style="0" customWidth="1"/>
    <col min="31" max="31" width="11.7109375" style="0" bestFit="1" customWidth="1"/>
    <col min="32" max="32" width="3.7109375" style="0" customWidth="1"/>
    <col min="33" max="33" width="14.140625" style="0" customWidth="1"/>
    <col min="34" max="34" width="3.7109375" style="0" customWidth="1"/>
    <col min="35" max="35" width="12.28125" style="0" customWidth="1"/>
    <col min="36" max="36" width="4.57421875" style="0" customWidth="1"/>
    <col min="37" max="37" width="13.140625" style="0" customWidth="1"/>
    <col min="38" max="38" width="3.57421875" style="0" customWidth="1"/>
    <col min="39" max="39" width="11.421875" style="0" customWidth="1"/>
    <col min="40" max="40" width="3.57421875" style="0" customWidth="1"/>
    <col min="41" max="16384" width="11.421875" style="0" customWidth="1"/>
  </cols>
  <sheetData>
    <row r="1" spans="2:37" s="8" customFormat="1" ht="12.75">
      <c r="B1" s="38" t="s">
        <v>105</v>
      </c>
      <c r="C1" s="38"/>
      <c r="D1" s="39"/>
      <c r="E1" s="40"/>
      <c r="F1" s="40"/>
      <c r="G1" s="40"/>
      <c r="H1" s="40"/>
      <c r="I1" s="40"/>
      <c r="J1" s="40"/>
      <c r="K1" s="40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</row>
    <row r="2" spans="2:37" s="8" customFormat="1" ht="12.75">
      <c r="B2" s="38"/>
      <c r="C2" s="38"/>
      <c r="D2" s="39"/>
      <c r="E2" s="40"/>
      <c r="F2" s="40"/>
      <c r="G2" s="40"/>
      <c r="H2" s="40"/>
      <c r="I2" s="40"/>
      <c r="J2" s="40"/>
      <c r="K2" s="40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</row>
    <row r="3" spans="2:37" s="8" customFormat="1" ht="12.75">
      <c r="B3" s="39"/>
      <c r="C3" s="39"/>
      <c r="D3" s="39"/>
      <c r="E3" s="40"/>
      <c r="F3" s="40"/>
      <c r="G3" s="40"/>
      <c r="H3" s="40"/>
      <c r="I3" s="40"/>
      <c r="J3" s="40"/>
      <c r="K3" s="40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</row>
    <row r="4" spans="1:37" s="8" customFormat="1" ht="12.75">
      <c r="A4" s="8" t="s">
        <v>188</v>
      </c>
      <c r="B4" s="38" t="s">
        <v>184</v>
      </c>
      <c r="C4" s="38" t="s">
        <v>162</v>
      </c>
      <c r="D4" s="39"/>
      <c r="E4" s="40"/>
      <c r="F4" s="40" t="s">
        <v>208</v>
      </c>
      <c r="G4" s="40"/>
      <c r="H4" s="40" t="s">
        <v>209</v>
      </c>
      <c r="I4" s="40"/>
      <c r="J4" s="40" t="s">
        <v>210</v>
      </c>
      <c r="K4" s="40"/>
      <c r="L4" s="39" t="s">
        <v>33</v>
      </c>
      <c r="M4" s="40"/>
      <c r="N4" s="40" t="s">
        <v>208</v>
      </c>
      <c r="O4" s="40"/>
      <c r="P4" s="40" t="s">
        <v>209</v>
      </c>
      <c r="Q4" s="40"/>
      <c r="R4" s="40" t="s">
        <v>210</v>
      </c>
      <c r="S4" s="40"/>
      <c r="T4" s="39" t="s">
        <v>33</v>
      </c>
      <c r="U4" s="40"/>
      <c r="V4" s="40" t="s">
        <v>208</v>
      </c>
      <c r="W4" s="40"/>
      <c r="X4" s="40" t="s">
        <v>209</v>
      </c>
      <c r="Y4" s="40"/>
      <c r="Z4" s="40" t="s">
        <v>210</v>
      </c>
      <c r="AA4" s="40"/>
      <c r="AB4" s="39" t="s">
        <v>33</v>
      </c>
      <c r="AC4" s="39"/>
      <c r="AD4" s="39"/>
      <c r="AE4" s="40" t="s">
        <v>208</v>
      </c>
      <c r="AF4" s="40"/>
      <c r="AG4" s="40" t="s">
        <v>209</v>
      </c>
      <c r="AH4" s="40"/>
      <c r="AI4" s="40" t="s">
        <v>210</v>
      </c>
      <c r="AJ4" s="40"/>
      <c r="AK4" s="39" t="s">
        <v>33</v>
      </c>
    </row>
    <row r="5" spans="2:37" s="8" customFormat="1" ht="12.75">
      <c r="B5" s="39"/>
      <c r="C5" s="39"/>
      <c r="D5" s="39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39"/>
      <c r="AD5" s="39"/>
      <c r="AE5" s="39"/>
      <c r="AF5" s="39"/>
      <c r="AG5" s="39"/>
      <c r="AH5" s="39"/>
      <c r="AI5" s="39"/>
      <c r="AJ5" s="39"/>
      <c r="AK5" s="39"/>
    </row>
    <row r="6" spans="2:37" s="8" customFormat="1" ht="12.75">
      <c r="B6" s="39" t="s">
        <v>220</v>
      </c>
      <c r="C6" s="39"/>
      <c r="D6" s="39"/>
      <c r="E6" s="40"/>
      <c r="F6" s="40" t="s">
        <v>221</v>
      </c>
      <c r="G6" s="40"/>
      <c r="H6" s="40" t="s">
        <v>221</v>
      </c>
      <c r="I6" s="40"/>
      <c r="J6" s="40" t="s">
        <v>221</v>
      </c>
      <c r="K6" s="40"/>
      <c r="L6" s="40" t="s">
        <v>221</v>
      </c>
      <c r="M6" s="40"/>
      <c r="N6" s="40" t="s">
        <v>222</v>
      </c>
      <c r="O6" s="40"/>
      <c r="P6" s="40" t="s">
        <v>222</v>
      </c>
      <c r="Q6" s="40"/>
      <c r="R6" s="40" t="s">
        <v>222</v>
      </c>
      <c r="S6" s="40"/>
      <c r="T6" s="40" t="s">
        <v>222</v>
      </c>
      <c r="U6" s="40"/>
      <c r="V6" s="40" t="s">
        <v>223</v>
      </c>
      <c r="W6" s="40"/>
      <c r="X6" s="40" t="s">
        <v>223</v>
      </c>
      <c r="Y6" s="40"/>
      <c r="Z6" s="40" t="s">
        <v>223</v>
      </c>
      <c r="AA6" s="40"/>
      <c r="AB6" s="40" t="s">
        <v>223</v>
      </c>
      <c r="AC6" s="39"/>
      <c r="AD6" s="39"/>
      <c r="AE6" s="40" t="s">
        <v>224</v>
      </c>
      <c r="AF6" s="40"/>
      <c r="AG6" s="40" t="s">
        <v>224</v>
      </c>
      <c r="AH6" s="40"/>
      <c r="AI6" s="40" t="s">
        <v>224</v>
      </c>
      <c r="AJ6" s="39"/>
      <c r="AK6" s="40" t="s">
        <v>224</v>
      </c>
    </row>
    <row r="7" spans="2:37" s="8" customFormat="1" ht="12.75">
      <c r="B7" s="39" t="s">
        <v>219</v>
      </c>
      <c r="C7" s="39"/>
      <c r="D7" s="39"/>
      <c r="E7" s="40"/>
      <c r="F7" s="40" t="s">
        <v>225</v>
      </c>
      <c r="G7" s="40"/>
      <c r="H7" s="40" t="s">
        <v>225</v>
      </c>
      <c r="I7" s="40"/>
      <c r="J7" s="40" t="s">
        <v>225</v>
      </c>
      <c r="K7" s="40"/>
      <c r="L7" s="40" t="s">
        <v>225</v>
      </c>
      <c r="M7" s="40"/>
      <c r="N7" s="40" t="s">
        <v>226</v>
      </c>
      <c r="O7" s="40"/>
      <c r="P7" s="40" t="s">
        <v>226</v>
      </c>
      <c r="Q7" s="40"/>
      <c r="R7" s="40" t="s">
        <v>226</v>
      </c>
      <c r="S7" s="40"/>
      <c r="T7" s="40" t="s">
        <v>226</v>
      </c>
      <c r="U7" s="40"/>
      <c r="V7" s="40" t="s">
        <v>12</v>
      </c>
      <c r="W7" s="40"/>
      <c r="X7" s="40" t="s">
        <v>12</v>
      </c>
      <c r="Y7" s="40"/>
      <c r="Z7" s="40" t="s">
        <v>12</v>
      </c>
      <c r="AA7" s="40"/>
      <c r="AB7" s="40" t="s">
        <v>12</v>
      </c>
      <c r="AC7" s="39"/>
      <c r="AD7" s="39"/>
      <c r="AE7" s="40" t="s">
        <v>49</v>
      </c>
      <c r="AF7" s="39"/>
      <c r="AG7" s="40" t="s">
        <v>49</v>
      </c>
      <c r="AH7" s="39"/>
      <c r="AI7" s="40" t="s">
        <v>49</v>
      </c>
      <c r="AJ7" s="39"/>
      <c r="AK7" s="40" t="s">
        <v>49</v>
      </c>
    </row>
    <row r="8" spans="2:37" s="8" customFormat="1" ht="12.75">
      <c r="B8" s="39" t="s">
        <v>229</v>
      </c>
      <c r="C8" s="39"/>
      <c r="D8" s="39"/>
      <c r="E8" s="40"/>
      <c r="F8" s="40" t="s">
        <v>1</v>
      </c>
      <c r="G8" s="40"/>
      <c r="H8" s="40" t="s">
        <v>1</v>
      </c>
      <c r="I8" s="40"/>
      <c r="J8" s="40" t="s">
        <v>1</v>
      </c>
      <c r="K8" s="40"/>
      <c r="L8" s="40" t="s">
        <v>1</v>
      </c>
      <c r="M8" s="40"/>
      <c r="N8" s="40" t="s">
        <v>230</v>
      </c>
      <c r="O8" s="40"/>
      <c r="P8" s="40" t="s">
        <v>230</v>
      </c>
      <c r="Q8" s="40"/>
      <c r="R8" s="40" t="s">
        <v>230</v>
      </c>
      <c r="S8" s="40"/>
      <c r="T8" s="40" t="s">
        <v>230</v>
      </c>
      <c r="U8" s="40"/>
      <c r="V8" s="40" t="s">
        <v>12</v>
      </c>
      <c r="W8" s="40"/>
      <c r="X8" s="40" t="s">
        <v>12</v>
      </c>
      <c r="Y8" s="40"/>
      <c r="Z8" s="40" t="s">
        <v>12</v>
      </c>
      <c r="AA8" s="40"/>
      <c r="AB8" s="40" t="s">
        <v>12</v>
      </c>
      <c r="AC8" s="39"/>
      <c r="AD8" s="39"/>
      <c r="AE8" s="40" t="s">
        <v>49</v>
      </c>
      <c r="AF8" s="39"/>
      <c r="AG8" s="40" t="s">
        <v>49</v>
      </c>
      <c r="AH8" s="39"/>
      <c r="AI8" s="40" t="s">
        <v>49</v>
      </c>
      <c r="AJ8" s="39"/>
      <c r="AK8" s="40" t="s">
        <v>49</v>
      </c>
    </row>
    <row r="9" spans="2:37" s="8" customFormat="1" ht="12.75">
      <c r="B9" s="39" t="s">
        <v>192</v>
      </c>
      <c r="C9" s="39"/>
      <c r="D9" s="39"/>
      <c r="E9" s="40"/>
      <c r="F9" s="40" t="s">
        <v>114</v>
      </c>
      <c r="G9" s="40"/>
      <c r="H9" s="40" t="s">
        <v>114</v>
      </c>
      <c r="I9" s="40"/>
      <c r="J9" s="40" t="s">
        <v>114</v>
      </c>
      <c r="K9" s="40"/>
      <c r="L9" s="40" t="s">
        <v>114</v>
      </c>
      <c r="M9" s="40"/>
      <c r="N9" s="40" t="s">
        <v>109</v>
      </c>
      <c r="O9" s="40"/>
      <c r="P9" s="40" t="s">
        <v>109</v>
      </c>
      <c r="Q9" s="40"/>
      <c r="R9" s="40" t="s">
        <v>109</v>
      </c>
      <c r="S9" s="40"/>
      <c r="T9" s="40" t="s">
        <v>109</v>
      </c>
      <c r="U9" s="40"/>
      <c r="V9" s="40" t="s">
        <v>12</v>
      </c>
      <c r="W9" s="40"/>
      <c r="X9" s="40" t="s">
        <v>12</v>
      </c>
      <c r="Y9" s="40"/>
      <c r="Z9" s="40" t="s">
        <v>12</v>
      </c>
      <c r="AA9" s="40"/>
      <c r="AB9" s="40" t="s">
        <v>12</v>
      </c>
      <c r="AE9" s="40" t="s">
        <v>49</v>
      </c>
      <c r="AG9" s="40" t="s">
        <v>49</v>
      </c>
      <c r="AI9" s="40" t="s">
        <v>49</v>
      </c>
      <c r="AK9" s="40" t="s">
        <v>49</v>
      </c>
    </row>
    <row r="10" spans="2:37" s="8" customFormat="1" ht="12.75">
      <c r="B10" s="39" t="s">
        <v>228</v>
      </c>
      <c r="C10" s="39"/>
      <c r="D10" s="39" t="s">
        <v>40</v>
      </c>
      <c r="E10" s="40"/>
      <c r="F10" s="54">
        <v>472</v>
      </c>
      <c r="G10" s="40"/>
      <c r="H10" s="54">
        <v>455</v>
      </c>
      <c r="I10" s="40"/>
      <c r="J10" s="54">
        <v>452</v>
      </c>
      <c r="K10" s="40"/>
      <c r="L10" s="39">
        <v>460</v>
      </c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10"/>
      <c r="AD10" s="10"/>
      <c r="AE10" s="42"/>
      <c r="AF10" s="10"/>
      <c r="AG10" s="42"/>
      <c r="AH10" s="10"/>
      <c r="AI10" s="42"/>
      <c r="AJ10" s="10"/>
      <c r="AK10" s="42"/>
    </row>
    <row r="11" spans="2:37" s="8" customFormat="1" ht="12.75">
      <c r="B11" s="39" t="s">
        <v>107</v>
      </c>
      <c r="C11" s="39"/>
      <c r="D11" s="39" t="s">
        <v>108</v>
      </c>
      <c r="E11" s="40"/>
      <c r="F11" s="54"/>
      <c r="G11" s="40"/>
      <c r="H11" s="54"/>
      <c r="I11" s="40"/>
      <c r="J11" s="54"/>
      <c r="K11" s="40"/>
      <c r="L11" s="42">
        <v>8232</v>
      </c>
      <c r="M11" s="42"/>
      <c r="N11" s="39"/>
      <c r="O11" s="42"/>
      <c r="P11" s="39"/>
      <c r="Q11" s="42"/>
      <c r="R11" s="39"/>
      <c r="S11" s="42"/>
      <c r="T11" s="39"/>
      <c r="U11" s="39"/>
      <c r="V11" s="39"/>
      <c r="W11" s="39"/>
      <c r="X11" s="39"/>
      <c r="Y11" s="39"/>
      <c r="Z11" s="39"/>
      <c r="AA11" s="39"/>
      <c r="AB11" s="39"/>
      <c r="AC11" s="10"/>
      <c r="AD11" s="10"/>
      <c r="AE11" s="42"/>
      <c r="AF11" s="10"/>
      <c r="AG11" s="42"/>
      <c r="AH11" s="10"/>
      <c r="AI11" s="42"/>
      <c r="AJ11" s="10"/>
      <c r="AK11" s="42"/>
    </row>
    <row r="12" spans="2:37" s="8" customFormat="1" ht="12.75">
      <c r="B12" s="39" t="s">
        <v>39</v>
      </c>
      <c r="C12" s="39"/>
      <c r="D12" s="39" t="s">
        <v>85</v>
      </c>
      <c r="E12" s="40"/>
      <c r="F12" s="54">
        <v>4.2</v>
      </c>
      <c r="G12" s="40"/>
      <c r="H12" s="54">
        <v>4</v>
      </c>
      <c r="I12" s="40"/>
      <c r="J12" s="54">
        <v>4.1</v>
      </c>
      <c r="K12" s="40"/>
      <c r="L12" s="39">
        <v>4.1</v>
      </c>
      <c r="M12" s="39"/>
      <c r="N12" s="39">
        <v>1.4</v>
      </c>
      <c r="O12" s="39"/>
      <c r="P12" s="39">
        <v>1.4</v>
      </c>
      <c r="Q12" s="39"/>
      <c r="R12" s="39">
        <v>1.4</v>
      </c>
      <c r="S12" s="39"/>
      <c r="T12" s="39">
        <v>1.4</v>
      </c>
      <c r="U12" s="39"/>
      <c r="V12" s="39"/>
      <c r="W12" s="39"/>
      <c r="X12" s="39"/>
      <c r="Y12" s="39"/>
      <c r="Z12" s="39"/>
      <c r="AA12" s="39"/>
      <c r="AB12" s="39"/>
      <c r="AC12" s="11"/>
      <c r="AD12" s="11"/>
      <c r="AE12" s="39"/>
      <c r="AF12" s="11"/>
      <c r="AG12" s="39"/>
      <c r="AH12" s="11"/>
      <c r="AI12" s="39"/>
      <c r="AJ12" s="11"/>
      <c r="AK12" s="39"/>
    </row>
    <row r="13" spans="2:37" s="8" customFormat="1" ht="12.75">
      <c r="B13" s="39" t="s">
        <v>8</v>
      </c>
      <c r="C13" s="39"/>
      <c r="D13" s="39" t="s">
        <v>40</v>
      </c>
      <c r="E13" s="40" t="s">
        <v>37</v>
      </c>
      <c r="F13" s="54">
        <v>0.0472</v>
      </c>
      <c r="G13" s="40" t="s">
        <v>37</v>
      </c>
      <c r="H13" s="54">
        <v>0.0455</v>
      </c>
      <c r="I13" s="40" t="s">
        <v>37</v>
      </c>
      <c r="J13" s="54">
        <v>0.0452</v>
      </c>
      <c r="K13" s="40"/>
      <c r="L13" s="39">
        <v>0.46</v>
      </c>
      <c r="M13" s="39"/>
      <c r="N13" s="39"/>
      <c r="O13" s="39"/>
      <c r="P13" s="39"/>
      <c r="Q13" s="39"/>
      <c r="R13" s="39"/>
      <c r="S13" s="39"/>
      <c r="T13" s="39"/>
      <c r="U13" s="39"/>
      <c r="V13" s="39">
        <f>AE13-F13</f>
        <v>2.2327999999999997</v>
      </c>
      <c r="W13" s="39"/>
      <c r="X13" s="39">
        <f>AG13-H13</f>
        <v>2.2344999999999997</v>
      </c>
      <c r="Y13" s="39"/>
      <c r="Z13" s="39">
        <f>AI13-J13</f>
        <v>2.2348</v>
      </c>
      <c r="AA13" s="39"/>
      <c r="AB13" s="39">
        <f>AK13-L13</f>
        <v>1.8199999999999998</v>
      </c>
      <c r="AC13" s="12"/>
      <c r="AD13" s="12"/>
      <c r="AE13" s="39">
        <v>2.28</v>
      </c>
      <c r="AF13" s="12"/>
      <c r="AG13" s="39">
        <v>2.28</v>
      </c>
      <c r="AH13" s="12"/>
      <c r="AI13" s="39">
        <v>2.28</v>
      </c>
      <c r="AJ13" s="12"/>
      <c r="AK13" s="39">
        <v>2.28</v>
      </c>
    </row>
    <row r="14" spans="2:37" s="8" customFormat="1" ht="12.75">
      <c r="B14" s="39" t="s">
        <v>41</v>
      </c>
      <c r="C14" s="39"/>
      <c r="D14" s="39" t="s">
        <v>40</v>
      </c>
      <c r="E14" s="40"/>
      <c r="F14" s="71">
        <f>61.9/100*F10</f>
        <v>292.168</v>
      </c>
      <c r="G14" s="40"/>
      <c r="H14" s="71">
        <f>77.5/100*H10</f>
        <v>352.625</v>
      </c>
      <c r="I14" s="40"/>
      <c r="J14" s="71">
        <f>62.1/100*J10</f>
        <v>280.692</v>
      </c>
      <c r="K14" s="40"/>
      <c r="L14" s="42">
        <v>309</v>
      </c>
      <c r="M14" s="42"/>
      <c r="N14" s="42"/>
      <c r="O14" s="42"/>
      <c r="P14" s="42"/>
      <c r="Q14" s="42"/>
      <c r="R14" s="42"/>
      <c r="S14" s="42"/>
      <c r="T14" s="39"/>
      <c r="U14" s="39"/>
      <c r="V14" s="42">
        <f>AE14-F14</f>
        <v>1125.1653333333334</v>
      </c>
      <c r="W14" s="39"/>
      <c r="X14" s="42">
        <f>AG14-H14</f>
        <v>1064.7083333333333</v>
      </c>
      <c r="Y14" s="39"/>
      <c r="Z14" s="42">
        <f>AI14-J14</f>
        <v>1136.6413333333333</v>
      </c>
      <c r="AA14" s="39"/>
      <c r="AB14" s="42">
        <f>AK14-L14</f>
        <v>1108.3333333333333</v>
      </c>
      <c r="AC14" s="11"/>
      <c r="AD14" s="11"/>
      <c r="AE14" s="42">
        <v>1417.3333333333333</v>
      </c>
      <c r="AF14" s="11"/>
      <c r="AG14" s="42">
        <v>1417.3333333333333</v>
      </c>
      <c r="AH14" s="11"/>
      <c r="AI14" s="42">
        <v>1417.3333333333333</v>
      </c>
      <c r="AJ14" s="11"/>
      <c r="AK14" s="42">
        <v>1417.3333333333333</v>
      </c>
    </row>
    <row r="15" spans="2:37" s="8" customFormat="1" ht="12.75">
      <c r="B15" s="39" t="s">
        <v>158</v>
      </c>
      <c r="C15" s="39"/>
      <c r="D15" s="39" t="s">
        <v>106</v>
      </c>
      <c r="E15" s="40"/>
      <c r="F15" s="44">
        <f>(2.97/10^6)*F10*454</f>
        <v>0.63643536</v>
      </c>
      <c r="G15" s="40"/>
      <c r="H15" s="44">
        <f>(3.56/10^6)*H10*454</f>
        <v>0.7353892</v>
      </c>
      <c r="I15" s="40"/>
      <c r="J15" s="44">
        <f>(3.93/10^6)*J10*454</f>
        <v>0.8064674400000001</v>
      </c>
      <c r="K15" s="40"/>
      <c r="L15" s="44">
        <f>(3.49/10^6)*L10*454</f>
        <v>0.7288516</v>
      </c>
      <c r="M15" s="44"/>
      <c r="N15" s="44"/>
      <c r="O15" s="44"/>
      <c r="P15" s="44"/>
      <c r="Q15" s="44"/>
      <c r="R15" s="44"/>
      <c r="S15" s="44"/>
      <c r="T15" s="43"/>
      <c r="U15" s="39"/>
      <c r="V15" s="51">
        <f>AE15-F15</f>
        <v>0.18056463999999994</v>
      </c>
      <c r="W15" s="39"/>
      <c r="X15" s="51">
        <f>AG15-H15</f>
        <v>0.08161079999999998</v>
      </c>
      <c r="Y15" s="39"/>
      <c r="Z15" s="51">
        <f>AI15-J15</f>
        <v>0.010532559999999802</v>
      </c>
      <c r="AA15" s="39"/>
      <c r="AB15" s="51">
        <f>AK15-L15</f>
        <v>0.0881483999999999</v>
      </c>
      <c r="AC15" s="12"/>
      <c r="AD15" s="12"/>
      <c r="AE15" s="51">
        <v>0.817</v>
      </c>
      <c r="AF15" s="12"/>
      <c r="AG15" s="51">
        <v>0.817</v>
      </c>
      <c r="AH15" s="12"/>
      <c r="AI15" s="51">
        <v>0.817</v>
      </c>
      <c r="AJ15" s="12"/>
      <c r="AK15" s="51">
        <v>0.817</v>
      </c>
    </row>
    <row r="16" spans="2:37" s="8" customFormat="1" ht="12.75">
      <c r="B16" s="39" t="s">
        <v>178</v>
      </c>
      <c r="C16" s="39"/>
      <c r="D16" s="39" t="s">
        <v>106</v>
      </c>
      <c r="E16" s="40"/>
      <c r="F16" s="44">
        <f>(0.44/10^6)*F10*454</f>
        <v>0.09428672</v>
      </c>
      <c r="G16" s="40"/>
      <c r="H16" s="44">
        <f>(0.184/10^6)*H10*454</f>
        <v>0.03800888</v>
      </c>
      <c r="I16" s="40"/>
      <c r="J16" s="44">
        <f>(0.184/10^6)*J10*454</f>
        <v>0.037758272</v>
      </c>
      <c r="K16" s="40"/>
      <c r="L16" s="44">
        <f>(0.184/10^6)*L10*454</f>
        <v>0.03842656</v>
      </c>
      <c r="M16" s="44"/>
      <c r="N16" s="44"/>
      <c r="O16" s="44"/>
      <c r="P16" s="44"/>
      <c r="Q16" s="44"/>
      <c r="R16" s="44"/>
      <c r="S16" s="44"/>
      <c r="T16" s="43"/>
      <c r="U16" s="39"/>
      <c r="V16" s="43"/>
      <c r="W16" s="39"/>
      <c r="X16" s="43"/>
      <c r="Y16" s="39"/>
      <c r="Z16" s="43"/>
      <c r="AA16" s="39"/>
      <c r="AB16" s="43"/>
      <c r="AC16" s="12"/>
      <c r="AD16" s="12"/>
      <c r="AE16" s="51"/>
      <c r="AF16" s="12"/>
      <c r="AG16" s="51"/>
      <c r="AH16" s="12"/>
      <c r="AI16" s="51"/>
      <c r="AJ16" s="12"/>
      <c r="AK16" s="51"/>
    </row>
    <row r="17" spans="2:37" s="8" customFormat="1" ht="12.75">
      <c r="B17" s="39" t="s">
        <v>179</v>
      </c>
      <c r="C17" s="39"/>
      <c r="D17" s="39" t="s">
        <v>106</v>
      </c>
      <c r="E17" s="40"/>
      <c r="F17" s="44">
        <f>(0.06/10^6)*F10*454</f>
        <v>0.012857279999999999</v>
      </c>
      <c r="G17" s="40"/>
      <c r="H17" s="44">
        <f>(0.04/10^6)*H10*454</f>
        <v>0.0082628</v>
      </c>
      <c r="I17" s="40"/>
      <c r="J17" s="44">
        <f>(0.0312/10^6)*J10*454</f>
        <v>0.0064024896</v>
      </c>
      <c r="K17" s="40"/>
      <c r="L17" s="44">
        <f>(0.0437/10^6)*L10*454</f>
        <v>0.009126308000000001</v>
      </c>
      <c r="M17" s="44"/>
      <c r="N17" s="44"/>
      <c r="O17" s="44"/>
      <c r="P17" s="44"/>
      <c r="Q17" s="44"/>
      <c r="R17" s="44"/>
      <c r="S17" s="44"/>
      <c r="T17" s="43"/>
      <c r="U17" s="39"/>
      <c r="V17" s="43"/>
      <c r="W17" s="39"/>
      <c r="X17" s="43"/>
      <c r="Y17" s="39"/>
      <c r="Z17" s="43"/>
      <c r="AA17" s="39"/>
      <c r="AB17" s="43"/>
      <c r="AC17" s="12"/>
      <c r="AD17" s="12"/>
      <c r="AE17" s="51"/>
      <c r="AF17" s="12"/>
      <c r="AG17" s="51"/>
      <c r="AH17" s="12"/>
      <c r="AI17" s="51"/>
      <c r="AJ17" s="12"/>
      <c r="AK17" s="51"/>
    </row>
    <row r="18" spans="2:37" s="8" customFormat="1" ht="12.75">
      <c r="B18" s="39" t="s">
        <v>159</v>
      </c>
      <c r="C18" s="39"/>
      <c r="D18" s="39" t="s">
        <v>106</v>
      </c>
      <c r="E18" s="40" t="s">
        <v>37</v>
      </c>
      <c r="F18" s="44">
        <f>(0.094/10^6)*F10*454</f>
        <v>0.020143072</v>
      </c>
      <c r="G18" s="40" t="s">
        <v>37</v>
      </c>
      <c r="H18" s="44">
        <f>(0.094/10^6)*H10*454</f>
        <v>0.01941758</v>
      </c>
      <c r="I18" s="40" t="s">
        <v>37</v>
      </c>
      <c r="J18" s="44">
        <f>(0.0979/10^6)*J10*454</f>
        <v>0.0200898632</v>
      </c>
      <c r="K18" s="40"/>
      <c r="L18" s="44">
        <f>(0.0953/10^6)*L10*454</f>
        <v>0.019902452</v>
      </c>
      <c r="M18" s="44"/>
      <c r="N18" s="44"/>
      <c r="O18" s="44"/>
      <c r="P18" s="44"/>
      <c r="Q18" s="44"/>
      <c r="R18" s="44"/>
      <c r="S18" s="44"/>
      <c r="T18" s="43"/>
      <c r="U18" s="39"/>
      <c r="V18" s="51">
        <f>AE18-F18</f>
        <v>0.056856928</v>
      </c>
      <c r="W18" s="39"/>
      <c r="X18" s="51">
        <f>AG18-H18</f>
        <v>0.057582419999999995</v>
      </c>
      <c r="Y18" s="39"/>
      <c r="Z18" s="51">
        <f>AI18-J18</f>
        <v>0.0569101368</v>
      </c>
      <c r="AA18" s="39"/>
      <c r="AB18" s="51">
        <f>AK18-L18</f>
        <v>0.057097548</v>
      </c>
      <c r="AC18" s="12"/>
      <c r="AD18" s="12"/>
      <c r="AE18" s="51">
        <v>0.077</v>
      </c>
      <c r="AF18" s="12"/>
      <c r="AG18" s="51">
        <v>0.077</v>
      </c>
      <c r="AH18" s="12"/>
      <c r="AI18" s="51">
        <v>0.077</v>
      </c>
      <c r="AJ18" s="12"/>
      <c r="AK18" s="51">
        <v>0.077</v>
      </c>
    </row>
    <row r="19" spans="2:37" s="8" customFormat="1" ht="12.75">
      <c r="B19" s="39" t="s">
        <v>175</v>
      </c>
      <c r="C19" s="39"/>
      <c r="D19" s="39" t="s">
        <v>106</v>
      </c>
      <c r="E19" s="40"/>
      <c r="F19" s="44">
        <f>(0.202/10^6)*F10*454</f>
        <v>0.043286176</v>
      </c>
      <c r="G19" s="40"/>
      <c r="H19" s="44">
        <f>(0.162/10^6)*H10*454</f>
        <v>0.03346434</v>
      </c>
      <c r="I19" s="40"/>
      <c r="J19" s="44">
        <f>(0.262/10^6)*J10*454</f>
        <v>0.053764495999999995</v>
      </c>
      <c r="K19" s="40"/>
      <c r="L19" s="44">
        <f>(0.209/10^6)*L10*454</f>
        <v>0.043647559999999995</v>
      </c>
      <c r="M19" s="44"/>
      <c r="N19" s="44"/>
      <c r="O19" s="44"/>
      <c r="P19" s="44"/>
      <c r="Q19" s="44"/>
      <c r="R19" s="44"/>
      <c r="S19" s="44"/>
      <c r="T19" s="43"/>
      <c r="U19" s="39"/>
      <c r="V19" s="43">
        <f>AE19-F19</f>
        <v>3.452713824</v>
      </c>
      <c r="W19" s="39"/>
      <c r="X19" s="43">
        <f>AG19-H19</f>
        <v>3.46253566</v>
      </c>
      <c r="Y19" s="39"/>
      <c r="Z19" s="43">
        <f>AI19-J19</f>
        <v>3.442235504</v>
      </c>
      <c r="AA19" s="39"/>
      <c r="AB19" s="43">
        <f>AK19-L19</f>
        <v>3.45235244</v>
      </c>
      <c r="AC19" s="12"/>
      <c r="AD19" s="12"/>
      <c r="AE19" s="51">
        <v>3.496</v>
      </c>
      <c r="AF19" s="12"/>
      <c r="AG19" s="51">
        <v>3.496</v>
      </c>
      <c r="AH19" s="12"/>
      <c r="AI19" s="51">
        <v>3.496</v>
      </c>
      <c r="AJ19" s="12"/>
      <c r="AK19" s="51">
        <v>3.496</v>
      </c>
    </row>
    <row r="20" spans="2:37" s="8" customFormat="1" ht="12.75">
      <c r="B20" s="39" t="s">
        <v>196</v>
      </c>
      <c r="C20" s="39"/>
      <c r="D20" s="39" t="s">
        <v>106</v>
      </c>
      <c r="E20" s="40" t="s">
        <v>37</v>
      </c>
      <c r="F20" s="44">
        <f>(0.117/10^6)*F10*454</f>
        <v>0.025071696</v>
      </c>
      <c r="G20" s="40" t="s">
        <v>37</v>
      </c>
      <c r="H20" s="44">
        <f>(0.117/10^6)*H10*454</f>
        <v>0.02416869</v>
      </c>
      <c r="I20" s="40" t="s">
        <v>37</v>
      </c>
      <c r="J20" s="44">
        <f>(0.117/10^6)*J10*454</f>
        <v>0.024009336000000003</v>
      </c>
      <c r="K20" s="40"/>
      <c r="L20" s="44">
        <f>(0.117/10^6)*L10*454</f>
        <v>0.024434280000000003</v>
      </c>
      <c r="M20" s="44"/>
      <c r="N20" s="44"/>
      <c r="O20" s="44"/>
      <c r="P20" s="44"/>
      <c r="Q20" s="44"/>
      <c r="R20" s="44"/>
      <c r="S20" s="44"/>
      <c r="T20" s="43"/>
      <c r="U20" s="39"/>
      <c r="V20" s="51"/>
      <c r="W20" s="39"/>
      <c r="X20" s="51"/>
      <c r="Y20" s="39"/>
      <c r="Z20" s="51"/>
      <c r="AA20" s="39"/>
      <c r="AB20" s="51"/>
      <c r="AC20" s="12"/>
      <c r="AD20" s="12"/>
      <c r="AE20" s="51"/>
      <c r="AF20" s="12"/>
      <c r="AG20" s="51"/>
      <c r="AH20" s="12"/>
      <c r="AI20" s="51"/>
      <c r="AJ20" s="12"/>
      <c r="AK20" s="51"/>
    </row>
    <row r="21" spans="2:37" s="8" customFormat="1" ht="12.75">
      <c r="B21" s="39" t="s">
        <v>182</v>
      </c>
      <c r="C21" s="39"/>
      <c r="D21" s="39" t="s">
        <v>106</v>
      </c>
      <c r="E21" s="40"/>
      <c r="F21" s="44">
        <f>(2.08/10^6)*F10*454</f>
        <v>0.44571903999999996</v>
      </c>
      <c r="G21" s="40"/>
      <c r="H21" s="44">
        <f>(2.04/10^6)*H10*454</f>
        <v>0.4214028</v>
      </c>
      <c r="I21" s="40"/>
      <c r="J21" s="44">
        <f>(2.36/10^6)*J10*454</f>
        <v>0.48429088</v>
      </c>
      <c r="K21" s="40"/>
      <c r="L21" s="44">
        <f>(2.16/10^6)*L10*454</f>
        <v>0.45109440000000006</v>
      </c>
      <c r="M21" s="44"/>
      <c r="N21" s="44"/>
      <c r="O21" s="44"/>
      <c r="P21" s="44"/>
      <c r="Q21" s="44"/>
      <c r="R21" s="44"/>
      <c r="S21" s="44"/>
      <c r="T21" s="43"/>
      <c r="U21" s="39"/>
      <c r="V21" s="51"/>
      <c r="W21" s="39"/>
      <c r="X21" s="51"/>
      <c r="Y21" s="39"/>
      <c r="Z21" s="51"/>
      <c r="AA21" s="39"/>
      <c r="AB21" s="51"/>
      <c r="AC21" s="12"/>
      <c r="AD21" s="12"/>
      <c r="AE21" s="51"/>
      <c r="AF21" s="12"/>
      <c r="AG21" s="51"/>
      <c r="AH21" s="12"/>
      <c r="AI21" s="51"/>
      <c r="AJ21" s="12"/>
      <c r="AK21" s="51"/>
    </row>
    <row r="22" spans="2:37" s="8" customFormat="1" ht="12.75">
      <c r="B22" s="39" t="s">
        <v>191</v>
      </c>
      <c r="C22" s="39"/>
      <c r="D22" s="39" t="s">
        <v>106</v>
      </c>
      <c r="E22" s="40"/>
      <c r="F22" s="44">
        <f>(0.216/10^6)*F10*460</f>
        <v>0.04689792</v>
      </c>
      <c r="G22" s="40"/>
      <c r="H22" s="44">
        <f>(0.196/10^6)*H10*454</f>
        <v>0.040487720000000005</v>
      </c>
      <c r="I22" s="40"/>
      <c r="J22" s="44">
        <f>(0.194/10^6)*J10*454</f>
        <v>0.039810352</v>
      </c>
      <c r="K22" s="40"/>
      <c r="L22" s="44">
        <f>(0.202/10^6)*L10*454</f>
        <v>0.042185679999999996</v>
      </c>
      <c r="M22" s="44"/>
      <c r="N22" s="44"/>
      <c r="O22" s="44"/>
      <c r="P22" s="44"/>
      <c r="Q22" s="44"/>
      <c r="R22" s="44"/>
      <c r="S22" s="44"/>
      <c r="T22" s="43"/>
      <c r="U22" s="39"/>
      <c r="V22" s="51"/>
      <c r="W22" s="39"/>
      <c r="X22" s="51"/>
      <c r="Y22" s="39"/>
      <c r="Z22" s="51"/>
      <c r="AA22" s="39"/>
      <c r="AB22" s="51"/>
      <c r="AC22" s="12"/>
      <c r="AD22" s="12"/>
      <c r="AE22" s="51"/>
      <c r="AF22" s="12"/>
      <c r="AG22" s="51"/>
      <c r="AH22" s="12"/>
      <c r="AI22" s="51"/>
      <c r="AJ22" s="12"/>
      <c r="AK22" s="51"/>
    </row>
    <row r="23" spans="2:37" s="8" customFormat="1" ht="12.75">
      <c r="B23" s="39" t="s">
        <v>160</v>
      </c>
      <c r="C23" s="39"/>
      <c r="D23" s="39" t="s">
        <v>106</v>
      </c>
      <c r="E23" s="40" t="s">
        <v>37</v>
      </c>
      <c r="F23" s="44">
        <f>(0.332/10^6)*F10*454</f>
        <v>0.07114361599999999</v>
      </c>
      <c r="G23" s="40" t="s">
        <v>37</v>
      </c>
      <c r="H23" s="44">
        <f>(0.332/10^6)*H10*454</f>
        <v>0.06858124</v>
      </c>
      <c r="I23" s="40" t="s">
        <v>37</v>
      </c>
      <c r="J23" s="44">
        <f>(0.346/10^6)*J10*454</f>
        <v>0.071001968</v>
      </c>
      <c r="K23" s="40"/>
      <c r="L23" s="44">
        <f>(0.337/10^6)*L10*454</f>
        <v>0.07037908000000001</v>
      </c>
      <c r="M23" s="44"/>
      <c r="N23" s="44"/>
      <c r="O23" s="44"/>
      <c r="P23" s="44"/>
      <c r="Q23" s="44"/>
      <c r="R23" s="44"/>
      <c r="S23" s="44"/>
      <c r="T23" s="43"/>
      <c r="U23" s="39"/>
      <c r="V23" s="43">
        <f>AE23-F23</f>
        <v>16.228856384</v>
      </c>
      <c r="W23" s="39"/>
      <c r="X23" s="43">
        <f>AG23-H23</f>
        <v>16.23141876</v>
      </c>
      <c r="Y23" s="39"/>
      <c r="Z23" s="43">
        <f>AI23-J23</f>
        <v>16.228998032</v>
      </c>
      <c r="AA23" s="39"/>
      <c r="AB23" s="43">
        <f>AK23-L23</f>
        <v>16.229620920000002</v>
      </c>
      <c r="AC23" s="12"/>
      <c r="AD23" s="12"/>
      <c r="AE23" s="51">
        <v>16.3</v>
      </c>
      <c r="AF23" s="12"/>
      <c r="AG23" s="51">
        <v>16.3</v>
      </c>
      <c r="AH23" s="12"/>
      <c r="AI23" s="51">
        <v>16.3</v>
      </c>
      <c r="AJ23" s="12"/>
      <c r="AK23" s="51">
        <v>16.3</v>
      </c>
    </row>
    <row r="24" spans="2:37" s="8" customFormat="1" ht="12.75">
      <c r="B24" s="39" t="s">
        <v>227</v>
      </c>
      <c r="C24" s="39"/>
      <c r="D24" s="39" t="s">
        <v>106</v>
      </c>
      <c r="E24" s="40"/>
      <c r="F24" s="44">
        <f>(13.5/10^6)*F10*454</f>
        <v>2.892888</v>
      </c>
      <c r="G24" s="40"/>
      <c r="H24" s="44">
        <f>(13.5/10^6)*H10*454</f>
        <v>2.7886949999999997</v>
      </c>
      <c r="I24" s="40"/>
      <c r="J24" s="44">
        <f>(13.5/10^6)*J10*454</f>
        <v>2.770308</v>
      </c>
      <c r="K24" s="40"/>
      <c r="L24" s="44">
        <f>(13.5/10^6)*L10*454</f>
        <v>2.8193399999999995</v>
      </c>
      <c r="M24" s="44"/>
      <c r="N24" s="44"/>
      <c r="O24" s="44"/>
      <c r="P24" s="44"/>
      <c r="Q24" s="44"/>
      <c r="R24" s="44"/>
      <c r="S24" s="44"/>
      <c r="T24" s="39"/>
      <c r="U24" s="39"/>
      <c r="V24" s="39"/>
      <c r="W24" s="39"/>
      <c r="X24" s="39"/>
      <c r="Y24" s="39"/>
      <c r="Z24" s="39"/>
      <c r="AA24" s="39"/>
      <c r="AB24" s="51"/>
      <c r="AC24" s="12"/>
      <c r="AD24" s="12"/>
      <c r="AE24" s="12"/>
      <c r="AF24" s="12"/>
      <c r="AG24" s="12"/>
      <c r="AH24" s="12"/>
      <c r="AI24" s="12"/>
      <c r="AJ24" s="12"/>
      <c r="AK24" s="51"/>
    </row>
    <row r="25" spans="2:37" s="8" customFormat="1" ht="12.75">
      <c r="B25" s="39" t="s">
        <v>181</v>
      </c>
      <c r="C25" s="39"/>
      <c r="D25" s="39" t="s">
        <v>106</v>
      </c>
      <c r="E25" s="40" t="s">
        <v>37</v>
      </c>
      <c r="F25" s="44">
        <f>(4.54/10^6)*F10*454</f>
        <v>0.9728675199999999</v>
      </c>
      <c r="G25" s="40" t="s">
        <v>37</v>
      </c>
      <c r="H25" s="44">
        <f>(4.54/10^6)*H10*454</f>
        <v>0.9378277999999999</v>
      </c>
      <c r="I25" s="40" t="s">
        <v>37</v>
      </c>
      <c r="J25" s="44">
        <f>(4.54/10^6)*J10*454</f>
        <v>0.93164432</v>
      </c>
      <c r="K25" s="40"/>
      <c r="L25" s="44">
        <f>(4.54/10^6)*L10*454</f>
        <v>0.9481335999999999</v>
      </c>
      <c r="M25" s="44"/>
      <c r="N25" s="44"/>
      <c r="O25" s="44"/>
      <c r="P25" s="44"/>
      <c r="Q25" s="44"/>
      <c r="R25" s="44"/>
      <c r="S25" s="44"/>
      <c r="T25" s="39"/>
      <c r="U25" s="39"/>
      <c r="V25" s="39"/>
      <c r="W25" s="39"/>
      <c r="X25" s="39"/>
      <c r="Y25" s="39"/>
      <c r="Z25" s="39"/>
      <c r="AA25" s="39"/>
      <c r="AB25" s="51"/>
      <c r="AC25" s="12"/>
      <c r="AD25" s="12"/>
      <c r="AE25" s="12"/>
      <c r="AF25" s="12"/>
      <c r="AG25" s="12"/>
      <c r="AH25" s="12"/>
      <c r="AI25" s="12"/>
      <c r="AJ25" s="12"/>
      <c r="AK25" s="51"/>
    </row>
    <row r="26" spans="2:37" s="8" customFormat="1" ht="12.75">
      <c r="B26" s="39" t="s">
        <v>180</v>
      </c>
      <c r="C26" s="39"/>
      <c r="D26" s="39" t="s">
        <v>106</v>
      </c>
      <c r="E26" s="40" t="s">
        <v>37</v>
      </c>
      <c r="F26" s="44">
        <f>(0.32/10^6)*F10*454</f>
        <v>0.06857216</v>
      </c>
      <c r="G26" s="40" t="s">
        <v>37</v>
      </c>
      <c r="H26" s="44">
        <f>(0.32/10^6)*H10*454</f>
        <v>0.0661024</v>
      </c>
      <c r="I26" s="40" t="s">
        <v>37</v>
      </c>
      <c r="J26" s="44">
        <f>(0.32/10^6)*J10*454</f>
        <v>0.06566656</v>
      </c>
      <c r="K26" s="40"/>
      <c r="L26" s="44">
        <f>(0.32/10^6)*L10*454</f>
        <v>0.0668288</v>
      </c>
      <c r="M26" s="44"/>
      <c r="N26" s="44"/>
      <c r="O26" s="44"/>
      <c r="P26" s="44"/>
      <c r="Q26" s="44"/>
      <c r="R26" s="44"/>
      <c r="S26" s="44"/>
      <c r="T26" s="39"/>
      <c r="U26" s="39"/>
      <c r="V26" s="39"/>
      <c r="W26" s="39"/>
      <c r="X26" s="39"/>
      <c r="Y26" s="39"/>
      <c r="Z26" s="39"/>
      <c r="AA26" s="39"/>
      <c r="AB26" s="51"/>
      <c r="AC26" s="12"/>
      <c r="AD26" s="12"/>
      <c r="AE26" s="12"/>
      <c r="AF26" s="12"/>
      <c r="AG26" s="12"/>
      <c r="AH26" s="12"/>
      <c r="AI26" s="12"/>
      <c r="AJ26" s="12"/>
      <c r="AK26" s="51"/>
    </row>
    <row r="27" spans="2:37" s="8" customFormat="1" ht="12.75">
      <c r="B27" s="39" t="s">
        <v>190</v>
      </c>
      <c r="C27" s="39"/>
      <c r="D27" s="39" t="s">
        <v>106</v>
      </c>
      <c r="E27" s="40" t="s">
        <v>37</v>
      </c>
      <c r="F27" s="44">
        <f>(0.012/10^6)*F10*454</f>
        <v>0.002571456</v>
      </c>
      <c r="G27" s="40"/>
      <c r="H27" s="44">
        <f>(0.0321/10^6)*H10*454</f>
        <v>0.006630896999999999</v>
      </c>
      <c r="I27" s="40"/>
      <c r="J27" s="44">
        <f>(0.0371/10^6)*J10*454</f>
        <v>0.007613216800000001</v>
      </c>
      <c r="K27" s="40"/>
      <c r="L27" s="44">
        <f>(0.0271/10^6)*L10*454</f>
        <v>0.005659564</v>
      </c>
      <c r="M27" s="44"/>
      <c r="N27" s="44"/>
      <c r="O27" s="44"/>
      <c r="P27" s="44"/>
      <c r="Q27" s="44"/>
      <c r="R27" s="44"/>
      <c r="S27" s="44"/>
      <c r="T27" s="39"/>
      <c r="U27" s="39"/>
      <c r="V27" s="39"/>
      <c r="W27" s="39"/>
      <c r="X27" s="39"/>
      <c r="Y27" s="39"/>
      <c r="Z27" s="39"/>
      <c r="AA27" s="39"/>
      <c r="AB27" s="51"/>
      <c r="AC27" s="12"/>
      <c r="AD27" s="12"/>
      <c r="AE27" s="12"/>
      <c r="AF27" s="12"/>
      <c r="AG27" s="12"/>
      <c r="AH27" s="12"/>
      <c r="AI27" s="12"/>
      <c r="AJ27" s="12"/>
      <c r="AK27" s="51"/>
    </row>
    <row r="28" spans="2:38" s="8" customFormat="1" ht="12.75">
      <c r="B28" s="39"/>
      <c r="C28" s="39"/>
      <c r="D28" s="39"/>
      <c r="E28" s="40"/>
      <c r="F28" s="40"/>
      <c r="G28" s="40"/>
      <c r="H28" s="40"/>
      <c r="I28" s="40"/>
      <c r="J28" s="40"/>
      <c r="K28" s="40"/>
      <c r="L28" s="51"/>
      <c r="M28" s="51"/>
      <c r="N28" s="51"/>
      <c r="O28" s="51"/>
      <c r="P28" s="51"/>
      <c r="Q28" s="51"/>
      <c r="R28" s="51"/>
      <c r="S28" s="51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51"/>
      <c r="AL28" s="12"/>
    </row>
    <row r="29" spans="2:38" s="8" customFormat="1" ht="12.75">
      <c r="B29" s="19" t="s">
        <v>42</v>
      </c>
      <c r="C29" s="19"/>
      <c r="D29" s="19" t="s">
        <v>14</v>
      </c>
      <c r="E29" s="40"/>
      <c r="F29" s="54">
        <f>emiss!G42</f>
        <v>1032</v>
      </c>
      <c r="G29" s="40"/>
      <c r="H29" s="54">
        <f>emiss!I42</f>
        <v>1040</v>
      </c>
      <c r="I29" s="40"/>
      <c r="J29" s="54">
        <f>emiss!K42</f>
        <v>1085</v>
      </c>
      <c r="K29" s="40"/>
      <c r="L29" s="71">
        <f>emiss!M42</f>
        <v>1052.3333333333333</v>
      </c>
      <c r="M29" s="43"/>
      <c r="N29" s="43"/>
      <c r="O29" s="43"/>
      <c r="P29" s="43"/>
      <c r="Q29" s="43"/>
      <c r="R29" s="43"/>
      <c r="S29" s="43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51"/>
      <c r="AL29" s="12"/>
    </row>
    <row r="30" spans="2:38" s="8" customFormat="1" ht="12.75">
      <c r="B30" s="19" t="s">
        <v>113</v>
      </c>
      <c r="C30" s="19"/>
      <c r="D30" s="19" t="s">
        <v>15</v>
      </c>
      <c r="E30" s="40"/>
      <c r="F30" s="54">
        <f>emiss!G43</f>
        <v>4.1</v>
      </c>
      <c r="G30" s="40"/>
      <c r="H30" s="54">
        <f>emiss!I43</f>
        <v>3.8</v>
      </c>
      <c r="I30" s="40"/>
      <c r="J30" s="54">
        <f>emiss!K43</f>
        <v>3.7</v>
      </c>
      <c r="K30" s="40"/>
      <c r="L30" s="71">
        <f>emiss!M43</f>
        <v>3.8666666666666667</v>
      </c>
      <c r="M30" s="43"/>
      <c r="N30" s="43"/>
      <c r="O30" s="43"/>
      <c r="P30" s="43"/>
      <c r="Q30" s="43"/>
      <c r="R30" s="43"/>
      <c r="S30" s="43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51"/>
      <c r="AL30" s="12"/>
    </row>
    <row r="31" spans="2:38" s="8" customFormat="1" ht="12.75">
      <c r="B31" s="39"/>
      <c r="C31" s="39"/>
      <c r="D31" s="39"/>
      <c r="E31" s="40"/>
      <c r="F31" s="40"/>
      <c r="G31" s="40"/>
      <c r="H31" s="40"/>
      <c r="I31" s="40"/>
      <c r="J31" s="40"/>
      <c r="K31" s="40"/>
      <c r="L31" s="52"/>
      <c r="M31" s="52"/>
      <c r="N31" s="40"/>
      <c r="O31" s="52"/>
      <c r="P31" s="40"/>
      <c r="Q31" s="52"/>
      <c r="R31" s="40"/>
      <c r="S31" s="52"/>
      <c r="T31" s="40"/>
      <c r="U31" s="40"/>
      <c r="V31" s="40"/>
      <c r="W31" s="40"/>
      <c r="X31" s="40"/>
      <c r="Y31" s="40"/>
      <c r="Z31" s="40"/>
      <c r="AA31" s="40"/>
      <c r="AB31" s="40"/>
      <c r="AC31" s="39"/>
      <c r="AD31" s="39"/>
      <c r="AE31" s="52"/>
      <c r="AF31" s="39"/>
      <c r="AG31" s="52"/>
      <c r="AH31" s="39"/>
      <c r="AI31" s="52"/>
      <c r="AJ31" s="39"/>
      <c r="AK31" s="52"/>
      <c r="AL31" s="12"/>
    </row>
    <row r="32" spans="2:38" s="8" customFormat="1" ht="12.75">
      <c r="B32" s="19" t="s">
        <v>189</v>
      </c>
      <c r="C32" s="19"/>
      <c r="D32" s="19" t="s">
        <v>85</v>
      </c>
      <c r="E32" s="40"/>
      <c r="F32" s="54">
        <f>F12</f>
        <v>4.2</v>
      </c>
      <c r="G32" s="54"/>
      <c r="H32" s="54">
        <f>H12</f>
        <v>4</v>
      </c>
      <c r="I32" s="54"/>
      <c r="J32" s="54">
        <f>J12</f>
        <v>4.1</v>
      </c>
      <c r="K32" s="54"/>
      <c r="L32" s="54">
        <f>L12</f>
        <v>4.1</v>
      </c>
      <c r="M32" s="20"/>
      <c r="N32" s="39">
        <v>1.4</v>
      </c>
      <c r="O32" s="20"/>
      <c r="P32" s="39">
        <v>1.4</v>
      </c>
      <c r="Q32" s="20"/>
      <c r="R32" s="39">
        <v>1.4</v>
      </c>
      <c r="S32" s="20"/>
      <c r="T32" s="39">
        <v>1.4</v>
      </c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43">
        <f>N32+F32</f>
        <v>5.6</v>
      </c>
      <c r="AF32" s="39"/>
      <c r="AG32" s="43">
        <f>P32+H32</f>
        <v>5.4</v>
      </c>
      <c r="AH32" s="39"/>
      <c r="AI32" s="43">
        <f>R32+J32</f>
        <v>5.5</v>
      </c>
      <c r="AJ32" s="39"/>
      <c r="AK32" s="43">
        <f>T32+L32</f>
        <v>5.5</v>
      </c>
      <c r="AL32" s="12"/>
    </row>
    <row r="33" spans="2:38" s="8" customFormat="1" ht="12.75">
      <c r="B33" s="19" t="s">
        <v>231</v>
      </c>
      <c r="C33" s="19"/>
      <c r="D33" s="19" t="s">
        <v>85</v>
      </c>
      <c r="E33" s="40"/>
      <c r="F33" s="40"/>
      <c r="G33" s="40"/>
      <c r="H33" s="40"/>
      <c r="I33" s="40"/>
      <c r="J33" s="40"/>
      <c r="K33" s="40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20">
        <f>(F29/9000)*((21-F30)/21)*60</f>
        <v>5.536761904761905</v>
      </c>
      <c r="AF33" s="39"/>
      <c r="AG33" s="20">
        <f>(H29/9000)*((21-H30)/21)*60</f>
        <v>5.678730158730159</v>
      </c>
      <c r="AH33" s="39"/>
      <c r="AI33" s="20">
        <f>(J29/9000)*((21-J30)/21)*60</f>
        <v>5.95888888888889</v>
      </c>
      <c r="AJ33" s="39"/>
      <c r="AK33" s="20">
        <f>(L29/9000)*((21-L30)/21)*60</f>
        <v>5.723802469135802</v>
      </c>
      <c r="AL33" s="12"/>
    </row>
    <row r="34" spans="2:38" s="8" customFormat="1" ht="12.75">
      <c r="B34" s="19"/>
      <c r="C34" s="19"/>
      <c r="D34" s="19"/>
      <c r="E34" s="40"/>
      <c r="F34" s="40"/>
      <c r="G34" s="40"/>
      <c r="H34" s="40"/>
      <c r="I34" s="40"/>
      <c r="J34" s="40"/>
      <c r="K34" s="40"/>
      <c r="L34" s="20"/>
      <c r="M34" s="20"/>
      <c r="N34" s="20"/>
      <c r="O34" s="20"/>
      <c r="P34" s="20"/>
      <c r="Q34" s="20"/>
      <c r="R34" s="20"/>
      <c r="S34" s="20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51"/>
      <c r="AL34" s="12"/>
    </row>
    <row r="35" spans="2:38" s="8" customFormat="1" ht="12.75">
      <c r="B35" s="69" t="s">
        <v>141</v>
      </c>
      <c r="C35" s="69"/>
      <c r="D35" s="19"/>
      <c r="E35" s="40"/>
      <c r="F35" s="40"/>
      <c r="G35" s="40"/>
      <c r="H35" s="40"/>
      <c r="I35" s="40"/>
      <c r="J35" s="40"/>
      <c r="K35" s="40"/>
      <c r="L35" s="20"/>
      <c r="M35" s="20"/>
      <c r="N35" s="20"/>
      <c r="O35" s="20"/>
      <c r="P35" s="20"/>
      <c r="Q35" s="20"/>
      <c r="R35" s="20"/>
      <c r="S35" s="20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51"/>
      <c r="AL35" s="12"/>
    </row>
    <row r="36" spans="2:38" s="8" customFormat="1" ht="12.75">
      <c r="B36" s="19" t="s">
        <v>8</v>
      </c>
      <c r="C36" s="19"/>
      <c r="D36" s="19" t="s">
        <v>13</v>
      </c>
      <c r="E36" s="40">
        <v>100</v>
      </c>
      <c r="F36" s="20">
        <f>(F13*454/(F29*60*0.0283))*(14/(21-F30))*1000</f>
        <v>10.130288163373494</v>
      </c>
      <c r="G36" s="40">
        <v>100</v>
      </c>
      <c r="H36" s="20">
        <f>(H13*454/(H29*60*0.0283))*(14/(21-H30))*1000</f>
        <v>9.521290437450352</v>
      </c>
      <c r="I36" s="40">
        <v>100</v>
      </c>
      <c r="J36" s="20">
        <f>(J13*454/(J29*60*0.0283))*(14/(21-J30))*1000</f>
        <v>9.013818233250685</v>
      </c>
      <c r="K36" s="40">
        <v>100</v>
      </c>
      <c r="L36" s="20">
        <f aca="true" t="shared" si="0" ref="L36:L52">AVERAGE(F36,H36,J36)</f>
        <v>9.555132278024844</v>
      </c>
      <c r="M36" s="20"/>
      <c r="N36" s="20"/>
      <c r="O36" s="20"/>
      <c r="P36" s="20"/>
      <c r="Q36" s="20"/>
      <c r="R36" s="20"/>
      <c r="S36" s="20"/>
      <c r="T36" s="39"/>
      <c r="U36" s="39"/>
      <c r="V36" s="20">
        <f>(V13*454/(F29*60*0.0283))*(14/(21-F30))*1000</f>
        <v>479.2141400673801</v>
      </c>
      <c r="W36" s="39"/>
      <c r="X36" s="20">
        <f>(X13*454/(H29*60*0.0283))*(14/(21-H30))*1000</f>
        <v>467.5895270875343</v>
      </c>
      <c r="Y36" s="39"/>
      <c r="Z36" s="20">
        <f>(Z13*454/(J29*60*0.0283))*(14/(21-J30))*1000</f>
        <v>445.66550857673974</v>
      </c>
      <c r="AA36" s="39"/>
      <c r="AB36" s="20">
        <f>(AB13*454/(L29*60*0.0283))*(14/(21-L30))*1000</f>
        <v>377.85258627446564</v>
      </c>
      <c r="AC36" s="39"/>
      <c r="AD36" s="42">
        <f aca="true" t="shared" si="1" ref="AD36:AD50">(E36*F36+U36*V36)/AE36</f>
        <v>2.070175438596491</v>
      </c>
      <c r="AE36" s="43">
        <f>SUM(V36,F36)</f>
        <v>489.3444282307536</v>
      </c>
      <c r="AF36" s="42">
        <f aca="true" t="shared" si="2" ref="AF36:AF50">(G36*H36+W36*X36)/AG36</f>
        <v>1.9956140350877194</v>
      </c>
      <c r="AG36" s="43">
        <f>SUM(X36,H36)</f>
        <v>477.11081752498467</v>
      </c>
      <c r="AH36" s="42">
        <f aca="true" t="shared" si="3" ref="AH36:AH50">(I36*J36+Y36*Z36)/AI36</f>
        <v>1.9824561403508767</v>
      </c>
      <c r="AI36" s="43">
        <f>SUM(Z36,J36)</f>
        <v>454.6793268099904</v>
      </c>
      <c r="AJ36" s="42">
        <f aca="true" t="shared" si="4" ref="AJ36:AJ50">(K36*L36+AA36*AB36)/AK36</f>
        <v>2.017078282904748</v>
      </c>
      <c r="AK36" s="43">
        <f>AVERAGE(AI36,AG36,AE36)</f>
        <v>473.7115241885763</v>
      </c>
      <c r="AL36" s="12"/>
    </row>
    <row r="37" spans="2:38" s="8" customFormat="1" ht="12.75">
      <c r="B37" s="19" t="s">
        <v>41</v>
      </c>
      <c r="C37" s="19"/>
      <c r="D37" s="19" t="s">
        <v>112</v>
      </c>
      <c r="E37" s="40"/>
      <c r="F37" s="22">
        <f>(F14*454/(F29*60*0.0283))*(14/(21-F30))*1000000</f>
        <v>62706483.731281936</v>
      </c>
      <c r="G37" s="40"/>
      <c r="H37" s="22">
        <f>(H14*454/(H29*60*0.0283))*(14/(21-H30))*1000000</f>
        <v>73790000.89024024</v>
      </c>
      <c r="I37" s="40"/>
      <c r="J37" s="22">
        <f>(J14*454/(J29*60*0.0283))*(14/(21-J30))*1000000</f>
        <v>55975811.22848677</v>
      </c>
      <c r="K37" s="40"/>
      <c r="L37" s="20">
        <f t="shared" si="0"/>
        <v>64157431.95000299</v>
      </c>
      <c r="M37" s="22"/>
      <c r="N37" s="22"/>
      <c r="O37" s="22"/>
      <c r="P37" s="22"/>
      <c r="Q37" s="22"/>
      <c r="R37" s="22"/>
      <c r="S37" s="22"/>
      <c r="T37" s="39"/>
      <c r="U37" s="39"/>
      <c r="V37" s="22">
        <f>(V14*454/(F29*60*0.0283))*(14/(21-F30))*1000000</f>
        <v>241488327.5022216</v>
      </c>
      <c r="W37" s="39"/>
      <c r="X37" s="22">
        <f>(X14*454/(H29*60*0.0283))*(14/(21-H30))*1000000</f>
        <v>222799940.0624257</v>
      </c>
      <c r="Y37" s="39"/>
      <c r="Z37" s="22">
        <f>(Z14*454/(J29*60*0.0283))*(14/(21-J30))*1000000</f>
        <v>226669875.55456573</v>
      </c>
      <c r="AA37" s="39"/>
      <c r="AB37" s="22">
        <f>(AB14*454/(L29*60*0.0283))*(14/(21-L30))*1000000</f>
        <v>230102536.5132964</v>
      </c>
      <c r="AC37" s="39"/>
      <c r="AD37" s="42">
        <f t="shared" si="1"/>
        <v>0</v>
      </c>
      <c r="AE37" s="43">
        <f>SUM(V37,F37)</f>
        <v>304194811.2335036</v>
      </c>
      <c r="AF37" s="42">
        <f t="shared" si="2"/>
        <v>0</v>
      </c>
      <c r="AG37" s="43">
        <f>SUM(X37,H37)</f>
        <v>296589940.9526659</v>
      </c>
      <c r="AH37" s="42">
        <f t="shared" si="3"/>
        <v>0</v>
      </c>
      <c r="AI37" s="43">
        <f>SUM(Z37,J37)</f>
        <v>282645686.7830525</v>
      </c>
      <c r="AJ37" s="42">
        <f t="shared" si="4"/>
        <v>0</v>
      </c>
      <c r="AK37" s="43">
        <f>SUM(AB37,L37)</f>
        <v>294259968.4632994</v>
      </c>
      <c r="AL37" s="12"/>
    </row>
    <row r="38" spans="2:38" s="8" customFormat="1" ht="12.75">
      <c r="B38" s="39" t="s">
        <v>158</v>
      </c>
      <c r="C38" s="39"/>
      <c r="D38" s="19" t="s">
        <v>112</v>
      </c>
      <c r="E38" s="40"/>
      <c r="F38" s="22">
        <f aca="true" t="shared" si="5" ref="F38:F50">(F15/(F$29*60*0.0283))*(14/(21-F$30))*1000000</f>
        <v>300.8695584521928</v>
      </c>
      <c r="G38" s="40"/>
      <c r="H38" s="22">
        <f aca="true" t="shared" si="6" ref="H38:H50">(H15/(H$29*60*0.0283))*(14/(21-H$30))*1000000</f>
        <v>338.9579395732326</v>
      </c>
      <c r="I38" s="40"/>
      <c r="J38" s="22">
        <f aca="true" t="shared" si="7" ref="J38:J50">(J15/(J$29*60*0.0283))*(14/(21-J$30))*1000000</f>
        <v>354.2430565667521</v>
      </c>
      <c r="K38" s="40"/>
      <c r="L38" s="20">
        <f t="shared" si="0"/>
        <v>331.3568515307258</v>
      </c>
      <c r="M38" s="22"/>
      <c r="N38" s="22"/>
      <c r="O38" s="22"/>
      <c r="P38" s="22"/>
      <c r="Q38" s="22"/>
      <c r="R38" s="22"/>
      <c r="S38" s="22"/>
      <c r="T38" s="39"/>
      <c r="U38" s="39"/>
      <c r="V38" s="20">
        <f>(V15/(F29*60*0.0283))*(14/(21-F30))*1000000</f>
        <v>85.3604418033579</v>
      </c>
      <c r="W38" s="39"/>
      <c r="X38" s="20">
        <f>(X15/(H29*60*0.0283))*(14/(21-H30))*1000000</f>
        <v>37.61631067592937</v>
      </c>
      <c r="Y38" s="39"/>
      <c r="Z38" s="20">
        <f>(Z15/(J29*60*0.0283))*(14/(21-J30))*1000000</f>
        <v>4.626456150384248</v>
      </c>
      <c r="AA38" s="39"/>
      <c r="AB38" s="20">
        <f>(AB15/(L29*60*0.0283))*(14/(21-L30))*1000000</f>
        <v>40.309702420433844</v>
      </c>
      <c r="AC38" s="39"/>
      <c r="AD38" s="42">
        <f t="shared" si="1"/>
        <v>0</v>
      </c>
      <c r="AE38" s="43">
        <f>SUM(V38,F38)</f>
        <v>386.2300002555507</v>
      </c>
      <c r="AF38" s="42">
        <f t="shared" si="2"/>
        <v>0</v>
      </c>
      <c r="AG38" s="43">
        <f>SUM(X38,H38)</f>
        <v>376.57425024916193</v>
      </c>
      <c r="AH38" s="42">
        <f t="shared" si="3"/>
        <v>0</v>
      </c>
      <c r="AI38" s="43">
        <f>SUM(Z38,J38)</f>
        <v>358.86951271713633</v>
      </c>
      <c r="AJ38" s="42">
        <f t="shared" si="4"/>
        <v>0</v>
      </c>
      <c r="AK38" s="43">
        <f aca="true" t="shared" si="8" ref="AK38:AK49">SUM(AB38,L38)</f>
        <v>371.66655395115964</v>
      </c>
      <c r="AL38" s="12"/>
    </row>
    <row r="39" spans="2:38" s="8" customFormat="1" ht="12.75">
      <c r="B39" s="39" t="s">
        <v>178</v>
      </c>
      <c r="C39" s="39"/>
      <c r="D39" s="19" t="s">
        <v>112</v>
      </c>
      <c r="E39" s="40"/>
      <c r="F39" s="22">
        <f t="shared" si="5"/>
        <v>44.573267918843385</v>
      </c>
      <c r="G39" s="40"/>
      <c r="H39" s="22">
        <f t="shared" si="6"/>
        <v>17.51917440490865</v>
      </c>
      <c r="I39" s="40"/>
      <c r="J39" s="22">
        <f t="shared" si="7"/>
        <v>16.585425549181267</v>
      </c>
      <c r="K39" s="40"/>
      <c r="L39" s="20">
        <f t="shared" si="0"/>
        <v>26.225955957644434</v>
      </c>
      <c r="M39" s="22"/>
      <c r="N39" s="22"/>
      <c r="O39" s="22"/>
      <c r="P39" s="22"/>
      <c r="Q39" s="22"/>
      <c r="R39" s="22"/>
      <c r="S39" s="22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42">
        <f t="shared" si="1"/>
        <v>0</v>
      </c>
      <c r="AE39" s="43">
        <f aca="true" t="shared" si="9" ref="AE39:AE50">SUM(V39,F39)</f>
        <v>44.573267918843385</v>
      </c>
      <c r="AF39" s="42">
        <f t="shared" si="2"/>
        <v>0</v>
      </c>
      <c r="AG39" s="43">
        <f aca="true" t="shared" si="10" ref="AG39:AG50">SUM(X39,H39)</f>
        <v>17.51917440490865</v>
      </c>
      <c r="AH39" s="42">
        <f t="shared" si="3"/>
        <v>0</v>
      </c>
      <c r="AI39" s="43">
        <f aca="true" t="shared" si="11" ref="AI39:AI50">SUM(Z39,J39)</f>
        <v>16.585425549181267</v>
      </c>
      <c r="AJ39" s="42">
        <f t="shared" si="4"/>
        <v>0</v>
      </c>
      <c r="AK39" s="43">
        <f t="shared" si="8"/>
        <v>26.225955957644434</v>
      </c>
      <c r="AL39" s="12"/>
    </row>
    <row r="40" spans="2:38" s="8" customFormat="1" ht="12.75">
      <c r="B40" s="39" t="s">
        <v>179</v>
      </c>
      <c r="C40" s="39"/>
      <c r="D40" s="19" t="s">
        <v>112</v>
      </c>
      <c r="E40" s="40"/>
      <c r="F40" s="22">
        <f t="shared" si="5"/>
        <v>6.078172898024096</v>
      </c>
      <c r="G40" s="40"/>
      <c r="H40" s="22">
        <f t="shared" si="6"/>
        <v>3.808516174980141</v>
      </c>
      <c r="I40" s="40"/>
      <c r="J40" s="22">
        <f t="shared" si="7"/>
        <v>2.8123112887742145</v>
      </c>
      <c r="K40" s="40"/>
      <c r="L40" s="20">
        <f t="shared" si="0"/>
        <v>4.233000120592817</v>
      </c>
      <c r="M40" s="22"/>
      <c r="N40" s="22"/>
      <c r="O40" s="22"/>
      <c r="P40" s="22"/>
      <c r="Q40" s="22"/>
      <c r="R40" s="22"/>
      <c r="S40" s="22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42">
        <f t="shared" si="1"/>
        <v>0</v>
      </c>
      <c r="AE40" s="43">
        <f t="shared" si="9"/>
        <v>6.078172898024096</v>
      </c>
      <c r="AF40" s="42">
        <f t="shared" si="2"/>
        <v>0</v>
      </c>
      <c r="AG40" s="43">
        <f t="shared" si="10"/>
        <v>3.808516174980141</v>
      </c>
      <c r="AH40" s="42">
        <f t="shared" si="3"/>
        <v>0</v>
      </c>
      <c r="AI40" s="43">
        <f t="shared" si="11"/>
        <v>2.8123112887742145</v>
      </c>
      <c r="AJ40" s="42">
        <f t="shared" si="4"/>
        <v>0</v>
      </c>
      <c r="AK40" s="43">
        <f t="shared" si="8"/>
        <v>4.233000120592817</v>
      </c>
      <c r="AL40" s="12"/>
    </row>
    <row r="41" spans="2:38" s="8" customFormat="1" ht="12.75">
      <c r="B41" s="39" t="s">
        <v>159</v>
      </c>
      <c r="C41" s="39"/>
      <c r="D41" s="19" t="s">
        <v>112</v>
      </c>
      <c r="E41" s="40">
        <v>100</v>
      </c>
      <c r="F41" s="22">
        <f t="shared" si="5"/>
        <v>9.522470873571086</v>
      </c>
      <c r="G41" s="40">
        <v>100</v>
      </c>
      <c r="H41" s="22">
        <f t="shared" si="6"/>
        <v>8.950013011203332</v>
      </c>
      <c r="I41" s="40">
        <v>100</v>
      </c>
      <c r="J41" s="22">
        <f t="shared" si="7"/>
        <v>8.824528050352422</v>
      </c>
      <c r="K41" s="40">
        <v>100</v>
      </c>
      <c r="L41" s="20">
        <f t="shared" si="0"/>
        <v>9.099003978375613</v>
      </c>
      <c r="M41" s="22"/>
      <c r="N41" s="22"/>
      <c r="O41" s="22"/>
      <c r="P41" s="22"/>
      <c r="Q41" s="22"/>
      <c r="R41" s="22"/>
      <c r="S41" s="22"/>
      <c r="T41" s="39"/>
      <c r="U41" s="39"/>
      <c r="V41" s="22">
        <f>(V18/(F$29*60*0.0283))*(14/(21-F$30))*1000000</f>
        <v>26.878642981603218</v>
      </c>
      <c r="W41" s="39"/>
      <c r="X41" s="22">
        <f>(X18/(H$29*60*0.0283))*(14/(21-H$30))*1000000</f>
        <v>26.54107299759161</v>
      </c>
      <c r="Y41" s="39"/>
      <c r="Z41" s="22">
        <f>(Z18/(J$29*60*0.0283))*(14/(21-J$30))*1000000</f>
        <v>24.997935204506206</v>
      </c>
      <c r="AA41" s="39"/>
      <c r="AB41" s="22">
        <f>(AB18/(L$29*60*0.0283))*(14/(21-L$30))*1000000</f>
        <v>26.110345381384576</v>
      </c>
      <c r="AC41" s="39"/>
      <c r="AD41" s="42">
        <f t="shared" si="1"/>
        <v>26.15983376623377</v>
      </c>
      <c r="AE41" s="43">
        <f t="shared" si="9"/>
        <v>36.4011138551743</v>
      </c>
      <c r="AF41" s="42">
        <f t="shared" si="2"/>
        <v>25.21763636363637</v>
      </c>
      <c r="AG41" s="43">
        <f t="shared" si="10"/>
        <v>35.49108600879494</v>
      </c>
      <c r="AH41" s="42">
        <f t="shared" si="3"/>
        <v>26.090731428571427</v>
      </c>
      <c r="AI41" s="43">
        <f t="shared" si="11"/>
        <v>33.822463254858626</v>
      </c>
      <c r="AJ41" s="42">
        <f t="shared" si="4"/>
        <v>25.842579155338264</v>
      </c>
      <c r="AK41" s="43">
        <f t="shared" si="8"/>
        <v>35.20934935976019</v>
      </c>
      <c r="AL41" s="12"/>
    </row>
    <row r="42" spans="2:38" s="8" customFormat="1" ht="12.75">
      <c r="B42" s="39" t="s">
        <v>175</v>
      </c>
      <c r="C42" s="39"/>
      <c r="D42" s="19" t="s">
        <v>112</v>
      </c>
      <c r="E42" s="40"/>
      <c r="F42" s="22">
        <f t="shared" si="5"/>
        <v>20.46318209001446</v>
      </c>
      <c r="G42" s="40"/>
      <c r="H42" s="22">
        <f t="shared" si="6"/>
        <v>15.424490508669574</v>
      </c>
      <c r="I42" s="40"/>
      <c r="J42" s="22">
        <f t="shared" si="7"/>
        <v>23.6162037711168</v>
      </c>
      <c r="K42" s="40"/>
      <c r="L42" s="20">
        <f t="shared" si="0"/>
        <v>19.83462545660028</v>
      </c>
      <c r="M42" s="22"/>
      <c r="N42" s="22"/>
      <c r="O42" s="22"/>
      <c r="P42" s="22"/>
      <c r="Q42" s="22"/>
      <c r="R42" s="22"/>
      <c r="S42" s="22"/>
      <c r="T42" s="39"/>
      <c r="U42" s="39"/>
      <c r="V42" s="22">
        <f>(V19/(F$29*60*0.0283))*(14/(21-F$30))*1000000</f>
        <v>1632.2419352825748</v>
      </c>
      <c r="W42" s="39"/>
      <c r="X42" s="22">
        <f>(X19/(H$29*60*0.0283))*(14/(21-H$30))*1000000</f>
        <v>1595.9629989296047</v>
      </c>
      <c r="Y42" s="39"/>
      <c r="Z42" s="22">
        <f>(Z19/(J$29*60*0.0283))*(14/(21-J$30))*1000000</f>
        <v>1512.0114785533735</v>
      </c>
      <c r="AA42" s="39"/>
      <c r="AB42" s="22">
        <f>(AB19/(L$29*60*0.0283))*(14/(21-L$30))*1000000</f>
        <v>1578.738803050978</v>
      </c>
      <c r="AC42" s="39"/>
      <c r="AD42" s="42">
        <f t="shared" si="1"/>
        <v>0</v>
      </c>
      <c r="AE42" s="43">
        <f t="shared" si="9"/>
        <v>1652.7051173725893</v>
      </c>
      <c r="AF42" s="42">
        <f t="shared" si="2"/>
        <v>0</v>
      </c>
      <c r="AG42" s="43">
        <f t="shared" si="10"/>
        <v>1611.3874894382743</v>
      </c>
      <c r="AH42" s="42">
        <f t="shared" si="3"/>
        <v>0</v>
      </c>
      <c r="AI42" s="43">
        <f t="shared" si="11"/>
        <v>1535.6276823244903</v>
      </c>
      <c r="AJ42" s="42">
        <f t="shared" si="4"/>
        <v>0</v>
      </c>
      <c r="AK42" s="43">
        <f t="shared" si="8"/>
        <v>1598.5734285075782</v>
      </c>
      <c r="AL42" s="12"/>
    </row>
    <row r="43" spans="2:38" s="8" customFormat="1" ht="12.75">
      <c r="B43" s="39" t="s">
        <v>183</v>
      </c>
      <c r="C43" s="39"/>
      <c r="D43" s="19" t="s">
        <v>112</v>
      </c>
      <c r="E43" s="40">
        <v>100</v>
      </c>
      <c r="F43" s="22">
        <f t="shared" si="5"/>
        <v>11.85243715114699</v>
      </c>
      <c r="G43" s="40">
        <v>100</v>
      </c>
      <c r="H43" s="22">
        <f t="shared" si="6"/>
        <v>11.139909811816914</v>
      </c>
      <c r="I43" s="40">
        <v>100</v>
      </c>
      <c r="J43" s="22">
        <f t="shared" si="7"/>
        <v>10.546167332903305</v>
      </c>
      <c r="K43" s="40">
        <v>100</v>
      </c>
      <c r="L43" s="20">
        <f t="shared" si="0"/>
        <v>11.17950476528907</v>
      </c>
      <c r="M43" s="22"/>
      <c r="N43" s="22"/>
      <c r="O43" s="22"/>
      <c r="P43" s="22"/>
      <c r="Q43" s="22"/>
      <c r="R43" s="22"/>
      <c r="S43" s="22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42">
        <f t="shared" si="1"/>
        <v>100</v>
      </c>
      <c r="AE43" s="43">
        <f t="shared" si="9"/>
        <v>11.85243715114699</v>
      </c>
      <c r="AF43" s="42">
        <f t="shared" si="2"/>
        <v>99.99999999999999</v>
      </c>
      <c r="AG43" s="43">
        <f t="shared" si="10"/>
        <v>11.139909811816914</v>
      </c>
      <c r="AH43" s="42">
        <f t="shared" si="3"/>
        <v>100</v>
      </c>
      <c r="AI43" s="43">
        <f t="shared" si="11"/>
        <v>10.546167332903305</v>
      </c>
      <c r="AJ43" s="42">
        <f t="shared" si="4"/>
        <v>100</v>
      </c>
      <c r="AK43" s="43">
        <f t="shared" si="8"/>
        <v>11.17950476528907</v>
      </c>
      <c r="AL43" s="12"/>
    </row>
    <row r="44" spans="2:38" s="8" customFormat="1" ht="12.75">
      <c r="B44" s="39" t="s">
        <v>182</v>
      </c>
      <c r="C44" s="39"/>
      <c r="D44" s="19" t="s">
        <v>112</v>
      </c>
      <c r="E44" s="40"/>
      <c r="F44" s="22">
        <f t="shared" si="5"/>
        <v>210.70999379816868</v>
      </c>
      <c r="G44" s="40"/>
      <c r="H44" s="22">
        <f t="shared" si="6"/>
        <v>194.2343249239872</v>
      </c>
      <c r="I44" s="40"/>
      <c r="J44" s="22">
        <f t="shared" si="7"/>
        <v>212.72611030471623</v>
      </c>
      <c r="K44" s="40"/>
      <c r="L44" s="20">
        <f t="shared" si="0"/>
        <v>205.89014300895738</v>
      </c>
      <c r="M44" s="22"/>
      <c r="N44" s="22"/>
      <c r="O44" s="22"/>
      <c r="P44" s="22"/>
      <c r="Q44" s="22"/>
      <c r="R44" s="22"/>
      <c r="S44" s="22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42">
        <f t="shared" si="1"/>
        <v>0</v>
      </c>
      <c r="AE44" s="43">
        <f t="shared" si="9"/>
        <v>210.70999379816868</v>
      </c>
      <c r="AF44" s="42">
        <f t="shared" si="2"/>
        <v>0</v>
      </c>
      <c r="AG44" s="43">
        <f t="shared" si="10"/>
        <v>194.2343249239872</v>
      </c>
      <c r="AH44" s="42">
        <f t="shared" si="3"/>
        <v>0</v>
      </c>
      <c r="AI44" s="43">
        <f t="shared" si="11"/>
        <v>212.72611030471623</v>
      </c>
      <c r="AJ44" s="42">
        <f t="shared" si="4"/>
        <v>0</v>
      </c>
      <c r="AK44" s="43">
        <f t="shared" si="8"/>
        <v>205.89014300895738</v>
      </c>
      <c r="AL44" s="12"/>
    </row>
    <row r="45" spans="2:38" s="8" customFormat="1" ht="12.75">
      <c r="B45" s="39" t="s">
        <v>191</v>
      </c>
      <c r="C45" s="39"/>
      <c r="D45" s="19" t="s">
        <v>112</v>
      </c>
      <c r="E45" s="40"/>
      <c r="F45" s="22">
        <f t="shared" si="5"/>
        <v>22.170604227153976</v>
      </c>
      <c r="G45" s="40"/>
      <c r="H45" s="22">
        <f t="shared" si="6"/>
        <v>18.66172925740269</v>
      </c>
      <c r="I45" s="40"/>
      <c r="J45" s="22">
        <f t="shared" si="7"/>
        <v>17.486807372506334</v>
      </c>
      <c r="K45" s="40"/>
      <c r="L45" s="20">
        <f t="shared" si="0"/>
        <v>19.439713619021003</v>
      </c>
      <c r="M45" s="22"/>
      <c r="N45" s="22"/>
      <c r="O45" s="22"/>
      <c r="P45" s="22"/>
      <c r="Q45" s="22"/>
      <c r="R45" s="22"/>
      <c r="S45" s="22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42">
        <f t="shared" si="1"/>
        <v>0</v>
      </c>
      <c r="AE45" s="43">
        <f t="shared" si="9"/>
        <v>22.170604227153976</v>
      </c>
      <c r="AF45" s="42">
        <f t="shared" si="2"/>
        <v>0</v>
      </c>
      <c r="AG45" s="43">
        <f t="shared" si="10"/>
        <v>18.66172925740269</v>
      </c>
      <c r="AH45" s="42">
        <f t="shared" si="3"/>
        <v>0</v>
      </c>
      <c r="AI45" s="43">
        <f t="shared" si="11"/>
        <v>17.486807372506334</v>
      </c>
      <c r="AJ45" s="42">
        <f t="shared" si="4"/>
        <v>0</v>
      </c>
      <c r="AK45" s="43">
        <f t="shared" si="8"/>
        <v>19.439713619021003</v>
      </c>
      <c r="AL45" s="12"/>
    </row>
    <row r="46" spans="2:38" s="8" customFormat="1" ht="12.75">
      <c r="B46" s="39" t="s">
        <v>160</v>
      </c>
      <c r="C46" s="39"/>
      <c r="D46" s="19" t="s">
        <v>112</v>
      </c>
      <c r="E46" s="40">
        <v>100</v>
      </c>
      <c r="F46" s="22">
        <f t="shared" si="5"/>
        <v>33.6325567024</v>
      </c>
      <c r="G46" s="40">
        <v>100</v>
      </c>
      <c r="H46" s="22">
        <f t="shared" si="6"/>
        <v>31.610684252335176</v>
      </c>
      <c r="I46" s="40">
        <v>100</v>
      </c>
      <c r="J46" s="22">
        <f t="shared" si="7"/>
        <v>31.187811087047375</v>
      </c>
      <c r="K46" s="40">
        <v>100</v>
      </c>
      <c r="L46" s="20">
        <f t="shared" si="0"/>
        <v>32.14368401392752</v>
      </c>
      <c r="M46" s="22"/>
      <c r="N46" s="22"/>
      <c r="O46" s="22"/>
      <c r="P46" s="22"/>
      <c r="Q46" s="22"/>
      <c r="R46" s="22"/>
      <c r="S46" s="22"/>
      <c r="T46" s="39"/>
      <c r="U46" s="39"/>
      <c r="V46" s="22">
        <f>(V23/(F$29*60*0.0283))*(14/(21-F$30))*1000000</f>
        <v>7672.05777887346</v>
      </c>
      <c r="W46" s="39"/>
      <c r="X46" s="22">
        <f>(X23/(H$29*60*0.0283))*(14/(21-H$30))*1000000</f>
        <v>7481.437392934127</v>
      </c>
      <c r="Y46" s="39"/>
      <c r="Z46" s="22">
        <f>(Z23/(J$29*60*0.0283))*(14/(21-J$30))*1000000</f>
        <v>7128.632332473936</v>
      </c>
      <c r="AA46" s="39"/>
      <c r="AB46" s="22">
        <f>(AB23/(L$29*60*0.0283))*(14/(21-L$30))*1000000</f>
        <v>7421.702375558134</v>
      </c>
      <c r="AC46" s="39"/>
      <c r="AD46" s="42">
        <f t="shared" si="1"/>
        <v>0.4364639018404908</v>
      </c>
      <c r="AE46" s="43">
        <f t="shared" si="9"/>
        <v>7705.6903355758595</v>
      </c>
      <c r="AF46" s="42">
        <f t="shared" si="2"/>
        <v>0.4207438036809817</v>
      </c>
      <c r="AG46" s="43">
        <f t="shared" si="10"/>
        <v>7513.048077186462</v>
      </c>
      <c r="AH46" s="42">
        <f t="shared" si="3"/>
        <v>0.43559489570552135</v>
      </c>
      <c r="AI46" s="43">
        <f t="shared" si="11"/>
        <v>7159.8201435609835</v>
      </c>
      <c r="AJ46" s="42">
        <f t="shared" si="4"/>
        <v>0.43123622029528397</v>
      </c>
      <c r="AK46" s="43">
        <f t="shared" si="8"/>
        <v>7453.846059572062</v>
      </c>
      <c r="AL46" s="12"/>
    </row>
    <row r="47" spans="2:38" s="8" customFormat="1" ht="12.75">
      <c r="B47" s="39" t="s">
        <v>227</v>
      </c>
      <c r="C47" s="39"/>
      <c r="D47" s="19" t="s">
        <v>112</v>
      </c>
      <c r="E47" s="40"/>
      <c r="F47" s="22">
        <f t="shared" si="5"/>
        <v>1367.588902055422</v>
      </c>
      <c r="G47" s="40"/>
      <c r="H47" s="22">
        <f t="shared" si="6"/>
        <v>1285.3742090557976</v>
      </c>
      <c r="I47" s="40"/>
      <c r="J47" s="22">
        <f t="shared" si="7"/>
        <v>1216.865461488843</v>
      </c>
      <c r="K47" s="40"/>
      <c r="L47" s="20">
        <f t="shared" si="0"/>
        <v>1289.942857533354</v>
      </c>
      <c r="M47" s="22"/>
      <c r="N47" s="22"/>
      <c r="O47" s="22"/>
      <c r="P47" s="22"/>
      <c r="Q47" s="22"/>
      <c r="R47" s="22"/>
      <c r="S47" s="22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42">
        <f t="shared" si="1"/>
        <v>0</v>
      </c>
      <c r="AE47" s="43">
        <f t="shared" si="9"/>
        <v>1367.588902055422</v>
      </c>
      <c r="AF47" s="42">
        <f t="shared" si="2"/>
        <v>0</v>
      </c>
      <c r="AG47" s="43">
        <f t="shared" si="10"/>
        <v>1285.3742090557976</v>
      </c>
      <c r="AH47" s="42">
        <f t="shared" si="3"/>
        <v>0</v>
      </c>
      <c r="AI47" s="43">
        <f t="shared" si="11"/>
        <v>1216.865461488843</v>
      </c>
      <c r="AJ47" s="42">
        <f t="shared" si="4"/>
        <v>0</v>
      </c>
      <c r="AK47" s="43">
        <f t="shared" si="8"/>
        <v>1289.942857533354</v>
      </c>
      <c r="AL47" s="12"/>
    </row>
    <row r="48" spans="2:38" s="8" customFormat="1" ht="12.75">
      <c r="B48" s="39" t="s">
        <v>181</v>
      </c>
      <c r="C48" s="39"/>
      <c r="D48" s="19" t="s">
        <v>112</v>
      </c>
      <c r="E48" s="40">
        <v>100</v>
      </c>
      <c r="F48" s="22">
        <f t="shared" si="5"/>
        <v>459.91508261715666</v>
      </c>
      <c r="G48" s="40">
        <v>100</v>
      </c>
      <c r="H48" s="22">
        <f t="shared" si="6"/>
        <v>432.266585860246</v>
      </c>
      <c r="I48" s="40">
        <v>100</v>
      </c>
      <c r="J48" s="22">
        <f t="shared" si="7"/>
        <v>409.22734778958124</v>
      </c>
      <c r="K48" s="40">
        <v>100</v>
      </c>
      <c r="L48" s="20">
        <f t="shared" si="0"/>
        <v>433.80300542232794</v>
      </c>
      <c r="M48" s="22"/>
      <c r="N48" s="22"/>
      <c r="O48" s="22"/>
      <c r="P48" s="22"/>
      <c r="Q48" s="22"/>
      <c r="R48" s="22"/>
      <c r="S48" s="22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42">
        <f t="shared" si="1"/>
        <v>100</v>
      </c>
      <c r="AE48" s="43">
        <f t="shared" si="9"/>
        <v>459.91508261715666</v>
      </c>
      <c r="AF48" s="42">
        <f t="shared" si="2"/>
        <v>100</v>
      </c>
      <c r="AG48" s="43">
        <f t="shared" si="10"/>
        <v>432.266585860246</v>
      </c>
      <c r="AH48" s="42">
        <f t="shared" si="3"/>
        <v>100</v>
      </c>
      <c r="AI48" s="43">
        <f t="shared" si="11"/>
        <v>409.22734778958124</v>
      </c>
      <c r="AJ48" s="42">
        <f t="shared" si="4"/>
        <v>100</v>
      </c>
      <c r="AK48" s="43">
        <f t="shared" si="8"/>
        <v>433.80300542232794</v>
      </c>
      <c r="AL48" s="12"/>
    </row>
    <row r="49" spans="2:38" s="8" customFormat="1" ht="12.75">
      <c r="B49" s="39" t="s">
        <v>180</v>
      </c>
      <c r="C49" s="39"/>
      <c r="D49" s="19" t="s">
        <v>112</v>
      </c>
      <c r="E49" s="40">
        <v>100</v>
      </c>
      <c r="F49" s="22">
        <f t="shared" si="5"/>
        <v>32.416922122795185</v>
      </c>
      <c r="G49" s="40">
        <v>100</v>
      </c>
      <c r="H49" s="22">
        <f t="shared" si="6"/>
        <v>30.46812939984113</v>
      </c>
      <c r="I49" s="40">
        <v>100</v>
      </c>
      <c r="J49" s="22">
        <f t="shared" si="7"/>
        <v>28.8442183464022</v>
      </c>
      <c r="K49" s="40">
        <v>100</v>
      </c>
      <c r="L49" s="20">
        <f t="shared" si="0"/>
        <v>30.576423289679507</v>
      </c>
      <c r="M49" s="22"/>
      <c r="N49" s="22"/>
      <c r="O49" s="22"/>
      <c r="P49" s="22"/>
      <c r="Q49" s="22"/>
      <c r="R49" s="22"/>
      <c r="S49" s="22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42">
        <f t="shared" si="1"/>
        <v>100</v>
      </c>
      <c r="AE49" s="43">
        <f t="shared" si="9"/>
        <v>32.416922122795185</v>
      </c>
      <c r="AF49" s="42">
        <f t="shared" si="2"/>
        <v>100</v>
      </c>
      <c r="AG49" s="43">
        <f t="shared" si="10"/>
        <v>30.46812939984113</v>
      </c>
      <c r="AH49" s="42">
        <f t="shared" si="3"/>
        <v>100</v>
      </c>
      <c r="AI49" s="43">
        <f t="shared" si="11"/>
        <v>28.8442183464022</v>
      </c>
      <c r="AJ49" s="42">
        <f t="shared" si="4"/>
        <v>100</v>
      </c>
      <c r="AK49" s="43">
        <f t="shared" si="8"/>
        <v>30.576423289679507</v>
      </c>
      <c r="AL49" s="12"/>
    </row>
    <row r="50" spans="2:38" s="8" customFormat="1" ht="12.75">
      <c r="B50" s="39" t="s">
        <v>190</v>
      </c>
      <c r="C50" s="39"/>
      <c r="D50" s="19" t="s">
        <v>112</v>
      </c>
      <c r="E50" s="40">
        <v>100</v>
      </c>
      <c r="F50" s="22">
        <f t="shared" si="5"/>
        <v>1.2156345796048196</v>
      </c>
      <c r="G50" s="40"/>
      <c r="H50" s="22">
        <f t="shared" si="6"/>
        <v>3.056334230421563</v>
      </c>
      <c r="I50" s="40"/>
      <c r="J50" s="22">
        <f t="shared" si="7"/>
        <v>3.3441265645360057</v>
      </c>
      <c r="K50" s="40">
        <f>F50/SUM(F50,H50,J50)*100</f>
        <v>15.961388609510008</v>
      </c>
      <c r="L50" s="20">
        <f t="shared" si="0"/>
        <v>2.5386984581874628</v>
      </c>
      <c r="M50" s="22"/>
      <c r="N50" s="22"/>
      <c r="O50" s="22"/>
      <c r="P50" s="22"/>
      <c r="Q50" s="22"/>
      <c r="R50" s="22"/>
      <c r="S50" s="22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42">
        <f t="shared" si="1"/>
        <v>100</v>
      </c>
      <c r="AE50" s="43">
        <f t="shared" si="9"/>
        <v>1.2156345796048196</v>
      </c>
      <c r="AF50" s="42">
        <f t="shared" si="2"/>
        <v>0</v>
      </c>
      <c r="AG50" s="43">
        <f t="shared" si="10"/>
        <v>3.056334230421563</v>
      </c>
      <c r="AH50" s="42">
        <f t="shared" si="3"/>
        <v>0</v>
      </c>
      <c r="AI50" s="43">
        <f t="shared" si="11"/>
        <v>3.3441265645360057</v>
      </c>
      <c r="AJ50" s="42">
        <f t="shared" si="4"/>
        <v>15.961388609510006</v>
      </c>
      <c r="AK50" s="43">
        <f>SUM(AB50,L50)</f>
        <v>2.5386984581874628</v>
      </c>
      <c r="AL50" s="12"/>
    </row>
    <row r="51" spans="2:38" s="8" customFormat="1" ht="12.75">
      <c r="B51" s="39" t="s">
        <v>5</v>
      </c>
      <c r="C51" s="39"/>
      <c r="D51" s="19" t="s">
        <v>112</v>
      </c>
      <c r="E51" s="42">
        <f>(E41*F41+E44*F44)/F51</f>
        <v>4.323827046918124</v>
      </c>
      <c r="F51" s="43">
        <f>(F41+F44)</f>
        <v>220.23246467173976</v>
      </c>
      <c r="G51" s="42">
        <f>(G41*H41+G44*H44)/H51</f>
        <v>4.404873477038425</v>
      </c>
      <c r="H51" s="43">
        <f>(H41+H44)</f>
        <v>203.18433793519054</v>
      </c>
      <c r="I51" s="42">
        <f>(I41*J41+I44*J44)/J51</f>
        <v>3.9830749827088154</v>
      </c>
      <c r="J51" s="43">
        <f>(J41+J44)</f>
        <v>221.55063835506866</v>
      </c>
      <c r="K51" s="42">
        <f>(K41*L41+K44*L44)/L51</f>
        <v>4.232308516909329</v>
      </c>
      <c r="L51" s="20">
        <f t="shared" si="0"/>
        <v>214.98914698733302</v>
      </c>
      <c r="M51" s="43"/>
      <c r="N51" s="43"/>
      <c r="O51" s="43"/>
      <c r="P51" s="43"/>
      <c r="Q51" s="43"/>
      <c r="R51" s="43"/>
      <c r="S51" s="43"/>
      <c r="T51" s="39"/>
      <c r="U51" s="39"/>
      <c r="V51" s="42">
        <f>V41</f>
        <v>26.878642981603218</v>
      </c>
      <c r="W51" s="39"/>
      <c r="X51" s="42">
        <f>X41</f>
        <v>26.54107299759161</v>
      </c>
      <c r="Y51" s="39"/>
      <c r="Z51" s="42">
        <f>Z41</f>
        <v>24.997935204506206</v>
      </c>
      <c r="AA51" s="39"/>
      <c r="AB51" s="42">
        <f>AB41</f>
        <v>26.110345381384576</v>
      </c>
      <c r="AC51" s="39"/>
      <c r="AD51" s="42">
        <f>(AD41*AE41+AD44*AE44)/AE51</f>
        <v>3.85351794340608</v>
      </c>
      <c r="AE51" s="43">
        <f>SUM(V51,F51)</f>
        <v>247.11110765334297</v>
      </c>
      <c r="AF51" s="42">
        <f>(AF41*AG41+AF44*AG44)/AG51</f>
        <v>3.8959612586446144</v>
      </c>
      <c r="AG51" s="43">
        <f>SUM(X51,H51)</f>
        <v>229.72541093278215</v>
      </c>
      <c r="AH51" s="42">
        <f>(AH41*AI41+AH44*AI44)/AI51</f>
        <v>3.5792249466087878</v>
      </c>
      <c r="AI51" s="43">
        <f>SUM(Z51,J51)</f>
        <v>246.54857355957486</v>
      </c>
      <c r="AJ51" s="42">
        <f>(AJ41*AK41+AJ44*AK44)/AK51</f>
        <v>3.7739623128116544</v>
      </c>
      <c r="AK51" s="43">
        <f>SUM(AB51,L51)</f>
        <v>241.0994923687176</v>
      </c>
      <c r="AL51" s="12"/>
    </row>
    <row r="52" spans="2:38" s="8" customFormat="1" ht="12.75">
      <c r="B52" s="39" t="s">
        <v>6</v>
      </c>
      <c r="C52" s="39"/>
      <c r="D52" s="19" t="s">
        <v>112</v>
      </c>
      <c r="E52" s="42">
        <f>(E38*F38+E40*F40+E42*F42)/F52</f>
        <v>0</v>
      </c>
      <c r="F52" s="43">
        <f>(F38+F40+F42)</f>
        <v>327.41091344023135</v>
      </c>
      <c r="G52" s="42">
        <f>(G38*H38+G40*H40+G42*H42)/H52</f>
        <v>0</v>
      </c>
      <c r="H52" s="43">
        <f>(H38+H40+H42)</f>
        <v>358.1909462568823</v>
      </c>
      <c r="I52" s="42">
        <f>(I38*J38+I40*J40+I42*J42)/J52</f>
        <v>0</v>
      </c>
      <c r="J52" s="43">
        <f>(J38+J40+J42)</f>
        <v>380.6715716266431</v>
      </c>
      <c r="K52" s="42">
        <f>(K38*L38+K40*L40+K42*L42)/L52</f>
        <v>0</v>
      </c>
      <c r="L52" s="20">
        <f t="shared" si="0"/>
        <v>355.4244771079189</v>
      </c>
      <c r="M52" s="43"/>
      <c r="N52" s="43"/>
      <c r="O52" s="43"/>
      <c r="P52" s="43"/>
      <c r="Q52" s="43"/>
      <c r="R52" s="43"/>
      <c r="S52" s="43"/>
      <c r="T52" s="39"/>
      <c r="U52" s="39"/>
      <c r="V52" s="42">
        <f>V42+V38</f>
        <v>1717.6023770859326</v>
      </c>
      <c r="W52" s="39"/>
      <c r="X52" s="42">
        <f>X42+X38</f>
        <v>1633.579309605534</v>
      </c>
      <c r="Y52" s="39"/>
      <c r="Z52" s="42">
        <f>Z42+Z38</f>
        <v>1516.6379347037578</v>
      </c>
      <c r="AA52" s="39"/>
      <c r="AB52" s="42">
        <f>AB42+AB38</f>
        <v>1619.048505471412</v>
      </c>
      <c r="AC52" s="39"/>
      <c r="AD52" s="42">
        <f>(AD38*AE38+AD40*AE40+AD42*AE42)/AE52</f>
        <v>0</v>
      </c>
      <c r="AE52" s="43">
        <f>SUM(V52,F52)</f>
        <v>2045.013290526164</v>
      </c>
      <c r="AF52" s="42">
        <f>(AF38*AG38+AF40*AG40+AF42*AG42)/AG52</f>
        <v>0</v>
      </c>
      <c r="AG52" s="43">
        <f>SUM(X52,H52)</f>
        <v>1991.7702558624164</v>
      </c>
      <c r="AH52" s="42">
        <f>(AH38*AI38+AH40*AI40+AH42*AI42)/AI52</f>
        <v>0</v>
      </c>
      <c r="AI52" s="43">
        <f>SUM(Z52,J52)</f>
        <v>1897.3095063304008</v>
      </c>
      <c r="AJ52" s="43">
        <f>(AJ38*AK38+AJ40*AK40+AJ42*AK42)/AK52</f>
        <v>0</v>
      </c>
      <c r="AK52" s="43">
        <f>SUM(AB52,L52)</f>
        <v>1974.4729825793308</v>
      </c>
      <c r="AL52" s="12"/>
    </row>
    <row r="53" spans="2:38" s="8" customFormat="1" ht="12.75">
      <c r="B53" s="39"/>
      <c r="C53" s="39"/>
      <c r="D53" s="39"/>
      <c r="E53" s="40"/>
      <c r="F53" s="40"/>
      <c r="G53" s="40"/>
      <c r="H53" s="40"/>
      <c r="I53" s="40"/>
      <c r="J53" s="40"/>
      <c r="K53" s="40"/>
      <c r="L53" s="51"/>
      <c r="M53" s="51"/>
      <c r="N53" s="51"/>
      <c r="O53" s="51"/>
      <c r="P53" s="51"/>
      <c r="Q53" s="51"/>
      <c r="R53" s="51"/>
      <c r="S53" s="51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51"/>
      <c r="AL53" s="12"/>
    </row>
    <row r="54" spans="2:39" s="8" customFormat="1" ht="12.75">
      <c r="B54" s="39"/>
      <c r="C54" s="39"/>
      <c r="D54" s="39"/>
      <c r="E54" s="40"/>
      <c r="F54" s="40"/>
      <c r="G54" s="40"/>
      <c r="H54" s="40"/>
      <c r="I54" s="40"/>
      <c r="J54" s="40"/>
      <c r="K54" s="40"/>
      <c r="L54" s="51"/>
      <c r="M54" s="51"/>
      <c r="N54" s="51"/>
      <c r="O54" s="51"/>
      <c r="P54" s="51"/>
      <c r="Q54" s="51"/>
      <c r="R54" s="51"/>
      <c r="S54" s="51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51"/>
      <c r="AL54" s="12"/>
      <c r="AM54" s="77"/>
    </row>
    <row r="55" spans="1:37" s="8" customFormat="1" ht="12.75">
      <c r="A55" s="8" t="s">
        <v>188</v>
      </c>
      <c r="B55" s="38" t="s">
        <v>185</v>
      </c>
      <c r="C55" s="38" t="s">
        <v>162</v>
      </c>
      <c r="D55" s="39"/>
      <c r="E55" s="40"/>
      <c r="F55" s="40" t="s">
        <v>208</v>
      </c>
      <c r="G55" s="40"/>
      <c r="H55" s="40" t="s">
        <v>209</v>
      </c>
      <c r="I55" s="40"/>
      <c r="J55" s="40" t="s">
        <v>210</v>
      </c>
      <c r="K55" s="40"/>
      <c r="L55" s="39" t="s">
        <v>33</v>
      </c>
      <c r="M55" s="40"/>
      <c r="N55" s="40" t="s">
        <v>208</v>
      </c>
      <c r="O55" s="40"/>
      <c r="P55" s="40" t="s">
        <v>209</v>
      </c>
      <c r="Q55" s="40"/>
      <c r="R55" s="40" t="s">
        <v>210</v>
      </c>
      <c r="S55" s="40"/>
      <c r="T55" s="39" t="s">
        <v>33</v>
      </c>
      <c r="U55" s="40"/>
      <c r="V55" s="40" t="s">
        <v>208</v>
      </c>
      <c r="W55" s="40"/>
      <c r="X55" s="40" t="s">
        <v>209</v>
      </c>
      <c r="Y55" s="40"/>
      <c r="Z55" s="40" t="s">
        <v>210</v>
      </c>
      <c r="AA55" s="40"/>
      <c r="AB55" s="39" t="s">
        <v>33</v>
      </c>
      <c r="AC55" s="39"/>
      <c r="AD55" s="39"/>
      <c r="AE55" s="39"/>
      <c r="AF55" s="39"/>
      <c r="AG55" s="39"/>
      <c r="AH55" s="39"/>
      <c r="AI55" s="39"/>
      <c r="AJ55" s="39"/>
      <c r="AK55" s="39"/>
    </row>
    <row r="56" spans="2:37" s="8" customFormat="1" ht="12.75">
      <c r="B56" s="39"/>
      <c r="C56" s="39"/>
      <c r="D56" s="39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39"/>
      <c r="AD56" s="39"/>
      <c r="AE56" s="39"/>
      <c r="AF56" s="39"/>
      <c r="AG56" s="39"/>
      <c r="AH56" s="39"/>
      <c r="AI56" s="39"/>
      <c r="AJ56" s="39"/>
      <c r="AK56" s="39"/>
    </row>
    <row r="57" spans="2:37" s="8" customFormat="1" ht="12.75">
      <c r="B57" s="39" t="s">
        <v>220</v>
      </c>
      <c r="C57" s="39"/>
      <c r="D57" s="39"/>
      <c r="E57" s="40"/>
      <c r="F57" s="40" t="s">
        <v>221</v>
      </c>
      <c r="G57" s="40"/>
      <c r="H57" s="40" t="s">
        <v>221</v>
      </c>
      <c r="I57" s="40"/>
      <c r="J57" s="40" t="s">
        <v>221</v>
      </c>
      <c r="K57" s="40"/>
      <c r="L57" s="40" t="s">
        <v>221</v>
      </c>
      <c r="M57" s="40"/>
      <c r="N57" s="40" t="s">
        <v>222</v>
      </c>
      <c r="O57" s="40"/>
      <c r="P57" s="40" t="s">
        <v>222</v>
      </c>
      <c r="Q57" s="40"/>
      <c r="R57" s="40" t="s">
        <v>222</v>
      </c>
      <c r="S57" s="40"/>
      <c r="T57" s="40" t="s">
        <v>222</v>
      </c>
      <c r="U57" s="40"/>
      <c r="V57" s="40" t="s">
        <v>223</v>
      </c>
      <c r="W57" s="40"/>
      <c r="X57" s="40" t="s">
        <v>223</v>
      </c>
      <c r="Y57" s="40"/>
      <c r="Z57" s="40" t="s">
        <v>223</v>
      </c>
      <c r="AA57" s="40"/>
      <c r="AB57" s="40" t="s">
        <v>223</v>
      </c>
      <c r="AC57" s="39"/>
      <c r="AD57" s="39"/>
      <c r="AE57" s="39"/>
      <c r="AF57" s="39"/>
      <c r="AG57" s="39"/>
      <c r="AH57" s="39"/>
      <c r="AI57" s="39"/>
      <c r="AJ57" s="39"/>
      <c r="AK57" s="39"/>
    </row>
    <row r="58" spans="2:37" s="8" customFormat="1" ht="12.75">
      <c r="B58" s="39" t="s">
        <v>219</v>
      </c>
      <c r="C58" s="39"/>
      <c r="D58" s="39"/>
      <c r="E58" s="40"/>
      <c r="F58" s="40" t="s">
        <v>225</v>
      </c>
      <c r="G58" s="40"/>
      <c r="H58" s="40" t="s">
        <v>225</v>
      </c>
      <c r="I58" s="40"/>
      <c r="J58" s="40" t="s">
        <v>225</v>
      </c>
      <c r="K58" s="40"/>
      <c r="L58" s="40" t="s">
        <v>225</v>
      </c>
      <c r="M58" s="40"/>
      <c r="N58" s="40" t="s">
        <v>226</v>
      </c>
      <c r="O58" s="40"/>
      <c r="P58" s="40" t="s">
        <v>226</v>
      </c>
      <c r="Q58" s="40"/>
      <c r="R58" s="40" t="s">
        <v>226</v>
      </c>
      <c r="S58" s="40"/>
      <c r="T58" s="40" t="s">
        <v>226</v>
      </c>
      <c r="U58" s="40"/>
      <c r="V58" s="40" t="s">
        <v>49</v>
      </c>
      <c r="W58" s="40"/>
      <c r="X58" s="40" t="s">
        <v>49</v>
      </c>
      <c r="Y58" s="40"/>
      <c r="Z58" s="40" t="s">
        <v>49</v>
      </c>
      <c r="AA58" s="40"/>
      <c r="AB58" s="40" t="s">
        <v>49</v>
      </c>
      <c r="AC58" s="39"/>
      <c r="AD58" s="39"/>
      <c r="AE58" s="39"/>
      <c r="AF58" s="39"/>
      <c r="AG58" s="39"/>
      <c r="AH58" s="39"/>
      <c r="AI58" s="39"/>
      <c r="AJ58" s="39"/>
      <c r="AK58" s="39"/>
    </row>
    <row r="59" spans="2:37" s="8" customFormat="1" ht="12.75">
      <c r="B59" s="39" t="s">
        <v>229</v>
      </c>
      <c r="C59" s="39"/>
      <c r="D59" s="39"/>
      <c r="E59" s="40"/>
      <c r="F59" s="40" t="s">
        <v>1</v>
      </c>
      <c r="G59" s="40"/>
      <c r="H59" s="40" t="s">
        <v>1</v>
      </c>
      <c r="I59" s="40"/>
      <c r="J59" s="40" t="s">
        <v>1</v>
      </c>
      <c r="K59" s="40"/>
      <c r="L59" s="40" t="s">
        <v>1</v>
      </c>
      <c r="M59" s="40"/>
      <c r="N59" s="40" t="s">
        <v>230</v>
      </c>
      <c r="O59" s="40"/>
      <c r="P59" s="40" t="s">
        <v>230</v>
      </c>
      <c r="Q59" s="40"/>
      <c r="R59" s="40" t="s">
        <v>230</v>
      </c>
      <c r="S59" s="40"/>
      <c r="T59" s="40" t="s">
        <v>230</v>
      </c>
      <c r="U59" s="40"/>
      <c r="V59" s="40" t="s">
        <v>49</v>
      </c>
      <c r="W59" s="40"/>
      <c r="X59" s="40" t="s">
        <v>49</v>
      </c>
      <c r="Y59" s="40"/>
      <c r="Z59" s="40" t="s">
        <v>49</v>
      </c>
      <c r="AA59" s="40"/>
      <c r="AB59" s="40" t="s">
        <v>49</v>
      </c>
      <c r="AC59" s="39"/>
      <c r="AD59" s="39"/>
      <c r="AE59" s="40"/>
      <c r="AF59" s="39"/>
      <c r="AG59" s="39"/>
      <c r="AH59" s="39"/>
      <c r="AI59" s="39"/>
      <c r="AJ59" s="39"/>
      <c r="AK59" s="39"/>
    </row>
    <row r="60" spans="2:37" s="8" customFormat="1" ht="12.75">
      <c r="B60" s="39" t="s">
        <v>192</v>
      </c>
      <c r="C60" s="39"/>
      <c r="D60" s="39"/>
      <c r="E60" s="40"/>
      <c r="F60" s="40" t="s">
        <v>114</v>
      </c>
      <c r="G60" s="40"/>
      <c r="H60" s="40" t="s">
        <v>114</v>
      </c>
      <c r="I60" s="40"/>
      <c r="J60" s="40" t="s">
        <v>114</v>
      </c>
      <c r="K60" s="40"/>
      <c r="L60" s="40" t="s">
        <v>114</v>
      </c>
      <c r="M60" s="40"/>
      <c r="N60" s="40" t="s">
        <v>109</v>
      </c>
      <c r="O60" s="40"/>
      <c r="P60" s="40" t="s">
        <v>109</v>
      </c>
      <c r="Q60" s="40"/>
      <c r="R60" s="40" t="s">
        <v>109</v>
      </c>
      <c r="S60" s="40"/>
      <c r="T60" s="40" t="s">
        <v>109</v>
      </c>
      <c r="U60" s="39"/>
      <c r="V60" s="40" t="s">
        <v>49</v>
      </c>
      <c r="W60" s="39"/>
      <c r="X60" s="40" t="s">
        <v>49</v>
      </c>
      <c r="Y60" s="40"/>
      <c r="Z60" s="40" t="s">
        <v>49</v>
      </c>
      <c r="AA60" s="39"/>
      <c r="AB60" s="40" t="s">
        <v>49</v>
      </c>
      <c r="AC60" s="39"/>
      <c r="AD60" s="39"/>
      <c r="AE60" s="39"/>
      <c r="AF60" s="39"/>
      <c r="AG60" s="39"/>
      <c r="AH60" s="39"/>
      <c r="AI60" s="39"/>
      <c r="AJ60" s="39"/>
      <c r="AK60" s="39"/>
    </row>
    <row r="61" spans="2:38" s="8" customFormat="1" ht="12.75">
      <c r="B61" s="39" t="s">
        <v>228</v>
      </c>
      <c r="C61" s="39"/>
      <c r="D61" s="39" t="s">
        <v>40</v>
      </c>
      <c r="E61" s="40"/>
      <c r="F61" s="72">
        <v>331</v>
      </c>
      <c r="G61" s="72"/>
      <c r="H61" s="72">
        <v>328</v>
      </c>
      <c r="I61" s="72"/>
      <c r="J61" s="72">
        <v>324</v>
      </c>
      <c r="K61" s="40"/>
      <c r="L61" s="42">
        <v>327.6666666666667</v>
      </c>
      <c r="M61" s="42"/>
      <c r="N61" s="42"/>
      <c r="O61" s="42"/>
      <c r="P61" s="42"/>
      <c r="Q61" s="42"/>
      <c r="R61" s="42"/>
      <c r="S61" s="42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42"/>
      <c r="AL61" s="10"/>
    </row>
    <row r="62" spans="2:38" s="8" customFormat="1" ht="12.75">
      <c r="B62" s="39" t="s">
        <v>107</v>
      </c>
      <c r="C62" s="39"/>
      <c r="D62" s="39" t="s">
        <v>108</v>
      </c>
      <c r="E62" s="40"/>
      <c r="F62" s="42">
        <v>4228</v>
      </c>
      <c r="G62" s="72"/>
      <c r="H62" s="42">
        <v>4781</v>
      </c>
      <c r="I62" s="72"/>
      <c r="J62" s="42">
        <v>4514</v>
      </c>
      <c r="K62" s="40"/>
      <c r="L62" s="42">
        <v>4508</v>
      </c>
      <c r="M62" s="42"/>
      <c r="N62" s="42"/>
      <c r="O62" s="42"/>
      <c r="P62" s="42"/>
      <c r="Q62" s="42"/>
      <c r="R62" s="42"/>
      <c r="S62" s="42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42"/>
      <c r="AL62" s="10"/>
    </row>
    <row r="63" spans="2:38" s="8" customFormat="1" ht="12.75">
      <c r="B63" s="39" t="s">
        <v>39</v>
      </c>
      <c r="C63" s="39"/>
      <c r="D63" s="39" t="s">
        <v>85</v>
      </c>
      <c r="E63" s="40"/>
      <c r="F63" s="72">
        <v>2</v>
      </c>
      <c r="G63" s="72"/>
      <c r="H63" s="72">
        <v>2</v>
      </c>
      <c r="I63" s="72"/>
      <c r="J63" s="72">
        <v>2</v>
      </c>
      <c r="K63" s="40"/>
      <c r="L63" s="43">
        <v>2</v>
      </c>
      <c r="M63" s="43"/>
      <c r="N63" s="43">
        <v>1.5</v>
      </c>
      <c r="O63" s="43"/>
      <c r="P63" s="43">
        <v>1.4</v>
      </c>
      <c r="Q63" s="43"/>
      <c r="R63" s="43">
        <v>1.4</v>
      </c>
      <c r="S63" s="43"/>
      <c r="T63" s="43">
        <v>1.4</v>
      </c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11"/>
    </row>
    <row r="64" spans="2:38" s="8" customFormat="1" ht="12.75">
      <c r="B64" s="39" t="s">
        <v>8</v>
      </c>
      <c r="C64" s="39"/>
      <c r="D64" s="39" t="s">
        <v>40</v>
      </c>
      <c r="E64" s="40"/>
      <c r="F64" s="72">
        <v>0.02</v>
      </c>
      <c r="G64" s="72"/>
      <c r="H64" s="72">
        <v>0.02</v>
      </c>
      <c r="I64" s="72"/>
      <c r="J64" s="72">
        <v>0.02</v>
      </c>
      <c r="K64" s="40"/>
      <c r="L64" s="39">
        <v>0.02</v>
      </c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51"/>
      <c r="AL64" s="12"/>
    </row>
    <row r="65" spans="2:38" s="8" customFormat="1" ht="12.75">
      <c r="B65" s="39" t="s">
        <v>41</v>
      </c>
      <c r="C65" s="39"/>
      <c r="D65" s="39" t="s">
        <v>40</v>
      </c>
      <c r="E65" s="40"/>
      <c r="F65" s="72">
        <v>595</v>
      </c>
      <c r="G65" s="72"/>
      <c r="H65" s="72">
        <v>673</v>
      </c>
      <c r="I65" s="72"/>
      <c r="J65" s="72">
        <v>653</v>
      </c>
      <c r="K65" s="40"/>
      <c r="L65" s="42">
        <v>640.3333333333334</v>
      </c>
      <c r="M65" s="42"/>
      <c r="N65" s="42"/>
      <c r="O65" s="42"/>
      <c r="P65" s="42"/>
      <c r="Q65" s="42"/>
      <c r="R65" s="42"/>
      <c r="S65" s="42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42"/>
      <c r="AL65" s="10"/>
    </row>
    <row r="66" spans="2:38" s="8" customFormat="1" ht="12.75">
      <c r="B66" s="39"/>
      <c r="C66" s="39"/>
      <c r="D66" s="39"/>
      <c r="E66" s="40"/>
      <c r="F66" s="40"/>
      <c r="G66" s="40"/>
      <c r="H66" s="40"/>
      <c r="I66" s="40"/>
      <c r="J66" s="40"/>
      <c r="K66" s="40"/>
      <c r="L66" s="51"/>
      <c r="M66" s="51"/>
      <c r="N66" s="51"/>
      <c r="O66" s="51"/>
      <c r="P66" s="51"/>
      <c r="Q66" s="51"/>
      <c r="R66" s="51"/>
      <c r="S66" s="51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51"/>
      <c r="AL66" s="12"/>
    </row>
    <row r="67" spans="2:38" s="8" customFormat="1" ht="12.75">
      <c r="B67" s="19" t="s">
        <v>42</v>
      </c>
      <c r="C67" s="19"/>
      <c r="D67" s="19" t="s">
        <v>14</v>
      </c>
      <c r="E67" s="40"/>
      <c r="F67" s="54">
        <f>emiss!G82</f>
        <v>1064</v>
      </c>
      <c r="G67" s="40"/>
      <c r="H67" s="54">
        <f>emiss!I82</f>
        <v>1117</v>
      </c>
      <c r="I67" s="40"/>
      <c r="J67" s="54">
        <f>emiss!K82</f>
        <v>1086</v>
      </c>
      <c r="K67" s="40"/>
      <c r="L67" s="54">
        <f>emiss!M82</f>
        <v>1089</v>
      </c>
      <c r="M67" s="42"/>
      <c r="N67" s="42"/>
      <c r="O67" s="42"/>
      <c r="P67" s="42"/>
      <c r="Q67" s="42"/>
      <c r="R67" s="42"/>
      <c r="S67" s="42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51"/>
      <c r="AL67" s="12"/>
    </row>
    <row r="68" spans="2:38" s="8" customFormat="1" ht="12.75">
      <c r="B68" s="19" t="s">
        <v>113</v>
      </c>
      <c r="C68" s="19"/>
      <c r="D68" s="19" t="s">
        <v>15</v>
      </c>
      <c r="E68" s="40"/>
      <c r="F68" s="54">
        <f>emiss!G83</f>
        <v>8.7</v>
      </c>
      <c r="G68" s="40"/>
      <c r="H68" s="54">
        <f>emiss!I83</f>
        <v>7.9</v>
      </c>
      <c r="I68" s="40"/>
      <c r="J68" s="54">
        <f>emiss!K83</f>
        <v>7.9</v>
      </c>
      <c r="K68" s="40"/>
      <c r="L68" s="54">
        <f>emiss!M83</f>
        <v>8.2</v>
      </c>
      <c r="M68" s="43"/>
      <c r="N68" s="43"/>
      <c r="O68" s="43"/>
      <c r="P68" s="43"/>
      <c r="Q68" s="43"/>
      <c r="R68" s="43"/>
      <c r="S68" s="43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51"/>
      <c r="AL68" s="12"/>
    </row>
    <row r="69" spans="2:38" s="8" customFormat="1" ht="12.75">
      <c r="B69" s="39"/>
      <c r="C69" s="39"/>
      <c r="D69" s="39"/>
      <c r="E69" s="40"/>
      <c r="F69" s="40"/>
      <c r="G69" s="40"/>
      <c r="H69" s="40"/>
      <c r="I69" s="40"/>
      <c r="J69" s="40"/>
      <c r="K69" s="40"/>
      <c r="L69" s="51"/>
      <c r="M69" s="51"/>
      <c r="N69" s="51"/>
      <c r="O69" s="51"/>
      <c r="P69" s="51"/>
      <c r="Q69" s="51"/>
      <c r="R69" s="51"/>
      <c r="S69" s="51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51"/>
      <c r="AL69" s="12"/>
    </row>
    <row r="70" spans="2:38" s="8" customFormat="1" ht="12.75">
      <c r="B70" s="19" t="s">
        <v>189</v>
      </c>
      <c r="C70" s="19"/>
      <c r="D70" s="19" t="s">
        <v>85</v>
      </c>
      <c r="E70" s="40"/>
      <c r="F70" s="20">
        <f>(F62*F61)/1000000</f>
        <v>1.399468</v>
      </c>
      <c r="G70" s="40"/>
      <c r="H70" s="20">
        <f>(H62*H61)/1000000</f>
        <v>1.568168</v>
      </c>
      <c r="I70" s="40"/>
      <c r="J70" s="20">
        <f>(J62*J61)/1000000</f>
        <v>1.462536</v>
      </c>
      <c r="K70" s="40"/>
      <c r="L70" s="20">
        <f>(L62*L61)/1000000</f>
        <v>1.4771213333333335</v>
      </c>
      <c r="M70" s="20"/>
      <c r="N70" s="43">
        <v>1.5</v>
      </c>
      <c r="O70" s="43"/>
      <c r="P70" s="43">
        <v>1.4</v>
      </c>
      <c r="Q70" s="43"/>
      <c r="R70" s="43">
        <v>1.4</v>
      </c>
      <c r="S70" s="20"/>
      <c r="T70" s="39">
        <v>1.4</v>
      </c>
      <c r="U70" s="39"/>
      <c r="V70" s="43">
        <f>F70+N70</f>
        <v>2.8994679999999997</v>
      </c>
      <c r="W70" s="39"/>
      <c r="X70" s="43">
        <f>H70+P70</f>
        <v>2.968168</v>
      </c>
      <c r="Y70" s="39"/>
      <c r="Z70" s="43">
        <f>J70+R70</f>
        <v>2.862536</v>
      </c>
      <c r="AA70" s="39"/>
      <c r="AB70" s="43">
        <f>L70+T70</f>
        <v>2.877121333333333</v>
      </c>
      <c r="AC70" s="39"/>
      <c r="AD70" s="39"/>
      <c r="AE70" s="39"/>
      <c r="AF70" s="39"/>
      <c r="AG70" s="39"/>
      <c r="AH70" s="39"/>
      <c r="AI70" s="39"/>
      <c r="AJ70" s="39"/>
      <c r="AK70" s="51"/>
      <c r="AL70" s="12"/>
    </row>
    <row r="71" spans="2:38" s="8" customFormat="1" ht="12.75">
      <c r="B71" s="19" t="s">
        <v>231</v>
      </c>
      <c r="C71" s="19"/>
      <c r="D71" s="19" t="s">
        <v>85</v>
      </c>
      <c r="E71" s="40"/>
      <c r="M71" s="20"/>
      <c r="N71" s="20"/>
      <c r="O71" s="20"/>
      <c r="P71" s="20"/>
      <c r="Q71" s="20"/>
      <c r="R71" s="20"/>
      <c r="S71" s="20"/>
      <c r="T71" s="39"/>
      <c r="U71" s="39"/>
      <c r="V71" s="20">
        <f>(F67/9000)*((21-F68)/21)*60</f>
        <v>4.154666666666667</v>
      </c>
      <c r="W71" s="40"/>
      <c r="X71" s="20">
        <f>(H67/9000)*((21-H68)/21)*60</f>
        <v>4.645301587301588</v>
      </c>
      <c r="Y71" s="40"/>
      <c r="Z71" s="20">
        <f>(J67/9000)*((21-J68)/21)*60</f>
        <v>4.516380952380953</v>
      </c>
      <c r="AA71" s="40"/>
      <c r="AB71" s="20">
        <f>(L67/9000)*((21-L68)/21)*60</f>
        <v>4.425142857142857</v>
      </c>
      <c r="AC71" s="39"/>
      <c r="AD71" s="39"/>
      <c r="AE71" s="39"/>
      <c r="AF71" s="39"/>
      <c r="AG71" s="39"/>
      <c r="AH71" s="39"/>
      <c r="AI71" s="39"/>
      <c r="AJ71" s="39"/>
      <c r="AK71" s="51"/>
      <c r="AL71" s="12"/>
    </row>
    <row r="72" spans="2:38" s="8" customFormat="1" ht="12.75">
      <c r="B72" s="19"/>
      <c r="C72" s="19"/>
      <c r="D72" s="19"/>
      <c r="E72" s="40"/>
      <c r="F72" s="20"/>
      <c r="G72" s="40"/>
      <c r="H72" s="20"/>
      <c r="I72" s="40"/>
      <c r="J72" s="20"/>
      <c r="K72" s="40"/>
      <c r="L72" s="20"/>
      <c r="M72" s="20"/>
      <c r="N72" s="20"/>
      <c r="O72" s="20"/>
      <c r="P72" s="20"/>
      <c r="Q72" s="20"/>
      <c r="R72" s="20"/>
      <c r="S72" s="20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51"/>
      <c r="AL72" s="12"/>
    </row>
    <row r="73" spans="2:38" s="8" customFormat="1" ht="12.75">
      <c r="B73" s="69" t="s">
        <v>141</v>
      </c>
      <c r="C73" s="69"/>
      <c r="D73" s="19"/>
      <c r="E73" s="40"/>
      <c r="F73" s="20"/>
      <c r="G73" s="40"/>
      <c r="H73" s="20"/>
      <c r="I73" s="40"/>
      <c r="J73" s="20"/>
      <c r="K73" s="40"/>
      <c r="L73" s="20"/>
      <c r="M73" s="20"/>
      <c r="N73" s="20"/>
      <c r="O73" s="20"/>
      <c r="P73" s="20"/>
      <c r="Q73" s="20"/>
      <c r="R73" s="20"/>
      <c r="S73" s="20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51"/>
      <c r="AL73" s="12"/>
    </row>
    <row r="74" spans="2:38" s="8" customFormat="1" ht="12.75">
      <c r="B74" s="19" t="s">
        <v>8</v>
      </c>
      <c r="C74" s="19"/>
      <c r="D74" s="19" t="s">
        <v>13</v>
      </c>
      <c r="E74" s="40"/>
      <c r="F74" s="20">
        <f>(F64*454/(F67*60*0.0283))*(14/(21-F68))*1000</f>
        <v>5.720440317663359</v>
      </c>
      <c r="G74" s="40"/>
      <c r="H74" s="20">
        <f>(H64*454/(H67*60*0.0283))*(14/(21-H68))*1000</f>
        <v>5.116249668572711</v>
      </c>
      <c r="I74" s="40"/>
      <c r="J74" s="20">
        <f>(J64*454/(J67*60*0.0283))*(14/(21-J68))*1000</f>
        <v>5.262293627804528</v>
      </c>
      <c r="K74" s="40"/>
      <c r="L74" s="20">
        <f>(L64*454/(L67*60*0.0283))*(14/(21-L68))*1000</f>
        <v>5.370792192186347</v>
      </c>
      <c r="M74" s="20"/>
      <c r="N74" s="20"/>
      <c r="O74" s="20"/>
      <c r="P74" s="20"/>
      <c r="Q74" s="20"/>
      <c r="R74" s="20"/>
      <c r="S74" s="20"/>
      <c r="T74" s="39"/>
      <c r="U74" s="39"/>
      <c r="V74" s="43">
        <f>F74</f>
        <v>5.720440317663359</v>
      </c>
      <c r="W74" s="39"/>
      <c r="X74" s="43">
        <f>H74</f>
        <v>5.116249668572711</v>
      </c>
      <c r="Y74" s="39"/>
      <c r="Z74" s="43">
        <f>J74</f>
        <v>5.262293627804528</v>
      </c>
      <c r="AA74" s="39"/>
      <c r="AB74" s="43">
        <f>L74</f>
        <v>5.370792192186347</v>
      </c>
      <c r="AC74" s="39"/>
      <c r="AD74" s="39"/>
      <c r="AE74" s="39"/>
      <c r="AF74" s="39"/>
      <c r="AG74" s="39"/>
      <c r="AH74" s="39"/>
      <c r="AI74" s="39"/>
      <c r="AJ74" s="39"/>
      <c r="AK74" s="51"/>
      <c r="AL74" s="12"/>
    </row>
    <row r="75" spans="2:38" s="8" customFormat="1" ht="12.75">
      <c r="B75" s="19" t="s">
        <v>41</v>
      </c>
      <c r="C75" s="19"/>
      <c r="D75" s="19" t="s">
        <v>112</v>
      </c>
      <c r="E75" s="40"/>
      <c r="F75" s="22">
        <f>(F65*454/(F67*60*0.0283))*(14/(21-F68))*1000000</f>
        <v>170183099.45048493</v>
      </c>
      <c r="G75" s="40"/>
      <c r="H75" s="22">
        <f>(H65*454/(H67*60*0.0283))*(14/(21-H68))*1000000</f>
        <v>172161801.34747174</v>
      </c>
      <c r="I75" s="40"/>
      <c r="J75" s="22">
        <f>(J65*454/(J67*60*0.0283))*(14/(21-J68))*1000000</f>
        <v>171813886.94781786</v>
      </c>
      <c r="K75" s="40"/>
      <c r="L75" s="22">
        <f>(L65*454/(L67*60*0.0283))*(14/(21-L68))*1000000</f>
        <v>171954863.35316622</v>
      </c>
      <c r="M75" s="22"/>
      <c r="N75" s="22"/>
      <c r="O75" s="22"/>
      <c r="P75" s="22"/>
      <c r="Q75" s="22"/>
      <c r="R75" s="22"/>
      <c r="S75" s="22"/>
      <c r="T75" s="39"/>
      <c r="U75" s="39"/>
      <c r="V75" s="42">
        <f>F75</f>
        <v>170183099.45048493</v>
      </c>
      <c r="W75" s="42"/>
      <c r="X75" s="42">
        <f>H75</f>
        <v>172161801.34747174</v>
      </c>
      <c r="Y75" s="42"/>
      <c r="Z75" s="42">
        <f>J75</f>
        <v>171813886.94781786</v>
      </c>
      <c r="AA75" s="42"/>
      <c r="AB75" s="42">
        <f>L75</f>
        <v>171954863.35316622</v>
      </c>
      <c r="AC75" s="39"/>
      <c r="AD75" s="39"/>
      <c r="AE75" s="39"/>
      <c r="AF75" s="39"/>
      <c r="AG75" s="39"/>
      <c r="AH75" s="39"/>
      <c r="AI75" s="39"/>
      <c r="AJ75" s="39"/>
      <c r="AK75" s="51"/>
      <c r="AL75" s="12"/>
    </row>
    <row r="76" spans="2:37" s="8" customFormat="1" ht="12.75">
      <c r="B76" s="39"/>
      <c r="C76" s="39"/>
      <c r="D76" s="39"/>
      <c r="E76" s="40"/>
      <c r="F76" s="40"/>
      <c r="G76" s="40"/>
      <c r="H76" s="40"/>
      <c r="I76" s="40"/>
      <c r="J76" s="40"/>
      <c r="K76" s="40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</row>
    <row r="77" spans="2:37" s="8" customFormat="1" ht="12.75">
      <c r="B77" s="39"/>
      <c r="C77" s="39"/>
      <c r="D77" s="39"/>
      <c r="E77" s="40"/>
      <c r="F77" s="40"/>
      <c r="G77" s="40"/>
      <c r="H77" s="40"/>
      <c r="I77" s="40"/>
      <c r="J77" s="40"/>
      <c r="K77" s="40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</row>
    <row r="78" spans="1:41" s="8" customFormat="1" ht="14.25" customHeight="1">
      <c r="A78" s="8" t="s">
        <v>188</v>
      </c>
      <c r="B78" s="38" t="s">
        <v>186</v>
      </c>
      <c r="C78" s="38" t="s">
        <v>187</v>
      </c>
      <c r="D78" s="39"/>
      <c r="E78" s="40"/>
      <c r="F78" s="40" t="s">
        <v>208</v>
      </c>
      <c r="G78" s="40"/>
      <c r="H78" s="40" t="s">
        <v>209</v>
      </c>
      <c r="I78" s="40"/>
      <c r="J78" s="40" t="s">
        <v>210</v>
      </c>
      <c r="K78" s="40"/>
      <c r="L78" s="39" t="s">
        <v>33</v>
      </c>
      <c r="M78" s="39"/>
      <c r="N78" s="40" t="s">
        <v>208</v>
      </c>
      <c r="O78" s="40"/>
      <c r="P78" s="40" t="s">
        <v>209</v>
      </c>
      <c r="Q78" s="40"/>
      <c r="R78" s="40" t="s">
        <v>210</v>
      </c>
      <c r="S78" s="40"/>
      <c r="T78" s="39" t="s">
        <v>33</v>
      </c>
      <c r="U78" s="39"/>
      <c r="V78" s="40" t="s">
        <v>208</v>
      </c>
      <c r="W78" s="40"/>
      <c r="X78" s="40" t="s">
        <v>209</v>
      </c>
      <c r="Y78" s="40"/>
      <c r="Z78" s="40" t="s">
        <v>210</v>
      </c>
      <c r="AA78" s="40"/>
      <c r="AB78" s="39" t="s">
        <v>33</v>
      </c>
      <c r="AC78" s="40"/>
      <c r="AD78" s="40"/>
      <c r="AE78" s="40"/>
      <c r="AF78" s="40"/>
      <c r="AG78" s="40"/>
      <c r="AH78" s="40"/>
      <c r="AI78" s="40"/>
      <c r="AJ78" s="40"/>
      <c r="AK78" s="39"/>
      <c r="AN78" s="9"/>
      <c r="AO78" s="9"/>
    </row>
    <row r="79" spans="2:37" s="8" customFormat="1" ht="13.5" customHeight="1">
      <c r="B79" s="39"/>
      <c r="C79" s="39"/>
      <c r="D79" s="39"/>
      <c r="E79" s="40"/>
      <c r="F79" s="40"/>
      <c r="G79" s="40"/>
      <c r="H79" s="40"/>
      <c r="I79" s="40"/>
      <c r="J79" s="40"/>
      <c r="K79" s="40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</row>
    <row r="80" spans="2:37" s="8" customFormat="1" ht="13.5" customHeight="1">
      <c r="B80" s="39" t="s">
        <v>220</v>
      </c>
      <c r="C80" s="39"/>
      <c r="D80" s="39"/>
      <c r="E80" s="40"/>
      <c r="F80" s="40" t="s">
        <v>221</v>
      </c>
      <c r="G80" s="40"/>
      <c r="H80" s="40" t="s">
        <v>221</v>
      </c>
      <c r="I80" s="40"/>
      <c r="J80" s="40" t="s">
        <v>221</v>
      </c>
      <c r="K80" s="40"/>
      <c r="L80" s="40" t="s">
        <v>221</v>
      </c>
      <c r="M80" s="39"/>
      <c r="N80" s="40" t="s">
        <v>222</v>
      </c>
      <c r="O80" s="39"/>
      <c r="P80" s="40" t="s">
        <v>222</v>
      </c>
      <c r="Q80" s="39"/>
      <c r="R80" s="40" t="s">
        <v>222</v>
      </c>
      <c r="S80" s="39"/>
      <c r="T80" s="40" t="s">
        <v>222</v>
      </c>
      <c r="U80" s="39"/>
      <c r="V80" s="40" t="s">
        <v>223</v>
      </c>
      <c r="W80" s="39"/>
      <c r="X80" s="40" t="s">
        <v>223</v>
      </c>
      <c r="Y80" s="39"/>
      <c r="Z80" s="40" t="s">
        <v>223</v>
      </c>
      <c r="AA80" s="39"/>
      <c r="AB80" s="40" t="s">
        <v>223</v>
      </c>
      <c r="AC80" s="39"/>
      <c r="AD80" s="39"/>
      <c r="AE80" s="39"/>
      <c r="AF80" s="39"/>
      <c r="AG80" s="39"/>
      <c r="AH80" s="39"/>
      <c r="AI80" s="39"/>
      <c r="AJ80" s="39"/>
      <c r="AK80" s="39"/>
    </row>
    <row r="81" spans="2:37" s="8" customFormat="1" ht="13.5" customHeight="1">
      <c r="B81" s="39" t="s">
        <v>219</v>
      </c>
      <c r="C81" s="39"/>
      <c r="D81" s="39"/>
      <c r="E81" s="40"/>
      <c r="F81" s="40" t="s">
        <v>225</v>
      </c>
      <c r="G81" s="40"/>
      <c r="H81" s="40" t="s">
        <v>225</v>
      </c>
      <c r="I81" s="40"/>
      <c r="J81" s="40" t="s">
        <v>225</v>
      </c>
      <c r="K81" s="40"/>
      <c r="L81" s="40" t="s">
        <v>225</v>
      </c>
      <c r="M81" s="39"/>
      <c r="N81" s="40" t="s">
        <v>226</v>
      </c>
      <c r="O81" s="39"/>
      <c r="P81" s="40" t="s">
        <v>226</v>
      </c>
      <c r="Q81" s="39"/>
      <c r="R81" s="40" t="s">
        <v>226</v>
      </c>
      <c r="S81" s="39"/>
      <c r="T81" s="40" t="s">
        <v>226</v>
      </c>
      <c r="U81" s="39"/>
      <c r="V81" s="40" t="s">
        <v>49</v>
      </c>
      <c r="W81" s="39"/>
      <c r="X81" s="40" t="s">
        <v>49</v>
      </c>
      <c r="Y81" s="39"/>
      <c r="Z81" s="40" t="s">
        <v>49</v>
      </c>
      <c r="AA81" s="39"/>
      <c r="AB81" s="40" t="s">
        <v>49</v>
      </c>
      <c r="AC81" s="39"/>
      <c r="AD81" s="39"/>
      <c r="AE81" s="39"/>
      <c r="AF81" s="39"/>
      <c r="AG81" s="39"/>
      <c r="AH81" s="39"/>
      <c r="AI81" s="39"/>
      <c r="AJ81" s="39"/>
      <c r="AK81" s="39"/>
    </row>
    <row r="82" spans="2:37" s="8" customFormat="1" ht="13.5" customHeight="1">
      <c r="B82" s="39" t="s">
        <v>229</v>
      </c>
      <c r="C82" s="39"/>
      <c r="D82" s="39"/>
      <c r="E82" s="40"/>
      <c r="F82" s="40" t="s">
        <v>1</v>
      </c>
      <c r="G82" s="40"/>
      <c r="H82" s="40" t="s">
        <v>1</v>
      </c>
      <c r="I82" s="40"/>
      <c r="J82" s="40" t="s">
        <v>1</v>
      </c>
      <c r="K82" s="40"/>
      <c r="L82" s="40" t="s">
        <v>1</v>
      </c>
      <c r="M82" s="39"/>
      <c r="N82" s="40" t="s">
        <v>230</v>
      </c>
      <c r="O82" s="39"/>
      <c r="P82" s="40" t="s">
        <v>230</v>
      </c>
      <c r="Q82" s="39"/>
      <c r="R82" s="40" t="s">
        <v>230</v>
      </c>
      <c r="S82" s="39"/>
      <c r="T82" s="40" t="s">
        <v>230</v>
      </c>
      <c r="U82" s="39"/>
      <c r="V82" s="40" t="s">
        <v>49</v>
      </c>
      <c r="W82" s="39"/>
      <c r="X82" s="40" t="s">
        <v>49</v>
      </c>
      <c r="Y82" s="39"/>
      <c r="Z82" s="40" t="s">
        <v>49</v>
      </c>
      <c r="AA82" s="39"/>
      <c r="AB82" s="40" t="s">
        <v>49</v>
      </c>
      <c r="AC82" s="39"/>
      <c r="AD82" s="39"/>
      <c r="AE82" s="39"/>
      <c r="AF82" s="39"/>
      <c r="AG82" s="39"/>
      <c r="AH82" s="39"/>
      <c r="AI82" s="39"/>
      <c r="AJ82" s="39"/>
      <c r="AK82" s="39"/>
    </row>
    <row r="83" spans="2:37" s="8" customFormat="1" ht="12.75">
      <c r="B83" s="39" t="s">
        <v>192</v>
      </c>
      <c r="C83" s="39"/>
      <c r="D83" s="39"/>
      <c r="E83" s="40"/>
      <c r="F83" s="40" t="s">
        <v>99</v>
      </c>
      <c r="G83" s="40"/>
      <c r="H83" s="40" t="s">
        <v>99</v>
      </c>
      <c r="I83" s="40"/>
      <c r="J83" s="40" t="s">
        <v>99</v>
      </c>
      <c r="K83" s="40"/>
      <c r="L83" s="40" t="s">
        <v>99</v>
      </c>
      <c r="M83" s="40"/>
      <c r="N83" s="40" t="s">
        <v>109</v>
      </c>
      <c r="O83" s="40"/>
      <c r="P83" s="40" t="s">
        <v>109</v>
      </c>
      <c r="Q83" s="40"/>
      <c r="R83" s="40" t="s">
        <v>109</v>
      </c>
      <c r="S83" s="40"/>
      <c r="T83" s="40" t="s">
        <v>109</v>
      </c>
      <c r="U83" s="39"/>
      <c r="V83" s="40" t="s">
        <v>49</v>
      </c>
      <c r="W83" s="39"/>
      <c r="X83" s="40" t="s">
        <v>49</v>
      </c>
      <c r="Y83" s="39"/>
      <c r="Z83" s="40" t="s">
        <v>49</v>
      </c>
      <c r="AA83" s="39"/>
      <c r="AB83" s="40" t="s">
        <v>49</v>
      </c>
      <c r="AC83" s="39"/>
      <c r="AD83" s="39"/>
      <c r="AE83" s="39"/>
      <c r="AF83" s="39"/>
      <c r="AG83" s="39"/>
      <c r="AH83" s="39"/>
      <c r="AI83" s="39"/>
      <c r="AJ83" s="39"/>
      <c r="AK83" s="39"/>
    </row>
    <row r="84" spans="2:37" s="8" customFormat="1" ht="12.75">
      <c r="B84" s="39" t="s">
        <v>228</v>
      </c>
      <c r="C84" s="39"/>
      <c r="D84" s="39" t="s">
        <v>40</v>
      </c>
      <c r="E84" s="40"/>
      <c r="F84" s="54">
        <v>297</v>
      </c>
      <c r="G84" s="54"/>
      <c r="H84" s="54">
        <v>302</v>
      </c>
      <c r="I84" s="54"/>
      <c r="J84" s="54">
        <v>313</v>
      </c>
      <c r="K84" s="40"/>
      <c r="L84" s="39">
        <v>302</v>
      </c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</row>
    <row r="85" spans="2:37" s="8" customFormat="1" ht="12.75">
      <c r="B85" s="39" t="s">
        <v>107</v>
      </c>
      <c r="C85" s="39"/>
      <c r="D85" s="39" t="s">
        <v>108</v>
      </c>
      <c r="E85" s="40"/>
      <c r="F85" s="40">
        <v>5891</v>
      </c>
      <c r="G85" s="40"/>
      <c r="H85" s="40">
        <v>6070</v>
      </c>
      <c r="I85" s="40"/>
      <c r="J85" s="40">
        <v>6072</v>
      </c>
      <c r="K85" s="40"/>
      <c r="L85" s="39">
        <v>6011</v>
      </c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</row>
    <row r="86" spans="2:41" s="8" customFormat="1" ht="12.75">
      <c r="B86" s="39" t="s">
        <v>39</v>
      </c>
      <c r="C86" s="39"/>
      <c r="D86" s="39" t="s">
        <v>85</v>
      </c>
      <c r="E86" s="40"/>
      <c r="F86" s="40">
        <v>1.8</v>
      </c>
      <c r="G86" s="40"/>
      <c r="H86" s="40">
        <v>1.8</v>
      </c>
      <c r="I86" s="40"/>
      <c r="J86" s="40">
        <v>1.9</v>
      </c>
      <c r="K86" s="40"/>
      <c r="L86" s="39">
        <v>1.82</v>
      </c>
      <c r="M86" s="39"/>
      <c r="N86" s="39">
        <v>1.6</v>
      </c>
      <c r="O86" s="39"/>
      <c r="P86" s="39">
        <v>1.5</v>
      </c>
      <c r="Q86" s="39"/>
      <c r="R86" s="39">
        <v>1.6</v>
      </c>
      <c r="S86" s="39"/>
      <c r="T86" s="39">
        <v>1.6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O86" s="11"/>
    </row>
    <row r="87" spans="2:37" s="8" customFormat="1" ht="12.75">
      <c r="B87" s="39" t="s">
        <v>8</v>
      </c>
      <c r="C87" s="39"/>
      <c r="D87" s="39" t="s">
        <v>40</v>
      </c>
      <c r="E87" s="40" t="s">
        <v>37</v>
      </c>
      <c r="F87" s="40">
        <v>0.0297</v>
      </c>
      <c r="G87" s="40" t="s">
        <v>37</v>
      </c>
      <c r="H87" s="40">
        <v>0.0302</v>
      </c>
      <c r="I87" s="40" t="s">
        <v>37</v>
      </c>
      <c r="J87" s="40">
        <v>0.0313</v>
      </c>
      <c r="K87" s="40"/>
      <c r="L87" s="39">
        <v>0.0302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</row>
    <row r="88" spans="2:41" s="8" customFormat="1" ht="12.75">
      <c r="B88" s="39" t="s">
        <v>41</v>
      </c>
      <c r="C88" s="39"/>
      <c r="D88" s="39" t="s">
        <v>40</v>
      </c>
      <c r="E88" s="40"/>
      <c r="F88" s="53">
        <f>58.6/100*F84</f>
        <v>174.042</v>
      </c>
      <c r="G88" s="53"/>
      <c r="H88" s="53">
        <f>59.4/100*H84</f>
        <v>179.388</v>
      </c>
      <c r="I88" s="53"/>
      <c r="J88" s="53">
        <f>62.9/100*J84</f>
        <v>196.877</v>
      </c>
      <c r="K88" s="53"/>
      <c r="L88" s="43">
        <f>AVERAGE(J88,H88,F88)</f>
        <v>183.43566666666666</v>
      </c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O88" s="10"/>
    </row>
    <row r="89" spans="2:41" s="8" customFormat="1" ht="12.75">
      <c r="B89" s="39" t="s">
        <v>158</v>
      </c>
      <c r="C89" s="39"/>
      <c r="D89" s="39" t="s">
        <v>106</v>
      </c>
      <c r="E89" s="40"/>
      <c r="F89" s="51">
        <f>(2.05/10^6)*F84*454</f>
        <v>0.2764179</v>
      </c>
      <c r="G89" s="40"/>
      <c r="H89" s="51">
        <f>(3.98/10^6)*H84*454</f>
        <v>0.54568984</v>
      </c>
      <c r="I89" s="40"/>
      <c r="J89" s="51">
        <f>(1.07/10^6)*J84*454</f>
        <v>0.15204914000000003</v>
      </c>
      <c r="K89" s="40"/>
      <c r="L89" s="51">
        <f>(2.37/10^6)*L84*454</f>
        <v>0.32494596000000003</v>
      </c>
      <c r="M89" s="51"/>
      <c r="N89" s="51"/>
      <c r="O89" s="51"/>
      <c r="P89" s="51"/>
      <c r="Q89" s="51"/>
      <c r="R89" s="51"/>
      <c r="S89" s="51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O89" s="13"/>
    </row>
    <row r="90" spans="2:41" s="8" customFormat="1" ht="12.75">
      <c r="B90" s="39" t="s">
        <v>178</v>
      </c>
      <c r="C90" s="39"/>
      <c r="D90" s="39" t="s">
        <v>106</v>
      </c>
      <c r="E90" s="40"/>
      <c r="F90" s="51">
        <f>(0.37/10^6)*F84*454</f>
        <v>0.04989006</v>
      </c>
      <c r="G90" s="40"/>
      <c r="H90" s="51">
        <f>(0.37/10^6)*H84*454</f>
        <v>0.05072996</v>
      </c>
      <c r="I90" s="40"/>
      <c r="J90" s="51">
        <f>(0.37/10^6)*J84*454</f>
        <v>0.052577740000000005</v>
      </c>
      <c r="K90" s="40"/>
      <c r="L90" s="51">
        <f>(0.37/10^6)*L84*454</f>
        <v>0.05072996</v>
      </c>
      <c r="M90" s="51"/>
      <c r="N90" s="51"/>
      <c r="O90" s="51"/>
      <c r="P90" s="51"/>
      <c r="Q90" s="51"/>
      <c r="R90" s="51"/>
      <c r="S90" s="51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O90" s="14"/>
    </row>
    <row r="91" spans="2:41" s="8" customFormat="1" ht="12.75">
      <c r="B91" s="39" t="s">
        <v>179</v>
      </c>
      <c r="C91" s="39"/>
      <c r="D91" s="39" t="s">
        <v>106</v>
      </c>
      <c r="E91" s="40"/>
      <c r="F91" s="51">
        <f>(0.0621/10^6)*454*F84</f>
        <v>0.008373439800000002</v>
      </c>
      <c r="G91" s="40"/>
      <c r="H91" s="51">
        <f>(0.0571/10^6)*454*H84</f>
        <v>0.007828866799999999</v>
      </c>
      <c r="I91" s="40"/>
      <c r="J91" s="51">
        <f>(0.0463/10^6)*454*J84</f>
        <v>0.0065793226</v>
      </c>
      <c r="K91" s="40"/>
      <c r="L91" s="51">
        <f>(0.0827/10^6)*454*L84</f>
        <v>0.011338831599999998</v>
      </c>
      <c r="M91" s="51"/>
      <c r="N91" s="51"/>
      <c r="O91" s="51"/>
      <c r="P91" s="51"/>
      <c r="Q91" s="51"/>
      <c r="R91" s="51"/>
      <c r="S91" s="51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O91" s="14"/>
    </row>
    <row r="92" spans="2:41" s="8" customFormat="1" ht="12.75">
      <c r="B92" s="39" t="s">
        <v>159</v>
      </c>
      <c r="C92" s="39"/>
      <c r="D92" s="39" t="s">
        <v>106</v>
      </c>
      <c r="E92" s="40" t="s">
        <v>37</v>
      </c>
      <c r="F92" s="51">
        <f>(0.0979/10^6)*454*F84</f>
        <v>0.013200640199999999</v>
      </c>
      <c r="G92" s="40" t="s">
        <v>37</v>
      </c>
      <c r="H92" s="51">
        <f>(0.0959/10^6)*454*H84</f>
        <v>0.0131486572</v>
      </c>
      <c r="I92" s="40" t="s">
        <v>37</v>
      </c>
      <c r="J92" s="51">
        <f>(0.115/10^6)*454*J84</f>
        <v>0.016341730000000002</v>
      </c>
      <c r="K92" s="40"/>
      <c r="L92" s="51">
        <f>(0.103/10^6)*454*L84</f>
        <v>0.014122124</v>
      </c>
      <c r="M92" s="51"/>
      <c r="N92" s="51"/>
      <c r="O92" s="51"/>
      <c r="P92" s="51"/>
      <c r="Q92" s="51"/>
      <c r="R92" s="51"/>
      <c r="S92" s="51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O92" s="14"/>
    </row>
    <row r="93" spans="2:41" s="8" customFormat="1" ht="12.75">
      <c r="B93" s="39" t="s">
        <v>175</v>
      </c>
      <c r="C93" s="39"/>
      <c r="D93" s="39" t="s">
        <v>106</v>
      </c>
      <c r="E93" s="40"/>
      <c r="F93" s="51">
        <f>(0.371/10^6)*454*F84</f>
        <v>0.050024898</v>
      </c>
      <c r="G93" s="40"/>
      <c r="H93" s="51">
        <f>(0.404/10^6)*454*H84</f>
        <v>0.055391632</v>
      </c>
      <c r="I93" s="40"/>
      <c r="J93" s="51">
        <f>(0.322/10^6)*454*J84</f>
        <v>0.045756844</v>
      </c>
      <c r="K93" s="40"/>
      <c r="L93" s="51">
        <f>(0.366/10^6)*454*L84</f>
        <v>0.050181527999999996</v>
      </c>
      <c r="M93" s="51"/>
      <c r="N93" s="51"/>
      <c r="O93" s="51"/>
      <c r="P93" s="51"/>
      <c r="Q93" s="51"/>
      <c r="R93" s="51"/>
      <c r="S93" s="51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O93" s="14"/>
    </row>
    <row r="94" spans="2:41" s="8" customFormat="1" ht="12.75">
      <c r="B94" s="39" t="s">
        <v>196</v>
      </c>
      <c r="C94" s="39"/>
      <c r="D94" s="39" t="s">
        <v>106</v>
      </c>
      <c r="E94" s="40"/>
      <c r="F94" s="51">
        <f>(0.576/10^6)*454*F84</f>
        <v>0.07766668799999998</v>
      </c>
      <c r="G94" s="40"/>
      <c r="H94" s="51">
        <f>(0.576/10^6)*454*H84</f>
        <v>0.07897420799999999</v>
      </c>
      <c r="I94" s="40"/>
      <c r="J94" s="51">
        <f>(0.576/10^6)*454*J84</f>
        <v>0.08185075199999998</v>
      </c>
      <c r="K94" s="40"/>
      <c r="L94" s="51">
        <f>(0.576/10^6)*454*L84</f>
        <v>0.07897420799999999</v>
      </c>
      <c r="M94" s="51"/>
      <c r="N94" s="51"/>
      <c r="O94" s="51"/>
      <c r="P94" s="51"/>
      <c r="Q94" s="51"/>
      <c r="R94" s="51"/>
      <c r="S94" s="51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O94" s="14"/>
    </row>
    <row r="95" spans="2:41" s="8" customFormat="1" ht="12.75">
      <c r="B95" s="39" t="s">
        <v>182</v>
      </c>
      <c r="C95" s="39"/>
      <c r="D95" s="39" t="s">
        <v>106</v>
      </c>
      <c r="E95" s="40"/>
      <c r="F95" s="51">
        <f>(1.07/10^6)*454*F84</f>
        <v>0.14427666000000003</v>
      </c>
      <c r="G95" s="40"/>
      <c r="H95" s="51">
        <f>(1.47/10^6)*454*H84</f>
        <v>0.20154876</v>
      </c>
      <c r="I95" s="40"/>
      <c r="J95" s="51">
        <f>(0.61/10^6)*454*J84</f>
        <v>0.08668221999999999</v>
      </c>
      <c r="K95" s="40"/>
      <c r="L95" s="51">
        <f>(1.05/10^6)*454*L84</f>
        <v>0.14396340000000002</v>
      </c>
      <c r="M95" s="51"/>
      <c r="N95" s="51"/>
      <c r="O95" s="51"/>
      <c r="P95" s="51"/>
      <c r="Q95" s="51"/>
      <c r="R95" s="51"/>
      <c r="S95" s="51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O95" s="14"/>
    </row>
    <row r="96" spans="2:41" s="8" customFormat="1" ht="12.75">
      <c r="B96" s="39" t="s">
        <v>191</v>
      </c>
      <c r="C96" s="39"/>
      <c r="D96" s="39" t="s">
        <v>106</v>
      </c>
      <c r="E96" s="40"/>
      <c r="F96" s="51">
        <v>0.1</v>
      </c>
      <c r="G96" s="40"/>
      <c r="H96" s="51">
        <v>0.1</v>
      </c>
      <c r="I96" s="40"/>
      <c r="J96" s="51">
        <v>0.1</v>
      </c>
      <c r="K96" s="40"/>
      <c r="L96" s="51">
        <v>0.1</v>
      </c>
      <c r="M96" s="51"/>
      <c r="N96" s="51"/>
      <c r="O96" s="51"/>
      <c r="P96" s="51"/>
      <c r="Q96" s="51"/>
      <c r="R96" s="51"/>
      <c r="S96" s="51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O96" s="14"/>
    </row>
    <row r="97" spans="2:41" s="8" customFormat="1" ht="12.75">
      <c r="B97" s="39" t="s">
        <v>160</v>
      </c>
      <c r="C97" s="39"/>
      <c r="D97" s="39" t="s">
        <v>106</v>
      </c>
      <c r="E97" s="40" t="s">
        <v>37</v>
      </c>
      <c r="F97" s="51">
        <v>0.02</v>
      </c>
      <c r="G97" s="40" t="s">
        <v>37</v>
      </c>
      <c r="H97" s="51">
        <v>0.02</v>
      </c>
      <c r="I97" s="40" t="s">
        <v>37</v>
      </c>
      <c r="J97" s="51">
        <v>0.02</v>
      </c>
      <c r="K97" s="40"/>
      <c r="L97" s="51">
        <v>0.02</v>
      </c>
      <c r="M97" s="51"/>
      <c r="N97" s="51"/>
      <c r="O97" s="51"/>
      <c r="P97" s="51"/>
      <c r="Q97" s="51"/>
      <c r="R97" s="51"/>
      <c r="S97" s="51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O97" s="14"/>
    </row>
    <row r="98" spans="2:41" s="8" customFormat="1" ht="12.75">
      <c r="B98" s="39" t="s">
        <v>227</v>
      </c>
      <c r="C98" s="39"/>
      <c r="D98" s="39" t="s">
        <v>106</v>
      </c>
      <c r="E98" s="40"/>
      <c r="F98" s="51">
        <f>(9.42/10^6)*454*F84</f>
        <v>1.27017396</v>
      </c>
      <c r="G98" s="40"/>
      <c r="H98" s="51">
        <f>(9.42/10^6)*454*H84</f>
        <v>1.2915573599999999</v>
      </c>
      <c r="I98" s="40"/>
      <c r="J98" s="51">
        <f>(9.42/10^6)*454*J84</f>
        <v>1.33860084</v>
      </c>
      <c r="K98" s="40"/>
      <c r="L98" s="51">
        <f>(9.42/10^6)*454*L84</f>
        <v>1.2915573599999999</v>
      </c>
      <c r="M98" s="51"/>
      <c r="N98" s="51"/>
      <c r="O98" s="51"/>
      <c r="P98" s="51"/>
      <c r="Q98" s="51"/>
      <c r="R98" s="51"/>
      <c r="S98" s="51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O98" s="14"/>
    </row>
    <row r="99" spans="2:41" s="8" customFormat="1" ht="12.75">
      <c r="B99" s="39" t="s">
        <v>181</v>
      </c>
      <c r="C99" s="39"/>
      <c r="D99" s="39" t="s">
        <v>106</v>
      </c>
      <c r="E99" s="40" t="s">
        <v>37</v>
      </c>
      <c r="F99" s="51">
        <f>(0.979/10^6)*454*F84</f>
        <v>0.132006402</v>
      </c>
      <c r="G99" s="40" t="s">
        <v>37</v>
      </c>
      <c r="H99" s="51">
        <f>(0.979/10^6)*454*H84</f>
        <v>0.13422873200000002</v>
      </c>
      <c r="I99" s="40" t="s">
        <v>37</v>
      </c>
      <c r="J99" s="51">
        <f>(0.979/10^6)*454*J84</f>
        <v>0.139117858</v>
      </c>
      <c r="K99" s="40"/>
      <c r="L99" s="51">
        <f>(0.979/10^6)*454*L84</f>
        <v>0.13422873200000002</v>
      </c>
      <c r="M99" s="51"/>
      <c r="N99" s="51"/>
      <c r="O99" s="51"/>
      <c r="P99" s="51"/>
      <c r="Q99" s="51"/>
      <c r="R99" s="51"/>
      <c r="S99" s="51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O99" s="14"/>
    </row>
    <row r="100" spans="2:41" s="8" customFormat="1" ht="12.75">
      <c r="B100" s="39" t="s">
        <v>180</v>
      </c>
      <c r="C100" s="39"/>
      <c r="D100" s="39" t="s">
        <v>106</v>
      </c>
      <c r="E100" s="40" t="s">
        <v>37</v>
      </c>
      <c r="F100" s="51">
        <f>(0.341/10^6)*454*F84</f>
        <v>0.04597975800000001</v>
      </c>
      <c r="G100" s="40" t="s">
        <v>37</v>
      </c>
      <c r="H100" s="51">
        <f>(0.341/10^6)*454*H84</f>
        <v>0.04675382800000001</v>
      </c>
      <c r="I100" s="40" t="s">
        <v>37</v>
      </c>
      <c r="J100" s="51">
        <f>(0.341/10^6)*454*J84</f>
        <v>0.04845678200000001</v>
      </c>
      <c r="K100" s="40"/>
      <c r="L100" s="51">
        <f>(0.341/10^6)*454*L84</f>
        <v>0.04675382800000001</v>
      </c>
      <c r="M100" s="51"/>
      <c r="N100" s="51"/>
      <c r="O100" s="51"/>
      <c r="P100" s="51"/>
      <c r="Q100" s="51"/>
      <c r="R100" s="51"/>
      <c r="S100" s="51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O100" s="14"/>
    </row>
    <row r="101" spans="2:41" s="8" customFormat="1" ht="12.75">
      <c r="B101" s="39" t="s">
        <v>190</v>
      </c>
      <c r="C101" s="39"/>
      <c r="D101" s="39" t="s">
        <v>106</v>
      </c>
      <c r="E101" s="40" t="s">
        <v>37</v>
      </c>
      <c r="F101" s="44">
        <f>(0.0062/10^6)*454*F84</f>
        <v>0.0008359956000000001</v>
      </c>
      <c r="G101" s="40" t="s">
        <v>37</v>
      </c>
      <c r="H101" s="44">
        <f>(0.0061/10^6)*454*H84</f>
        <v>0.0008363588</v>
      </c>
      <c r="I101" s="40" t="s">
        <v>37</v>
      </c>
      <c r="J101" s="44">
        <f>(0.0073/10^6)*454*J84</f>
        <v>0.0010373446</v>
      </c>
      <c r="K101" s="40"/>
      <c r="L101" s="44">
        <f>(0.0066/10^6)*454*L84</f>
        <v>0.0009049128000000001</v>
      </c>
      <c r="M101" s="44"/>
      <c r="N101" s="44"/>
      <c r="O101" s="44"/>
      <c r="P101" s="44"/>
      <c r="Q101" s="44"/>
      <c r="R101" s="44"/>
      <c r="S101" s="44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O101" s="14"/>
    </row>
    <row r="102" spans="2:41" s="8" customFormat="1" ht="12.75">
      <c r="B102" s="39"/>
      <c r="C102" s="39"/>
      <c r="D102" s="39"/>
      <c r="E102" s="40"/>
      <c r="F102" s="40"/>
      <c r="G102" s="40"/>
      <c r="H102" s="40"/>
      <c r="I102" s="40"/>
      <c r="J102" s="40"/>
      <c r="K102" s="40"/>
      <c r="L102" s="44"/>
      <c r="M102" s="44"/>
      <c r="N102" s="44"/>
      <c r="O102" s="44"/>
      <c r="P102" s="44"/>
      <c r="Q102" s="44"/>
      <c r="R102" s="44"/>
      <c r="S102" s="44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O102" s="14"/>
    </row>
    <row r="103" spans="2:41" s="8" customFormat="1" ht="12.75">
      <c r="B103" s="19" t="s">
        <v>42</v>
      </c>
      <c r="C103" s="19"/>
      <c r="D103" s="19" t="s">
        <v>14</v>
      </c>
      <c r="E103" s="40"/>
      <c r="F103" s="54">
        <f>emiss!G114</f>
        <v>1063</v>
      </c>
      <c r="G103" s="40"/>
      <c r="H103" s="54">
        <f>emiss!I114</f>
        <v>1117</v>
      </c>
      <c r="I103" s="40"/>
      <c r="J103" s="54">
        <f>emiss!K114</f>
        <v>1095</v>
      </c>
      <c r="K103" s="40"/>
      <c r="L103" s="71">
        <f>emiss!M114</f>
        <v>1091.6666666666667</v>
      </c>
      <c r="M103" s="43"/>
      <c r="N103" s="43"/>
      <c r="O103" s="43"/>
      <c r="P103" s="43"/>
      <c r="Q103" s="43"/>
      <c r="R103" s="43"/>
      <c r="S103" s="43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O103" s="14"/>
    </row>
    <row r="104" spans="2:41" s="8" customFormat="1" ht="12.75">
      <c r="B104" s="19" t="s">
        <v>113</v>
      </c>
      <c r="C104" s="19"/>
      <c r="D104" s="19" t="s">
        <v>15</v>
      </c>
      <c r="E104" s="40"/>
      <c r="F104" s="54">
        <f>emiss!G115</f>
        <v>7.6</v>
      </c>
      <c r="G104" s="40"/>
      <c r="H104" s="54">
        <f>emiss!I115</f>
        <v>7.1</v>
      </c>
      <c r="I104" s="40"/>
      <c r="J104" s="54">
        <f>emiss!K115</f>
        <v>7.1</v>
      </c>
      <c r="K104" s="40"/>
      <c r="L104" s="71">
        <f>emiss!M115</f>
        <v>7.266666666666666</v>
      </c>
      <c r="M104" s="43"/>
      <c r="N104" s="43"/>
      <c r="O104" s="43"/>
      <c r="P104" s="43"/>
      <c r="Q104" s="43"/>
      <c r="R104" s="43"/>
      <c r="S104" s="43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O104" s="14"/>
    </row>
    <row r="105" spans="2:41" s="8" customFormat="1" ht="12.75">
      <c r="B105" s="39"/>
      <c r="C105" s="39"/>
      <c r="D105" s="39"/>
      <c r="E105" s="40"/>
      <c r="F105" s="40"/>
      <c r="G105" s="40"/>
      <c r="H105" s="40"/>
      <c r="I105" s="40"/>
      <c r="J105" s="40"/>
      <c r="K105" s="40"/>
      <c r="L105" s="44"/>
      <c r="M105" s="44"/>
      <c r="N105" s="44"/>
      <c r="O105" s="44"/>
      <c r="P105" s="44"/>
      <c r="Q105" s="44"/>
      <c r="R105" s="44"/>
      <c r="S105" s="44"/>
      <c r="T105" s="39"/>
      <c r="U105" s="39"/>
      <c r="V105" s="40"/>
      <c r="W105" s="39"/>
      <c r="X105" s="40"/>
      <c r="Y105" s="39"/>
      <c r="Z105" s="40"/>
      <c r="AA105" s="39"/>
      <c r="AB105" s="40"/>
      <c r="AC105" s="39"/>
      <c r="AD105" s="39"/>
      <c r="AE105" s="39"/>
      <c r="AF105" s="39"/>
      <c r="AG105" s="39"/>
      <c r="AH105" s="39"/>
      <c r="AI105" s="39"/>
      <c r="AJ105" s="39"/>
      <c r="AK105" s="39"/>
      <c r="AO105" s="14"/>
    </row>
    <row r="106" spans="2:41" s="8" customFormat="1" ht="12.75">
      <c r="B106" s="19" t="s">
        <v>189</v>
      </c>
      <c r="C106" s="19"/>
      <c r="D106" s="19" t="s">
        <v>85</v>
      </c>
      <c r="E106" s="40"/>
      <c r="F106" s="20">
        <f>(F85*F84)/1000000</f>
        <v>1.749627</v>
      </c>
      <c r="G106" s="40"/>
      <c r="H106" s="20">
        <f>(H85*H84)/1000000</f>
        <v>1.83314</v>
      </c>
      <c r="I106" s="40"/>
      <c r="J106" s="20">
        <f>(J85*J84)/1000000</f>
        <v>1.900536</v>
      </c>
      <c r="K106" s="40"/>
      <c r="L106" s="20">
        <f>(L85*L84)/1000000</f>
        <v>1.815322</v>
      </c>
      <c r="M106" s="20"/>
      <c r="N106" s="39">
        <v>1.6</v>
      </c>
      <c r="O106" s="20"/>
      <c r="P106" s="39">
        <v>1.6</v>
      </c>
      <c r="Q106" s="20"/>
      <c r="R106" s="39">
        <v>1.6</v>
      </c>
      <c r="S106" s="20"/>
      <c r="T106" s="39">
        <v>1.6</v>
      </c>
      <c r="U106" s="39"/>
      <c r="V106" s="43">
        <f>SUM(F106,N106)</f>
        <v>3.349627</v>
      </c>
      <c r="W106" s="39"/>
      <c r="X106" s="43">
        <f>SUM(H106,P106)</f>
        <v>3.43314</v>
      </c>
      <c r="Y106" s="39"/>
      <c r="Z106" s="43">
        <f>SUM(J106,R106)</f>
        <v>3.5005360000000003</v>
      </c>
      <c r="AA106" s="39"/>
      <c r="AB106" s="43">
        <f>SUM(L106,T106)</f>
        <v>3.415322</v>
      </c>
      <c r="AC106" s="39"/>
      <c r="AD106" s="39"/>
      <c r="AE106" s="39"/>
      <c r="AF106" s="39"/>
      <c r="AG106" s="39"/>
      <c r="AH106" s="39"/>
      <c r="AI106" s="39"/>
      <c r="AJ106" s="39"/>
      <c r="AK106" s="39"/>
      <c r="AO106" s="14"/>
    </row>
    <row r="107" spans="2:41" s="8" customFormat="1" ht="12.75">
      <c r="B107" s="19" t="s">
        <v>231</v>
      </c>
      <c r="C107" s="19"/>
      <c r="D107" s="19" t="s">
        <v>85</v>
      </c>
      <c r="E107" s="40"/>
      <c r="G107" s="40"/>
      <c r="I107" s="40"/>
      <c r="K107" s="40"/>
      <c r="T107" s="39"/>
      <c r="U107" s="39"/>
      <c r="V107" s="20">
        <f>(F103/9000)*((21-F104)/21)*60</f>
        <v>4.521968253968254</v>
      </c>
      <c r="W107" s="39"/>
      <c r="X107" s="20">
        <f>(H103/9000)*((21-H104)/21)*60</f>
        <v>4.928984126984127</v>
      </c>
      <c r="Y107" s="39"/>
      <c r="Z107" s="20">
        <f>(J103/9000)*((21-J104)/21)*60</f>
        <v>4.831904761904762</v>
      </c>
      <c r="AA107" s="39"/>
      <c r="AB107" s="20">
        <f>(L103/9000)*((21-L104)/21)*60</f>
        <v>4.759435626102293</v>
      </c>
      <c r="AC107" s="39"/>
      <c r="AD107" s="39"/>
      <c r="AE107" s="39"/>
      <c r="AF107" s="39"/>
      <c r="AG107" s="39"/>
      <c r="AH107" s="39"/>
      <c r="AI107" s="39"/>
      <c r="AJ107" s="39"/>
      <c r="AK107" s="39"/>
      <c r="AO107" s="14"/>
    </row>
    <row r="108" spans="2:41" s="8" customFormat="1" ht="12.75">
      <c r="B108" s="19"/>
      <c r="C108" s="19"/>
      <c r="D108" s="19"/>
      <c r="E108" s="40"/>
      <c r="G108" s="40"/>
      <c r="I108" s="40"/>
      <c r="K108" s="40"/>
      <c r="T108" s="39"/>
      <c r="U108" s="39"/>
      <c r="V108" s="20"/>
      <c r="W108" s="39"/>
      <c r="X108" s="20"/>
      <c r="Y108" s="39"/>
      <c r="Z108" s="20"/>
      <c r="AA108" s="39"/>
      <c r="AB108" s="20"/>
      <c r="AC108" s="39"/>
      <c r="AD108" s="39"/>
      <c r="AE108" s="39"/>
      <c r="AF108" s="39"/>
      <c r="AG108" s="39"/>
      <c r="AH108" s="39"/>
      <c r="AI108" s="39"/>
      <c r="AJ108" s="39"/>
      <c r="AK108" s="39"/>
      <c r="AO108" s="14"/>
    </row>
    <row r="109" spans="2:41" s="8" customFormat="1" ht="12.75">
      <c r="B109" s="69" t="s">
        <v>141</v>
      </c>
      <c r="C109" s="19"/>
      <c r="D109" s="19"/>
      <c r="E109" s="40"/>
      <c r="G109" s="40"/>
      <c r="I109" s="40"/>
      <c r="K109" s="40"/>
      <c r="T109" s="39"/>
      <c r="U109" s="39"/>
      <c r="V109" s="20"/>
      <c r="W109" s="39"/>
      <c r="X109" s="20"/>
      <c r="Y109" s="39"/>
      <c r="Z109" s="20"/>
      <c r="AA109" s="39"/>
      <c r="AB109" s="20"/>
      <c r="AC109" s="39"/>
      <c r="AD109" s="39"/>
      <c r="AE109" s="39"/>
      <c r="AF109" s="39"/>
      <c r="AG109" s="39"/>
      <c r="AH109" s="39"/>
      <c r="AI109" s="39"/>
      <c r="AJ109" s="39"/>
      <c r="AK109" s="39"/>
      <c r="AO109" s="14"/>
    </row>
    <row r="110" spans="2:41" s="8" customFormat="1" ht="12.75">
      <c r="B110" s="19" t="s">
        <v>8</v>
      </c>
      <c r="C110" s="19"/>
      <c r="D110" s="19" t="s">
        <v>13</v>
      </c>
      <c r="E110" s="40">
        <v>100</v>
      </c>
      <c r="F110" s="20">
        <f>(F87*454/(F103*60*0.0283))*(14/(21-F104))*1000</f>
        <v>7.804850506880415</v>
      </c>
      <c r="G110" s="40">
        <v>100</v>
      </c>
      <c r="H110" s="20">
        <f>(H87*454/(H103*60*0.0283))*(14/(21-H104))*1000</f>
        <v>7.28090177654941</v>
      </c>
      <c r="I110" s="40">
        <v>100</v>
      </c>
      <c r="J110" s="20">
        <f>(J87*454/(J103*60*0.0283))*(14/(21-J104))*1000</f>
        <v>7.697711330911069</v>
      </c>
      <c r="K110" s="40">
        <v>100</v>
      </c>
      <c r="L110" s="20">
        <f>AVERAGE(F110,H110,J110)</f>
        <v>7.594487871446965</v>
      </c>
      <c r="M110" s="20"/>
      <c r="N110" s="20"/>
      <c r="O110" s="20"/>
      <c r="P110" s="20"/>
      <c r="Q110" s="20"/>
      <c r="R110" s="20"/>
      <c r="S110" s="20"/>
      <c r="T110" s="39"/>
      <c r="U110" s="39">
        <f>E110</f>
        <v>100</v>
      </c>
      <c r="V110" s="43">
        <f aca="true" t="shared" si="12" ref="V110:V124">SUM(N110,F110)</f>
        <v>7.804850506880415</v>
      </c>
      <c r="W110" s="39">
        <f>G110</f>
        <v>100</v>
      </c>
      <c r="X110" s="43">
        <f aca="true" t="shared" si="13" ref="X110:X124">SUM(P110,H110)</f>
        <v>7.28090177654941</v>
      </c>
      <c r="Y110" s="39">
        <f>I110</f>
        <v>100</v>
      </c>
      <c r="Z110" s="43">
        <f aca="true" t="shared" si="14" ref="Z110:Z124">SUM(R110,J110)</f>
        <v>7.697711330911069</v>
      </c>
      <c r="AA110" s="39">
        <f>K110</f>
        <v>100</v>
      </c>
      <c r="AB110" s="43">
        <f>SUM(T110,L110)/2</f>
        <v>3.7972439357234826</v>
      </c>
      <c r="AC110" s="39"/>
      <c r="AD110" s="39"/>
      <c r="AE110" s="39"/>
      <c r="AF110" s="39"/>
      <c r="AG110" s="39"/>
      <c r="AH110" s="39"/>
      <c r="AI110" s="39"/>
      <c r="AJ110" s="39"/>
      <c r="AK110" s="39"/>
      <c r="AO110" s="14"/>
    </row>
    <row r="111" spans="2:41" s="8" customFormat="1" ht="12.75">
      <c r="B111" s="19" t="s">
        <v>41</v>
      </c>
      <c r="C111" s="19"/>
      <c r="D111" s="19" t="s">
        <v>112</v>
      </c>
      <c r="E111" s="40"/>
      <c r="F111" s="22">
        <f>(F88*454/(F103*60*0.0283))*(14/(21-F104))*1000000</f>
        <v>45736423.97031923</v>
      </c>
      <c r="G111" s="40"/>
      <c r="H111" s="22">
        <f>(H88*454/(H103*60*0.0283))*(14/(21-H104))*1000000</f>
        <v>43248556.5527035</v>
      </c>
      <c r="I111" s="40"/>
      <c r="J111" s="22">
        <f>(J88*454/(J103*60*0.0283))*(14/(21-J104))*1000000</f>
        <v>48418604.27143063</v>
      </c>
      <c r="K111" s="40"/>
      <c r="L111" s="20">
        <f aca="true" t="shared" si="15" ref="L111:L124">AVERAGE(F111,H111,J111)</f>
        <v>45801194.93148445</v>
      </c>
      <c r="M111" s="22"/>
      <c r="N111" s="22"/>
      <c r="O111" s="22"/>
      <c r="P111" s="22"/>
      <c r="Q111" s="22"/>
      <c r="R111" s="22"/>
      <c r="S111" s="22"/>
      <c r="T111" s="39"/>
      <c r="U111" s="39">
        <f aca="true" t="shared" si="16" ref="U111:AA124">E111</f>
        <v>0</v>
      </c>
      <c r="V111" s="43">
        <f t="shared" si="12"/>
        <v>45736423.97031923</v>
      </c>
      <c r="W111" s="39">
        <f t="shared" si="16"/>
        <v>0</v>
      </c>
      <c r="X111" s="43">
        <f t="shared" si="13"/>
        <v>43248556.5527035</v>
      </c>
      <c r="Y111" s="39">
        <f t="shared" si="16"/>
        <v>0</v>
      </c>
      <c r="Z111" s="43">
        <f t="shared" si="14"/>
        <v>48418604.27143063</v>
      </c>
      <c r="AA111" s="39">
        <f t="shared" si="16"/>
        <v>0</v>
      </c>
      <c r="AB111" s="43">
        <f aca="true" t="shared" si="17" ref="AB111:AB127">SUM(T111,L111)</f>
        <v>45801194.93148445</v>
      </c>
      <c r="AC111" s="39"/>
      <c r="AD111" s="39"/>
      <c r="AE111" s="39"/>
      <c r="AF111" s="39"/>
      <c r="AG111" s="39"/>
      <c r="AH111" s="39"/>
      <c r="AI111" s="39"/>
      <c r="AJ111" s="39"/>
      <c r="AK111" s="39"/>
      <c r="AO111" s="14"/>
    </row>
    <row r="112" spans="2:41" s="8" customFormat="1" ht="12.75">
      <c r="B112" s="39" t="s">
        <v>158</v>
      </c>
      <c r="C112" s="39"/>
      <c r="D112" s="19" t="s">
        <v>112</v>
      </c>
      <c r="E112" s="40"/>
      <c r="F112" s="22">
        <f>(F89/(F$103*60*0.0283))*(14/(21-F$104))*1000000</f>
        <v>159.99943539104848</v>
      </c>
      <c r="G112" s="40"/>
      <c r="H112" s="22">
        <f>(H89/(H$103*60*0.0283))*(14/(21-H$104))*1000000</f>
        <v>289.7798907066665</v>
      </c>
      <c r="I112" s="40"/>
      <c r="J112" s="22">
        <f aca="true" t="shared" si="18" ref="J112:J124">(J89/(J$103*60*0.0283))*(14/(21-J$104))*1000000</f>
        <v>82.36551124074846</v>
      </c>
      <c r="K112" s="40"/>
      <c r="L112" s="20">
        <f t="shared" si="15"/>
        <v>177.38161244615446</v>
      </c>
      <c r="M112" s="22"/>
      <c r="N112" s="22"/>
      <c r="O112" s="22"/>
      <c r="P112" s="22"/>
      <c r="Q112" s="22"/>
      <c r="R112" s="22"/>
      <c r="S112" s="22"/>
      <c r="T112" s="39"/>
      <c r="U112" s="39">
        <f t="shared" si="16"/>
        <v>0</v>
      </c>
      <c r="V112" s="43">
        <f t="shared" si="12"/>
        <v>159.99943539104848</v>
      </c>
      <c r="W112" s="39">
        <f t="shared" si="16"/>
        <v>0</v>
      </c>
      <c r="X112" s="43">
        <f t="shared" si="13"/>
        <v>289.7798907066665</v>
      </c>
      <c r="Y112" s="39">
        <f t="shared" si="16"/>
        <v>0</v>
      </c>
      <c r="Z112" s="43">
        <f t="shared" si="14"/>
        <v>82.36551124074846</v>
      </c>
      <c r="AA112" s="39">
        <f t="shared" si="16"/>
        <v>0</v>
      </c>
      <c r="AB112" s="43">
        <f t="shared" si="17"/>
        <v>177.38161244615446</v>
      </c>
      <c r="AC112" s="39"/>
      <c r="AD112" s="39"/>
      <c r="AE112" s="39"/>
      <c r="AF112" s="39"/>
      <c r="AG112" s="39"/>
      <c r="AH112" s="39"/>
      <c r="AI112" s="39"/>
      <c r="AJ112" s="39"/>
      <c r="AK112" s="39"/>
      <c r="AO112" s="14"/>
    </row>
    <row r="113" spans="2:41" s="8" customFormat="1" ht="12.75">
      <c r="B113" s="39" t="s">
        <v>178</v>
      </c>
      <c r="C113" s="39"/>
      <c r="D113" s="19" t="s">
        <v>112</v>
      </c>
      <c r="E113" s="40"/>
      <c r="F113" s="22">
        <f aca="true" t="shared" si="19" ref="F113:H124">(F90/(F$103*60*0.0283))*(14/(21-F$104))*1000000</f>
        <v>28.877946875457532</v>
      </c>
      <c r="G113" s="40"/>
      <c r="H113" s="22">
        <f t="shared" si="19"/>
        <v>26.939336573232815</v>
      </c>
      <c r="I113" s="40"/>
      <c r="J113" s="22">
        <f t="shared" si="18"/>
        <v>28.481531924370955</v>
      </c>
      <c r="K113" s="40"/>
      <c r="L113" s="20">
        <f t="shared" si="15"/>
        <v>28.09960512435377</v>
      </c>
      <c r="M113" s="22"/>
      <c r="N113" s="22"/>
      <c r="O113" s="22"/>
      <c r="P113" s="22"/>
      <c r="Q113" s="22"/>
      <c r="R113" s="22"/>
      <c r="S113" s="22"/>
      <c r="T113" s="39"/>
      <c r="U113" s="39">
        <f t="shared" si="16"/>
        <v>0</v>
      </c>
      <c r="V113" s="43">
        <f t="shared" si="12"/>
        <v>28.877946875457532</v>
      </c>
      <c r="W113" s="39">
        <f t="shared" si="16"/>
        <v>0</v>
      </c>
      <c r="X113" s="43">
        <f t="shared" si="13"/>
        <v>26.939336573232815</v>
      </c>
      <c r="Y113" s="39">
        <f t="shared" si="16"/>
        <v>0</v>
      </c>
      <c r="Z113" s="43">
        <f t="shared" si="14"/>
        <v>28.481531924370955</v>
      </c>
      <c r="AA113" s="39">
        <f t="shared" si="16"/>
        <v>0</v>
      </c>
      <c r="AB113" s="43">
        <f t="shared" si="17"/>
        <v>28.09960512435377</v>
      </c>
      <c r="AC113" s="39"/>
      <c r="AD113" s="39"/>
      <c r="AE113" s="39"/>
      <c r="AF113" s="39"/>
      <c r="AG113" s="39"/>
      <c r="AH113" s="39"/>
      <c r="AI113" s="39"/>
      <c r="AJ113" s="39"/>
      <c r="AK113" s="39"/>
      <c r="AO113" s="14"/>
    </row>
    <row r="114" spans="2:41" s="8" customFormat="1" ht="12.75">
      <c r="B114" s="39" t="s">
        <v>179</v>
      </c>
      <c r="C114" s="39"/>
      <c r="D114" s="19" t="s">
        <v>112</v>
      </c>
      <c r="E114" s="40"/>
      <c r="F114" s="22">
        <f>(F91/(F$103*60*0.0283))*(14/(21-F$104))*1000000</f>
        <v>4.8468121647727385</v>
      </c>
      <c r="G114" s="40"/>
      <c r="H114" s="22">
        <f t="shared" si="19"/>
        <v>4.1573949144097115</v>
      </c>
      <c r="I114" s="40"/>
      <c r="J114" s="22">
        <f t="shared" si="18"/>
        <v>3.5640403462118244</v>
      </c>
      <c r="K114" s="40"/>
      <c r="L114" s="20">
        <f t="shared" si="15"/>
        <v>4.189415808464758</v>
      </c>
      <c r="M114" s="22"/>
      <c r="N114" s="22"/>
      <c r="O114" s="22"/>
      <c r="P114" s="22"/>
      <c r="Q114" s="22"/>
      <c r="R114" s="22"/>
      <c r="S114" s="22"/>
      <c r="T114" s="39"/>
      <c r="U114" s="39">
        <f t="shared" si="16"/>
        <v>0</v>
      </c>
      <c r="V114" s="43">
        <f t="shared" si="12"/>
        <v>4.8468121647727385</v>
      </c>
      <c r="W114" s="39">
        <f t="shared" si="16"/>
        <v>0</v>
      </c>
      <c r="X114" s="43">
        <f t="shared" si="13"/>
        <v>4.1573949144097115</v>
      </c>
      <c r="Y114" s="39">
        <f t="shared" si="16"/>
        <v>0</v>
      </c>
      <c r="Z114" s="43">
        <f t="shared" si="14"/>
        <v>3.5640403462118244</v>
      </c>
      <c r="AA114" s="39">
        <f t="shared" si="16"/>
        <v>0</v>
      </c>
      <c r="AB114" s="43">
        <f t="shared" si="17"/>
        <v>4.189415808464758</v>
      </c>
      <c r="AC114" s="39"/>
      <c r="AD114" s="39"/>
      <c r="AE114" s="39"/>
      <c r="AF114" s="39"/>
      <c r="AG114" s="39"/>
      <c r="AH114" s="39"/>
      <c r="AI114" s="39"/>
      <c r="AJ114" s="39"/>
      <c r="AK114" s="39"/>
      <c r="AO114" s="14"/>
    </row>
    <row r="115" spans="2:41" s="8" customFormat="1" ht="12.75">
      <c r="B115" s="39" t="s">
        <v>159</v>
      </c>
      <c r="C115" s="39"/>
      <c r="D115" s="19" t="s">
        <v>112</v>
      </c>
      <c r="E115" s="40">
        <v>100</v>
      </c>
      <c r="F115" s="22">
        <f t="shared" si="19"/>
        <v>7.640948646235924</v>
      </c>
      <c r="G115" s="40">
        <v>100</v>
      </c>
      <c r="H115" s="22">
        <f t="shared" si="19"/>
        <v>6.982384803710884</v>
      </c>
      <c r="I115" s="40">
        <v>100</v>
      </c>
      <c r="J115" s="22">
        <f t="shared" si="18"/>
        <v>8.852368030547732</v>
      </c>
      <c r="K115" s="40">
        <v>100</v>
      </c>
      <c r="L115" s="20">
        <f t="shared" si="15"/>
        <v>7.825233826831514</v>
      </c>
      <c r="M115" s="22"/>
      <c r="N115" s="22"/>
      <c r="O115" s="22"/>
      <c r="P115" s="22"/>
      <c r="Q115" s="22"/>
      <c r="R115" s="22"/>
      <c r="S115" s="22"/>
      <c r="T115" s="39"/>
      <c r="U115" s="39">
        <f t="shared" si="16"/>
        <v>100</v>
      </c>
      <c r="V115" s="43">
        <f t="shared" si="12"/>
        <v>7.640948646235924</v>
      </c>
      <c r="W115" s="39">
        <f t="shared" si="16"/>
        <v>100</v>
      </c>
      <c r="X115" s="43">
        <f t="shared" si="13"/>
        <v>6.982384803710884</v>
      </c>
      <c r="Y115" s="39">
        <f t="shared" si="16"/>
        <v>100</v>
      </c>
      <c r="Z115" s="43">
        <f t="shared" si="14"/>
        <v>8.852368030547732</v>
      </c>
      <c r="AA115" s="39">
        <f t="shared" si="16"/>
        <v>100</v>
      </c>
      <c r="AB115" s="43">
        <f t="shared" si="17"/>
        <v>7.825233826831514</v>
      </c>
      <c r="AC115" s="39"/>
      <c r="AD115" s="39"/>
      <c r="AE115" s="39"/>
      <c r="AF115" s="39"/>
      <c r="AG115" s="39"/>
      <c r="AH115" s="39"/>
      <c r="AI115" s="39"/>
      <c r="AJ115" s="39"/>
      <c r="AK115" s="39"/>
      <c r="AO115" s="14"/>
    </row>
    <row r="116" spans="2:41" s="8" customFormat="1" ht="12.75">
      <c r="B116" s="39" t="s">
        <v>175</v>
      </c>
      <c r="C116" s="39"/>
      <c r="D116" s="19" t="s">
        <v>112</v>
      </c>
      <c r="E116" s="40"/>
      <c r="F116" s="22">
        <f t="shared" si="19"/>
        <v>28.95599538052634</v>
      </c>
      <c r="G116" s="40"/>
      <c r="H116" s="22">
        <f t="shared" si="19"/>
        <v>29.414843177259616</v>
      </c>
      <c r="I116" s="40"/>
      <c r="J116" s="22">
        <f t="shared" si="18"/>
        <v>24.78663048553364</v>
      </c>
      <c r="K116" s="40"/>
      <c r="L116" s="20">
        <f t="shared" si="15"/>
        <v>27.719156347773197</v>
      </c>
      <c r="M116" s="22"/>
      <c r="N116" s="22"/>
      <c r="O116" s="22"/>
      <c r="P116" s="22"/>
      <c r="Q116" s="22"/>
      <c r="R116" s="22"/>
      <c r="S116" s="22"/>
      <c r="T116" s="39"/>
      <c r="U116" s="39">
        <f t="shared" si="16"/>
        <v>0</v>
      </c>
      <c r="V116" s="43">
        <f t="shared" si="12"/>
        <v>28.95599538052634</v>
      </c>
      <c r="W116" s="39">
        <f t="shared" si="16"/>
        <v>0</v>
      </c>
      <c r="X116" s="43">
        <f t="shared" si="13"/>
        <v>29.414843177259616</v>
      </c>
      <c r="Y116" s="39">
        <f t="shared" si="16"/>
        <v>0</v>
      </c>
      <c r="Z116" s="43">
        <f t="shared" si="14"/>
        <v>24.78663048553364</v>
      </c>
      <c r="AA116" s="39">
        <f t="shared" si="16"/>
        <v>0</v>
      </c>
      <c r="AB116" s="43">
        <f t="shared" si="17"/>
        <v>27.719156347773197</v>
      </c>
      <c r="AC116" s="39"/>
      <c r="AD116" s="39"/>
      <c r="AE116" s="39"/>
      <c r="AF116" s="39"/>
      <c r="AG116" s="39"/>
      <c r="AH116" s="39"/>
      <c r="AI116" s="39"/>
      <c r="AJ116" s="39"/>
      <c r="AK116" s="39"/>
      <c r="AO116" s="14"/>
    </row>
    <row r="117" spans="2:41" s="8" customFormat="1" ht="12.75">
      <c r="B117" s="39" t="s">
        <v>183</v>
      </c>
      <c r="C117" s="39"/>
      <c r="D117" s="19" t="s">
        <v>112</v>
      </c>
      <c r="E117" s="40"/>
      <c r="F117" s="22">
        <f t="shared" si="19"/>
        <v>44.95593891963118</v>
      </c>
      <c r="G117" s="40"/>
      <c r="H117" s="22">
        <f t="shared" si="19"/>
        <v>41.937994232924595</v>
      </c>
      <c r="I117" s="40"/>
      <c r="J117" s="22">
        <f t="shared" si="18"/>
        <v>44.33881726604775</v>
      </c>
      <c r="K117" s="40"/>
      <c r="L117" s="20">
        <f t="shared" si="15"/>
        <v>43.74425013953451</v>
      </c>
      <c r="M117" s="22"/>
      <c r="N117" s="22"/>
      <c r="O117" s="22"/>
      <c r="P117" s="22"/>
      <c r="Q117" s="22"/>
      <c r="R117" s="22"/>
      <c r="S117" s="22"/>
      <c r="T117" s="39"/>
      <c r="U117" s="39">
        <f t="shared" si="16"/>
        <v>0</v>
      </c>
      <c r="V117" s="43">
        <f t="shared" si="12"/>
        <v>44.95593891963118</v>
      </c>
      <c r="W117" s="39">
        <f t="shared" si="16"/>
        <v>0</v>
      </c>
      <c r="X117" s="43">
        <f t="shared" si="13"/>
        <v>41.937994232924595</v>
      </c>
      <c r="Y117" s="39">
        <f t="shared" si="16"/>
        <v>0</v>
      </c>
      <c r="Z117" s="43">
        <f t="shared" si="14"/>
        <v>44.33881726604775</v>
      </c>
      <c r="AA117" s="39">
        <f t="shared" si="16"/>
        <v>0</v>
      </c>
      <c r="AB117" s="43">
        <f t="shared" si="17"/>
        <v>43.74425013953451</v>
      </c>
      <c r="AC117" s="39"/>
      <c r="AD117" s="39"/>
      <c r="AE117" s="39"/>
      <c r="AF117" s="39"/>
      <c r="AG117" s="39"/>
      <c r="AH117" s="39"/>
      <c r="AI117" s="39"/>
      <c r="AJ117" s="39"/>
      <c r="AK117" s="39"/>
      <c r="AO117" s="14"/>
    </row>
    <row r="118" spans="2:41" s="8" customFormat="1" ht="12.75">
      <c r="B118" s="39" t="s">
        <v>182</v>
      </c>
      <c r="C118" s="39"/>
      <c r="D118" s="19" t="s">
        <v>112</v>
      </c>
      <c r="E118" s="40"/>
      <c r="F118" s="22">
        <f t="shared" si="19"/>
        <v>83.51190042362045</v>
      </c>
      <c r="G118" s="40"/>
      <c r="H118" s="22">
        <f t="shared" si="19"/>
        <v>107.02925611527633</v>
      </c>
      <c r="I118" s="40"/>
      <c r="J118" s="22">
        <f t="shared" si="18"/>
        <v>46.95603911855751</v>
      </c>
      <c r="K118" s="40"/>
      <c r="L118" s="20">
        <f t="shared" si="15"/>
        <v>79.16573188581809</v>
      </c>
      <c r="M118" s="22"/>
      <c r="N118" s="22"/>
      <c r="O118" s="22"/>
      <c r="P118" s="22"/>
      <c r="Q118" s="22"/>
      <c r="R118" s="22"/>
      <c r="S118" s="22"/>
      <c r="T118" s="39"/>
      <c r="U118" s="39">
        <f t="shared" si="16"/>
        <v>0</v>
      </c>
      <c r="V118" s="43">
        <f t="shared" si="12"/>
        <v>83.51190042362045</v>
      </c>
      <c r="W118" s="39">
        <f t="shared" si="16"/>
        <v>0</v>
      </c>
      <c r="X118" s="43">
        <f t="shared" si="13"/>
        <v>107.02925611527633</v>
      </c>
      <c r="Y118" s="39">
        <f t="shared" si="16"/>
        <v>0</v>
      </c>
      <c r="Z118" s="43">
        <f t="shared" si="14"/>
        <v>46.95603911855751</v>
      </c>
      <c r="AA118" s="39">
        <f t="shared" si="16"/>
        <v>0</v>
      </c>
      <c r="AB118" s="43">
        <f t="shared" si="17"/>
        <v>79.16573188581809</v>
      </c>
      <c r="AC118" s="39"/>
      <c r="AD118" s="39"/>
      <c r="AE118" s="39"/>
      <c r="AF118" s="39"/>
      <c r="AG118" s="39"/>
      <c r="AH118" s="39"/>
      <c r="AI118" s="39"/>
      <c r="AJ118" s="39"/>
      <c r="AK118" s="39"/>
      <c r="AO118" s="14"/>
    </row>
    <row r="119" spans="2:41" s="8" customFormat="1" ht="12.75">
      <c r="B119" s="39" t="s">
        <v>191</v>
      </c>
      <c r="C119" s="39"/>
      <c r="D119" s="19" t="s">
        <v>112</v>
      </c>
      <c r="E119" s="40"/>
      <c r="F119" s="22">
        <f t="shared" si="19"/>
        <v>57.88316725908435</v>
      </c>
      <c r="G119" s="40"/>
      <c r="H119" s="22">
        <f t="shared" si="19"/>
        <v>53.10340590300647</v>
      </c>
      <c r="I119" s="40"/>
      <c r="J119" s="22">
        <f t="shared" si="18"/>
        <v>54.17032364717646</v>
      </c>
      <c r="K119" s="40"/>
      <c r="L119" s="20">
        <f t="shared" si="15"/>
        <v>55.052298936422424</v>
      </c>
      <c r="M119" s="22"/>
      <c r="N119" s="22"/>
      <c r="O119" s="22"/>
      <c r="P119" s="22"/>
      <c r="Q119" s="22"/>
      <c r="R119" s="22"/>
      <c r="S119" s="22"/>
      <c r="T119" s="39"/>
      <c r="U119" s="39">
        <f t="shared" si="16"/>
        <v>0</v>
      </c>
      <c r="V119" s="43">
        <f t="shared" si="12"/>
        <v>57.88316725908435</v>
      </c>
      <c r="W119" s="39">
        <f t="shared" si="16"/>
        <v>0</v>
      </c>
      <c r="X119" s="43">
        <f t="shared" si="13"/>
        <v>53.10340590300647</v>
      </c>
      <c r="Y119" s="39">
        <f t="shared" si="16"/>
        <v>0</v>
      </c>
      <c r="Z119" s="43">
        <f t="shared" si="14"/>
        <v>54.17032364717646</v>
      </c>
      <c r="AA119" s="39">
        <f t="shared" si="16"/>
        <v>0</v>
      </c>
      <c r="AB119" s="43">
        <f t="shared" si="17"/>
        <v>55.052298936422424</v>
      </c>
      <c r="AC119" s="39"/>
      <c r="AD119" s="39"/>
      <c r="AE119" s="39"/>
      <c r="AF119" s="39"/>
      <c r="AG119" s="39"/>
      <c r="AH119" s="39"/>
      <c r="AI119" s="39"/>
      <c r="AJ119" s="39"/>
      <c r="AK119" s="39"/>
      <c r="AO119" s="14"/>
    </row>
    <row r="120" spans="2:41" s="8" customFormat="1" ht="12.75">
      <c r="B120" s="39" t="s">
        <v>160</v>
      </c>
      <c r="C120" s="39"/>
      <c r="D120" s="19" t="s">
        <v>112</v>
      </c>
      <c r="E120" s="40">
        <v>100</v>
      </c>
      <c r="F120" s="22">
        <f t="shared" si="19"/>
        <v>11.57663345181687</v>
      </c>
      <c r="G120" s="40">
        <v>100</v>
      </c>
      <c r="H120" s="22">
        <f t="shared" si="19"/>
        <v>10.620681180601293</v>
      </c>
      <c r="I120" s="40">
        <v>100</v>
      </c>
      <c r="J120" s="22">
        <f t="shared" si="18"/>
        <v>10.83406472943529</v>
      </c>
      <c r="K120" s="40">
        <v>100</v>
      </c>
      <c r="L120" s="20">
        <f t="shared" si="15"/>
        <v>11.010459787284484</v>
      </c>
      <c r="M120" s="22"/>
      <c r="N120" s="22"/>
      <c r="O120" s="22"/>
      <c r="P120" s="22"/>
      <c r="Q120" s="22"/>
      <c r="R120" s="22"/>
      <c r="S120" s="22"/>
      <c r="T120" s="39"/>
      <c r="U120" s="39">
        <f t="shared" si="16"/>
        <v>100</v>
      </c>
      <c r="V120" s="43">
        <f t="shared" si="12"/>
        <v>11.57663345181687</v>
      </c>
      <c r="W120" s="39">
        <f t="shared" si="16"/>
        <v>100</v>
      </c>
      <c r="X120" s="43">
        <f t="shared" si="13"/>
        <v>10.620681180601293</v>
      </c>
      <c r="Y120" s="39">
        <f t="shared" si="16"/>
        <v>100</v>
      </c>
      <c r="Z120" s="43">
        <f t="shared" si="14"/>
        <v>10.83406472943529</v>
      </c>
      <c r="AA120" s="39">
        <f t="shared" si="16"/>
        <v>100</v>
      </c>
      <c r="AB120" s="43">
        <f t="shared" si="17"/>
        <v>11.010459787284484</v>
      </c>
      <c r="AC120" s="39"/>
      <c r="AD120" s="39"/>
      <c r="AE120" s="39"/>
      <c r="AF120" s="39"/>
      <c r="AG120" s="39"/>
      <c r="AH120" s="39"/>
      <c r="AI120" s="39"/>
      <c r="AJ120" s="39"/>
      <c r="AK120" s="39"/>
      <c r="AO120" s="14"/>
    </row>
    <row r="121" spans="2:41" s="8" customFormat="1" ht="12.75">
      <c r="B121" s="39" t="s">
        <v>227</v>
      </c>
      <c r="C121" s="39"/>
      <c r="D121" s="19" t="s">
        <v>112</v>
      </c>
      <c r="E121" s="40"/>
      <c r="F121" s="22">
        <f t="shared" si="19"/>
        <v>735.216917748135</v>
      </c>
      <c r="G121" s="40"/>
      <c r="H121" s="22">
        <f t="shared" si="19"/>
        <v>685.8609473509543</v>
      </c>
      <c r="I121" s="40"/>
      <c r="J121" s="22">
        <f t="shared" si="18"/>
        <v>725.1244073718226</v>
      </c>
      <c r="K121" s="40"/>
      <c r="L121" s="20">
        <f t="shared" si="15"/>
        <v>715.4007574903039</v>
      </c>
      <c r="M121" s="22"/>
      <c r="N121" s="22"/>
      <c r="O121" s="22"/>
      <c r="P121" s="22"/>
      <c r="Q121" s="22"/>
      <c r="R121" s="22"/>
      <c r="S121" s="22"/>
      <c r="T121" s="39"/>
      <c r="U121" s="39">
        <f t="shared" si="16"/>
        <v>0</v>
      </c>
      <c r="V121" s="43">
        <f t="shared" si="12"/>
        <v>735.216917748135</v>
      </c>
      <c r="W121" s="39">
        <f t="shared" si="16"/>
        <v>0</v>
      </c>
      <c r="X121" s="43">
        <f t="shared" si="13"/>
        <v>685.8609473509543</v>
      </c>
      <c r="Y121" s="39">
        <f t="shared" si="16"/>
        <v>0</v>
      </c>
      <c r="Z121" s="43">
        <f t="shared" si="14"/>
        <v>725.1244073718226</v>
      </c>
      <c r="AA121" s="39">
        <f t="shared" si="16"/>
        <v>0</v>
      </c>
      <c r="AB121" s="43">
        <f t="shared" si="17"/>
        <v>715.4007574903039</v>
      </c>
      <c r="AC121" s="39"/>
      <c r="AD121" s="39"/>
      <c r="AE121" s="39"/>
      <c r="AF121" s="39"/>
      <c r="AG121" s="39"/>
      <c r="AH121" s="39"/>
      <c r="AI121" s="39"/>
      <c r="AJ121" s="39"/>
      <c r="AK121" s="39"/>
      <c r="AO121" s="14"/>
    </row>
    <row r="122" spans="2:41" s="8" customFormat="1" ht="12.75">
      <c r="B122" s="39" t="s">
        <v>181</v>
      </c>
      <c r="C122" s="39"/>
      <c r="D122" s="19" t="s">
        <v>112</v>
      </c>
      <c r="E122" s="40">
        <v>100</v>
      </c>
      <c r="F122" s="22">
        <f t="shared" si="19"/>
        <v>76.40948646235925</v>
      </c>
      <c r="G122" s="40">
        <v>100</v>
      </c>
      <c r="H122" s="22">
        <f t="shared" si="19"/>
        <v>71.28002839241873</v>
      </c>
      <c r="I122" s="40">
        <v>100</v>
      </c>
      <c r="J122" s="22">
        <f t="shared" si="18"/>
        <v>75.36059392961937</v>
      </c>
      <c r="K122" s="40">
        <v>100</v>
      </c>
      <c r="L122" s="20">
        <f t="shared" si="15"/>
        <v>74.35003626146579</v>
      </c>
      <c r="M122" s="22"/>
      <c r="N122" s="22"/>
      <c r="O122" s="22"/>
      <c r="P122" s="22"/>
      <c r="Q122" s="22"/>
      <c r="R122" s="22"/>
      <c r="S122" s="22"/>
      <c r="T122" s="39"/>
      <c r="U122" s="39">
        <f t="shared" si="16"/>
        <v>100</v>
      </c>
      <c r="V122" s="43">
        <f t="shared" si="12"/>
        <v>76.40948646235925</v>
      </c>
      <c r="W122" s="39">
        <f t="shared" si="16"/>
        <v>100</v>
      </c>
      <c r="X122" s="43">
        <f t="shared" si="13"/>
        <v>71.28002839241873</v>
      </c>
      <c r="Y122" s="39">
        <f t="shared" si="16"/>
        <v>100</v>
      </c>
      <c r="Z122" s="43">
        <f t="shared" si="14"/>
        <v>75.36059392961937</v>
      </c>
      <c r="AA122" s="39">
        <f t="shared" si="16"/>
        <v>100</v>
      </c>
      <c r="AB122" s="43">
        <f t="shared" si="17"/>
        <v>74.35003626146579</v>
      </c>
      <c r="AC122" s="39"/>
      <c r="AD122" s="39"/>
      <c r="AE122" s="39"/>
      <c r="AF122" s="39"/>
      <c r="AG122" s="39"/>
      <c r="AH122" s="39"/>
      <c r="AI122" s="39"/>
      <c r="AJ122" s="39"/>
      <c r="AK122" s="39"/>
      <c r="AO122" s="14"/>
    </row>
    <row r="123" spans="2:41" s="8" customFormat="1" ht="12.75">
      <c r="B123" s="39" t="s">
        <v>180</v>
      </c>
      <c r="C123" s="39"/>
      <c r="D123" s="19" t="s">
        <v>112</v>
      </c>
      <c r="E123" s="40">
        <v>100</v>
      </c>
      <c r="F123" s="22">
        <f t="shared" si="19"/>
        <v>26.614540228462218</v>
      </c>
      <c r="G123" s="40">
        <v>100</v>
      </c>
      <c r="H123" s="22">
        <f t="shared" si="19"/>
        <v>24.827875058033495</v>
      </c>
      <c r="I123" s="40">
        <v>100</v>
      </c>
      <c r="J123" s="22">
        <f t="shared" si="18"/>
        <v>26.24919563840675</v>
      </c>
      <c r="K123" s="40">
        <v>100</v>
      </c>
      <c r="L123" s="20">
        <f t="shared" si="15"/>
        <v>25.897203641634153</v>
      </c>
      <c r="M123" s="22"/>
      <c r="N123" s="22"/>
      <c r="O123" s="22"/>
      <c r="P123" s="22"/>
      <c r="Q123" s="22"/>
      <c r="R123" s="22"/>
      <c r="S123" s="22"/>
      <c r="T123" s="39"/>
      <c r="U123" s="39">
        <f t="shared" si="16"/>
        <v>100</v>
      </c>
      <c r="V123" s="43">
        <f t="shared" si="12"/>
        <v>26.614540228462218</v>
      </c>
      <c r="W123" s="39">
        <f t="shared" si="16"/>
        <v>100</v>
      </c>
      <c r="X123" s="43">
        <f t="shared" si="13"/>
        <v>24.827875058033495</v>
      </c>
      <c r="Y123" s="39">
        <f t="shared" si="16"/>
        <v>100</v>
      </c>
      <c r="Z123" s="43">
        <f t="shared" si="14"/>
        <v>26.24919563840675</v>
      </c>
      <c r="AA123" s="39">
        <f t="shared" si="16"/>
        <v>100</v>
      </c>
      <c r="AB123" s="43">
        <f t="shared" si="17"/>
        <v>25.897203641634153</v>
      </c>
      <c r="AC123" s="39"/>
      <c r="AD123" s="39"/>
      <c r="AE123" s="39"/>
      <c r="AF123" s="39"/>
      <c r="AG123" s="39"/>
      <c r="AH123" s="39"/>
      <c r="AI123" s="39"/>
      <c r="AJ123" s="39"/>
      <c r="AK123" s="39"/>
      <c r="AO123" s="14"/>
    </row>
    <row r="124" spans="2:41" s="8" customFormat="1" ht="12.75">
      <c r="B124" s="39" t="s">
        <v>190</v>
      </c>
      <c r="C124" s="39"/>
      <c r="D124" s="19" t="s">
        <v>112</v>
      </c>
      <c r="E124" s="40">
        <v>100</v>
      </c>
      <c r="F124" s="20">
        <f t="shared" si="19"/>
        <v>0.48390073142658574</v>
      </c>
      <c r="G124" s="40">
        <v>100</v>
      </c>
      <c r="H124" s="20">
        <f t="shared" si="19"/>
        <v>0.444135008369514</v>
      </c>
      <c r="I124" s="40">
        <v>100</v>
      </c>
      <c r="J124" s="20">
        <f t="shared" si="18"/>
        <v>0.561932927156508</v>
      </c>
      <c r="K124" s="40">
        <v>100</v>
      </c>
      <c r="L124" s="20">
        <f t="shared" si="15"/>
        <v>0.49665622231753587</v>
      </c>
      <c r="M124" s="20"/>
      <c r="N124" s="20"/>
      <c r="O124" s="20"/>
      <c r="P124" s="20"/>
      <c r="Q124" s="20"/>
      <c r="R124" s="20"/>
      <c r="S124" s="20"/>
      <c r="T124" s="39"/>
      <c r="U124" s="39">
        <f t="shared" si="16"/>
        <v>100</v>
      </c>
      <c r="V124" s="43">
        <f t="shared" si="12"/>
        <v>0.48390073142658574</v>
      </c>
      <c r="W124" s="39">
        <f t="shared" si="16"/>
        <v>100</v>
      </c>
      <c r="X124" s="43">
        <f t="shared" si="13"/>
        <v>0.444135008369514</v>
      </c>
      <c r="Y124" s="39">
        <f t="shared" si="16"/>
        <v>100</v>
      </c>
      <c r="Z124" s="43">
        <f t="shared" si="14"/>
        <v>0.561932927156508</v>
      </c>
      <c r="AA124" s="39">
        <f t="shared" si="16"/>
        <v>100</v>
      </c>
      <c r="AB124" s="43">
        <f t="shared" si="17"/>
        <v>0.49665622231753587</v>
      </c>
      <c r="AC124" s="39"/>
      <c r="AD124" s="39"/>
      <c r="AE124" s="39"/>
      <c r="AF124" s="39"/>
      <c r="AG124" s="39"/>
      <c r="AH124" s="39"/>
      <c r="AI124" s="39"/>
      <c r="AJ124" s="39"/>
      <c r="AK124" s="39"/>
      <c r="AO124" s="14"/>
    </row>
    <row r="125" spans="2:41" s="8" customFormat="1" ht="12.75">
      <c r="B125" s="39"/>
      <c r="C125" s="39"/>
      <c r="D125" s="19"/>
      <c r="E125" s="40"/>
      <c r="F125" s="20"/>
      <c r="G125" s="40"/>
      <c r="H125" s="20"/>
      <c r="I125" s="40"/>
      <c r="J125" s="20"/>
      <c r="K125" s="40"/>
      <c r="L125" s="20"/>
      <c r="M125" s="20"/>
      <c r="N125" s="20"/>
      <c r="O125" s="20"/>
      <c r="P125" s="20"/>
      <c r="Q125" s="20"/>
      <c r="R125" s="20"/>
      <c r="S125" s="20"/>
      <c r="T125" s="39"/>
      <c r="U125" s="39"/>
      <c r="V125" s="43"/>
      <c r="W125" s="39"/>
      <c r="X125" s="43"/>
      <c r="Y125" s="39"/>
      <c r="Z125" s="43"/>
      <c r="AA125" s="39"/>
      <c r="AB125" s="43"/>
      <c r="AC125" s="39"/>
      <c r="AD125" s="39"/>
      <c r="AE125" s="39"/>
      <c r="AF125" s="39"/>
      <c r="AG125" s="39"/>
      <c r="AH125" s="39"/>
      <c r="AI125" s="39"/>
      <c r="AJ125" s="39"/>
      <c r="AK125" s="39"/>
      <c r="AO125" s="14"/>
    </row>
    <row r="126" spans="2:41" s="8" customFormat="1" ht="12.75">
      <c r="B126" s="39" t="s">
        <v>5</v>
      </c>
      <c r="C126" s="39"/>
      <c r="D126" s="19" t="s">
        <v>112</v>
      </c>
      <c r="E126" s="42">
        <f>(E115*F115+E118*F118)/F126</f>
        <v>8.382567000599364</v>
      </c>
      <c r="F126" s="43">
        <f>(F115+F118)</f>
        <v>91.15284906985637</v>
      </c>
      <c r="G126" s="42">
        <f>(G115*H115+G118*H118)/H126</f>
        <v>6.124273580688421</v>
      </c>
      <c r="H126" s="43">
        <f>(H115+H118)</f>
        <v>114.01164091898721</v>
      </c>
      <c r="I126" s="42">
        <f>(I115*J115+I118*J118)/J126</f>
        <v>15.862068965517247</v>
      </c>
      <c r="J126" s="43">
        <f>(J115+J118)</f>
        <v>55.80840714910524</v>
      </c>
      <c r="K126" s="42">
        <f>(K115*L115+K118*L118)/L126</f>
        <v>8.995455749600474</v>
      </c>
      <c r="L126" s="20">
        <f>AVERAGE(F126,H126,J126)</f>
        <v>86.9909657126496</v>
      </c>
      <c r="M126" s="43"/>
      <c r="N126" s="43"/>
      <c r="O126" s="43"/>
      <c r="P126" s="43"/>
      <c r="Q126" s="43"/>
      <c r="R126" s="43"/>
      <c r="S126" s="43"/>
      <c r="T126" s="39"/>
      <c r="U126" s="42">
        <f>(U115*V115+U118*V118)/V126</f>
        <v>8.382567000599364</v>
      </c>
      <c r="V126" s="43">
        <f>(V115+V118)</f>
        <v>91.15284906985637</v>
      </c>
      <c r="W126" s="42">
        <f>(W115*X115+W118*X118)/X126</f>
        <v>6.124273580688421</v>
      </c>
      <c r="X126" s="43">
        <f>(X115+X118)</f>
        <v>114.01164091898721</v>
      </c>
      <c r="Y126" s="42">
        <f>(Y115*Z115+Y118*Z118)/Z126</f>
        <v>15.862068965517247</v>
      </c>
      <c r="Z126" s="43">
        <f>(Z115+Z118)</f>
        <v>55.80840714910524</v>
      </c>
      <c r="AA126" s="42">
        <f>(AA115*AB115+AA118*AB118)/AB126</f>
        <v>8.995455749600474</v>
      </c>
      <c r="AB126" s="43">
        <f t="shared" si="17"/>
        <v>86.9909657126496</v>
      </c>
      <c r="AC126" s="39"/>
      <c r="AD126" s="39"/>
      <c r="AE126" s="39"/>
      <c r="AF126" s="39"/>
      <c r="AG126" s="39"/>
      <c r="AH126" s="39"/>
      <c r="AI126" s="39"/>
      <c r="AJ126" s="39"/>
      <c r="AK126" s="39"/>
      <c r="AO126" s="14"/>
    </row>
    <row r="127" spans="2:41" s="8" customFormat="1" ht="12.75">
      <c r="B127" s="39" t="s">
        <v>6</v>
      </c>
      <c r="C127" s="39"/>
      <c r="D127" s="19" t="s">
        <v>112</v>
      </c>
      <c r="E127" s="42">
        <f>(E112*F112+E114*F114+E116*F116)/F127</f>
        <v>0</v>
      </c>
      <c r="F127" s="43">
        <f>(F112+F114+F116)</f>
        <v>193.80224293634754</v>
      </c>
      <c r="G127" s="42">
        <f>(G112*H112+G114*H114+G116*H116)/H127</f>
        <v>0</v>
      </c>
      <c r="H127" s="43">
        <f>(H112+H114+H116)</f>
        <v>323.35212879833585</v>
      </c>
      <c r="I127" s="42">
        <f>(I112*J112+I114*J114+I116*J116)/J127</f>
        <v>0</v>
      </c>
      <c r="J127" s="43">
        <f>(J112+J114+J116)</f>
        <v>110.71618207249392</v>
      </c>
      <c r="K127" s="42">
        <f>(K112*L112+K114*L114+K116*L116)/L127</f>
        <v>0</v>
      </c>
      <c r="L127" s="20">
        <f>AVERAGE(F127,H127,J127)</f>
        <v>209.29018460239243</v>
      </c>
      <c r="M127" s="43"/>
      <c r="N127" s="43"/>
      <c r="O127" s="43"/>
      <c r="P127" s="43"/>
      <c r="Q127" s="43"/>
      <c r="R127" s="43"/>
      <c r="S127" s="43"/>
      <c r="T127" s="39"/>
      <c r="U127" s="42">
        <f>(U112*V112+U114*V114+U116*V116)/V127</f>
        <v>0</v>
      </c>
      <c r="V127" s="43">
        <f>(V112+V114+V116)</f>
        <v>193.80224293634754</v>
      </c>
      <c r="W127" s="42">
        <f>(W112*X112+W114*X114+W116*X116)/X127</f>
        <v>0</v>
      </c>
      <c r="X127" s="43">
        <f>(X112+X114+X116)</f>
        <v>323.35212879833585</v>
      </c>
      <c r="Y127" s="42">
        <f>(Y112*Z112+Y114*Z114+Y116*Z116)/Z127</f>
        <v>0</v>
      </c>
      <c r="Z127" s="43">
        <f>(Z112+Z114+Z116)</f>
        <v>110.71618207249392</v>
      </c>
      <c r="AA127" s="42">
        <f>(AA112*AB112+AA114*AB114+AA116*AB116)/AB127</f>
        <v>0</v>
      </c>
      <c r="AB127" s="43">
        <f t="shared" si="17"/>
        <v>209.29018460239243</v>
      </c>
      <c r="AC127" s="39"/>
      <c r="AD127" s="39"/>
      <c r="AE127" s="39"/>
      <c r="AF127" s="39"/>
      <c r="AG127" s="39"/>
      <c r="AH127" s="39"/>
      <c r="AI127" s="39"/>
      <c r="AJ127" s="39"/>
      <c r="AK127" s="39"/>
      <c r="AO127" s="14"/>
    </row>
    <row r="128" spans="2:41" s="8" customFormat="1" ht="12.75">
      <c r="B128" s="39"/>
      <c r="C128" s="39"/>
      <c r="D128" s="39"/>
      <c r="E128" s="40"/>
      <c r="F128" s="40"/>
      <c r="G128" s="40"/>
      <c r="H128" s="40"/>
      <c r="I128" s="40"/>
      <c r="J128" s="40"/>
      <c r="K128" s="40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O128" s="14"/>
    </row>
    <row r="129" spans="2:37" s="8" customFormat="1" ht="12.75" customHeight="1">
      <c r="B129" s="39"/>
      <c r="C129" s="39"/>
      <c r="D129" s="39"/>
      <c r="E129" s="40"/>
      <c r="F129" s="40"/>
      <c r="G129" s="40"/>
      <c r="H129" s="40"/>
      <c r="I129" s="40"/>
      <c r="J129" s="40"/>
      <c r="K129" s="40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</row>
    <row r="130" spans="2:37" ht="12.75" customHeight="1">
      <c r="B130" s="39"/>
      <c r="C130" s="39"/>
      <c r="D130" s="39"/>
      <c r="E130" s="40"/>
      <c r="F130" s="40"/>
      <c r="G130" s="40"/>
      <c r="H130" s="40"/>
      <c r="I130" s="40"/>
      <c r="J130" s="40"/>
      <c r="K130" s="40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</row>
    <row r="131" spans="2:37" ht="13.5" customHeight="1">
      <c r="B131" s="39"/>
      <c r="C131" s="39"/>
      <c r="D131" s="39"/>
      <c r="E131" s="40"/>
      <c r="F131" s="40"/>
      <c r="G131" s="40"/>
      <c r="H131" s="40"/>
      <c r="I131" s="40"/>
      <c r="J131" s="40"/>
      <c r="K131" s="40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 t="s">
        <v>87</v>
      </c>
      <c r="AC131" s="39"/>
      <c r="AD131" s="39"/>
      <c r="AE131" s="39"/>
      <c r="AF131" s="39"/>
      <c r="AG131" s="39"/>
      <c r="AH131" s="39"/>
      <c r="AI131" s="39"/>
      <c r="AJ131" s="39"/>
      <c r="AK131" s="39"/>
    </row>
    <row r="132" spans="2:37" ht="14.25" customHeight="1">
      <c r="B132" s="39"/>
      <c r="C132" s="39"/>
      <c r="D132" s="39"/>
      <c r="E132" s="40"/>
      <c r="F132" s="40"/>
      <c r="G132" s="40"/>
      <c r="H132" s="40"/>
      <c r="I132" s="40"/>
      <c r="J132" s="40"/>
      <c r="K132" s="40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</row>
    <row r="133" spans="2:37" ht="12.75">
      <c r="B133" s="39"/>
      <c r="C133" s="39"/>
      <c r="D133" s="39"/>
      <c r="E133" s="40"/>
      <c r="F133" s="40"/>
      <c r="G133" s="40"/>
      <c r="H133" s="40"/>
      <c r="I133" s="40"/>
      <c r="J133" s="40"/>
      <c r="K133" s="40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</row>
    <row r="134" spans="2:37" ht="12.75">
      <c r="B134" s="39"/>
      <c r="C134" s="39"/>
      <c r="D134" s="39"/>
      <c r="E134" s="40"/>
      <c r="F134" s="40"/>
      <c r="G134" s="40"/>
      <c r="H134" s="40"/>
      <c r="I134" s="40"/>
      <c r="J134" s="40"/>
      <c r="K134" s="40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</row>
    <row r="135" spans="2:37" ht="12.75">
      <c r="B135" s="39"/>
      <c r="C135" s="39"/>
      <c r="D135" s="39"/>
      <c r="E135" s="40"/>
      <c r="F135" s="40"/>
      <c r="G135" s="40"/>
      <c r="H135" s="40"/>
      <c r="I135" s="40"/>
      <c r="J135" s="40"/>
      <c r="K135" s="40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</row>
    <row r="136" spans="2:37" ht="12.75">
      <c r="B136" s="39"/>
      <c r="C136" s="39"/>
      <c r="D136" s="39"/>
      <c r="E136" s="40"/>
      <c r="F136" s="40"/>
      <c r="G136" s="40"/>
      <c r="H136" s="40"/>
      <c r="I136" s="40"/>
      <c r="J136" s="40"/>
      <c r="K136" s="40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B2" sqref="B2"/>
    </sheetView>
  </sheetViews>
  <sheetFormatPr defaultColWidth="9.140625" defaultRowHeight="12.75"/>
  <cols>
    <col min="1" max="1" width="28.421875" style="0" customWidth="1"/>
    <col min="2" max="2" width="11.00390625" style="0" customWidth="1"/>
    <col min="3" max="3" width="8.140625" style="0" customWidth="1"/>
    <col min="4" max="4" width="7.421875" style="0" customWidth="1"/>
    <col min="5" max="5" width="7.8515625" style="0" customWidth="1"/>
    <col min="6" max="6" width="8.28125" style="0" customWidth="1"/>
    <col min="7" max="7" width="9.7109375" style="0" customWidth="1"/>
    <col min="8" max="8" width="10.00390625" style="0" customWidth="1"/>
    <col min="9" max="16384" width="11.421875" style="0" customWidth="1"/>
  </cols>
  <sheetData>
    <row r="1" spans="1:3" s="8" customFormat="1" ht="12.75">
      <c r="A1" s="38" t="s">
        <v>43</v>
      </c>
      <c r="B1" s="39"/>
      <c r="C1" s="39"/>
    </row>
    <row r="2" spans="1:6" s="8" customFormat="1" ht="12.75">
      <c r="A2" s="39"/>
      <c r="B2" s="39"/>
      <c r="C2" s="40"/>
      <c r="D2" s="9"/>
      <c r="E2" s="9"/>
      <c r="F2" s="9"/>
    </row>
    <row r="3" spans="1:6" s="8" customFormat="1" ht="12.75">
      <c r="A3" s="39"/>
      <c r="B3" s="39" t="s">
        <v>33</v>
      </c>
      <c r="C3" s="40"/>
      <c r="D3" s="9"/>
      <c r="E3" s="9"/>
      <c r="F3" s="9"/>
    </row>
    <row r="4" spans="1:6" s="8" customFormat="1" ht="12.75">
      <c r="A4" s="39"/>
      <c r="B4" s="39"/>
      <c r="C4" s="40"/>
      <c r="D4" s="9"/>
      <c r="E4" s="9"/>
      <c r="F4" s="9"/>
    </row>
    <row r="5" spans="1:6" s="8" customFormat="1" ht="12.75">
      <c r="A5" s="38" t="s">
        <v>90</v>
      </c>
      <c r="B5" s="39" t="s">
        <v>238</v>
      </c>
      <c r="C5" s="40"/>
      <c r="D5" s="9"/>
      <c r="E5" s="9"/>
      <c r="F5" s="9"/>
    </row>
    <row r="6" spans="1:6" s="8" customFormat="1" ht="12.75">
      <c r="A6" s="38"/>
      <c r="B6" s="39"/>
      <c r="C6" s="40"/>
      <c r="D6" s="9"/>
      <c r="E6" s="9"/>
      <c r="F6" s="9"/>
    </row>
    <row r="7" spans="1:6" s="8" customFormat="1" ht="12.75">
      <c r="A7" s="39" t="s">
        <v>142</v>
      </c>
      <c r="B7" s="39" t="s">
        <v>16</v>
      </c>
      <c r="C7" s="39">
        <v>2323</v>
      </c>
      <c r="F7" s="10"/>
    </row>
    <row r="8" spans="1:6" s="8" customFormat="1" ht="12.75">
      <c r="A8" s="39" t="s">
        <v>86</v>
      </c>
      <c r="B8" s="39" t="s">
        <v>40</v>
      </c>
      <c r="C8" s="39">
        <v>1417</v>
      </c>
      <c r="F8" s="10"/>
    </row>
    <row r="9" spans="1:6" s="8" customFormat="1" ht="12.75">
      <c r="A9" s="39" t="s">
        <v>137</v>
      </c>
      <c r="B9" s="39"/>
      <c r="C9" s="39"/>
      <c r="F9" s="10"/>
    </row>
    <row r="10" spans="1:3" s="8" customFormat="1" ht="12.75">
      <c r="A10" s="39" t="s">
        <v>138</v>
      </c>
      <c r="B10" s="39" t="s">
        <v>110</v>
      </c>
      <c r="C10" s="39">
        <v>7.6</v>
      </c>
    </row>
    <row r="11" spans="1:6" s="8" customFormat="1" ht="12.75">
      <c r="A11" s="39" t="s">
        <v>139</v>
      </c>
      <c r="B11" s="39" t="s">
        <v>111</v>
      </c>
      <c r="C11" s="54">
        <v>33.2</v>
      </c>
      <c r="D11" s="9"/>
      <c r="E11" s="9"/>
      <c r="F11" s="9"/>
    </row>
    <row r="12" spans="1:6" s="8" customFormat="1" ht="12.75">
      <c r="A12" s="39" t="s">
        <v>140</v>
      </c>
      <c r="B12" s="39" t="s">
        <v>40</v>
      </c>
      <c r="C12" s="54">
        <v>728</v>
      </c>
      <c r="D12" s="9"/>
      <c r="E12" s="9"/>
      <c r="F12" s="9"/>
    </row>
    <row r="13" spans="1:6" s="8" customFormat="1" ht="12.75">
      <c r="A13" s="39"/>
      <c r="B13" s="39"/>
      <c r="C13" s="40"/>
      <c r="D13" s="9"/>
      <c r="E13" s="9"/>
      <c r="F13" s="9"/>
    </row>
    <row r="14" spans="1:6" s="8" customFormat="1" ht="12.75">
      <c r="A14" s="38" t="s">
        <v>95</v>
      </c>
      <c r="B14" s="39" t="s">
        <v>238</v>
      </c>
      <c r="C14" s="40"/>
      <c r="D14" s="9"/>
      <c r="E14" s="9"/>
      <c r="F14" s="9"/>
    </row>
    <row r="15" spans="1:6" s="8" customFormat="1" ht="12.75">
      <c r="A15" s="38"/>
      <c r="B15" s="39"/>
      <c r="C15" s="40"/>
      <c r="D15" s="9"/>
      <c r="E15" s="9"/>
      <c r="F15" s="9"/>
    </row>
    <row r="16" spans="1:6" s="8" customFormat="1" ht="12.75">
      <c r="A16" s="39" t="s">
        <v>142</v>
      </c>
      <c r="B16" s="39" t="s">
        <v>16</v>
      </c>
      <c r="C16" s="39">
        <f>(987*1.8)+32</f>
        <v>1808.6000000000001</v>
      </c>
      <c r="F16" s="10"/>
    </row>
    <row r="17" spans="1:6" s="8" customFormat="1" ht="12.75">
      <c r="A17" s="39" t="s">
        <v>86</v>
      </c>
      <c r="B17" s="39" t="s">
        <v>40</v>
      </c>
      <c r="C17" s="39">
        <v>640</v>
      </c>
      <c r="F17" s="10"/>
    </row>
    <row r="18" spans="1:6" s="8" customFormat="1" ht="12.75">
      <c r="A18" s="39" t="s">
        <v>137</v>
      </c>
      <c r="B18" s="39"/>
      <c r="C18" s="39"/>
      <c r="F18" s="10"/>
    </row>
    <row r="19" spans="1:3" s="8" customFormat="1" ht="12.75">
      <c r="A19" s="39" t="s">
        <v>138</v>
      </c>
      <c r="B19" s="39" t="s">
        <v>110</v>
      </c>
      <c r="C19" s="39">
        <v>8.4</v>
      </c>
    </row>
    <row r="20" spans="1:8" s="8" customFormat="1" ht="12.75">
      <c r="A20" s="39" t="s">
        <v>139</v>
      </c>
      <c r="B20" s="39" t="s">
        <v>111</v>
      </c>
      <c r="C20" s="54">
        <v>51.5</v>
      </c>
      <c r="D20" s="9"/>
      <c r="E20" s="9"/>
      <c r="F20" s="9"/>
      <c r="G20" s="9"/>
      <c r="H20" s="9"/>
    </row>
    <row r="21" spans="1:8" s="8" customFormat="1" ht="12.75">
      <c r="A21" s="39" t="s">
        <v>140</v>
      </c>
      <c r="B21" s="39" t="s">
        <v>40</v>
      </c>
      <c r="C21" s="54">
        <v>1513</v>
      </c>
      <c r="D21" s="9"/>
      <c r="E21" s="9"/>
      <c r="F21" s="9"/>
      <c r="G21" s="9"/>
      <c r="H21" s="9"/>
    </row>
    <row r="22" spans="1:8" s="8" customFormat="1" ht="12.75">
      <c r="A22" s="39"/>
      <c r="B22" s="39"/>
      <c r="C22" s="40"/>
      <c r="D22" s="9"/>
      <c r="E22" s="9"/>
      <c r="F22" s="9"/>
      <c r="G22" s="9"/>
      <c r="H22" s="9"/>
    </row>
    <row r="23" spans="1:8" s="8" customFormat="1" ht="12.75">
      <c r="A23" s="38" t="s">
        <v>96</v>
      </c>
      <c r="B23" s="39" t="s">
        <v>242</v>
      </c>
      <c r="C23" s="40"/>
      <c r="D23" s="9"/>
      <c r="E23" s="9"/>
      <c r="F23" s="9"/>
      <c r="G23" s="9"/>
      <c r="H23" s="9"/>
    </row>
    <row r="24" spans="1:3" s="8" customFormat="1" ht="12.75">
      <c r="A24" s="38"/>
      <c r="B24" s="39"/>
      <c r="C24" s="39"/>
    </row>
    <row r="25" spans="1:8" s="8" customFormat="1" ht="12.75">
      <c r="A25" s="39" t="s">
        <v>142</v>
      </c>
      <c r="B25" s="39" t="s">
        <v>16</v>
      </c>
      <c r="C25" s="39">
        <v>1947</v>
      </c>
      <c r="F25" s="10"/>
      <c r="H25" s="10"/>
    </row>
    <row r="26" spans="1:8" s="8" customFormat="1" ht="12.75">
      <c r="A26" s="39" t="s">
        <v>86</v>
      </c>
      <c r="B26" s="39" t="s">
        <v>40</v>
      </c>
      <c r="C26" s="39">
        <v>610</v>
      </c>
      <c r="H26" s="10"/>
    </row>
    <row r="27" spans="1:8" s="8" customFormat="1" ht="12.75">
      <c r="A27" s="39" t="s">
        <v>137</v>
      </c>
      <c r="B27" s="39"/>
      <c r="C27" s="39"/>
      <c r="H27" s="10"/>
    </row>
    <row r="28" spans="1:3" s="8" customFormat="1" ht="12.75">
      <c r="A28" s="39" t="s">
        <v>138</v>
      </c>
      <c r="B28" s="39" t="s">
        <v>110</v>
      </c>
      <c r="C28" s="39">
        <v>8.4</v>
      </c>
    </row>
    <row r="29" spans="1:3" s="8" customFormat="1" ht="12.75">
      <c r="A29" s="39" t="s">
        <v>139</v>
      </c>
      <c r="B29" s="39" t="s">
        <v>111</v>
      </c>
      <c r="C29" s="39">
        <v>47.8</v>
      </c>
    </row>
    <row r="30" spans="1:3" ht="12.75">
      <c r="A30" s="39"/>
      <c r="B30" s="39"/>
      <c r="C30" s="39"/>
    </row>
    <row r="31" spans="1:3" ht="12.75">
      <c r="A31" s="39"/>
      <c r="B31" s="39"/>
      <c r="C31" s="39"/>
    </row>
    <row r="32" spans="1:3" ht="12.75">
      <c r="A32" s="39"/>
      <c r="B32" s="39"/>
      <c r="C32" s="39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V185"/>
  <sheetViews>
    <sheetView workbookViewId="0" topLeftCell="A1">
      <selection activeCell="B2" sqref="B2"/>
    </sheetView>
  </sheetViews>
  <sheetFormatPr defaultColWidth="9.140625" defaultRowHeight="12.75"/>
  <cols>
    <col min="1" max="1" width="2.140625" style="2" customWidth="1"/>
    <col min="2" max="2" width="25.8515625" style="2" customWidth="1"/>
    <col min="3" max="3" width="7.8515625" style="2" customWidth="1"/>
    <col min="4" max="4" width="3.140625" style="2" customWidth="1"/>
    <col min="5" max="5" width="7.421875" style="3" customWidth="1"/>
    <col min="6" max="6" width="7.8515625" style="5" bestFit="1" customWidth="1"/>
    <col min="7" max="7" width="7.8515625" style="3" bestFit="1" customWidth="1"/>
    <col min="8" max="8" width="7.8515625" style="5" bestFit="1" customWidth="1"/>
    <col min="9" max="9" width="7.00390625" style="3" customWidth="1"/>
    <col min="10" max="10" width="6.8515625" style="3" customWidth="1"/>
    <col min="11" max="13" width="7.8515625" style="3" bestFit="1" customWidth="1"/>
    <col min="14" max="14" width="4.00390625" style="3" customWidth="1"/>
    <col min="15" max="15" width="6.8515625" style="3" customWidth="1"/>
    <col min="16" max="16" width="8.140625" style="3" customWidth="1"/>
    <col min="17" max="17" width="7.8515625" style="3" bestFit="1" customWidth="1"/>
    <col min="18" max="18" width="8.140625" style="3" customWidth="1"/>
    <col min="19" max="19" width="8.00390625" style="3" customWidth="1"/>
    <col min="20" max="26" width="8.140625" style="3" hidden="1" customWidth="1"/>
    <col min="27" max="27" width="1.28515625" style="3" hidden="1" customWidth="1"/>
    <col min="28" max="41" width="8.140625" style="3" hidden="1" customWidth="1"/>
    <col min="42" max="42" width="8.140625" style="3" customWidth="1"/>
    <col min="43" max="43" width="7.7109375" style="2" customWidth="1"/>
    <col min="44" max="44" width="7.8515625" style="2" customWidth="1"/>
    <col min="45" max="45" width="2.8515625" style="2" customWidth="1"/>
    <col min="46" max="46" width="9.57421875" style="3" customWidth="1"/>
    <col min="47" max="47" width="2.421875" style="2" customWidth="1"/>
    <col min="48" max="48" width="10.28125" style="3" bestFit="1" customWidth="1"/>
    <col min="49" max="16384" width="10.8515625" style="2" customWidth="1"/>
  </cols>
  <sheetData>
    <row r="1" spans="1:48" ht="12.75">
      <c r="A1" s="25" t="s">
        <v>115</v>
      </c>
      <c r="C1" s="26"/>
      <c r="D1" s="26"/>
      <c r="E1" s="25"/>
      <c r="F1" s="55"/>
      <c r="G1" s="26"/>
      <c r="H1" s="55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T1" s="56"/>
      <c r="AV1" s="56"/>
    </row>
    <row r="2" spans="1:48" ht="12.75">
      <c r="A2" s="26" t="s">
        <v>243</v>
      </c>
      <c r="C2" s="26"/>
      <c r="D2" s="26"/>
      <c r="E2" s="26"/>
      <c r="F2" s="55"/>
      <c r="G2" s="26"/>
      <c r="H2" s="55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T2" s="56"/>
      <c r="AV2" s="56"/>
    </row>
    <row r="3" spans="1:48" ht="12.75">
      <c r="A3" s="26" t="s">
        <v>116</v>
      </c>
      <c r="C3" s="26" t="s">
        <v>121</v>
      </c>
      <c r="D3" s="26"/>
      <c r="E3" s="26"/>
      <c r="F3" s="55"/>
      <c r="G3" s="26"/>
      <c r="H3" s="55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T3" s="56"/>
      <c r="AV3" s="56"/>
    </row>
    <row r="4" spans="1:48" ht="12.75">
      <c r="A4" s="26" t="s">
        <v>117</v>
      </c>
      <c r="C4" s="26" t="s">
        <v>90</v>
      </c>
      <c r="D4" s="57"/>
      <c r="E4" s="26"/>
      <c r="F4" s="58"/>
      <c r="G4" s="26"/>
      <c r="H4" s="58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T4" s="59"/>
      <c r="AV4" s="59"/>
    </row>
    <row r="5" spans="1:48" ht="12.75">
      <c r="A5" s="26" t="s">
        <v>118</v>
      </c>
      <c r="C5" s="26" t="s">
        <v>122</v>
      </c>
      <c r="D5" s="57"/>
      <c r="E5" s="26"/>
      <c r="F5" s="55"/>
      <c r="G5" s="26"/>
      <c r="H5" s="55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T5" s="56"/>
      <c r="AV5" s="56"/>
    </row>
    <row r="6" spans="2:48" ht="12.75">
      <c r="B6" s="25"/>
      <c r="C6" s="57"/>
      <c r="D6" s="57"/>
      <c r="E6" s="60"/>
      <c r="F6" s="55"/>
      <c r="G6" s="60"/>
      <c r="H6" s="55"/>
      <c r="I6" s="56"/>
      <c r="J6" s="60"/>
      <c r="K6" s="56"/>
      <c r="L6" s="60"/>
      <c r="M6" s="56"/>
      <c r="N6" s="56"/>
      <c r="O6" s="60"/>
      <c r="P6" s="56"/>
      <c r="Q6" s="60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R6" s="2" t="s">
        <v>208</v>
      </c>
      <c r="AT6" s="56" t="s">
        <v>209</v>
      </c>
      <c r="AV6" s="56" t="s">
        <v>210</v>
      </c>
    </row>
    <row r="7" spans="2:48" ht="12.75">
      <c r="B7" s="26"/>
      <c r="C7" s="57" t="s">
        <v>44</v>
      </c>
      <c r="D7" s="57"/>
      <c r="E7" s="61" t="s">
        <v>45</v>
      </c>
      <c r="F7" s="61"/>
      <c r="G7" s="61"/>
      <c r="H7" s="61"/>
      <c r="I7" s="62"/>
      <c r="J7" s="61" t="s">
        <v>46</v>
      </c>
      <c r="K7" s="61"/>
      <c r="L7" s="61"/>
      <c r="M7" s="61"/>
      <c r="N7" s="62"/>
      <c r="O7" s="61" t="s">
        <v>47</v>
      </c>
      <c r="P7" s="61"/>
      <c r="Q7" s="61"/>
      <c r="R7" s="61"/>
      <c r="S7" s="62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T7" s="62"/>
      <c r="AV7" s="62"/>
    </row>
    <row r="8" spans="2:48" ht="12.75">
      <c r="B8" s="26"/>
      <c r="C8" s="57" t="s">
        <v>48</v>
      </c>
      <c r="D8" s="26"/>
      <c r="E8" s="60" t="s">
        <v>49</v>
      </c>
      <c r="F8" s="58" t="s">
        <v>50</v>
      </c>
      <c r="G8" s="60" t="s">
        <v>49</v>
      </c>
      <c r="H8" s="58" t="s">
        <v>50</v>
      </c>
      <c r="I8" s="56"/>
      <c r="J8" s="60" t="s">
        <v>49</v>
      </c>
      <c r="K8" s="60" t="s">
        <v>51</v>
      </c>
      <c r="L8" s="60" t="s">
        <v>49</v>
      </c>
      <c r="M8" s="60" t="s">
        <v>51</v>
      </c>
      <c r="N8" s="56"/>
      <c r="O8" s="60" t="s">
        <v>49</v>
      </c>
      <c r="P8" s="60" t="s">
        <v>51</v>
      </c>
      <c r="Q8" s="60" t="s">
        <v>49</v>
      </c>
      <c r="R8" s="60" t="s">
        <v>51</v>
      </c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R8" s="56" t="s">
        <v>92</v>
      </c>
      <c r="AT8" s="56" t="s">
        <v>92</v>
      </c>
      <c r="AV8" s="56" t="s">
        <v>92</v>
      </c>
    </row>
    <row r="9" spans="2:48" ht="15" customHeight="1">
      <c r="B9" s="26"/>
      <c r="C9" s="57"/>
      <c r="D9" s="26"/>
      <c r="E9" s="60" t="s">
        <v>94</v>
      </c>
      <c r="F9" s="60" t="s">
        <v>237</v>
      </c>
      <c r="G9" s="60" t="s">
        <v>120</v>
      </c>
      <c r="H9" s="55" t="s">
        <v>120</v>
      </c>
      <c r="I9" s="56"/>
      <c r="J9" s="60" t="s">
        <v>94</v>
      </c>
      <c r="K9" s="60" t="s">
        <v>237</v>
      </c>
      <c r="L9" s="60" t="s">
        <v>120</v>
      </c>
      <c r="M9" s="55" t="s">
        <v>120</v>
      </c>
      <c r="N9" s="56"/>
      <c r="O9" s="60" t="s">
        <v>94</v>
      </c>
      <c r="P9" s="60" t="s">
        <v>237</v>
      </c>
      <c r="Q9" s="60" t="s">
        <v>120</v>
      </c>
      <c r="R9" s="55" t="s">
        <v>120</v>
      </c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R9" s="56" t="s">
        <v>93</v>
      </c>
      <c r="AT9" s="56" t="s">
        <v>127</v>
      </c>
      <c r="AV9" s="56" t="s">
        <v>127</v>
      </c>
    </row>
    <row r="10" spans="1:48" ht="13.5" customHeight="1">
      <c r="A10" s="2" t="s">
        <v>52</v>
      </c>
      <c r="B10" s="26"/>
      <c r="C10" s="26"/>
      <c r="D10" s="26"/>
      <c r="E10" s="56"/>
      <c r="F10" s="55"/>
      <c r="G10" s="56"/>
      <c r="H10" s="55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R10" s="26"/>
      <c r="AT10" s="56"/>
      <c r="AV10" s="56"/>
    </row>
    <row r="11" spans="2:48" ht="12.75">
      <c r="B11" s="26" t="s">
        <v>53</v>
      </c>
      <c r="C11" s="57">
        <v>1</v>
      </c>
      <c r="D11" s="57"/>
      <c r="E11" s="55"/>
      <c r="F11" s="55">
        <f>IF(E11="","",E11*$C11)</f>
      </c>
      <c r="G11" s="55">
        <f aca="true" t="shared" si="0" ref="G11:G35">IF(E11=0,"",IF(D11="nd",E11/2,E11))</f>
      </c>
      <c r="H11" s="55">
        <f>IF(G11="","",G11*$C11)</f>
      </c>
      <c r="I11" s="55"/>
      <c r="J11" s="44">
        <f aca="true" t="shared" si="1" ref="J11:J35">AT11/$M$37/60*453.6*$M$38*0.01</f>
        <v>0.021796584269662925</v>
      </c>
      <c r="K11" s="55">
        <f>IF(J11="","",J11*$C11)</f>
        <v>0.021796584269662925</v>
      </c>
      <c r="L11" s="63">
        <f aca="true" t="shared" si="2" ref="L11:L35">IF(J11=0,"",IF(I11="nd",J11/2,J11))</f>
        <v>0.021796584269662925</v>
      </c>
      <c r="M11" s="55">
        <f>IF(L11="","",L11*$C11)</f>
        <v>0.021796584269662925</v>
      </c>
      <c r="N11" s="55"/>
      <c r="O11" s="44">
        <f aca="true" t="shared" si="3" ref="O11:O35">AV11/$R$37/60*453.6*$R$38*0.01</f>
        <v>0.02004830270270271</v>
      </c>
      <c r="P11" s="55">
        <f>IF(O11="","",O11*$C11)</f>
        <v>0.02004830270270271</v>
      </c>
      <c r="Q11" s="63">
        <f aca="true" t="shared" si="4" ref="Q11:Q35">IF(O11=0,"",IF(N11="nd",O11/2,O11))</f>
        <v>0.02004830270270271</v>
      </c>
      <c r="R11" s="55">
        <f>IF(Q11="","",Q11*$C11)</f>
        <v>0.02004830270270271</v>
      </c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R11" s="57"/>
      <c r="AT11" s="27">
        <v>2.4</v>
      </c>
      <c r="AV11" s="27">
        <v>2.2</v>
      </c>
    </row>
    <row r="12" spans="2:48" ht="12.75">
      <c r="B12" s="26" t="s">
        <v>54</v>
      </c>
      <c r="C12" s="57">
        <v>0</v>
      </c>
      <c r="D12" s="57"/>
      <c r="E12" s="55"/>
      <c r="F12" s="55">
        <f>IF(E12="","",E12*$C12)</f>
      </c>
      <c r="G12" s="55">
        <f t="shared" si="0"/>
      </c>
      <c r="H12" s="55">
        <f>IF(G12="","",G12*$C12)</f>
      </c>
      <c r="I12" s="55"/>
      <c r="J12" s="44">
        <f t="shared" si="1"/>
        <v>0.10807473033707865</v>
      </c>
      <c r="K12" s="64">
        <f>IF(J12="","",J12*$C12)</f>
        <v>0</v>
      </c>
      <c r="L12" s="63">
        <f t="shared" si="2"/>
        <v>0.10807473033707865</v>
      </c>
      <c r="M12" s="64">
        <f>IF(L12="","",L12*$C12)</f>
        <v>0</v>
      </c>
      <c r="N12" s="55"/>
      <c r="O12" s="44">
        <f t="shared" si="3"/>
        <v>0.11026566486486489</v>
      </c>
      <c r="P12" s="64">
        <f>IF(O12="","",O12*$C12)</f>
        <v>0</v>
      </c>
      <c r="Q12" s="63">
        <f t="shared" si="4"/>
        <v>0.11026566486486489</v>
      </c>
      <c r="R12" s="64">
        <f>IF(Q12="","",Q12*$C12)</f>
        <v>0</v>
      </c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R12" s="57"/>
      <c r="AT12" s="27">
        <f>14.3-AT11</f>
        <v>11.9</v>
      </c>
      <c r="AV12" s="27">
        <f>14.3-AV11</f>
        <v>12.100000000000001</v>
      </c>
    </row>
    <row r="13" spans="2:48" ht="12.75">
      <c r="B13" s="26" t="s">
        <v>55</v>
      </c>
      <c r="C13" s="57">
        <v>0.5</v>
      </c>
      <c r="D13" s="57"/>
      <c r="E13" s="55"/>
      <c r="F13" s="55">
        <f aca="true" t="shared" si="5" ref="F13:H35">IF(E13="","",E13*$C13)</f>
      </c>
      <c r="G13" s="55">
        <f t="shared" si="0"/>
      </c>
      <c r="H13" s="55">
        <f t="shared" si="5"/>
      </c>
      <c r="I13" s="55"/>
      <c r="J13" s="44">
        <f t="shared" si="1"/>
        <v>0.03360306741573034</v>
      </c>
      <c r="K13" s="55">
        <f aca="true" t="shared" si="6" ref="K13:M28">IF(J13="","",J13*$C13)</f>
        <v>0.01680153370786517</v>
      </c>
      <c r="L13" s="63">
        <f t="shared" si="2"/>
        <v>0.03360306741573034</v>
      </c>
      <c r="M13" s="55">
        <f t="shared" si="6"/>
        <v>0.01680153370786517</v>
      </c>
      <c r="N13" s="55"/>
      <c r="O13" s="44">
        <f t="shared" si="3"/>
        <v>0.02824988108108109</v>
      </c>
      <c r="P13" s="55">
        <f aca="true" t="shared" si="7" ref="P13:R28">IF(O13="","",O13*$C13)</f>
        <v>0.014124940540540545</v>
      </c>
      <c r="Q13" s="63">
        <f t="shared" si="4"/>
        <v>0.02824988108108109</v>
      </c>
      <c r="R13" s="55">
        <f t="shared" si="7"/>
        <v>0.014124940540540545</v>
      </c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R13" s="57"/>
      <c r="AT13" s="27">
        <v>3.7</v>
      </c>
      <c r="AV13" s="27">
        <v>3.1</v>
      </c>
    </row>
    <row r="14" spans="2:48" ht="12.75">
      <c r="B14" s="26" t="s">
        <v>56</v>
      </c>
      <c r="C14" s="57">
        <v>0</v>
      </c>
      <c r="D14" s="57"/>
      <c r="E14" s="55"/>
      <c r="F14" s="55">
        <f t="shared" si="5"/>
      </c>
      <c r="G14" s="55">
        <f t="shared" si="0"/>
      </c>
      <c r="H14" s="55">
        <f t="shared" si="5"/>
      </c>
      <c r="I14" s="55"/>
      <c r="J14" s="44">
        <f t="shared" si="1"/>
        <v>0.1462187528089888</v>
      </c>
      <c r="K14" s="55">
        <f t="shared" si="6"/>
        <v>0</v>
      </c>
      <c r="L14" s="63">
        <f t="shared" si="2"/>
        <v>0.1462187528089888</v>
      </c>
      <c r="M14" s="55">
        <f t="shared" si="6"/>
        <v>0</v>
      </c>
      <c r="N14" s="55"/>
      <c r="O14" s="44">
        <f t="shared" si="3"/>
        <v>0.09203993513513513</v>
      </c>
      <c r="P14" s="64">
        <f t="shared" si="7"/>
        <v>0</v>
      </c>
      <c r="Q14" s="63">
        <f t="shared" si="4"/>
        <v>0.09203993513513513</v>
      </c>
      <c r="R14" s="64">
        <f t="shared" si="7"/>
        <v>0</v>
      </c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R14" s="57"/>
      <c r="AT14" s="27">
        <f>19.8-AT13</f>
        <v>16.1</v>
      </c>
      <c r="AV14" s="27">
        <f>13.2-AV13</f>
        <v>10.1</v>
      </c>
    </row>
    <row r="15" spans="2:48" ht="12.75">
      <c r="B15" s="26" t="s">
        <v>57</v>
      </c>
      <c r="C15" s="57">
        <v>0.1</v>
      </c>
      <c r="D15" s="57"/>
      <c r="E15" s="55"/>
      <c r="F15" s="55">
        <f t="shared" si="5"/>
      </c>
      <c r="G15" s="55">
        <f t="shared" si="0"/>
      </c>
      <c r="H15" s="55">
        <f t="shared" si="5"/>
      </c>
      <c r="I15" s="55"/>
      <c r="J15" s="44">
        <f t="shared" si="1"/>
        <v>0.01362286516853933</v>
      </c>
      <c r="K15" s="55">
        <f t="shared" si="6"/>
        <v>0.001362286516853933</v>
      </c>
      <c r="L15" s="63">
        <f t="shared" si="2"/>
        <v>0.01362286516853933</v>
      </c>
      <c r="M15" s="55">
        <f t="shared" si="6"/>
        <v>0.001362286516853933</v>
      </c>
      <c r="N15" s="55"/>
      <c r="O15" s="44">
        <f t="shared" si="3"/>
        <v>0.0136692972972973</v>
      </c>
      <c r="P15" s="55">
        <f t="shared" si="7"/>
        <v>0.00136692972972973</v>
      </c>
      <c r="Q15" s="63">
        <f t="shared" si="4"/>
        <v>0.0136692972972973</v>
      </c>
      <c r="R15" s="55">
        <f t="shared" si="7"/>
        <v>0.00136692972972973</v>
      </c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R15" s="57"/>
      <c r="AT15" s="27">
        <v>1.5</v>
      </c>
      <c r="AV15" s="27">
        <v>1.5</v>
      </c>
    </row>
    <row r="16" spans="2:48" ht="12.75">
      <c r="B16" s="26" t="s">
        <v>58</v>
      </c>
      <c r="C16" s="57">
        <v>0.1</v>
      </c>
      <c r="D16" s="57"/>
      <c r="E16" s="55"/>
      <c r="F16" s="55">
        <f t="shared" si="5"/>
      </c>
      <c r="G16" s="55">
        <f t="shared" si="0"/>
      </c>
      <c r="H16" s="55">
        <f t="shared" si="5"/>
      </c>
      <c r="I16" s="55"/>
      <c r="J16" s="44">
        <f t="shared" si="1"/>
        <v>0.01362286516853933</v>
      </c>
      <c r="K16" s="55">
        <f t="shared" si="6"/>
        <v>0.001362286516853933</v>
      </c>
      <c r="L16" s="63">
        <f t="shared" si="2"/>
        <v>0.01362286516853933</v>
      </c>
      <c r="M16" s="55">
        <f t="shared" si="6"/>
        <v>0.001362286516853933</v>
      </c>
      <c r="N16" s="55"/>
      <c r="O16" s="44">
        <f t="shared" si="3"/>
        <v>0.011846724324324327</v>
      </c>
      <c r="P16" s="55">
        <f t="shared" si="7"/>
        <v>0.0011846724324324329</v>
      </c>
      <c r="Q16" s="63">
        <f t="shared" si="4"/>
        <v>0.011846724324324327</v>
      </c>
      <c r="R16" s="55">
        <f t="shared" si="7"/>
        <v>0.0011846724324324329</v>
      </c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R16" s="57"/>
      <c r="AT16" s="27">
        <v>1.5</v>
      </c>
      <c r="AV16" s="27">
        <v>1.3</v>
      </c>
    </row>
    <row r="17" spans="2:48" ht="12.75">
      <c r="B17" s="26" t="s">
        <v>59</v>
      </c>
      <c r="C17" s="57">
        <v>0.1</v>
      </c>
      <c r="D17" s="57"/>
      <c r="E17" s="55"/>
      <c r="F17" s="55">
        <f t="shared" si="5"/>
      </c>
      <c r="G17" s="55">
        <f t="shared" si="0"/>
      </c>
      <c r="H17" s="55">
        <f t="shared" si="5"/>
      </c>
      <c r="I17" s="55"/>
      <c r="J17" s="44">
        <f t="shared" si="1"/>
        <v>0.007810442696629214</v>
      </c>
      <c r="K17" s="55">
        <f t="shared" si="6"/>
        <v>0.0007810442696629215</v>
      </c>
      <c r="L17" s="63">
        <f t="shared" si="2"/>
        <v>0.007810442696629214</v>
      </c>
      <c r="M17" s="55">
        <f t="shared" si="6"/>
        <v>0.0007810442696629215</v>
      </c>
      <c r="N17" s="55"/>
      <c r="O17" s="44">
        <f t="shared" si="3"/>
        <v>0.006925777297297299</v>
      </c>
      <c r="P17" s="55">
        <f t="shared" si="7"/>
        <v>0.00069257772972973</v>
      </c>
      <c r="Q17" s="63">
        <f t="shared" si="4"/>
        <v>0.006925777297297299</v>
      </c>
      <c r="R17" s="55">
        <f t="shared" si="7"/>
        <v>0.00069257772972973</v>
      </c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R17" s="57"/>
      <c r="AT17" s="27">
        <v>0.86</v>
      </c>
      <c r="AV17" s="27">
        <v>0.76</v>
      </c>
    </row>
    <row r="18" spans="2:48" ht="12.75">
      <c r="B18" s="26" t="s">
        <v>60</v>
      </c>
      <c r="C18" s="57">
        <v>0</v>
      </c>
      <c r="D18" s="57"/>
      <c r="E18" s="55"/>
      <c r="F18" s="55">
        <f t="shared" si="5"/>
      </c>
      <c r="G18" s="55">
        <f t="shared" si="0"/>
      </c>
      <c r="H18" s="55">
        <f t="shared" si="5"/>
      </c>
      <c r="I18" s="55"/>
      <c r="J18" s="44">
        <f t="shared" si="1"/>
        <v>0.10480524269662922</v>
      </c>
      <c r="K18" s="64">
        <f t="shared" si="6"/>
        <v>0</v>
      </c>
      <c r="L18" s="63">
        <f t="shared" si="2"/>
        <v>0.10480524269662922</v>
      </c>
      <c r="M18" s="64">
        <f t="shared" si="6"/>
        <v>0</v>
      </c>
      <c r="N18" s="55"/>
      <c r="O18" s="44">
        <f t="shared" si="3"/>
        <v>0.07782386594594595</v>
      </c>
      <c r="P18" s="64">
        <f t="shared" si="7"/>
        <v>0</v>
      </c>
      <c r="Q18" s="63">
        <f t="shared" si="4"/>
        <v>0.07782386594594595</v>
      </c>
      <c r="R18" s="64">
        <f t="shared" si="7"/>
        <v>0</v>
      </c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R18" s="57"/>
      <c r="AT18" s="27">
        <f>15.4-SUM(AT15:AT17)</f>
        <v>11.540000000000001</v>
      </c>
      <c r="AV18" s="27">
        <f>12.1-SUM(AV15:AV17)</f>
        <v>8.54</v>
      </c>
    </row>
    <row r="19" spans="2:48" ht="12.75">
      <c r="B19" s="26" t="s">
        <v>61</v>
      </c>
      <c r="C19" s="57">
        <v>0.01</v>
      </c>
      <c r="D19" s="57"/>
      <c r="E19" s="55"/>
      <c r="F19" s="55">
        <f t="shared" si="5"/>
      </c>
      <c r="G19" s="55">
        <f t="shared" si="0"/>
      </c>
      <c r="H19" s="55">
        <f t="shared" si="5"/>
      </c>
      <c r="I19" s="55"/>
      <c r="J19" s="44">
        <f t="shared" si="1"/>
        <v>0.023612966292134833</v>
      </c>
      <c r="K19" s="55">
        <f t="shared" si="6"/>
        <v>0.00023612966292134834</v>
      </c>
      <c r="L19" s="63">
        <f t="shared" si="2"/>
        <v>0.023612966292134833</v>
      </c>
      <c r="M19" s="55">
        <f t="shared" si="6"/>
        <v>0.00023612966292134834</v>
      </c>
      <c r="N19" s="55"/>
      <c r="O19" s="44">
        <f t="shared" si="3"/>
        <v>0.022782162162162164</v>
      </c>
      <c r="P19" s="55">
        <f t="shared" si="7"/>
        <v>0.00022782162162162165</v>
      </c>
      <c r="Q19" s="63">
        <f t="shared" si="4"/>
        <v>0.022782162162162164</v>
      </c>
      <c r="R19" s="55">
        <f t="shared" si="7"/>
        <v>0.00022782162162162165</v>
      </c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R19" s="57"/>
      <c r="AT19" s="27">
        <v>2.6</v>
      </c>
      <c r="AV19" s="27">
        <v>2.5</v>
      </c>
    </row>
    <row r="20" spans="2:48" ht="12.75">
      <c r="B20" s="26" t="s">
        <v>62</v>
      </c>
      <c r="C20" s="57">
        <v>0</v>
      </c>
      <c r="D20" s="57"/>
      <c r="E20" s="55"/>
      <c r="F20" s="55">
        <f t="shared" si="5"/>
      </c>
      <c r="G20" s="55">
        <f t="shared" si="0"/>
      </c>
      <c r="H20" s="55">
        <f t="shared" si="5"/>
      </c>
      <c r="I20" s="55"/>
      <c r="J20" s="44">
        <f t="shared" si="1"/>
        <v>0.02452115730337079</v>
      </c>
      <c r="K20" s="64">
        <f t="shared" si="6"/>
        <v>0</v>
      </c>
      <c r="L20" s="63">
        <f t="shared" si="2"/>
        <v>0.02452115730337079</v>
      </c>
      <c r="M20" s="64">
        <f t="shared" si="6"/>
        <v>0</v>
      </c>
      <c r="N20" s="55"/>
      <c r="O20" s="44">
        <f t="shared" si="3"/>
        <v>0.02095958918918919</v>
      </c>
      <c r="P20" s="64">
        <f t="shared" si="7"/>
        <v>0</v>
      </c>
      <c r="Q20" s="63">
        <f t="shared" si="4"/>
        <v>0.02095958918918919</v>
      </c>
      <c r="R20" s="64">
        <f t="shared" si="7"/>
        <v>0</v>
      </c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R20" s="57"/>
      <c r="AT20" s="27">
        <f>5.3-AT19</f>
        <v>2.6999999999999997</v>
      </c>
      <c r="AV20" s="27">
        <v>2.3</v>
      </c>
    </row>
    <row r="21" spans="2:48" ht="12.75">
      <c r="B21" s="26" t="s">
        <v>63</v>
      </c>
      <c r="C21" s="57">
        <v>0.001</v>
      </c>
      <c r="D21" s="57"/>
      <c r="E21" s="55"/>
      <c r="F21" s="55">
        <f t="shared" si="5"/>
      </c>
      <c r="G21" s="55">
        <f t="shared" si="0"/>
      </c>
      <c r="H21" s="55">
        <f t="shared" si="5"/>
      </c>
      <c r="I21" s="55"/>
      <c r="J21" s="44">
        <f t="shared" si="1"/>
        <v>0.04631774157303372</v>
      </c>
      <c r="K21" s="64">
        <f t="shared" si="6"/>
        <v>4.6317741573033724E-05</v>
      </c>
      <c r="L21" s="63">
        <f t="shared" si="2"/>
        <v>0.04631774157303372</v>
      </c>
      <c r="M21" s="64">
        <f t="shared" si="6"/>
        <v>4.6317741573033724E-05</v>
      </c>
      <c r="N21" s="55"/>
      <c r="O21" s="44">
        <f t="shared" si="3"/>
        <v>0.04191917837837838</v>
      </c>
      <c r="P21" s="64">
        <f t="shared" si="7"/>
        <v>4.191917837837838E-05</v>
      </c>
      <c r="Q21" s="63">
        <f t="shared" si="4"/>
        <v>0.04191917837837838</v>
      </c>
      <c r="R21" s="64">
        <f t="shared" si="7"/>
        <v>4.191917837837838E-05</v>
      </c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R21" s="57"/>
      <c r="AT21" s="27">
        <v>5.1</v>
      </c>
      <c r="AV21" s="27">
        <v>4.6</v>
      </c>
    </row>
    <row r="22" spans="2:48" ht="12.75">
      <c r="B22" s="26" t="s">
        <v>64</v>
      </c>
      <c r="C22" s="57">
        <v>0.1</v>
      </c>
      <c r="D22" s="57"/>
      <c r="E22" s="55"/>
      <c r="F22" s="55">
        <f t="shared" si="5"/>
      </c>
      <c r="G22" s="55">
        <f t="shared" si="0"/>
      </c>
      <c r="H22" s="55">
        <f t="shared" si="5"/>
      </c>
      <c r="I22" s="55"/>
      <c r="J22" s="44">
        <f t="shared" si="1"/>
        <v>0.19980202247191015</v>
      </c>
      <c r="K22" s="55">
        <f t="shared" si="6"/>
        <v>0.019980202247191017</v>
      </c>
      <c r="L22" s="63">
        <f t="shared" si="2"/>
        <v>0.19980202247191015</v>
      </c>
      <c r="M22" s="55">
        <f t="shared" si="6"/>
        <v>0.019980202247191017</v>
      </c>
      <c r="N22" s="55"/>
      <c r="O22" s="44">
        <f t="shared" si="3"/>
        <v>0.17041057297297296</v>
      </c>
      <c r="P22" s="55">
        <f t="shared" si="7"/>
        <v>0.017041057297297296</v>
      </c>
      <c r="Q22" s="63">
        <f t="shared" si="4"/>
        <v>0.17041057297297296</v>
      </c>
      <c r="R22" s="55">
        <f t="shared" si="7"/>
        <v>0.017041057297297296</v>
      </c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R22" s="57"/>
      <c r="AT22" s="27">
        <v>22</v>
      </c>
      <c r="AV22" s="27">
        <v>18.7</v>
      </c>
    </row>
    <row r="23" spans="2:48" ht="12.75">
      <c r="B23" s="26" t="s">
        <v>65</v>
      </c>
      <c r="C23" s="57">
        <v>0</v>
      </c>
      <c r="D23" s="57"/>
      <c r="E23" s="55"/>
      <c r="F23" s="55">
        <f t="shared" si="5"/>
      </c>
      <c r="G23" s="55">
        <f t="shared" si="0"/>
      </c>
      <c r="H23" s="55">
        <f t="shared" si="5"/>
      </c>
      <c r="I23" s="55"/>
      <c r="J23" s="44">
        <f t="shared" si="1"/>
        <v>7.3018557303370795</v>
      </c>
      <c r="K23" s="64">
        <f t="shared" si="6"/>
        <v>0</v>
      </c>
      <c r="L23" s="63">
        <f t="shared" si="2"/>
        <v>7.3018557303370795</v>
      </c>
      <c r="M23" s="64">
        <f t="shared" si="6"/>
        <v>0</v>
      </c>
      <c r="N23" s="55"/>
      <c r="O23" s="44">
        <f t="shared" si="3"/>
        <v>6.436416454054054</v>
      </c>
      <c r="P23" s="64">
        <f t="shared" si="7"/>
        <v>0</v>
      </c>
      <c r="Q23" s="63">
        <f t="shared" si="4"/>
        <v>6.436416454054054</v>
      </c>
      <c r="R23" s="64">
        <f t="shared" si="7"/>
        <v>0</v>
      </c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R23" s="57"/>
      <c r="AT23" s="27">
        <f>826-AT22</f>
        <v>804</v>
      </c>
      <c r="AV23" s="27">
        <f>725-AV22</f>
        <v>706.3</v>
      </c>
    </row>
    <row r="24" spans="2:48" ht="12.75">
      <c r="B24" s="26" t="s">
        <v>66</v>
      </c>
      <c r="C24" s="57">
        <v>0.05</v>
      </c>
      <c r="D24" s="57"/>
      <c r="E24" s="55"/>
      <c r="F24" s="55">
        <f t="shared" si="5"/>
      </c>
      <c r="G24" s="55">
        <f t="shared" si="0"/>
      </c>
      <c r="H24" s="55">
        <f t="shared" si="5"/>
      </c>
      <c r="I24" s="55"/>
      <c r="J24" s="44">
        <f t="shared" si="1"/>
        <v>0.3296733370786517</v>
      </c>
      <c r="K24" s="55">
        <f t="shared" si="6"/>
        <v>0.016483666853932585</v>
      </c>
      <c r="L24" s="63">
        <f t="shared" si="2"/>
        <v>0.3296733370786517</v>
      </c>
      <c r="M24" s="55">
        <f t="shared" si="6"/>
        <v>0.016483666853932585</v>
      </c>
      <c r="N24" s="55"/>
      <c r="O24" s="44">
        <f t="shared" si="3"/>
        <v>0.26974080000000006</v>
      </c>
      <c r="P24" s="55">
        <f t="shared" si="7"/>
        <v>0.013487040000000004</v>
      </c>
      <c r="Q24" s="63">
        <f t="shared" si="4"/>
        <v>0.26974080000000006</v>
      </c>
      <c r="R24" s="55">
        <f t="shared" si="7"/>
        <v>0.013487040000000004</v>
      </c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R24" s="57"/>
      <c r="AT24" s="27">
        <v>36.3</v>
      </c>
      <c r="AV24" s="27">
        <v>29.6</v>
      </c>
    </row>
    <row r="25" spans="2:48" ht="12.75">
      <c r="B25" s="26" t="s">
        <v>67</v>
      </c>
      <c r="C25" s="57">
        <v>0.5</v>
      </c>
      <c r="D25" s="57"/>
      <c r="E25" s="55"/>
      <c r="F25" s="55">
        <f t="shared" si="5"/>
      </c>
      <c r="G25" s="55">
        <f t="shared" si="0"/>
      </c>
      <c r="H25" s="55">
        <f t="shared" si="5"/>
      </c>
      <c r="I25" s="55"/>
      <c r="J25" s="44">
        <f t="shared" si="1"/>
        <v>0.2997030337078652</v>
      </c>
      <c r="K25" s="55">
        <f t="shared" si="6"/>
        <v>0.1498515168539326</v>
      </c>
      <c r="L25" s="63">
        <f t="shared" si="2"/>
        <v>0.2997030337078652</v>
      </c>
      <c r="M25" s="55">
        <f t="shared" si="6"/>
        <v>0.1498515168539326</v>
      </c>
      <c r="N25" s="55"/>
      <c r="O25" s="44">
        <f t="shared" si="3"/>
        <v>0.24969249729729734</v>
      </c>
      <c r="P25" s="55">
        <f t="shared" si="7"/>
        <v>0.12484624864864867</v>
      </c>
      <c r="Q25" s="63">
        <f t="shared" si="4"/>
        <v>0.24969249729729734</v>
      </c>
      <c r="R25" s="55">
        <f t="shared" si="7"/>
        <v>0.12484624864864867</v>
      </c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R25" s="57"/>
      <c r="AT25" s="27">
        <v>33</v>
      </c>
      <c r="AV25" s="27">
        <v>27.4</v>
      </c>
    </row>
    <row r="26" spans="2:48" ht="12.75">
      <c r="B26" s="26" t="s">
        <v>68</v>
      </c>
      <c r="C26" s="57">
        <v>0</v>
      </c>
      <c r="D26" s="57"/>
      <c r="E26" s="55"/>
      <c r="F26" s="55">
        <f t="shared" si="5"/>
      </c>
      <c r="G26" s="55">
        <f t="shared" si="0"/>
      </c>
      <c r="H26" s="55">
        <f t="shared" si="5"/>
      </c>
      <c r="I26" s="55"/>
      <c r="J26" s="44">
        <f t="shared" si="1"/>
        <v>7.072083404494385</v>
      </c>
      <c r="K26" s="55">
        <f t="shared" si="6"/>
        <v>0</v>
      </c>
      <c r="L26" s="63">
        <f t="shared" si="2"/>
        <v>7.072083404494385</v>
      </c>
      <c r="M26" s="55">
        <f t="shared" si="6"/>
        <v>0</v>
      </c>
      <c r="N26" s="55"/>
      <c r="O26" s="44">
        <f t="shared" si="3"/>
        <v>5.8869107027027034</v>
      </c>
      <c r="P26" s="64">
        <f t="shared" si="7"/>
        <v>0</v>
      </c>
      <c r="Q26" s="63">
        <f t="shared" si="4"/>
        <v>5.8869107027027034</v>
      </c>
      <c r="R26" s="64">
        <f t="shared" si="7"/>
        <v>0</v>
      </c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R26" s="57"/>
      <c r="AT26" s="27">
        <f>848-AT24-AT25</f>
        <v>778.7</v>
      </c>
      <c r="AV26" s="27">
        <f>703-AV24-AV25</f>
        <v>646</v>
      </c>
    </row>
    <row r="27" spans="2:48" ht="12.75">
      <c r="B27" s="26" t="s">
        <v>69</v>
      </c>
      <c r="C27" s="57">
        <v>0.1</v>
      </c>
      <c r="D27" s="57"/>
      <c r="E27" s="55"/>
      <c r="F27" s="55">
        <f t="shared" si="5"/>
      </c>
      <c r="G27" s="55">
        <f t="shared" si="0"/>
      </c>
      <c r="H27" s="55">
        <f t="shared" si="5"/>
      </c>
      <c r="I27" s="55"/>
      <c r="J27" s="44">
        <f t="shared" si="1"/>
        <v>0.40959414606741573</v>
      </c>
      <c r="K27" s="55">
        <f t="shared" si="6"/>
        <v>0.04095941460674157</v>
      </c>
      <c r="L27" s="63">
        <f t="shared" si="2"/>
        <v>0.40959414606741573</v>
      </c>
      <c r="M27" s="55">
        <f t="shared" si="6"/>
        <v>0.04095941460674157</v>
      </c>
      <c r="N27" s="55"/>
      <c r="O27" s="44">
        <f t="shared" si="3"/>
        <v>0.32988570810810813</v>
      </c>
      <c r="P27" s="55">
        <f t="shared" si="7"/>
        <v>0.032988570810810816</v>
      </c>
      <c r="Q27" s="63">
        <f t="shared" si="4"/>
        <v>0.32988570810810813</v>
      </c>
      <c r="R27" s="55">
        <f t="shared" si="7"/>
        <v>0.032988570810810816</v>
      </c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R27" s="57"/>
      <c r="AT27" s="27">
        <v>45.1</v>
      </c>
      <c r="AV27" s="27">
        <v>36.2</v>
      </c>
    </row>
    <row r="28" spans="2:48" ht="12.75">
      <c r="B28" s="26" t="s">
        <v>70</v>
      </c>
      <c r="C28" s="57">
        <v>0.1</v>
      </c>
      <c r="D28" s="57"/>
      <c r="E28" s="55"/>
      <c r="F28" s="55">
        <f t="shared" si="5"/>
      </c>
      <c r="G28" s="55">
        <f t="shared" si="0"/>
      </c>
      <c r="H28" s="55">
        <f t="shared" si="5"/>
      </c>
      <c r="I28" s="55"/>
      <c r="J28" s="44">
        <f t="shared" si="1"/>
        <v>0.22977232584269666</v>
      </c>
      <c r="K28" s="55">
        <f t="shared" si="6"/>
        <v>0.022977232584269668</v>
      </c>
      <c r="L28" s="63">
        <f t="shared" si="2"/>
        <v>0.22977232584269666</v>
      </c>
      <c r="M28" s="55">
        <f t="shared" si="6"/>
        <v>0.022977232584269668</v>
      </c>
      <c r="N28" s="55"/>
      <c r="O28" s="44">
        <f t="shared" si="3"/>
        <v>0.18043472432432434</v>
      </c>
      <c r="P28" s="55">
        <f t="shared" si="7"/>
        <v>0.018043472432432435</v>
      </c>
      <c r="Q28" s="63">
        <f t="shared" si="4"/>
        <v>0.18043472432432434</v>
      </c>
      <c r="R28" s="55">
        <f t="shared" si="7"/>
        <v>0.018043472432432435</v>
      </c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R28" s="57"/>
      <c r="AT28" s="27">
        <v>25.3</v>
      </c>
      <c r="AV28" s="27">
        <v>19.8</v>
      </c>
    </row>
    <row r="29" spans="2:48" ht="12.75">
      <c r="B29" s="26" t="s">
        <v>71</v>
      </c>
      <c r="C29" s="57">
        <v>0.1</v>
      </c>
      <c r="D29" s="57"/>
      <c r="E29" s="55"/>
      <c r="F29" s="55">
        <f t="shared" si="5"/>
      </c>
      <c r="G29" s="55">
        <f t="shared" si="0"/>
      </c>
      <c r="H29" s="55">
        <f t="shared" si="5"/>
      </c>
      <c r="I29" s="55"/>
      <c r="J29" s="44">
        <f t="shared" si="1"/>
        <v>0.11988121348314609</v>
      </c>
      <c r="K29" s="55">
        <f aca="true" t="shared" si="8" ref="K29:M35">IF(J29="","",J29*$C29)</f>
        <v>0.01198812134831461</v>
      </c>
      <c r="L29" s="63">
        <f t="shared" si="2"/>
        <v>0.11988121348314609</v>
      </c>
      <c r="M29" s="55">
        <f t="shared" si="8"/>
        <v>0.01198812134831461</v>
      </c>
      <c r="N29" s="55"/>
      <c r="O29" s="44">
        <f t="shared" si="3"/>
        <v>0.09841894054054057</v>
      </c>
      <c r="P29" s="55">
        <f aca="true" t="shared" si="9" ref="P29:R35">IF(O29="","",O29*$C29)</f>
        <v>0.009841894054054057</v>
      </c>
      <c r="Q29" s="63">
        <f t="shared" si="4"/>
        <v>0.09841894054054057</v>
      </c>
      <c r="R29" s="55">
        <f t="shared" si="9"/>
        <v>0.009841894054054057</v>
      </c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R29" s="57"/>
      <c r="AT29" s="27">
        <v>13.2</v>
      </c>
      <c r="AV29" s="27">
        <v>10.8</v>
      </c>
    </row>
    <row r="30" spans="2:48" ht="12.75">
      <c r="B30" s="26" t="s">
        <v>72</v>
      </c>
      <c r="C30" s="57">
        <v>0.1</v>
      </c>
      <c r="D30" s="57"/>
      <c r="E30" s="55"/>
      <c r="F30" s="55">
        <f t="shared" si="5"/>
      </c>
      <c r="G30" s="55">
        <f t="shared" si="0"/>
      </c>
      <c r="H30" s="55">
        <f t="shared" si="5"/>
      </c>
      <c r="I30" s="55"/>
      <c r="J30" s="44">
        <f t="shared" si="1"/>
        <v>0.04540955056179776</v>
      </c>
      <c r="K30" s="55">
        <f t="shared" si="8"/>
        <v>0.004540955056179776</v>
      </c>
      <c r="L30" s="63">
        <f t="shared" si="2"/>
        <v>0.04540955056179776</v>
      </c>
      <c r="M30" s="55">
        <f t="shared" si="8"/>
        <v>0.004540955056179776</v>
      </c>
      <c r="N30" s="55"/>
      <c r="O30" s="44">
        <f t="shared" si="3"/>
        <v>0.0410078918918919</v>
      </c>
      <c r="P30" s="55">
        <f t="shared" si="9"/>
        <v>0.00410078918918919</v>
      </c>
      <c r="Q30" s="63">
        <f t="shared" si="4"/>
        <v>0.0410078918918919</v>
      </c>
      <c r="R30" s="55">
        <f t="shared" si="9"/>
        <v>0.00410078918918919</v>
      </c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R30" s="57"/>
      <c r="AT30" s="27">
        <v>5</v>
      </c>
      <c r="AV30" s="27">
        <v>4.5</v>
      </c>
    </row>
    <row r="31" spans="2:48" ht="12.75">
      <c r="B31" s="26" t="s">
        <v>73</v>
      </c>
      <c r="C31" s="57">
        <v>0</v>
      </c>
      <c r="D31" s="57"/>
      <c r="E31" s="55"/>
      <c r="F31" s="55">
        <f t="shared" si="5"/>
      </c>
      <c r="G31" s="55">
        <f t="shared" si="0"/>
      </c>
      <c r="H31" s="55">
        <f t="shared" si="5"/>
      </c>
      <c r="I31" s="55"/>
      <c r="J31" s="44">
        <f t="shared" si="1"/>
        <v>2.0924720898876408</v>
      </c>
      <c r="K31" s="64">
        <f t="shared" si="8"/>
        <v>0</v>
      </c>
      <c r="L31" s="63">
        <f t="shared" si="2"/>
        <v>2.0924720898876408</v>
      </c>
      <c r="M31" s="64">
        <f t="shared" si="8"/>
        <v>0</v>
      </c>
      <c r="N31" s="55"/>
      <c r="O31" s="44">
        <f t="shared" si="3"/>
        <v>1.8471777081081084</v>
      </c>
      <c r="P31" s="64">
        <f t="shared" si="9"/>
        <v>0</v>
      </c>
      <c r="Q31" s="63">
        <f t="shared" si="4"/>
        <v>1.8471777081081084</v>
      </c>
      <c r="R31" s="64">
        <f t="shared" si="9"/>
        <v>0</v>
      </c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R31" s="57"/>
      <c r="AT31" s="27">
        <f>319-SUM(AT27:AT30)</f>
        <v>230.39999999999998</v>
      </c>
      <c r="AV31" s="27">
        <f>274-SUM(AV27:AV30)</f>
        <v>202.7</v>
      </c>
    </row>
    <row r="32" spans="2:48" ht="12.75">
      <c r="B32" s="26" t="s">
        <v>74</v>
      </c>
      <c r="C32" s="57">
        <v>0.01</v>
      </c>
      <c r="D32" s="57"/>
      <c r="E32" s="55"/>
      <c r="F32" s="55">
        <f t="shared" si="5"/>
      </c>
      <c r="G32" s="55">
        <f t="shared" si="0"/>
      </c>
      <c r="H32" s="55">
        <f t="shared" si="5"/>
      </c>
      <c r="I32" s="55"/>
      <c r="J32" s="44">
        <f t="shared" si="1"/>
        <v>0.5594456629213485</v>
      </c>
      <c r="K32" s="55">
        <f t="shared" si="8"/>
        <v>0.0055944566292134845</v>
      </c>
      <c r="L32" s="63">
        <f t="shared" si="2"/>
        <v>0.5594456629213485</v>
      </c>
      <c r="M32" s="55">
        <f t="shared" si="8"/>
        <v>0.0055944566292134845</v>
      </c>
      <c r="N32" s="55"/>
      <c r="O32" s="44">
        <f t="shared" si="3"/>
        <v>0.45017552432432434</v>
      </c>
      <c r="P32" s="55">
        <f t="shared" si="9"/>
        <v>0.004501755243243244</v>
      </c>
      <c r="Q32" s="63">
        <f t="shared" si="4"/>
        <v>0.45017552432432434</v>
      </c>
      <c r="R32" s="55">
        <f t="shared" si="9"/>
        <v>0.004501755243243244</v>
      </c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R32" s="57"/>
      <c r="AT32" s="27">
        <v>61.6</v>
      </c>
      <c r="AV32" s="27">
        <v>49.4</v>
      </c>
    </row>
    <row r="33" spans="2:48" ht="12.75">
      <c r="B33" s="26" t="s">
        <v>75</v>
      </c>
      <c r="C33" s="57">
        <v>0.01</v>
      </c>
      <c r="D33" s="57"/>
      <c r="E33" s="55"/>
      <c r="F33" s="55">
        <f t="shared" si="5"/>
      </c>
      <c r="G33" s="55">
        <f t="shared" si="0"/>
      </c>
      <c r="H33" s="55">
        <f t="shared" si="5"/>
      </c>
      <c r="I33" s="55"/>
      <c r="J33" s="44">
        <f t="shared" si="1"/>
        <v>0.05630784269662922</v>
      </c>
      <c r="K33" s="55">
        <f t="shared" si="8"/>
        <v>0.0005630784269662922</v>
      </c>
      <c r="L33" s="63">
        <f t="shared" si="2"/>
        <v>0.05630784269662922</v>
      </c>
      <c r="M33" s="55">
        <f t="shared" si="8"/>
        <v>0.0005630784269662922</v>
      </c>
      <c r="N33" s="55"/>
      <c r="O33" s="44">
        <f t="shared" si="3"/>
        <v>0.04191917837837838</v>
      </c>
      <c r="P33" s="55">
        <f t="shared" si="9"/>
        <v>0.00041919178378378377</v>
      </c>
      <c r="Q33" s="63">
        <f t="shared" si="4"/>
        <v>0.04191917837837838</v>
      </c>
      <c r="R33" s="55">
        <f t="shared" si="9"/>
        <v>0.00041919178378378377</v>
      </c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R33" s="57"/>
      <c r="AT33" s="27">
        <v>6.2</v>
      </c>
      <c r="AV33" s="27">
        <v>4.6</v>
      </c>
    </row>
    <row r="34" spans="2:48" ht="12.75">
      <c r="B34" s="26" t="s">
        <v>76</v>
      </c>
      <c r="C34" s="57">
        <v>0</v>
      </c>
      <c r="D34" s="57"/>
      <c r="E34" s="55"/>
      <c r="F34" s="55">
        <f t="shared" si="5"/>
      </c>
      <c r="G34" s="55">
        <f t="shared" si="0"/>
      </c>
      <c r="H34" s="55">
        <f t="shared" si="5"/>
      </c>
      <c r="I34" s="55"/>
      <c r="J34" s="44">
        <f t="shared" si="1"/>
        <v>0.2243231797752809</v>
      </c>
      <c r="K34" s="55">
        <f t="shared" si="8"/>
        <v>0</v>
      </c>
      <c r="L34" s="63">
        <f t="shared" si="2"/>
        <v>0.2243231797752809</v>
      </c>
      <c r="M34" s="55">
        <f t="shared" si="8"/>
        <v>0</v>
      </c>
      <c r="N34" s="55"/>
      <c r="O34" s="44">
        <f t="shared" si="3"/>
        <v>0.1685880000000001</v>
      </c>
      <c r="P34" s="64">
        <f t="shared" si="9"/>
        <v>0</v>
      </c>
      <c r="Q34" s="63">
        <f t="shared" si="4"/>
        <v>0.1685880000000001</v>
      </c>
      <c r="R34" s="64">
        <f t="shared" si="9"/>
        <v>0</v>
      </c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R34" s="57"/>
      <c r="AT34" s="27">
        <f>92.5-AT32-AT33</f>
        <v>24.7</v>
      </c>
      <c r="AV34" s="27">
        <f>72.5-AV33-AV32</f>
        <v>18.500000000000007</v>
      </c>
    </row>
    <row r="35" spans="2:48" ht="12.75">
      <c r="B35" s="26" t="s">
        <v>77</v>
      </c>
      <c r="C35" s="57">
        <v>0.001</v>
      </c>
      <c r="D35" s="57"/>
      <c r="E35" s="55"/>
      <c r="F35" s="55">
        <f t="shared" si="5"/>
      </c>
      <c r="G35" s="55">
        <f t="shared" si="0"/>
      </c>
      <c r="H35" s="55">
        <f t="shared" si="5"/>
      </c>
      <c r="I35" s="55"/>
      <c r="J35" s="44">
        <f t="shared" si="1"/>
        <v>0.3696337415730338</v>
      </c>
      <c r="K35" s="55">
        <f t="shared" si="8"/>
        <v>0.0003696337415730338</v>
      </c>
      <c r="L35" s="63">
        <f t="shared" si="2"/>
        <v>0.3696337415730338</v>
      </c>
      <c r="M35" s="55">
        <f t="shared" si="8"/>
        <v>0.0003696337415730338</v>
      </c>
      <c r="N35" s="55"/>
      <c r="O35" s="44">
        <f t="shared" si="3"/>
        <v>0.2797649513513514</v>
      </c>
      <c r="P35" s="55">
        <f t="shared" si="9"/>
        <v>0.0002797649513513514</v>
      </c>
      <c r="Q35" s="63">
        <f t="shared" si="4"/>
        <v>0.2797649513513514</v>
      </c>
      <c r="R35" s="55">
        <f t="shared" si="9"/>
        <v>0.0002797649513513514</v>
      </c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R35" s="57"/>
      <c r="AT35" s="27">
        <v>40.7</v>
      </c>
      <c r="AV35" s="27">
        <v>30.7</v>
      </c>
    </row>
    <row r="36" spans="2:48" ht="12.75">
      <c r="B36" s="26"/>
      <c r="C36" s="57"/>
      <c r="D36" s="57"/>
      <c r="E36" s="55"/>
      <c r="F36" s="55"/>
      <c r="G36" s="55"/>
      <c r="H36" s="55"/>
      <c r="I36" s="55"/>
      <c r="J36" s="44"/>
      <c r="K36" s="55"/>
      <c r="L36" s="55"/>
      <c r="M36" s="55"/>
      <c r="N36" s="55"/>
      <c r="O36" s="39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R36" s="57"/>
      <c r="AT36" s="55"/>
      <c r="AV36" s="55"/>
    </row>
    <row r="37" spans="2:48" ht="12.75">
      <c r="B37" s="26" t="s">
        <v>91</v>
      </c>
      <c r="C37" s="26"/>
      <c r="D37" s="26"/>
      <c r="E37" s="28"/>
      <c r="F37" s="55"/>
      <c r="G37" s="28"/>
      <c r="H37" s="55"/>
      <c r="I37" s="28"/>
      <c r="J37" s="28"/>
      <c r="K37" s="64">
        <v>1068</v>
      </c>
      <c r="L37" s="28"/>
      <c r="M37" s="64">
        <v>1068</v>
      </c>
      <c r="N37" s="28"/>
      <c r="O37" s="28"/>
      <c r="P37" s="27">
        <v>1110</v>
      </c>
      <c r="Q37" s="27"/>
      <c r="R37" s="27">
        <v>1110</v>
      </c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R37" s="26"/>
      <c r="AT37" s="28"/>
      <c r="AV37" s="28"/>
    </row>
    <row r="38" spans="2:48" ht="12.75">
      <c r="B38" s="26" t="s">
        <v>78</v>
      </c>
      <c r="C38" s="26"/>
      <c r="D38" s="26"/>
      <c r="E38" s="28"/>
      <c r="F38" s="28"/>
      <c r="G38" s="28"/>
      <c r="H38" s="28"/>
      <c r="I38" s="28"/>
      <c r="J38" s="28"/>
      <c r="K38" s="27">
        <v>128.3</v>
      </c>
      <c r="L38" s="27">
        <v>128.3</v>
      </c>
      <c r="M38" s="27">
        <v>128.3</v>
      </c>
      <c r="N38" s="28"/>
      <c r="O38" s="28"/>
      <c r="P38" s="27">
        <v>133.8</v>
      </c>
      <c r="Q38" s="27">
        <v>133.8</v>
      </c>
      <c r="R38" s="27">
        <v>133.8</v>
      </c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R38" s="26"/>
      <c r="AT38" s="28"/>
      <c r="AV38" s="28"/>
    </row>
    <row r="39" spans="2:48" ht="12.75">
      <c r="B39" s="26" t="s">
        <v>79</v>
      </c>
      <c r="C39" s="26"/>
      <c r="D39" s="26"/>
      <c r="E39" s="28"/>
      <c r="F39" s="28"/>
      <c r="G39" s="28"/>
      <c r="H39" s="28"/>
      <c r="I39" s="28"/>
      <c r="J39" s="28"/>
      <c r="K39" s="27">
        <v>3.8</v>
      </c>
      <c r="L39" s="27">
        <v>3.8</v>
      </c>
      <c r="M39" s="27">
        <v>3.8</v>
      </c>
      <c r="N39" s="28"/>
      <c r="O39" s="28"/>
      <c r="P39" s="27">
        <v>3.7</v>
      </c>
      <c r="Q39" s="27">
        <v>3.7</v>
      </c>
      <c r="R39" s="27">
        <v>3.7</v>
      </c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R39" s="26"/>
      <c r="AT39" s="28"/>
      <c r="AV39" s="28"/>
    </row>
    <row r="40" spans="2:48" ht="12.75">
      <c r="B40" s="26"/>
      <c r="C40" s="26"/>
      <c r="D40" s="26"/>
      <c r="E40" s="28"/>
      <c r="F40" s="39"/>
      <c r="G40" s="28"/>
      <c r="H40" s="39"/>
      <c r="I40" s="39"/>
      <c r="J40" s="28"/>
      <c r="K40" s="39"/>
      <c r="L40" s="28"/>
      <c r="M40" s="39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R40" s="26"/>
      <c r="AT40" s="39"/>
      <c r="AV40" s="28"/>
    </row>
    <row r="41" spans="2:48" ht="13.5" customHeight="1">
      <c r="B41" s="26" t="s">
        <v>80</v>
      </c>
      <c r="C41" s="55"/>
      <c r="D41" s="55"/>
      <c r="E41" s="55"/>
      <c r="F41" s="55"/>
      <c r="G41" s="55"/>
      <c r="H41" s="55"/>
      <c r="I41" s="55"/>
      <c r="J41" s="55"/>
      <c r="K41" s="55">
        <f>SUM(K11:K35)</f>
        <v>0.31569446103370796</v>
      </c>
      <c r="L41" s="27">
        <f>SUM(L11:L35)</f>
        <v>19.85396369662921</v>
      </c>
      <c r="M41" s="55">
        <f>SUM(M11:M35)</f>
        <v>0.31569446103370796</v>
      </c>
      <c r="N41" s="55"/>
      <c r="O41" s="55"/>
      <c r="P41" s="55">
        <f>SUM(P11:P35)</f>
        <v>0.263236948345946</v>
      </c>
      <c r="Q41" s="27">
        <f>SUM(Q36,Q35,31,Q27,Q24,Q22,Q21,Q19,Q15,Q13)</f>
        <v>32.15642255135135</v>
      </c>
      <c r="R41" s="55">
        <f>SUM(R11:R35)</f>
        <v>0.263236948345946</v>
      </c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R41" s="55"/>
      <c r="AT41" s="55"/>
      <c r="AV41" s="55"/>
    </row>
    <row r="42" spans="2:44" ht="12.75">
      <c r="B42" s="26" t="s">
        <v>81</v>
      </c>
      <c r="C42" s="55"/>
      <c r="D42" s="55"/>
      <c r="E42" s="55"/>
      <c r="F42" s="55"/>
      <c r="G42" s="55"/>
      <c r="H42" s="55"/>
      <c r="I42" s="27">
        <f>(K42-M42)*2/K42*100</f>
        <v>0</v>
      </c>
      <c r="J42" s="55"/>
      <c r="K42" s="55">
        <f>K41/K38/0.0283*(21-7)/(21-K39)</f>
        <v>0.0707706947382417</v>
      </c>
      <c r="L42" s="63">
        <f>(L41/L38/0.0283*(21-7)/(21-L39))</f>
        <v>4.450755326898981</v>
      </c>
      <c r="M42" s="55">
        <f>M41/M38/0.0283*(21-7)/(21-M39)</f>
        <v>0.0707706947382417</v>
      </c>
      <c r="N42" s="27">
        <f>(P42-R42)*2/P42*100</f>
        <v>0</v>
      </c>
      <c r="O42" s="55"/>
      <c r="P42" s="55">
        <f>P41/P38/0.0283*(21-7)/(21-P39)</f>
        <v>0.056258251609316794</v>
      </c>
      <c r="Q42" s="28">
        <f>(Q41/Q38/0.0283*(21-7)/(21-Q39))</f>
        <v>6.872379132628298</v>
      </c>
      <c r="R42" s="55">
        <f>R41/R38/0.0283*(21-7)/(21-R39)</f>
        <v>0.056258251609316794</v>
      </c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R42" s="55"/>
    </row>
    <row r="43" spans="2:48" ht="12.75">
      <c r="B43" s="26"/>
      <c r="C43" s="55"/>
      <c r="D43" s="55"/>
      <c r="E43" s="55"/>
      <c r="F43" s="55"/>
      <c r="G43" s="55"/>
      <c r="H43" s="55"/>
      <c r="I43" s="55"/>
      <c r="J43" s="55"/>
      <c r="K43" s="55"/>
      <c r="L43" s="28"/>
      <c r="M43" s="55"/>
      <c r="N43" s="55"/>
      <c r="O43" s="55"/>
      <c r="P43" s="55"/>
      <c r="Q43" s="28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R43" s="55"/>
      <c r="AT43" s="55"/>
      <c r="AV43" s="55"/>
    </row>
    <row r="44" spans="2:48" ht="12.75">
      <c r="B44" s="26" t="s">
        <v>125</v>
      </c>
      <c r="C44" s="28">
        <f>AVERAGE(M42,R42)</f>
        <v>0.06351447317377924</v>
      </c>
      <c r="D44" s="55"/>
      <c r="E44" s="55"/>
      <c r="F44" s="55"/>
      <c r="G44" s="55"/>
      <c r="H44" s="55"/>
      <c r="I44" s="55"/>
      <c r="J44" s="55"/>
      <c r="K44" s="55"/>
      <c r="L44" s="28"/>
      <c r="M44" s="55"/>
      <c r="N44" s="55"/>
      <c r="O44" s="55"/>
      <c r="P44" s="55"/>
      <c r="Q44" s="28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R44" s="55"/>
      <c r="AT44" s="55"/>
      <c r="AV44" s="55"/>
    </row>
    <row r="45" spans="2:48" ht="12.75">
      <c r="B45" s="26" t="s">
        <v>126</v>
      </c>
      <c r="C45" s="28">
        <f>AVERAGE(L42,Q42)</f>
        <v>5.661567229763639</v>
      </c>
      <c r="D45" s="55"/>
      <c r="E45" s="55"/>
      <c r="F45" s="55"/>
      <c r="G45" s="55"/>
      <c r="H45" s="55"/>
      <c r="I45" s="55"/>
      <c r="J45" s="55"/>
      <c r="K45" s="55"/>
      <c r="L45" s="28"/>
      <c r="M45" s="55"/>
      <c r="N45" s="55"/>
      <c r="O45" s="55"/>
      <c r="P45" s="55"/>
      <c r="Q45" s="28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R45" s="55"/>
      <c r="AT45" s="55"/>
      <c r="AV45" s="55"/>
    </row>
    <row r="46" spans="2:48" ht="12.75">
      <c r="B46" s="25"/>
      <c r="C46" s="26"/>
      <c r="D46" s="26"/>
      <c r="E46" s="63"/>
      <c r="F46" s="55"/>
      <c r="G46" s="63"/>
      <c r="H46" s="55"/>
      <c r="I46" s="63"/>
      <c r="J46" s="63"/>
      <c r="K46" s="63"/>
      <c r="L46" s="63"/>
      <c r="M46" s="63"/>
      <c r="N46" s="63"/>
      <c r="O46" s="63"/>
      <c r="P46" s="56"/>
      <c r="Q46" s="63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R46" s="26"/>
      <c r="AT46" s="63"/>
      <c r="AV46" s="63"/>
    </row>
    <row r="47" spans="2:48" ht="12.75">
      <c r="B47" s="26"/>
      <c r="C47" s="26"/>
      <c r="D47" s="26"/>
      <c r="E47" s="63"/>
      <c r="F47" s="55"/>
      <c r="G47" s="63"/>
      <c r="H47" s="55"/>
      <c r="I47" s="63"/>
      <c r="J47" s="63"/>
      <c r="K47" s="63"/>
      <c r="L47" s="63"/>
      <c r="M47" s="63"/>
      <c r="N47" s="63"/>
      <c r="O47" s="63"/>
      <c r="P47" s="56"/>
      <c r="Q47" s="63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R47" s="26"/>
      <c r="AT47" s="63"/>
      <c r="AV47" s="63"/>
    </row>
    <row r="48" spans="2:48" ht="12.75">
      <c r="B48" s="26"/>
      <c r="C48" s="26"/>
      <c r="D48" s="26"/>
      <c r="E48" s="26"/>
      <c r="F48" s="55"/>
      <c r="G48" s="26"/>
      <c r="H48" s="55"/>
      <c r="I48" s="26"/>
      <c r="J48" s="63"/>
      <c r="K48" s="63"/>
      <c r="L48" s="63"/>
      <c r="M48" s="63"/>
      <c r="N48" s="63"/>
      <c r="O48" s="63"/>
      <c r="P48" s="56"/>
      <c r="Q48" s="63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R48" s="26"/>
      <c r="AT48" s="55"/>
      <c r="AV48" s="63"/>
    </row>
    <row r="49" spans="2:48" ht="12.75">
      <c r="B49" s="26"/>
      <c r="C49" s="26"/>
      <c r="D49" s="57"/>
      <c r="E49" s="26"/>
      <c r="F49" s="58"/>
      <c r="G49" s="26"/>
      <c r="H49" s="58"/>
      <c r="I49" s="26"/>
      <c r="J49" s="63"/>
      <c r="K49" s="63"/>
      <c r="L49" s="63"/>
      <c r="M49" s="63"/>
      <c r="N49" s="63"/>
      <c r="O49" s="63"/>
      <c r="P49" s="56"/>
      <c r="Q49" s="63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R49" s="57"/>
      <c r="AT49" s="58"/>
      <c r="AV49" s="63"/>
    </row>
    <row r="50" spans="2:48" ht="12.75">
      <c r="B50" s="26"/>
      <c r="C50" s="26"/>
      <c r="D50" s="57"/>
      <c r="E50" s="26"/>
      <c r="F50" s="55"/>
      <c r="G50" s="26"/>
      <c r="H50" s="55"/>
      <c r="I50" s="26"/>
      <c r="J50" s="63"/>
      <c r="K50" s="63"/>
      <c r="L50" s="63"/>
      <c r="M50" s="63"/>
      <c r="N50" s="63"/>
      <c r="O50" s="63"/>
      <c r="P50" s="56"/>
      <c r="Q50" s="63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R50" s="57"/>
      <c r="AT50" s="55"/>
      <c r="AV50" s="63"/>
    </row>
    <row r="51" spans="2:48" s="4" customFormat="1" ht="12.75">
      <c r="B51" s="28"/>
      <c r="C51" s="28"/>
      <c r="D51" s="28"/>
      <c r="E51" s="28"/>
      <c r="F51" s="55"/>
      <c r="G51" s="28"/>
      <c r="H51" s="55"/>
      <c r="I51" s="28"/>
      <c r="J51" s="28"/>
      <c r="K51" s="28"/>
      <c r="L51" s="28"/>
      <c r="M51" s="28"/>
      <c r="N51" s="28"/>
      <c r="O51" s="28"/>
      <c r="P51" s="56"/>
      <c r="Q51" s="28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2"/>
      <c r="AR51" s="28"/>
      <c r="AS51" s="2"/>
      <c r="AT51" s="28"/>
      <c r="AU51" s="2"/>
      <c r="AV51" s="28"/>
    </row>
    <row r="52" spans="2:48" ht="12.75">
      <c r="B52" s="26"/>
      <c r="C52" s="57"/>
      <c r="D52" s="57"/>
      <c r="E52" s="61"/>
      <c r="F52" s="61"/>
      <c r="G52" s="61"/>
      <c r="H52" s="61"/>
      <c r="I52" s="62"/>
      <c r="J52" s="61"/>
      <c r="K52" s="61"/>
      <c r="L52" s="61"/>
      <c r="M52" s="61"/>
      <c r="N52" s="62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R52" s="57"/>
      <c r="AT52" s="62"/>
      <c r="AV52" s="62"/>
    </row>
    <row r="53" spans="2:48" ht="12.75">
      <c r="B53" s="26"/>
      <c r="C53" s="57"/>
      <c r="D53" s="26"/>
      <c r="E53" s="60"/>
      <c r="F53" s="58"/>
      <c r="G53" s="60"/>
      <c r="H53" s="58"/>
      <c r="I53" s="56"/>
      <c r="J53" s="60"/>
      <c r="K53" s="60"/>
      <c r="L53" s="60"/>
      <c r="M53" s="60"/>
      <c r="N53" s="56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R53" s="56"/>
      <c r="AT53" s="56"/>
      <c r="AV53" s="56"/>
    </row>
    <row r="54" spans="2:48" ht="12.75">
      <c r="B54" s="26"/>
      <c r="C54" s="57"/>
      <c r="D54" s="26"/>
      <c r="E54" s="60"/>
      <c r="F54" s="55"/>
      <c r="G54" s="60"/>
      <c r="H54" s="55"/>
      <c r="I54" s="56"/>
      <c r="J54" s="60"/>
      <c r="K54" s="55"/>
      <c r="L54" s="60"/>
      <c r="M54" s="55"/>
      <c r="N54" s="56"/>
      <c r="O54" s="60"/>
      <c r="P54" s="55"/>
      <c r="Q54" s="60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R54" s="56"/>
      <c r="AT54" s="56"/>
      <c r="AV54" s="56"/>
    </row>
    <row r="55" spans="2:48" ht="12.75">
      <c r="B55" s="26"/>
      <c r="C55" s="26"/>
      <c r="D55" s="26"/>
      <c r="E55" s="56"/>
      <c r="F55" s="55"/>
      <c r="G55" s="56"/>
      <c r="H55" s="55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R55" s="26"/>
      <c r="AT55" s="56"/>
      <c r="AV55" s="56"/>
    </row>
    <row r="56" spans="2:48" ht="12.75">
      <c r="B56" s="26"/>
      <c r="C56" s="57"/>
      <c r="D56" s="57"/>
      <c r="E56" s="39"/>
      <c r="F56" s="55"/>
      <c r="G56" s="55"/>
      <c r="H56" s="55"/>
      <c r="I56" s="55"/>
      <c r="J56" s="51"/>
      <c r="K56" s="55"/>
      <c r="L56" s="63"/>
      <c r="M56" s="55"/>
      <c r="N56" s="55"/>
      <c r="O56" s="44"/>
      <c r="P56" s="55"/>
      <c r="Q56" s="63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R56" s="65"/>
      <c r="AT56" s="27"/>
      <c r="AV56" s="27"/>
    </row>
    <row r="57" spans="2:48" ht="12.75">
      <c r="B57" s="26"/>
      <c r="C57" s="57"/>
      <c r="D57" s="57"/>
      <c r="E57" s="39"/>
      <c r="F57" s="64"/>
      <c r="G57" s="55"/>
      <c r="H57" s="64"/>
      <c r="I57" s="55"/>
      <c r="J57" s="51"/>
      <c r="K57" s="64"/>
      <c r="L57" s="63"/>
      <c r="M57" s="64"/>
      <c r="N57" s="55"/>
      <c r="O57" s="44"/>
      <c r="P57" s="64"/>
      <c r="Q57" s="63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R57" s="65"/>
      <c r="AT57" s="27"/>
      <c r="AV57" s="27"/>
    </row>
    <row r="58" spans="2:48" ht="12.75">
      <c r="B58" s="26"/>
      <c r="C58" s="57"/>
      <c r="D58" s="57"/>
      <c r="E58" s="39"/>
      <c r="F58" s="55"/>
      <c r="G58" s="55"/>
      <c r="H58" s="55"/>
      <c r="I58" s="55"/>
      <c r="J58" s="51"/>
      <c r="K58" s="55"/>
      <c r="L58" s="63"/>
      <c r="M58" s="55"/>
      <c r="N58" s="55"/>
      <c r="O58" s="44"/>
      <c r="P58" s="55"/>
      <c r="Q58" s="63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R58" s="65"/>
      <c r="AT58" s="27"/>
      <c r="AV58" s="27"/>
    </row>
    <row r="59" spans="2:48" ht="12.75">
      <c r="B59" s="26"/>
      <c r="C59" s="57"/>
      <c r="D59" s="57"/>
      <c r="E59" s="39"/>
      <c r="F59" s="64"/>
      <c r="G59" s="55"/>
      <c r="H59" s="64"/>
      <c r="I59" s="55"/>
      <c r="J59" s="51"/>
      <c r="K59" s="64"/>
      <c r="L59" s="63"/>
      <c r="M59" s="64"/>
      <c r="N59" s="55"/>
      <c r="O59" s="44"/>
      <c r="P59" s="64"/>
      <c r="Q59" s="63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R59" s="65"/>
      <c r="AT59" s="27"/>
      <c r="AV59" s="27"/>
    </row>
    <row r="60" spans="2:48" ht="12.75">
      <c r="B60" s="26"/>
      <c r="C60" s="57"/>
      <c r="D60" s="57"/>
      <c r="E60" s="39"/>
      <c r="F60" s="55"/>
      <c r="G60" s="55"/>
      <c r="H60" s="55"/>
      <c r="I60" s="55"/>
      <c r="J60" s="51"/>
      <c r="K60" s="55"/>
      <c r="L60" s="63"/>
      <c r="M60" s="55"/>
      <c r="N60" s="55"/>
      <c r="O60" s="44"/>
      <c r="P60" s="55"/>
      <c r="Q60" s="63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R60" s="65"/>
      <c r="AT60" s="27"/>
      <c r="AV60" s="27"/>
    </row>
    <row r="61" spans="2:48" ht="12.75">
      <c r="B61" s="26"/>
      <c r="C61" s="57"/>
      <c r="D61" s="57"/>
      <c r="E61" s="39"/>
      <c r="F61" s="55"/>
      <c r="G61" s="55"/>
      <c r="H61" s="55"/>
      <c r="I61" s="55"/>
      <c r="J61" s="51"/>
      <c r="K61" s="55"/>
      <c r="L61" s="63"/>
      <c r="M61" s="55"/>
      <c r="N61" s="55"/>
      <c r="O61" s="44"/>
      <c r="P61" s="55"/>
      <c r="Q61" s="63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R61" s="65"/>
      <c r="AT61" s="27"/>
      <c r="AV61" s="27"/>
    </row>
    <row r="62" spans="2:48" ht="12.75">
      <c r="B62" s="26"/>
      <c r="C62" s="57"/>
      <c r="D62" s="57"/>
      <c r="E62" s="39"/>
      <c r="F62" s="55"/>
      <c r="G62" s="55"/>
      <c r="H62" s="55"/>
      <c r="I62" s="55"/>
      <c r="J62" s="51"/>
      <c r="K62" s="55"/>
      <c r="L62" s="63"/>
      <c r="M62" s="55"/>
      <c r="N62" s="55"/>
      <c r="O62" s="44"/>
      <c r="P62" s="55"/>
      <c r="Q62" s="63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R62" s="65"/>
      <c r="AT62" s="27"/>
      <c r="AV62" s="27"/>
    </row>
    <row r="63" spans="2:48" ht="12.75">
      <c r="B63" s="26"/>
      <c r="C63" s="57"/>
      <c r="D63" s="57"/>
      <c r="E63" s="39"/>
      <c r="F63" s="64"/>
      <c r="G63" s="55"/>
      <c r="H63" s="64"/>
      <c r="I63" s="55"/>
      <c r="J63" s="51"/>
      <c r="K63" s="64"/>
      <c r="L63" s="63"/>
      <c r="M63" s="64"/>
      <c r="N63" s="55"/>
      <c r="O63" s="44"/>
      <c r="P63" s="64"/>
      <c r="Q63" s="63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R63" s="65"/>
      <c r="AT63" s="27"/>
      <c r="AV63" s="27"/>
    </row>
    <row r="64" spans="2:48" ht="12.75">
      <c r="B64" s="26"/>
      <c r="C64" s="57"/>
      <c r="D64" s="57"/>
      <c r="E64" s="39"/>
      <c r="F64" s="55"/>
      <c r="G64" s="55"/>
      <c r="H64" s="55"/>
      <c r="I64" s="55"/>
      <c r="J64" s="51"/>
      <c r="K64" s="55"/>
      <c r="L64" s="63"/>
      <c r="M64" s="55"/>
      <c r="N64" s="55"/>
      <c r="O64" s="44"/>
      <c r="P64" s="55"/>
      <c r="Q64" s="63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R64" s="65"/>
      <c r="AT64" s="27"/>
      <c r="AV64" s="27"/>
    </row>
    <row r="65" spans="2:48" ht="12.75">
      <c r="B65" s="26"/>
      <c r="C65" s="57"/>
      <c r="D65" s="57"/>
      <c r="E65" s="39"/>
      <c r="F65" s="64"/>
      <c r="G65" s="55"/>
      <c r="H65" s="64"/>
      <c r="I65" s="55"/>
      <c r="J65" s="51"/>
      <c r="K65" s="64"/>
      <c r="L65" s="63"/>
      <c r="M65" s="64"/>
      <c r="N65" s="55"/>
      <c r="O65" s="42"/>
      <c r="P65" s="67"/>
      <c r="Q65" s="68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R65" s="65"/>
      <c r="AT65" s="27"/>
      <c r="AV65" s="27"/>
    </row>
    <row r="66" spans="2:48" ht="12.75">
      <c r="B66" s="26"/>
      <c r="C66" s="57"/>
      <c r="D66" s="57"/>
      <c r="E66" s="39"/>
      <c r="F66" s="64"/>
      <c r="G66" s="55"/>
      <c r="H66" s="64"/>
      <c r="I66" s="55"/>
      <c r="J66" s="44"/>
      <c r="K66" s="64"/>
      <c r="L66" s="63"/>
      <c r="M66" s="64"/>
      <c r="N66" s="55"/>
      <c r="O66" s="44"/>
      <c r="P66" s="64"/>
      <c r="Q66" s="63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R66" s="65"/>
      <c r="AT66" s="27"/>
      <c r="AV66" s="27"/>
    </row>
    <row r="67" spans="2:48" ht="12.75">
      <c r="B67" s="26"/>
      <c r="C67" s="57"/>
      <c r="D67" s="57"/>
      <c r="E67" s="39"/>
      <c r="F67" s="55"/>
      <c r="G67" s="55"/>
      <c r="H67" s="55"/>
      <c r="I67" s="55"/>
      <c r="J67" s="51"/>
      <c r="K67" s="55"/>
      <c r="L67" s="63"/>
      <c r="M67" s="55"/>
      <c r="N67" s="55"/>
      <c r="O67" s="44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R67" s="65"/>
      <c r="AT67" s="27"/>
      <c r="AV67" s="27"/>
    </row>
    <row r="68" spans="2:48" ht="12.75">
      <c r="B68" s="26"/>
      <c r="C68" s="57"/>
      <c r="D68" s="57"/>
      <c r="E68" s="39"/>
      <c r="F68" s="64"/>
      <c r="G68" s="55"/>
      <c r="H68" s="64"/>
      <c r="I68" s="55"/>
      <c r="J68" s="51"/>
      <c r="K68" s="64"/>
      <c r="L68" s="63"/>
      <c r="M68" s="64"/>
      <c r="N68" s="55"/>
      <c r="O68" s="44"/>
      <c r="P68" s="64"/>
      <c r="Q68" s="63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R68" s="65"/>
      <c r="AT68" s="27"/>
      <c r="AV68" s="27"/>
    </row>
    <row r="69" spans="2:48" ht="12.75">
      <c r="B69" s="26"/>
      <c r="C69" s="57"/>
      <c r="D69" s="57"/>
      <c r="E69" s="39"/>
      <c r="F69" s="55"/>
      <c r="G69" s="55"/>
      <c r="H69" s="55"/>
      <c r="I69" s="55"/>
      <c r="J69" s="51"/>
      <c r="K69" s="55"/>
      <c r="L69" s="63"/>
      <c r="M69" s="55"/>
      <c r="N69" s="55"/>
      <c r="O69" s="44"/>
      <c r="P69" s="55"/>
      <c r="Q69" s="63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R69" s="65"/>
      <c r="AT69" s="27"/>
      <c r="AV69" s="27"/>
    </row>
    <row r="70" spans="2:48" ht="12.75">
      <c r="B70" s="26"/>
      <c r="C70" s="57"/>
      <c r="D70" s="57"/>
      <c r="E70" s="39"/>
      <c r="F70" s="55"/>
      <c r="G70" s="55"/>
      <c r="H70" s="55"/>
      <c r="I70" s="55"/>
      <c r="J70" s="51"/>
      <c r="K70" s="55"/>
      <c r="L70" s="63"/>
      <c r="M70" s="55"/>
      <c r="N70" s="55"/>
      <c r="O70" s="44"/>
      <c r="P70" s="55"/>
      <c r="Q70" s="63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R70" s="65"/>
      <c r="AT70" s="27"/>
      <c r="AV70" s="27"/>
    </row>
    <row r="71" spans="2:48" ht="12.75">
      <c r="B71" s="26"/>
      <c r="C71" s="57"/>
      <c r="D71" s="57"/>
      <c r="E71" s="39"/>
      <c r="F71" s="64"/>
      <c r="G71" s="55"/>
      <c r="H71" s="64"/>
      <c r="I71" s="55"/>
      <c r="J71" s="51"/>
      <c r="K71" s="64"/>
      <c r="L71" s="63"/>
      <c r="M71" s="64"/>
      <c r="N71" s="55"/>
      <c r="O71" s="44"/>
      <c r="P71" s="64"/>
      <c r="Q71" s="63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R71" s="65"/>
      <c r="AT71" s="27"/>
      <c r="AV71" s="27"/>
    </row>
    <row r="72" spans="2:48" ht="12.75">
      <c r="B72" s="26"/>
      <c r="C72" s="57"/>
      <c r="D72" s="57"/>
      <c r="E72" s="39"/>
      <c r="F72" s="55"/>
      <c r="G72" s="55"/>
      <c r="H72" s="55"/>
      <c r="I72" s="55"/>
      <c r="J72" s="51"/>
      <c r="K72" s="55"/>
      <c r="L72" s="63"/>
      <c r="M72" s="55"/>
      <c r="N72" s="55"/>
      <c r="O72" s="44"/>
      <c r="P72" s="55"/>
      <c r="Q72" s="63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R72" s="65"/>
      <c r="AT72" s="27"/>
      <c r="AV72" s="27"/>
    </row>
    <row r="73" spans="2:48" ht="12.75">
      <c r="B73" s="26"/>
      <c r="C73" s="57"/>
      <c r="D73" s="57"/>
      <c r="E73" s="39"/>
      <c r="F73" s="55"/>
      <c r="G73" s="55"/>
      <c r="H73" s="55"/>
      <c r="I73" s="55"/>
      <c r="J73" s="51"/>
      <c r="K73" s="55"/>
      <c r="L73" s="63"/>
      <c r="M73" s="55"/>
      <c r="N73" s="55"/>
      <c r="O73" s="44"/>
      <c r="P73" s="55"/>
      <c r="Q73" s="63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R73" s="65"/>
      <c r="AT73" s="27"/>
      <c r="AV73" s="27"/>
    </row>
    <row r="74" spans="2:48" ht="12.75">
      <c r="B74" s="26"/>
      <c r="C74" s="57"/>
      <c r="D74" s="57"/>
      <c r="E74" s="39"/>
      <c r="F74" s="55"/>
      <c r="G74" s="55"/>
      <c r="H74" s="55"/>
      <c r="I74" s="55"/>
      <c r="J74" s="51"/>
      <c r="K74" s="55"/>
      <c r="L74" s="63"/>
      <c r="M74" s="55"/>
      <c r="N74" s="55"/>
      <c r="O74" s="44"/>
      <c r="P74" s="55"/>
      <c r="Q74" s="63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R74" s="65"/>
      <c r="AT74" s="27"/>
      <c r="AV74" s="27"/>
    </row>
    <row r="75" spans="2:48" ht="12.75">
      <c r="B75" s="26"/>
      <c r="C75" s="57"/>
      <c r="D75" s="57"/>
      <c r="E75" s="39"/>
      <c r="F75" s="55"/>
      <c r="G75" s="55"/>
      <c r="H75" s="55"/>
      <c r="I75" s="55"/>
      <c r="J75" s="51"/>
      <c r="K75" s="55"/>
      <c r="L75" s="63"/>
      <c r="M75" s="55"/>
      <c r="N75" s="55"/>
      <c r="O75" s="44"/>
      <c r="P75" s="55"/>
      <c r="Q75" s="63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R75" s="65"/>
      <c r="AT75" s="27"/>
      <c r="AV75" s="27"/>
    </row>
    <row r="76" spans="2:48" ht="12.75">
      <c r="B76" s="26"/>
      <c r="C76" s="57"/>
      <c r="D76" s="57"/>
      <c r="E76" s="39"/>
      <c r="F76" s="64"/>
      <c r="G76" s="55"/>
      <c r="H76" s="64"/>
      <c r="I76" s="55"/>
      <c r="J76" s="51"/>
      <c r="K76" s="27"/>
      <c r="L76" s="63"/>
      <c r="M76" s="27"/>
      <c r="N76" s="55"/>
      <c r="O76" s="44"/>
      <c r="P76" s="64"/>
      <c r="Q76" s="63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R76" s="65"/>
      <c r="AT76" s="27"/>
      <c r="AV76" s="27"/>
    </row>
    <row r="77" spans="2:48" ht="12.75">
      <c r="B77" s="26"/>
      <c r="C77" s="57"/>
      <c r="D77" s="57"/>
      <c r="E77" s="39"/>
      <c r="F77" s="55"/>
      <c r="G77" s="55"/>
      <c r="H77" s="55"/>
      <c r="I77" s="55"/>
      <c r="J77" s="51"/>
      <c r="K77" s="55"/>
      <c r="L77" s="63"/>
      <c r="M77" s="55"/>
      <c r="N77" s="55"/>
      <c r="O77" s="44"/>
      <c r="P77" s="55"/>
      <c r="Q77" s="63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R77" s="65"/>
      <c r="AT77" s="27"/>
      <c r="AV77" s="27"/>
    </row>
    <row r="78" spans="2:48" ht="12.75">
      <c r="B78" s="26"/>
      <c r="C78" s="57"/>
      <c r="D78" s="57"/>
      <c r="E78" s="39"/>
      <c r="F78" s="55"/>
      <c r="G78" s="55"/>
      <c r="H78" s="55"/>
      <c r="I78" s="55"/>
      <c r="J78" s="51"/>
      <c r="K78" s="55"/>
      <c r="L78" s="63"/>
      <c r="M78" s="55"/>
      <c r="N78" s="55"/>
      <c r="O78" s="44"/>
      <c r="P78" s="55"/>
      <c r="Q78" s="63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R78" s="65"/>
      <c r="AT78" s="27"/>
      <c r="AV78" s="27"/>
    </row>
    <row r="79" spans="2:48" ht="12.75">
      <c r="B79" s="26"/>
      <c r="C79" s="57"/>
      <c r="D79" s="57"/>
      <c r="E79" s="39"/>
      <c r="F79" s="64"/>
      <c r="G79" s="55"/>
      <c r="H79" s="64"/>
      <c r="I79" s="55"/>
      <c r="J79" s="51"/>
      <c r="K79" s="64"/>
      <c r="L79" s="63"/>
      <c r="M79" s="64"/>
      <c r="N79" s="55"/>
      <c r="O79" s="44"/>
      <c r="P79" s="55"/>
      <c r="Q79" s="63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R79" s="65"/>
      <c r="AT79" s="27"/>
      <c r="AV79" s="27"/>
    </row>
    <row r="80" spans="2:48" ht="12.75">
      <c r="B80" s="26"/>
      <c r="C80" s="57"/>
      <c r="D80" s="57"/>
      <c r="E80" s="39"/>
      <c r="F80" s="55"/>
      <c r="G80" s="55"/>
      <c r="H80" s="55"/>
      <c r="I80" s="55"/>
      <c r="J80" s="51"/>
      <c r="K80" s="55"/>
      <c r="L80" s="63"/>
      <c r="M80" s="55"/>
      <c r="N80" s="55"/>
      <c r="O80" s="44"/>
      <c r="P80" s="55"/>
      <c r="Q80" s="63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R80" s="65"/>
      <c r="AT80" s="27"/>
      <c r="AV80" s="27"/>
    </row>
    <row r="81" spans="2:48" ht="12.75">
      <c r="B81" s="26"/>
      <c r="C81" s="57"/>
      <c r="D81" s="57"/>
      <c r="E81" s="55"/>
      <c r="F81" s="55"/>
      <c r="G81" s="55"/>
      <c r="H81" s="55"/>
      <c r="I81" s="55"/>
      <c r="J81" s="39"/>
      <c r="K81" s="55"/>
      <c r="L81" s="55"/>
      <c r="M81" s="55"/>
      <c r="N81" s="55"/>
      <c r="O81" s="39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R81" s="57"/>
      <c r="AT81" s="55"/>
      <c r="AV81" s="55"/>
    </row>
    <row r="82" spans="2:48" ht="12.75">
      <c r="B82" s="26"/>
      <c r="C82" s="26"/>
      <c r="D82" s="26"/>
      <c r="E82" s="28"/>
      <c r="F82" s="64"/>
      <c r="G82" s="28"/>
      <c r="H82" s="64"/>
      <c r="I82" s="28"/>
      <c r="J82" s="28"/>
      <c r="K82" s="64"/>
      <c r="L82" s="28"/>
      <c r="M82" s="64"/>
      <c r="N82" s="28"/>
      <c r="O82" s="28"/>
      <c r="P82" s="66"/>
      <c r="Q82" s="28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R82" s="26"/>
      <c r="AT82" s="28"/>
      <c r="AV82" s="28"/>
    </row>
    <row r="83" spans="2:48" ht="12.75">
      <c r="B83" s="26"/>
      <c r="C83" s="26"/>
      <c r="D83" s="26"/>
      <c r="E83" s="28"/>
      <c r="F83" s="27"/>
      <c r="G83" s="27"/>
      <c r="H83" s="27"/>
      <c r="I83" s="28"/>
      <c r="J83" s="28"/>
      <c r="K83" s="27"/>
      <c r="L83" s="27"/>
      <c r="M83" s="27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R83" s="26"/>
      <c r="AT83" s="28"/>
      <c r="AV83" s="28"/>
    </row>
    <row r="84" spans="2:48" ht="12.75">
      <c r="B84" s="26"/>
      <c r="C84" s="26"/>
      <c r="D84" s="26"/>
      <c r="E84" s="28"/>
      <c r="F84" s="27"/>
      <c r="G84" s="27"/>
      <c r="H84" s="27"/>
      <c r="I84" s="28"/>
      <c r="J84" s="28"/>
      <c r="K84" s="27"/>
      <c r="L84" s="27"/>
      <c r="M84" s="27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R84" s="26"/>
      <c r="AT84" s="28"/>
      <c r="AV84" s="28"/>
    </row>
    <row r="85" spans="2:48" ht="12.75">
      <c r="B85" s="26"/>
      <c r="C85" s="26"/>
      <c r="D85" s="26"/>
      <c r="E85" s="28"/>
      <c r="F85" s="39"/>
      <c r="G85" s="28"/>
      <c r="H85" s="39"/>
      <c r="I85" s="39"/>
      <c r="J85" s="28"/>
      <c r="K85" s="39"/>
      <c r="L85" s="28"/>
      <c r="M85" s="39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R85" s="26"/>
      <c r="AT85" s="39"/>
      <c r="AV85" s="28"/>
    </row>
    <row r="86" spans="2:48" ht="12.75">
      <c r="B86" s="26"/>
      <c r="C86" s="55"/>
      <c r="D86" s="55"/>
      <c r="E86" s="55"/>
      <c r="F86" s="55"/>
      <c r="G86" s="27"/>
      <c r="H86" s="55"/>
      <c r="I86" s="55"/>
      <c r="J86" s="55"/>
      <c r="K86" s="55"/>
      <c r="L86" s="27"/>
      <c r="M86" s="55"/>
      <c r="N86" s="55"/>
      <c r="O86" s="55"/>
      <c r="P86" s="55"/>
      <c r="Q86" s="27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R86" s="55"/>
      <c r="AT86" s="55"/>
      <c r="AV86" s="55"/>
    </row>
    <row r="87" spans="2:48" ht="12.75">
      <c r="B87" s="26"/>
      <c r="C87" s="55"/>
      <c r="D87" s="55"/>
      <c r="E87" s="55"/>
      <c r="F87" s="55"/>
      <c r="G87" s="28"/>
      <c r="H87" s="55"/>
      <c r="I87" s="55"/>
      <c r="J87" s="55"/>
      <c r="K87" s="55"/>
      <c r="L87" s="28"/>
      <c r="M87" s="55"/>
      <c r="N87" s="55"/>
      <c r="O87" s="55"/>
      <c r="P87" s="63"/>
      <c r="Q87" s="28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R87" s="55"/>
      <c r="AT87" s="55"/>
      <c r="AV87" s="55"/>
    </row>
    <row r="88" spans="2:48" ht="12.75">
      <c r="B88" s="26"/>
      <c r="C88" s="55"/>
      <c r="D88" s="55"/>
      <c r="E88" s="55"/>
      <c r="F88" s="55"/>
      <c r="G88" s="28"/>
      <c r="H88" s="55"/>
      <c r="I88" s="55"/>
      <c r="J88" s="55"/>
      <c r="K88" s="55"/>
      <c r="L88" s="28"/>
      <c r="M88" s="55"/>
      <c r="N88" s="55"/>
      <c r="O88" s="55"/>
      <c r="P88" s="55"/>
      <c r="Q88" s="28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R88" s="55"/>
      <c r="AT88" s="55"/>
      <c r="AV88" s="55"/>
    </row>
    <row r="89" spans="2:48" ht="12.75">
      <c r="B89" s="26"/>
      <c r="C89" s="28"/>
      <c r="D89" s="55"/>
      <c r="E89" s="55"/>
      <c r="F89" s="55"/>
      <c r="G89" s="28"/>
      <c r="H89" s="55"/>
      <c r="I89" s="55"/>
      <c r="J89" s="55"/>
      <c r="K89" s="55"/>
      <c r="L89" s="28"/>
      <c r="M89" s="55"/>
      <c r="N89" s="55"/>
      <c r="O89" s="55"/>
      <c r="P89" s="55"/>
      <c r="Q89" s="28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R89" s="55"/>
      <c r="AT89" s="55"/>
      <c r="AV89" s="55"/>
    </row>
    <row r="90" spans="2:48" ht="12.75">
      <c r="B90" s="26"/>
      <c r="C90" s="28"/>
      <c r="D90" s="55"/>
      <c r="E90" s="55"/>
      <c r="F90" s="55"/>
      <c r="G90" s="28"/>
      <c r="H90" s="55"/>
      <c r="I90" s="55"/>
      <c r="J90" s="55"/>
      <c r="K90" s="55"/>
      <c r="L90" s="28"/>
      <c r="M90" s="55"/>
      <c r="N90" s="55"/>
      <c r="O90" s="55"/>
      <c r="P90" s="55"/>
      <c r="Q90" s="28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R90" s="55"/>
      <c r="AT90" s="55"/>
      <c r="AV90" s="55"/>
    </row>
    <row r="91" spans="2:48" ht="12.75">
      <c r="B91" s="25"/>
      <c r="C91" s="26"/>
      <c r="D91" s="26"/>
      <c r="E91" s="56"/>
      <c r="F91" s="55"/>
      <c r="G91" s="56"/>
      <c r="H91" s="55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R91" s="26"/>
      <c r="AT91" s="56"/>
      <c r="AV91" s="56"/>
    </row>
    <row r="92" spans="2:48" ht="12.75">
      <c r="B92" s="26"/>
      <c r="C92" s="26"/>
      <c r="D92" s="26"/>
      <c r="E92" s="56"/>
      <c r="F92" s="55"/>
      <c r="G92" s="56"/>
      <c r="H92" s="55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R92" s="26"/>
      <c r="AT92" s="56"/>
      <c r="AV92" s="56"/>
    </row>
    <row r="93" spans="2:48" ht="12.75">
      <c r="B93" s="26"/>
      <c r="C93" s="26"/>
      <c r="D93" s="26"/>
      <c r="E93" s="26"/>
      <c r="F93" s="55"/>
      <c r="G93" s="26"/>
      <c r="H93" s="55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R93" s="26"/>
      <c r="AT93" s="56"/>
      <c r="AV93" s="56"/>
    </row>
    <row r="94" spans="2:48" ht="12.75">
      <c r="B94" s="26"/>
      <c r="C94" s="26"/>
      <c r="D94" s="57"/>
      <c r="E94" s="26"/>
      <c r="F94" s="58"/>
      <c r="G94" s="26"/>
      <c r="H94" s="58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R94" s="57"/>
      <c r="AT94" s="56"/>
      <c r="AV94" s="56"/>
    </row>
    <row r="95" spans="2:48" ht="12.75">
      <c r="B95" s="26"/>
      <c r="C95" s="26"/>
      <c r="D95" s="57"/>
      <c r="E95" s="26"/>
      <c r="F95" s="55"/>
      <c r="G95" s="26"/>
      <c r="H95" s="55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R95" s="57"/>
      <c r="AT95" s="56"/>
      <c r="AV95" s="56"/>
    </row>
    <row r="96" spans="2:48" ht="12.75">
      <c r="B96" s="25"/>
      <c r="C96" s="57"/>
      <c r="D96" s="57"/>
      <c r="E96" s="60"/>
      <c r="F96" s="55"/>
      <c r="G96" s="60"/>
      <c r="H96" s="55"/>
      <c r="I96" s="56"/>
      <c r="J96" s="60"/>
      <c r="K96" s="56"/>
      <c r="L96" s="60"/>
      <c r="M96" s="56"/>
      <c r="N96" s="56"/>
      <c r="O96" s="60"/>
      <c r="P96" s="56"/>
      <c r="Q96" s="60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R96" s="57"/>
      <c r="AT96" s="56"/>
      <c r="AV96" s="56"/>
    </row>
    <row r="97" spans="2:48" ht="12.75">
      <c r="B97" s="26"/>
      <c r="C97" s="57"/>
      <c r="D97" s="57"/>
      <c r="E97" s="61"/>
      <c r="F97" s="61"/>
      <c r="G97" s="61"/>
      <c r="H97" s="61"/>
      <c r="I97" s="62"/>
      <c r="J97" s="61"/>
      <c r="K97" s="61"/>
      <c r="L97" s="61"/>
      <c r="M97" s="61"/>
      <c r="N97" s="62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R97" s="57"/>
      <c r="AT97" s="62"/>
      <c r="AV97" s="62"/>
    </row>
    <row r="98" spans="2:48" ht="12.75">
      <c r="B98" s="26"/>
      <c r="C98" s="57"/>
      <c r="D98" s="26"/>
      <c r="E98" s="60"/>
      <c r="F98" s="58"/>
      <c r="G98" s="60"/>
      <c r="H98" s="58"/>
      <c r="I98" s="56"/>
      <c r="J98" s="60"/>
      <c r="K98" s="60"/>
      <c r="L98" s="60"/>
      <c r="M98" s="60"/>
      <c r="N98" s="56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R98" s="60"/>
      <c r="AT98" s="56"/>
      <c r="AV98" s="56"/>
    </row>
    <row r="99" spans="2:48" ht="12.75">
      <c r="B99" s="26"/>
      <c r="C99" s="57"/>
      <c r="D99" s="26"/>
      <c r="E99" s="60"/>
      <c r="F99" s="55"/>
      <c r="G99" s="60"/>
      <c r="H99" s="55"/>
      <c r="I99" s="56"/>
      <c r="J99" s="60"/>
      <c r="K99" s="55"/>
      <c r="L99" s="60"/>
      <c r="M99" s="55"/>
      <c r="N99" s="56"/>
      <c r="O99" s="60"/>
      <c r="P99" s="55"/>
      <c r="Q99" s="60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R99" s="56"/>
      <c r="AT99" s="56"/>
      <c r="AV99" s="56"/>
    </row>
    <row r="100" spans="2:48" ht="12.75">
      <c r="B100" s="26"/>
      <c r="C100" s="26"/>
      <c r="D100" s="26"/>
      <c r="E100" s="56"/>
      <c r="F100" s="55"/>
      <c r="G100" s="56"/>
      <c r="H100" s="55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R100" s="26"/>
      <c r="AT100" s="56"/>
      <c r="AV100" s="56"/>
    </row>
    <row r="101" spans="2:48" ht="12.75">
      <c r="B101" s="26"/>
      <c r="C101" s="57"/>
      <c r="D101" s="57"/>
      <c r="E101" s="51"/>
      <c r="F101" s="55"/>
      <c r="G101" s="55"/>
      <c r="H101" s="55"/>
      <c r="I101" s="55"/>
      <c r="J101" s="44"/>
      <c r="K101" s="55"/>
      <c r="L101" s="55"/>
      <c r="M101" s="55"/>
      <c r="N101" s="55"/>
      <c r="O101" s="44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R101" s="65"/>
      <c r="AT101" s="27"/>
      <c r="AV101" s="27"/>
    </row>
    <row r="102" spans="2:48" ht="12.75">
      <c r="B102" s="26"/>
      <c r="C102" s="57"/>
      <c r="D102" s="57"/>
      <c r="E102" s="51"/>
      <c r="F102" s="64"/>
      <c r="G102" s="55"/>
      <c r="H102" s="64"/>
      <c r="I102" s="55"/>
      <c r="J102" s="44"/>
      <c r="K102" s="64"/>
      <c r="L102" s="55"/>
      <c r="M102" s="64"/>
      <c r="N102" s="55"/>
      <c r="O102" s="44"/>
      <c r="P102" s="64"/>
      <c r="Q102" s="55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R102" s="65"/>
      <c r="AT102" s="27"/>
      <c r="AV102" s="27"/>
    </row>
    <row r="103" spans="2:48" ht="12.75">
      <c r="B103" s="26"/>
      <c r="C103" s="57"/>
      <c r="D103" s="57"/>
      <c r="E103" s="51"/>
      <c r="F103" s="55"/>
      <c r="G103" s="55"/>
      <c r="H103" s="55"/>
      <c r="I103" s="55"/>
      <c r="J103" s="44"/>
      <c r="K103" s="55"/>
      <c r="L103" s="55"/>
      <c r="M103" s="55"/>
      <c r="N103" s="55"/>
      <c r="O103" s="44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R103" s="65"/>
      <c r="AT103" s="27"/>
      <c r="AV103" s="27"/>
    </row>
    <row r="104" spans="2:48" ht="12.75">
      <c r="B104" s="26"/>
      <c r="C104" s="57"/>
      <c r="D104" s="57"/>
      <c r="E104" s="51"/>
      <c r="F104" s="64"/>
      <c r="G104" s="55"/>
      <c r="H104" s="64"/>
      <c r="I104" s="55"/>
      <c r="J104" s="44"/>
      <c r="K104" s="64"/>
      <c r="L104" s="55"/>
      <c r="M104" s="64"/>
      <c r="N104" s="55"/>
      <c r="O104" s="44"/>
      <c r="P104" s="64"/>
      <c r="Q104" s="55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R104" s="65"/>
      <c r="AT104" s="27"/>
      <c r="AV104" s="27"/>
    </row>
    <row r="105" spans="2:48" ht="12.75">
      <c r="B105" s="26"/>
      <c r="C105" s="57"/>
      <c r="D105" s="57"/>
      <c r="E105" s="51"/>
      <c r="F105" s="55"/>
      <c r="G105" s="55"/>
      <c r="H105" s="55"/>
      <c r="I105" s="55"/>
      <c r="J105" s="44"/>
      <c r="K105" s="55"/>
      <c r="L105" s="55"/>
      <c r="M105" s="55"/>
      <c r="N105" s="55"/>
      <c r="O105" s="44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R105" s="65"/>
      <c r="AT105" s="27"/>
      <c r="AV105" s="27"/>
    </row>
    <row r="106" spans="2:48" ht="12.75">
      <c r="B106" s="26"/>
      <c r="C106" s="57"/>
      <c r="D106" s="57"/>
      <c r="E106" s="51"/>
      <c r="F106" s="55"/>
      <c r="G106" s="55"/>
      <c r="H106" s="55"/>
      <c r="I106" s="55"/>
      <c r="J106" s="44"/>
      <c r="K106" s="55"/>
      <c r="L106" s="55"/>
      <c r="M106" s="55"/>
      <c r="N106" s="55"/>
      <c r="O106" s="44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R106" s="65"/>
      <c r="AT106" s="27"/>
      <c r="AV106" s="27"/>
    </row>
    <row r="107" spans="2:48" ht="12.75">
      <c r="B107" s="26"/>
      <c r="C107" s="57"/>
      <c r="D107" s="57"/>
      <c r="E107" s="51"/>
      <c r="F107" s="55"/>
      <c r="G107" s="55"/>
      <c r="H107" s="55"/>
      <c r="I107" s="55"/>
      <c r="J107" s="44"/>
      <c r="K107" s="55"/>
      <c r="L107" s="55"/>
      <c r="M107" s="55"/>
      <c r="N107" s="55"/>
      <c r="O107" s="44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R107" s="65"/>
      <c r="AT107" s="27"/>
      <c r="AV107" s="27"/>
    </row>
    <row r="108" spans="2:48" ht="12.75">
      <c r="B108" s="26"/>
      <c r="C108" s="57"/>
      <c r="D108" s="57"/>
      <c r="E108" s="51"/>
      <c r="F108" s="64"/>
      <c r="G108" s="55"/>
      <c r="H108" s="64"/>
      <c r="I108" s="55"/>
      <c r="J108" s="44"/>
      <c r="K108" s="64"/>
      <c r="L108" s="55"/>
      <c r="M108" s="64"/>
      <c r="N108" s="55"/>
      <c r="O108" s="44"/>
      <c r="P108" s="64"/>
      <c r="Q108" s="55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R108" s="65"/>
      <c r="AT108" s="27"/>
      <c r="AV108" s="27"/>
    </row>
    <row r="109" spans="2:48" ht="12.75">
      <c r="B109" s="26"/>
      <c r="C109" s="57"/>
      <c r="D109" s="57"/>
      <c r="E109" s="51"/>
      <c r="F109" s="55"/>
      <c r="G109" s="55"/>
      <c r="H109" s="55"/>
      <c r="I109" s="55"/>
      <c r="J109" s="44"/>
      <c r="K109" s="55"/>
      <c r="L109" s="55"/>
      <c r="M109" s="55"/>
      <c r="N109" s="55"/>
      <c r="O109" s="44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R109" s="65"/>
      <c r="AT109" s="27"/>
      <c r="AV109" s="27"/>
    </row>
    <row r="110" spans="2:48" ht="12.75">
      <c r="B110" s="26"/>
      <c r="C110" s="57"/>
      <c r="D110" s="57"/>
      <c r="E110" s="51"/>
      <c r="F110" s="64"/>
      <c r="G110" s="55"/>
      <c r="H110" s="64"/>
      <c r="I110" s="55"/>
      <c r="J110" s="44"/>
      <c r="K110" s="64"/>
      <c r="L110" s="55"/>
      <c r="M110" s="64"/>
      <c r="N110" s="55"/>
      <c r="O110" s="44"/>
      <c r="P110" s="64"/>
      <c r="Q110" s="55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R110" s="65"/>
      <c r="AT110" s="27"/>
      <c r="AV110" s="27"/>
    </row>
    <row r="111" spans="2:48" ht="12.75">
      <c r="B111" s="26"/>
      <c r="C111" s="57"/>
      <c r="D111" s="57"/>
      <c r="E111" s="51"/>
      <c r="F111" s="55"/>
      <c r="G111" s="55"/>
      <c r="H111" s="55"/>
      <c r="I111" s="55"/>
      <c r="J111" s="44"/>
      <c r="K111" s="55"/>
      <c r="L111" s="55"/>
      <c r="M111" s="55"/>
      <c r="N111" s="55"/>
      <c r="O111" s="44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R111" s="65"/>
      <c r="AT111" s="27"/>
      <c r="AV111" s="27"/>
    </row>
    <row r="112" spans="2:48" ht="12.75">
      <c r="B112" s="26"/>
      <c r="C112" s="57"/>
      <c r="D112" s="57"/>
      <c r="E112" s="51"/>
      <c r="F112" s="55"/>
      <c r="G112" s="55"/>
      <c r="H112" s="55"/>
      <c r="I112" s="55"/>
      <c r="J112" s="44"/>
      <c r="K112" s="55"/>
      <c r="L112" s="55"/>
      <c r="M112" s="55"/>
      <c r="N112" s="55"/>
      <c r="O112" s="44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R112" s="65"/>
      <c r="AT112" s="27"/>
      <c r="AV112" s="27"/>
    </row>
    <row r="113" spans="2:48" ht="12.75">
      <c r="B113" s="26"/>
      <c r="C113" s="57"/>
      <c r="D113" s="57"/>
      <c r="E113" s="51"/>
      <c r="F113" s="64"/>
      <c r="G113" s="55"/>
      <c r="H113" s="64"/>
      <c r="I113" s="55"/>
      <c r="J113" s="44"/>
      <c r="K113" s="64"/>
      <c r="L113" s="55"/>
      <c r="M113" s="64"/>
      <c r="N113" s="55"/>
      <c r="O113" s="44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R113" s="65"/>
      <c r="AT113" s="27"/>
      <c r="AV113" s="27"/>
    </row>
    <row r="114" spans="2:48" ht="12.75">
      <c r="B114" s="26"/>
      <c r="C114" s="57"/>
      <c r="D114" s="57"/>
      <c r="E114" s="51"/>
      <c r="F114" s="55"/>
      <c r="G114" s="55"/>
      <c r="H114" s="55"/>
      <c r="I114" s="55"/>
      <c r="J114" s="44"/>
      <c r="K114" s="55"/>
      <c r="L114" s="55"/>
      <c r="M114" s="55"/>
      <c r="N114" s="55"/>
      <c r="O114" s="44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R114" s="65"/>
      <c r="AT114" s="27"/>
      <c r="AV114" s="27"/>
    </row>
    <row r="115" spans="2:48" ht="12.75">
      <c r="B115" s="26"/>
      <c r="C115" s="57"/>
      <c r="D115" s="57"/>
      <c r="E115" s="51"/>
      <c r="F115" s="55"/>
      <c r="G115" s="55"/>
      <c r="H115" s="55"/>
      <c r="I115" s="55"/>
      <c r="J115" s="44"/>
      <c r="K115" s="55"/>
      <c r="L115" s="55"/>
      <c r="M115" s="55"/>
      <c r="N115" s="55"/>
      <c r="O115" s="44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R115" s="65"/>
      <c r="AT115" s="27"/>
      <c r="AV115" s="27"/>
    </row>
    <row r="116" spans="2:48" ht="12.75">
      <c r="B116" s="26"/>
      <c r="C116" s="57"/>
      <c r="D116" s="57"/>
      <c r="E116" s="51"/>
      <c r="F116" s="64"/>
      <c r="G116" s="55"/>
      <c r="H116" s="64"/>
      <c r="I116" s="55"/>
      <c r="J116" s="44"/>
      <c r="K116" s="55"/>
      <c r="L116" s="55"/>
      <c r="M116" s="55"/>
      <c r="N116" s="55"/>
      <c r="O116" s="44"/>
      <c r="P116" s="64"/>
      <c r="Q116" s="55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R116" s="65"/>
      <c r="AT116" s="27"/>
      <c r="AV116" s="27"/>
    </row>
    <row r="117" spans="2:48" ht="12.75">
      <c r="B117" s="26"/>
      <c r="C117" s="57"/>
      <c r="D117" s="57"/>
      <c r="E117" s="51"/>
      <c r="F117" s="63"/>
      <c r="G117" s="55"/>
      <c r="H117" s="63"/>
      <c r="I117" s="55"/>
      <c r="J117" s="44"/>
      <c r="K117" s="55"/>
      <c r="L117" s="55"/>
      <c r="M117" s="55"/>
      <c r="N117" s="55"/>
      <c r="O117" s="44"/>
      <c r="P117" s="63"/>
      <c r="Q117" s="55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R117" s="65"/>
      <c r="AT117" s="27"/>
      <c r="AV117" s="27"/>
    </row>
    <row r="118" spans="2:48" ht="12.75">
      <c r="B118" s="26"/>
      <c r="C118" s="57"/>
      <c r="D118" s="57"/>
      <c r="E118" s="51"/>
      <c r="F118" s="63"/>
      <c r="G118" s="55"/>
      <c r="H118" s="63"/>
      <c r="I118" s="55"/>
      <c r="J118" s="44"/>
      <c r="K118" s="55"/>
      <c r="L118" s="55"/>
      <c r="M118" s="55"/>
      <c r="N118" s="55"/>
      <c r="O118" s="44"/>
      <c r="P118" s="63"/>
      <c r="Q118" s="55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R118" s="65"/>
      <c r="AT118" s="27"/>
      <c r="AV118" s="27"/>
    </row>
    <row r="119" spans="2:48" ht="12.75">
      <c r="B119" s="26"/>
      <c r="C119" s="57"/>
      <c r="D119" s="57"/>
      <c r="E119" s="51"/>
      <c r="F119" s="55"/>
      <c r="G119" s="55"/>
      <c r="H119" s="55"/>
      <c r="I119" s="55"/>
      <c r="J119" s="44"/>
      <c r="K119" s="55"/>
      <c r="L119" s="55"/>
      <c r="M119" s="55"/>
      <c r="N119" s="55"/>
      <c r="O119" s="44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R119" s="65"/>
      <c r="AT119" s="27"/>
      <c r="AV119" s="27"/>
    </row>
    <row r="120" spans="2:48" ht="12.75">
      <c r="B120" s="26"/>
      <c r="C120" s="57"/>
      <c r="D120" s="57"/>
      <c r="E120" s="51"/>
      <c r="F120" s="55"/>
      <c r="G120" s="55"/>
      <c r="H120" s="55"/>
      <c r="I120" s="55"/>
      <c r="J120" s="44"/>
      <c r="K120" s="55"/>
      <c r="L120" s="55"/>
      <c r="M120" s="55"/>
      <c r="N120" s="55"/>
      <c r="O120" s="44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R120" s="65"/>
      <c r="AT120" s="27"/>
      <c r="AV120" s="27"/>
    </row>
    <row r="121" spans="2:48" ht="12.75">
      <c r="B121" s="26"/>
      <c r="C121" s="57"/>
      <c r="D121" s="57"/>
      <c r="E121" s="51"/>
      <c r="F121" s="64"/>
      <c r="G121" s="55"/>
      <c r="H121" s="64"/>
      <c r="I121" s="55"/>
      <c r="J121" s="44"/>
      <c r="K121" s="64"/>
      <c r="L121" s="55"/>
      <c r="M121" s="64"/>
      <c r="N121" s="55"/>
      <c r="O121" s="44"/>
      <c r="P121" s="64"/>
      <c r="Q121" s="55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R121" s="65"/>
      <c r="AT121" s="27"/>
      <c r="AV121" s="27"/>
    </row>
    <row r="122" spans="2:48" ht="12.75">
      <c r="B122" s="26"/>
      <c r="C122" s="57"/>
      <c r="D122" s="57"/>
      <c r="E122" s="51"/>
      <c r="F122" s="55"/>
      <c r="G122" s="55"/>
      <c r="H122" s="55"/>
      <c r="I122" s="55"/>
      <c r="J122" s="44"/>
      <c r="K122" s="55"/>
      <c r="L122" s="55"/>
      <c r="M122" s="55"/>
      <c r="N122" s="55"/>
      <c r="O122" s="44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R122" s="65"/>
      <c r="AT122" s="27"/>
      <c r="AV122" s="27"/>
    </row>
    <row r="123" spans="2:48" ht="12.75">
      <c r="B123" s="26"/>
      <c r="C123" s="57"/>
      <c r="D123" s="57"/>
      <c r="E123" s="51"/>
      <c r="F123" s="55"/>
      <c r="G123" s="55"/>
      <c r="H123" s="55"/>
      <c r="I123" s="55"/>
      <c r="J123" s="44"/>
      <c r="K123" s="55"/>
      <c r="L123" s="55"/>
      <c r="M123" s="55"/>
      <c r="N123" s="55"/>
      <c r="O123" s="44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R123" s="65"/>
      <c r="AT123" s="27"/>
      <c r="AV123" s="27"/>
    </row>
    <row r="124" spans="2:48" ht="12.75">
      <c r="B124" s="26"/>
      <c r="C124" s="57"/>
      <c r="D124" s="57"/>
      <c r="E124" s="51"/>
      <c r="F124" s="64"/>
      <c r="G124" s="55"/>
      <c r="H124" s="64"/>
      <c r="I124" s="55"/>
      <c r="J124" s="44"/>
      <c r="K124" s="64"/>
      <c r="L124" s="55"/>
      <c r="M124" s="64"/>
      <c r="N124" s="55"/>
      <c r="O124" s="44"/>
      <c r="P124" s="64"/>
      <c r="Q124" s="55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R124" s="65"/>
      <c r="AT124" s="27"/>
      <c r="AV124" s="27"/>
    </row>
    <row r="125" spans="2:48" ht="12.75">
      <c r="B125" s="26"/>
      <c r="C125" s="57"/>
      <c r="D125" s="57"/>
      <c r="E125" s="51"/>
      <c r="F125" s="55"/>
      <c r="G125" s="55"/>
      <c r="H125" s="55"/>
      <c r="I125" s="55"/>
      <c r="J125" s="44"/>
      <c r="K125" s="55"/>
      <c r="L125" s="55"/>
      <c r="M125" s="55"/>
      <c r="N125" s="55"/>
      <c r="O125" s="44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R125" s="65"/>
      <c r="AT125" s="27"/>
      <c r="AV125" s="27"/>
    </row>
    <row r="126" spans="2:48" ht="12.75">
      <c r="B126" s="26"/>
      <c r="C126" s="57"/>
      <c r="D126" s="57"/>
      <c r="E126" s="55"/>
      <c r="F126" s="55"/>
      <c r="G126" s="55"/>
      <c r="H126" s="55"/>
      <c r="I126" s="55"/>
      <c r="J126" s="39"/>
      <c r="K126" s="55"/>
      <c r="L126" s="55"/>
      <c r="M126" s="55"/>
      <c r="N126" s="55"/>
      <c r="O126" s="39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R126" s="65"/>
      <c r="AT126" s="55"/>
      <c r="AV126" s="55"/>
    </row>
    <row r="127" spans="2:48" ht="12.75">
      <c r="B127" s="26"/>
      <c r="C127" s="26"/>
      <c r="D127" s="26"/>
      <c r="E127" s="28"/>
      <c r="F127" s="64"/>
      <c r="G127" s="28"/>
      <c r="H127" s="64"/>
      <c r="I127" s="28"/>
      <c r="J127" s="28"/>
      <c r="K127" s="27"/>
      <c r="L127" s="28"/>
      <c r="M127" s="27"/>
      <c r="N127" s="28"/>
      <c r="O127" s="28"/>
      <c r="P127" s="66"/>
      <c r="Q127" s="28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R127" s="65"/>
      <c r="AT127" s="28"/>
      <c r="AV127" s="28"/>
    </row>
    <row r="128" spans="2:48" ht="12.75">
      <c r="B128" s="26"/>
      <c r="C128" s="26"/>
      <c r="D128" s="26"/>
      <c r="E128" s="28"/>
      <c r="F128" s="28"/>
      <c r="G128" s="28"/>
      <c r="H128" s="28"/>
      <c r="I128" s="28"/>
      <c r="J128" s="28"/>
      <c r="K128" s="27"/>
      <c r="L128" s="27"/>
      <c r="M128" s="27"/>
      <c r="N128" s="28"/>
      <c r="O128" s="28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R128" s="65"/>
      <c r="AT128" s="28"/>
      <c r="AV128" s="28"/>
    </row>
    <row r="129" spans="2:48" ht="12.75">
      <c r="B129" s="26"/>
      <c r="C129" s="26"/>
      <c r="D129" s="26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R129" s="65"/>
      <c r="AT129" s="28"/>
      <c r="AV129" s="28"/>
    </row>
    <row r="130" spans="2:48" ht="12.75">
      <c r="B130" s="26"/>
      <c r="C130" s="26"/>
      <c r="D130" s="26"/>
      <c r="E130" s="28"/>
      <c r="F130" s="39"/>
      <c r="G130" s="28"/>
      <c r="H130" s="39"/>
      <c r="I130" s="39"/>
      <c r="J130" s="28"/>
      <c r="K130" s="39"/>
      <c r="L130" s="28"/>
      <c r="M130" s="39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R130" s="65"/>
      <c r="AT130" s="39"/>
      <c r="AV130" s="28"/>
    </row>
    <row r="131" spans="2:48" ht="12.75">
      <c r="B131" s="26"/>
      <c r="C131" s="55"/>
      <c r="D131" s="55"/>
      <c r="E131" s="55"/>
      <c r="F131" s="55"/>
      <c r="G131" s="27"/>
      <c r="H131" s="55"/>
      <c r="I131" s="55"/>
      <c r="J131" s="27"/>
      <c r="K131" s="55"/>
      <c r="L131" s="27"/>
      <c r="M131" s="55"/>
      <c r="N131" s="55"/>
      <c r="O131" s="55"/>
      <c r="P131" s="55"/>
      <c r="Q131" s="27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R131" s="67"/>
      <c r="AT131" s="55"/>
      <c r="AV131" s="55"/>
    </row>
    <row r="132" spans="2:48" ht="12.75">
      <c r="B132" s="26"/>
      <c r="C132" s="55"/>
      <c r="D132" s="55"/>
      <c r="E132" s="55"/>
      <c r="F132" s="55"/>
      <c r="G132" s="28"/>
      <c r="H132" s="55"/>
      <c r="I132" s="55"/>
      <c r="J132" s="28"/>
      <c r="K132" s="55"/>
      <c r="L132" s="28"/>
      <c r="M132" s="55"/>
      <c r="N132" s="55"/>
      <c r="O132" s="55"/>
      <c r="P132" s="55"/>
      <c r="Q132" s="28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R132" s="67"/>
      <c r="AT132" s="55"/>
      <c r="AV132" s="55"/>
    </row>
    <row r="133" spans="2:48" ht="12.75">
      <c r="B133" s="26"/>
      <c r="C133" s="26"/>
      <c r="D133" s="26"/>
      <c r="E133" s="56"/>
      <c r="F133" s="55"/>
      <c r="G133" s="56"/>
      <c r="H133" s="55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R133" s="65"/>
      <c r="AT133" s="56"/>
      <c r="AV133" s="56"/>
    </row>
    <row r="134" spans="2:48" ht="12.75">
      <c r="B134" s="26"/>
      <c r="C134" s="28"/>
      <c r="D134" s="26"/>
      <c r="E134" s="56"/>
      <c r="F134" s="55"/>
      <c r="G134" s="56"/>
      <c r="H134" s="55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  <c r="AR134" s="65"/>
      <c r="AT134" s="56"/>
      <c r="AV134" s="56"/>
    </row>
    <row r="135" spans="2:48" ht="12.75">
      <c r="B135" s="26"/>
      <c r="C135" s="28"/>
      <c r="D135" s="26"/>
      <c r="E135" s="56"/>
      <c r="F135" s="55"/>
      <c r="G135" s="56"/>
      <c r="H135" s="55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R135" s="65"/>
      <c r="AT135" s="56"/>
      <c r="AV135" s="56"/>
    </row>
    <row r="136" spans="2:48" ht="12.75">
      <c r="B136" s="26"/>
      <c r="C136" s="26"/>
      <c r="D136" s="26"/>
      <c r="E136" s="56"/>
      <c r="F136" s="55"/>
      <c r="G136" s="56"/>
      <c r="H136" s="55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/>
      <c r="AO136" s="56"/>
      <c r="AP136" s="56"/>
      <c r="AR136" s="65"/>
      <c r="AT136" s="56"/>
      <c r="AV136" s="56"/>
    </row>
    <row r="137" spans="2:48" ht="12.75">
      <c r="B137" s="26"/>
      <c r="C137" s="26"/>
      <c r="D137" s="26"/>
      <c r="E137" s="56"/>
      <c r="F137" s="55"/>
      <c r="G137" s="56"/>
      <c r="H137" s="55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  <c r="AO137" s="56"/>
      <c r="AP137" s="56"/>
      <c r="AR137" s="65"/>
      <c r="AT137" s="56"/>
      <c r="AV137" s="56"/>
    </row>
    <row r="138" spans="2:48" ht="12.75">
      <c r="B138" s="26"/>
      <c r="C138" s="26"/>
      <c r="D138" s="26"/>
      <c r="E138" s="56"/>
      <c r="F138" s="55"/>
      <c r="G138" s="56"/>
      <c r="H138" s="55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R138" s="65"/>
      <c r="AT138" s="56"/>
      <c r="AV138" s="56"/>
    </row>
    <row r="139" spans="2:48" ht="12.75">
      <c r="B139" s="26"/>
      <c r="C139" s="26"/>
      <c r="D139" s="26"/>
      <c r="E139" s="56"/>
      <c r="F139" s="55"/>
      <c r="G139" s="56"/>
      <c r="H139" s="55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56"/>
      <c r="AO139" s="56"/>
      <c r="AP139" s="56"/>
      <c r="AR139" s="65"/>
      <c r="AT139" s="56"/>
      <c r="AV139" s="56"/>
    </row>
    <row r="140" spans="2:48" ht="12.75">
      <c r="B140" s="26"/>
      <c r="C140" s="26"/>
      <c r="D140" s="26"/>
      <c r="E140" s="56"/>
      <c r="F140" s="55"/>
      <c r="G140" s="56"/>
      <c r="H140" s="55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R140" s="65"/>
      <c r="AT140" s="56"/>
      <c r="AV140" s="56"/>
    </row>
    <row r="141" spans="2:48" ht="12.75">
      <c r="B141" s="26"/>
      <c r="C141" s="26"/>
      <c r="D141" s="26"/>
      <c r="E141" s="56"/>
      <c r="F141" s="55"/>
      <c r="G141" s="56"/>
      <c r="H141" s="55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  <c r="AM141" s="56"/>
      <c r="AN141" s="56"/>
      <c r="AO141" s="56"/>
      <c r="AP141" s="56"/>
      <c r="AR141" s="65"/>
      <c r="AT141" s="56"/>
      <c r="AV141" s="56"/>
    </row>
    <row r="142" spans="2:48" ht="12.75">
      <c r="B142" s="26"/>
      <c r="C142" s="26"/>
      <c r="D142" s="26"/>
      <c r="E142" s="56"/>
      <c r="F142" s="55"/>
      <c r="G142" s="56"/>
      <c r="H142" s="55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56"/>
      <c r="AM142" s="56"/>
      <c r="AN142" s="56"/>
      <c r="AO142" s="56"/>
      <c r="AP142" s="56"/>
      <c r="AR142" s="65"/>
      <c r="AT142" s="56"/>
      <c r="AV142" s="56"/>
    </row>
    <row r="143" spans="2:48" ht="12.75">
      <c r="B143" s="26"/>
      <c r="C143" s="26"/>
      <c r="D143" s="26"/>
      <c r="E143" s="56"/>
      <c r="F143" s="55"/>
      <c r="G143" s="56"/>
      <c r="H143" s="55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  <c r="AL143" s="56"/>
      <c r="AM143" s="56"/>
      <c r="AN143" s="56"/>
      <c r="AO143" s="56"/>
      <c r="AP143" s="56"/>
      <c r="AR143" s="65"/>
      <c r="AT143" s="56"/>
      <c r="AV143" s="56"/>
    </row>
    <row r="144" spans="2:48" ht="12.75">
      <c r="B144" s="26"/>
      <c r="C144" s="26"/>
      <c r="D144" s="26"/>
      <c r="E144" s="56"/>
      <c r="F144" s="55"/>
      <c r="G144" s="56"/>
      <c r="H144" s="55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56"/>
      <c r="AL144" s="56"/>
      <c r="AM144" s="56"/>
      <c r="AN144" s="56"/>
      <c r="AO144" s="56"/>
      <c r="AP144" s="56"/>
      <c r="AR144" s="65"/>
      <c r="AT144" s="56"/>
      <c r="AV144" s="56"/>
    </row>
    <row r="145" spans="2:48" ht="12.75">
      <c r="B145" s="26"/>
      <c r="C145" s="26"/>
      <c r="D145" s="26"/>
      <c r="E145" s="56"/>
      <c r="F145" s="55"/>
      <c r="G145" s="56"/>
      <c r="H145" s="55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56"/>
      <c r="AF145" s="56"/>
      <c r="AG145" s="56"/>
      <c r="AH145" s="56"/>
      <c r="AI145" s="56"/>
      <c r="AJ145" s="56"/>
      <c r="AK145" s="56"/>
      <c r="AL145" s="56"/>
      <c r="AM145" s="56"/>
      <c r="AN145" s="56"/>
      <c r="AO145" s="56"/>
      <c r="AP145" s="56"/>
      <c r="AR145" s="65"/>
      <c r="AT145" s="56"/>
      <c r="AV145" s="56"/>
    </row>
    <row r="146" spans="2:48" ht="12.75">
      <c r="B146" s="26"/>
      <c r="C146" s="26"/>
      <c r="D146" s="26"/>
      <c r="E146" s="56"/>
      <c r="F146" s="55"/>
      <c r="G146" s="56"/>
      <c r="H146" s="55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  <c r="AF146" s="56"/>
      <c r="AG146" s="56"/>
      <c r="AH146" s="56"/>
      <c r="AI146" s="56"/>
      <c r="AJ146" s="56"/>
      <c r="AK146" s="56"/>
      <c r="AL146" s="56"/>
      <c r="AM146" s="56"/>
      <c r="AN146" s="56"/>
      <c r="AO146" s="56"/>
      <c r="AP146" s="56"/>
      <c r="AR146" s="65"/>
      <c r="AT146" s="56"/>
      <c r="AV146" s="56"/>
    </row>
    <row r="147" spans="2:48" ht="12.75">
      <c r="B147" s="26"/>
      <c r="C147" s="26"/>
      <c r="D147" s="26"/>
      <c r="E147" s="56"/>
      <c r="F147" s="55"/>
      <c r="G147" s="56"/>
      <c r="H147" s="55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  <c r="AM147" s="56"/>
      <c r="AN147" s="56"/>
      <c r="AO147" s="56"/>
      <c r="AP147" s="56"/>
      <c r="AR147" s="65"/>
      <c r="AT147" s="56"/>
      <c r="AV147" s="56"/>
    </row>
    <row r="148" ht="12.75">
      <c r="AR148" s="21"/>
    </row>
    <row r="149" ht="12.75">
      <c r="AR149" s="21"/>
    </row>
    <row r="150" ht="12.75">
      <c r="AR150" s="21"/>
    </row>
    <row r="151" ht="12.75">
      <c r="AR151" s="21"/>
    </row>
    <row r="152" ht="12.75">
      <c r="AR152" s="21"/>
    </row>
    <row r="153" ht="12.75">
      <c r="AR153" s="21"/>
    </row>
    <row r="154" ht="12.75">
      <c r="AR154" s="21"/>
    </row>
    <row r="155" ht="12.75">
      <c r="AR155" s="21"/>
    </row>
    <row r="156" ht="12.75">
      <c r="AR156" s="21"/>
    </row>
    <row r="157" ht="12.75">
      <c r="AR157" s="21"/>
    </row>
    <row r="158" ht="12.75">
      <c r="AR158" s="21"/>
    </row>
    <row r="159" ht="12.75">
      <c r="AR159" s="21"/>
    </row>
    <row r="160" ht="12.75">
      <c r="AR160" s="21"/>
    </row>
    <row r="161" ht="12.75">
      <c r="AR161" s="21"/>
    </row>
    <row r="162" ht="12.75">
      <c r="AR162" s="21"/>
    </row>
    <row r="163" ht="12.75">
      <c r="AR163" s="21"/>
    </row>
    <row r="164" ht="12.75">
      <c r="AR164" s="21"/>
    </row>
    <row r="165" ht="12.75">
      <c r="AR165" s="21"/>
    </row>
    <row r="166" ht="12.75">
      <c r="AR166" s="21"/>
    </row>
    <row r="167" ht="12.75">
      <c r="AR167" s="21"/>
    </row>
    <row r="168" ht="12.75">
      <c r="AR168" s="21"/>
    </row>
    <row r="169" ht="12.75">
      <c r="AR169" s="21"/>
    </row>
    <row r="170" ht="12.75">
      <c r="AR170" s="21"/>
    </row>
    <row r="171" ht="12.75">
      <c r="AR171" s="21"/>
    </row>
    <row r="172" ht="12.75">
      <c r="AR172" s="21"/>
    </row>
    <row r="173" ht="12.75">
      <c r="AR173" s="21"/>
    </row>
    <row r="174" ht="12.75">
      <c r="AR174" s="21"/>
    </row>
    <row r="175" ht="12.75">
      <c r="AR175" s="21"/>
    </row>
    <row r="176" ht="12.75">
      <c r="AR176" s="21"/>
    </row>
    <row r="177" ht="12.75">
      <c r="AR177" s="21"/>
    </row>
    <row r="178" ht="12.75">
      <c r="AR178" s="21"/>
    </row>
    <row r="179" ht="12.75">
      <c r="AR179" s="21"/>
    </row>
    <row r="180" ht="12.75">
      <c r="AR180" s="21"/>
    </row>
    <row r="181" ht="12.75">
      <c r="AR181" s="21"/>
    </row>
    <row r="182" ht="12.75">
      <c r="AR182" s="21"/>
    </row>
    <row r="183" ht="12.75">
      <c r="AR183" s="21"/>
    </row>
    <row r="184" ht="12.75">
      <c r="AR184" s="21"/>
    </row>
    <row r="185" ht="12.75">
      <c r="AR185" s="21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  <rowBreaks count="2" manualBreakCount="2">
    <brk id="45" max="255" man="1"/>
    <brk id="9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Y90"/>
  <sheetViews>
    <sheetView workbookViewId="0" topLeftCell="J1">
      <selection activeCell="B2" sqref="B2"/>
    </sheetView>
  </sheetViews>
  <sheetFormatPr defaultColWidth="9.140625" defaultRowHeight="12.75"/>
  <cols>
    <col min="1" max="1" width="1.28515625" style="26" customWidth="1"/>
    <col min="2" max="2" width="25.8515625" style="26" customWidth="1"/>
    <col min="3" max="3" width="7.8515625" style="26" customWidth="1"/>
    <col min="4" max="4" width="3.140625" style="26" customWidth="1"/>
    <col min="5" max="5" width="7.421875" style="56" customWidth="1"/>
    <col min="6" max="6" width="7.8515625" style="55" bestFit="1" customWidth="1"/>
    <col min="7" max="7" width="7.8515625" style="56" bestFit="1" customWidth="1"/>
    <col min="8" max="8" width="7.8515625" style="55" bestFit="1" customWidth="1"/>
    <col min="9" max="9" width="3.8515625" style="56" customWidth="1"/>
    <col min="10" max="10" width="6.8515625" style="56" customWidth="1"/>
    <col min="11" max="13" width="7.8515625" style="56" bestFit="1" customWidth="1"/>
    <col min="14" max="14" width="4.00390625" style="56" customWidth="1"/>
    <col min="15" max="15" width="6.8515625" style="56" customWidth="1"/>
    <col min="16" max="16" width="8.140625" style="56" customWidth="1"/>
    <col min="17" max="17" width="7.8515625" style="56" bestFit="1" customWidth="1"/>
    <col min="18" max="18" width="8.140625" style="56" customWidth="1"/>
    <col min="19" max="19" width="9.140625" style="39" customWidth="1"/>
    <col min="20" max="22" width="9.140625" style="39" hidden="1" customWidth="1"/>
    <col min="23" max="23" width="0.2890625" style="39" hidden="1" customWidth="1"/>
    <col min="24" max="24" width="9.140625" style="39" hidden="1" customWidth="1"/>
    <col min="25" max="30" width="10.8515625" style="26" hidden="1" customWidth="1"/>
    <col min="31" max="31" width="10.7109375" style="26" hidden="1" customWidth="1"/>
    <col min="32" max="39" width="10.8515625" style="26" hidden="1" customWidth="1"/>
    <col min="40" max="40" width="0.13671875" style="26" hidden="1" customWidth="1"/>
    <col min="41" max="44" width="10.8515625" style="26" hidden="1" customWidth="1"/>
    <col min="45" max="45" width="10.8515625" style="26" customWidth="1"/>
    <col min="46" max="46" width="7.7109375" style="26" customWidth="1"/>
    <col min="47" max="47" width="7.8515625" style="26" customWidth="1"/>
    <col min="48" max="48" width="7.7109375" style="26" customWidth="1"/>
    <col min="49" max="49" width="8.57421875" style="26" customWidth="1"/>
    <col min="50" max="50" width="7.421875" style="26" customWidth="1"/>
    <col min="51" max="16384" width="10.8515625" style="26" customWidth="1"/>
  </cols>
  <sheetData>
    <row r="1" ht="12.75">
      <c r="A1" s="25" t="s">
        <v>241</v>
      </c>
    </row>
    <row r="2" spans="1:17" ht="12.75">
      <c r="A2" s="26" t="s">
        <v>243</v>
      </c>
      <c r="E2" s="63"/>
      <c r="G2" s="63"/>
      <c r="I2" s="63"/>
      <c r="J2" s="63"/>
      <c r="K2" s="63"/>
      <c r="L2" s="63"/>
      <c r="M2" s="63"/>
      <c r="N2" s="63"/>
      <c r="O2" s="63"/>
      <c r="Q2" s="63"/>
    </row>
    <row r="3" spans="1:17" ht="12.75">
      <c r="A3" s="26" t="s">
        <v>116</v>
      </c>
      <c r="C3" s="26" t="s">
        <v>121</v>
      </c>
      <c r="E3" s="26"/>
      <c r="G3" s="26"/>
      <c r="I3" s="26"/>
      <c r="J3" s="63"/>
      <c r="K3" s="63"/>
      <c r="L3" s="63"/>
      <c r="M3" s="63"/>
      <c r="N3" s="63"/>
      <c r="O3" s="63"/>
      <c r="Q3" s="63"/>
    </row>
    <row r="4" spans="1:17" ht="12.75">
      <c r="A4" s="26" t="s">
        <v>117</v>
      </c>
      <c r="C4" s="26" t="s">
        <v>185</v>
      </c>
      <c r="D4" s="19" t="s">
        <v>238</v>
      </c>
      <c r="E4" s="26"/>
      <c r="F4" s="58"/>
      <c r="G4" s="26"/>
      <c r="H4" s="58"/>
      <c r="I4" s="26"/>
      <c r="J4" s="63"/>
      <c r="K4" s="63"/>
      <c r="L4" s="63"/>
      <c r="M4" s="63"/>
      <c r="N4" s="63"/>
      <c r="O4" s="63"/>
      <c r="Q4" s="63"/>
    </row>
    <row r="5" spans="1:17" ht="12.75">
      <c r="A5" s="26" t="s">
        <v>118</v>
      </c>
      <c r="C5" s="26" t="s">
        <v>124</v>
      </c>
      <c r="D5" s="57"/>
      <c r="E5" s="26"/>
      <c r="G5" s="26"/>
      <c r="I5" s="26"/>
      <c r="J5" s="63"/>
      <c r="K5" s="63"/>
      <c r="L5" s="63"/>
      <c r="M5" s="63"/>
      <c r="N5" s="63"/>
      <c r="O5" s="63"/>
      <c r="Q5" s="63"/>
    </row>
    <row r="6" spans="6:51" s="28" customFormat="1" ht="12.75">
      <c r="F6" s="55"/>
      <c r="H6" s="55"/>
      <c r="P6" s="56"/>
      <c r="R6" s="56"/>
      <c r="AT6" s="26"/>
      <c r="AU6" s="26" t="s">
        <v>208</v>
      </c>
      <c r="AV6" s="26"/>
      <c r="AW6" s="26" t="s">
        <v>209</v>
      </c>
      <c r="AX6" s="26"/>
      <c r="AY6" s="28" t="s">
        <v>210</v>
      </c>
    </row>
    <row r="7" spans="3:18" ht="12.75">
      <c r="C7" s="57" t="s">
        <v>44</v>
      </c>
      <c r="D7" s="57"/>
      <c r="E7" s="61" t="s">
        <v>45</v>
      </c>
      <c r="F7" s="61"/>
      <c r="G7" s="61"/>
      <c r="H7" s="61"/>
      <c r="I7" s="62"/>
      <c r="J7" s="61" t="s">
        <v>46</v>
      </c>
      <c r="K7" s="61"/>
      <c r="L7" s="61"/>
      <c r="M7" s="61"/>
      <c r="N7" s="62"/>
      <c r="O7" s="61" t="s">
        <v>47</v>
      </c>
      <c r="P7" s="61"/>
      <c r="Q7" s="61"/>
      <c r="R7" s="61"/>
    </row>
    <row r="8" spans="3:51" ht="12.75">
      <c r="C8" s="57" t="s">
        <v>48</v>
      </c>
      <c r="E8" s="60" t="s">
        <v>49</v>
      </c>
      <c r="F8" s="58" t="s">
        <v>50</v>
      </c>
      <c r="G8" s="60" t="s">
        <v>49</v>
      </c>
      <c r="H8" s="58" t="s">
        <v>50</v>
      </c>
      <c r="J8" s="60" t="s">
        <v>49</v>
      </c>
      <c r="K8" s="60" t="s">
        <v>51</v>
      </c>
      <c r="L8" s="60" t="s">
        <v>49</v>
      </c>
      <c r="M8" s="60" t="s">
        <v>51</v>
      </c>
      <c r="O8" s="60" t="s">
        <v>49</v>
      </c>
      <c r="P8" s="60" t="s">
        <v>51</v>
      </c>
      <c r="Q8" s="60" t="s">
        <v>49</v>
      </c>
      <c r="R8" s="60" t="s">
        <v>51</v>
      </c>
      <c r="AU8" s="56" t="s">
        <v>92</v>
      </c>
      <c r="AW8" s="56" t="s">
        <v>92</v>
      </c>
      <c r="AY8" s="56" t="s">
        <v>92</v>
      </c>
    </row>
    <row r="9" spans="3:51" ht="14.25">
      <c r="C9" s="57"/>
      <c r="E9" s="60" t="s">
        <v>94</v>
      </c>
      <c r="F9" s="55" t="s">
        <v>120</v>
      </c>
      <c r="G9" s="60" t="s">
        <v>120</v>
      </c>
      <c r="H9" s="55" t="s">
        <v>120</v>
      </c>
      <c r="J9" s="60" t="s">
        <v>94</v>
      </c>
      <c r="K9" s="55" t="s">
        <v>120</v>
      </c>
      <c r="L9" s="60" t="s">
        <v>120</v>
      </c>
      <c r="M9" s="55" t="s">
        <v>120</v>
      </c>
      <c r="O9" s="60" t="s">
        <v>94</v>
      </c>
      <c r="P9" s="55" t="s">
        <v>120</v>
      </c>
      <c r="Q9" s="60" t="s">
        <v>120</v>
      </c>
      <c r="R9" s="55" t="s">
        <v>120</v>
      </c>
      <c r="AU9" s="56" t="s">
        <v>127</v>
      </c>
      <c r="AW9" s="56" t="s">
        <v>127</v>
      </c>
      <c r="AY9" s="56" t="s">
        <v>127</v>
      </c>
    </row>
    <row r="10" spans="1:51" ht="12.75">
      <c r="A10" s="26" t="s">
        <v>52</v>
      </c>
      <c r="AW10" s="56"/>
      <c r="AY10" s="56"/>
    </row>
    <row r="11" spans="2:51" ht="12.75">
      <c r="B11" s="26" t="s">
        <v>53</v>
      </c>
      <c r="C11" s="57">
        <v>1</v>
      </c>
      <c r="D11" s="57"/>
      <c r="E11" s="39">
        <f aca="true" t="shared" si="0" ref="E11:E35">AU11/$H$37/60*453.6*$H$38*0.01</f>
        <v>0.01567847368421053</v>
      </c>
      <c r="F11" s="55">
        <f aca="true" t="shared" si="1" ref="F11:F35">IF(E11="","",E11*$C11)</f>
        <v>0.01567847368421053</v>
      </c>
      <c r="G11" s="55">
        <f aca="true" t="shared" si="2" ref="G11:G35">IF(E11=0,"",IF(D11="nd",E11/2,E11))</f>
        <v>0.01567847368421053</v>
      </c>
      <c r="H11" s="55">
        <f aca="true" t="shared" si="3" ref="H11:H35">IF(G11="","",G11*$C11)</f>
        <v>0.01567847368421053</v>
      </c>
      <c r="I11" s="55"/>
      <c r="J11" s="51">
        <f aca="true" t="shared" si="4" ref="J11:J35">AW11/$M$37/60*453.6*$M$38*0.01</f>
        <v>0.013756222023276634</v>
      </c>
      <c r="K11" s="55">
        <f aca="true" t="shared" si="5" ref="K11:K35">IF(J11="","",J11*$C11)</f>
        <v>0.013756222023276634</v>
      </c>
      <c r="L11" s="63">
        <f aca="true" t="shared" si="6" ref="L11:L35">IF(J11=0,"",IF(I11="nd",J11/2,J11))</f>
        <v>0.013756222023276634</v>
      </c>
      <c r="M11" s="55">
        <f aca="true" t="shared" si="7" ref="M11:M35">IF(L11="","",L11*$C11)</f>
        <v>0.013756222023276634</v>
      </c>
      <c r="N11" s="55"/>
      <c r="O11" s="44">
        <f aca="true" t="shared" si="8" ref="O11:O35">AY11/$R$37/60*453.6*$R$38*0.01</f>
        <v>0.013804309392265193</v>
      </c>
      <c r="P11" s="55">
        <f aca="true" t="shared" si="9" ref="P11:P35">IF(O11="","",O11*$C11)</f>
        <v>0.013804309392265193</v>
      </c>
      <c r="Q11" s="63">
        <f aca="true" t="shared" si="10" ref="Q11:Q35">IF(O11=0,"",IF(N11="nd",O11/2,O11))</f>
        <v>0.013804309392265193</v>
      </c>
      <c r="R11" s="55">
        <f aca="true" t="shared" si="11" ref="R11:R35">IF(Q11="","",Q11*$C11)</f>
        <v>0.013804309392265193</v>
      </c>
      <c r="AU11" s="65">
        <v>1.7</v>
      </c>
      <c r="AW11" s="27">
        <v>1.5</v>
      </c>
      <c r="AY11" s="27">
        <v>1.5</v>
      </c>
    </row>
    <row r="12" spans="2:51" ht="12.75">
      <c r="B12" s="26" t="s">
        <v>54</v>
      </c>
      <c r="C12" s="57">
        <v>0</v>
      </c>
      <c r="D12" s="57"/>
      <c r="E12" s="39">
        <f t="shared" si="0"/>
        <v>0.0996044210526316</v>
      </c>
      <c r="F12" s="64">
        <f t="shared" si="1"/>
        <v>0</v>
      </c>
      <c r="G12" s="55">
        <f t="shared" si="2"/>
        <v>0.0996044210526316</v>
      </c>
      <c r="H12" s="64">
        <f t="shared" si="3"/>
        <v>0</v>
      </c>
      <c r="I12" s="55"/>
      <c r="J12" s="51">
        <f t="shared" si="4"/>
        <v>0.08253733213965982</v>
      </c>
      <c r="K12" s="64">
        <f t="shared" si="5"/>
        <v>0</v>
      </c>
      <c r="L12" s="63">
        <f t="shared" si="6"/>
        <v>0.08253733213965982</v>
      </c>
      <c r="M12" s="64">
        <f t="shared" si="7"/>
        <v>0</v>
      </c>
      <c r="N12" s="55"/>
      <c r="O12" s="44">
        <f t="shared" si="8"/>
        <v>0.06994183425414364</v>
      </c>
      <c r="P12" s="64">
        <f t="shared" si="9"/>
        <v>0</v>
      </c>
      <c r="Q12" s="63">
        <f t="shared" si="10"/>
        <v>0.06994183425414364</v>
      </c>
      <c r="R12" s="64">
        <f t="shared" si="11"/>
        <v>0</v>
      </c>
      <c r="AU12" s="65">
        <f>12.5-AU11</f>
        <v>10.8</v>
      </c>
      <c r="AW12" s="27">
        <f>10.5-AW11</f>
        <v>9</v>
      </c>
      <c r="AY12" s="27">
        <f>9.1-AY11</f>
        <v>7.6</v>
      </c>
    </row>
    <row r="13" spans="2:51" ht="12.75">
      <c r="B13" s="26" t="s">
        <v>55</v>
      </c>
      <c r="C13" s="57">
        <v>0.5</v>
      </c>
      <c r="D13" s="57"/>
      <c r="E13" s="39">
        <f t="shared" si="0"/>
        <v>0.022134315789473686</v>
      </c>
      <c r="F13" s="55">
        <f t="shared" si="1"/>
        <v>0.011067157894736843</v>
      </c>
      <c r="G13" s="55">
        <f t="shared" si="2"/>
        <v>0.022134315789473686</v>
      </c>
      <c r="H13" s="55">
        <f t="shared" si="3"/>
        <v>0.011067157894736843</v>
      </c>
      <c r="I13" s="55"/>
      <c r="J13" s="51">
        <f t="shared" si="4"/>
        <v>0.018341629364368846</v>
      </c>
      <c r="K13" s="55">
        <f t="shared" si="5"/>
        <v>0.009170814682184423</v>
      </c>
      <c r="L13" s="63">
        <f t="shared" si="6"/>
        <v>0.018341629364368846</v>
      </c>
      <c r="M13" s="55">
        <f t="shared" si="7"/>
        <v>0.009170814682184423</v>
      </c>
      <c r="N13" s="55"/>
      <c r="O13" s="44">
        <f t="shared" si="8"/>
        <v>0.01840574585635359</v>
      </c>
      <c r="P13" s="55">
        <f t="shared" si="9"/>
        <v>0.009202872928176795</v>
      </c>
      <c r="Q13" s="63">
        <f t="shared" si="10"/>
        <v>0.01840574585635359</v>
      </c>
      <c r="R13" s="55">
        <f t="shared" si="11"/>
        <v>0.009202872928176795</v>
      </c>
      <c r="AU13" s="65">
        <v>2.4</v>
      </c>
      <c r="AW13" s="27">
        <v>2</v>
      </c>
      <c r="AY13" s="27">
        <v>2</v>
      </c>
    </row>
    <row r="14" spans="2:51" ht="12.75">
      <c r="B14" s="26" t="s">
        <v>56</v>
      </c>
      <c r="C14" s="57">
        <v>0</v>
      </c>
      <c r="D14" s="57"/>
      <c r="E14" s="39">
        <f t="shared" si="0"/>
        <v>0.1669296315789474</v>
      </c>
      <c r="F14" s="64">
        <f t="shared" si="1"/>
        <v>0</v>
      </c>
      <c r="G14" s="55">
        <f t="shared" si="2"/>
        <v>0.1669296315789474</v>
      </c>
      <c r="H14" s="64">
        <f t="shared" si="3"/>
        <v>0</v>
      </c>
      <c r="I14" s="55"/>
      <c r="J14" s="51">
        <f t="shared" si="4"/>
        <v>0.12197183527305283</v>
      </c>
      <c r="K14" s="64">
        <f t="shared" si="5"/>
        <v>0</v>
      </c>
      <c r="L14" s="63">
        <f t="shared" si="6"/>
        <v>0.12197183527305283</v>
      </c>
      <c r="M14" s="64">
        <f t="shared" si="7"/>
        <v>0</v>
      </c>
      <c r="N14" s="55"/>
      <c r="O14" s="44">
        <f t="shared" si="8"/>
        <v>0.12147792265193369</v>
      </c>
      <c r="P14" s="64">
        <f t="shared" si="9"/>
        <v>0</v>
      </c>
      <c r="Q14" s="63">
        <f t="shared" si="10"/>
        <v>0.12147792265193369</v>
      </c>
      <c r="R14" s="64">
        <f t="shared" si="11"/>
        <v>0</v>
      </c>
      <c r="AU14" s="65">
        <f>20.5-AU13</f>
        <v>18.1</v>
      </c>
      <c r="AW14" s="27">
        <f>15.3-AW13</f>
        <v>13.3</v>
      </c>
      <c r="AY14" s="27">
        <f>15.2-AY13</f>
        <v>13.2</v>
      </c>
    </row>
    <row r="15" spans="2:51" ht="12.75">
      <c r="B15" s="26" t="s">
        <v>57</v>
      </c>
      <c r="C15" s="57">
        <v>0.1</v>
      </c>
      <c r="D15" s="57"/>
      <c r="E15" s="39">
        <f t="shared" si="0"/>
        <v>0.00922263157894737</v>
      </c>
      <c r="F15" s="55">
        <f t="shared" si="1"/>
        <v>0.000922263157894737</v>
      </c>
      <c r="G15" s="55">
        <f t="shared" si="2"/>
        <v>0.00922263157894737</v>
      </c>
      <c r="H15" s="55">
        <f t="shared" si="3"/>
        <v>0.000922263157894737</v>
      </c>
      <c r="I15" s="55"/>
      <c r="J15" s="51">
        <f t="shared" si="4"/>
        <v>0.009170814682184423</v>
      </c>
      <c r="K15" s="55">
        <f t="shared" si="5"/>
        <v>0.0009170814682184424</v>
      </c>
      <c r="L15" s="63">
        <f t="shared" si="6"/>
        <v>0.009170814682184423</v>
      </c>
      <c r="M15" s="55">
        <f t="shared" si="7"/>
        <v>0.0009170814682184424</v>
      </c>
      <c r="N15" s="55"/>
      <c r="O15" s="44">
        <f t="shared" si="8"/>
        <v>0.008282585635359116</v>
      </c>
      <c r="P15" s="55">
        <f t="shared" si="9"/>
        <v>0.0008282585635359116</v>
      </c>
      <c r="Q15" s="63">
        <f t="shared" si="10"/>
        <v>0.008282585635359116</v>
      </c>
      <c r="R15" s="55">
        <f t="shared" si="11"/>
        <v>0.0008282585635359116</v>
      </c>
      <c r="AU15" s="65">
        <v>1</v>
      </c>
      <c r="AW15" s="27">
        <v>1</v>
      </c>
      <c r="AY15" s="27">
        <v>0.9</v>
      </c>
    </row>
    <row r="16" spans="2:51" ht="12.75">
      <c r="B16" s="26" t="s">
        <v>58</v>
      </c>
      <c r="C16" s="57">
        <v>0.1</v>
      </c>
      <c r="D16" s="57"/>
      <c r="E16" s="39">
        <f t="shared" si="0"/>
        <v>0.00922263157894737</v>
      </c>
      <c r="F16" s="55">
        <f t="shared" si="1"/>
        <v>0.000922263157894737</v>
      </c>
      <c r="G16" s="55">
        <f t="shared" si="2"/>
        <v>0.00922263157894737</v>
      </c>
      <c r="H16" s="55">
        <f t="shared" si="3"/>
        <v>0.000922263157894737</v>
      </c>
      <c r="I16" s="55"/>
      <c r="J16" s="51">
        <f t="shared" si="4"/>
        <v>0.007336651745747539</v>
      </c>
      <c r="K16" s="55">
        <f t="shared" si="5"/>
        <v>0.000733665174574754</v>
      </c>
      <c r="L16" s="63">
        <f t="shared" si="6"/>
        <v>0.007336651745747539</v>
      </c>
      <c r="M16" s="55">
        <f t="shared" si="7"/>
        <v>0.000733665174574754</v>
      </c>
      <c r="N16" s="55"/>
      <c r="O16" s="44">
        <f t="shared" si="8"/>
        <v>0.007362298342541437</v>
      </c>
      <c r="P16" s="55">
        <f t="shared" si="9"/>
        <v>0.0007362298342541438</v>
      </c>
      <c r="Q16" s="63">
        <f t="shared" si="10"/>
        <v>0.007362298342541437</v>
      </c>
      <c r="R16" s="55">
        <f t="shared" si="11"/>
        <v>0.0007362298342541438</v>
      </c>
      <c r="AU16" s="65">
        <v>1</v>
      </c>
      <c r="AW16" s="27">
        <v>0.8</v>
      </c>
      <c r="AY16" s="27">
        <v>0.8</v>
      </c>
    </row>
    <row r="17" spans="2:51" ht="12.75">
      <c r="B17" s="26" t="s">
        <v>59</v>
      </c>
      <c r="C17" s="57">
        <v>0.1</v>
      </c>
      <c r="D17" s="57"/>
      <c r="E17" s="39">
        <f t="shared" si="0"/>
        <v>0.004795768421052633</v>
      </c>
      <c r="F17" s="55">
        <f t="shared" si="1"/>
        <v>0.0004795768421052633</v>
      </c>
      <c r="G17" s="55">
        <f t="shared" si="2"/>
        <v>0.004795768421052633</v>
      </c>
      <c r="H17" s="55">
        <f t="shared" si="3"/>
        <v>0.0004795768421052633</v>
      </c>
      <c r="I17" s="55"/>
      <c r="J17" s="51">
        <f t="shared" si="4"/>
        <v>0.0045854073410922114</v>
      </c>
      <c r="K17" s="55">
        <f t="shared" si="5"/>
        <v>0.0004585407341092212</v>
      </c>
      <c r="L17" s="63">
        <f t="shared" si="6"/>
        <v>0.0045854073410922114</v>
      </c>
      <c r="M17" s="55">
        <f t="shared" si="7"/>
        <v>0.0004585407341092212</v>
      </c>
      <c r="N17" s="55"/>
      <c r="O17" s="44">
        <f t="shared" si="8"/>
        <v>0.004325350276243093</v>
      </c>
      <c r="P17" s="55">
        <f t="shared" si="9"/>
        <v>0.0004325350276243093</v>
      </c>
      <c r="Q17" s="63">
        <f t="shared" si="10"/>
        <v>0.004325350276243093</v>
      </c>
      <c r="R17" s="55">
        <f t="shared" si="11"/>
        <v>0.0004325350276243093</v>
      </c>
      <c r="AU17" s="65">
        <v>0.52</v>
      </c>
      <c r="AW17" s="27">
        <v>0.5</v>
      </c>
      <c r="AY17" s="27">
        <v>0.47</v>
      </c>
    </row>
    <row r="18" spans="2:51" ht="12.75">
      <c r="B18" s="26" t="s">
        <v>60</v>
      </c>
      <c r="C18" s="57">
        <v>0</v>
      </c>
      <c r="D18" s="57"/>
      <c r="E18" s="39">
        <f t="shared" si="0"/>
        <v>0.05791812631578949</v>
      </c>
      <c r="F18" s="64">
        <f t="shared" si="1"/>
        <v>0</v>
      </c>
      <c r="G18" s="55">
        <f t="shared" si="2"/>
        <v>0.05791812631578949</v>
      </c>
      <c r="H18" s="64">
        <f t="shared" si="3"/>
        <v>0</v>
      </c>
      <c r="I18" s="55"/>
      <c r="J18" s="51">
        <f t="shared" si="4"/>
        <v>0.06419570277529096</v>
      </c>
      <c r="K18" s="64">
        <f t="shared" si="5"/>
        <v>0</v>
      </c>
      <c r="L18" s="63">
        <f t="shared" si="6"/>
        <v>0.06419570277529096</v>
      </c>
      <c r="M18" s="64">
        <f t="shared" si="7"/>
        <v>0</v>
      </c>
      <c r="N18" s="55"/>
      <c r="O18" s="44">
        <f t="shared" si="8"/>
        <v>0.06009476022099446</v>
      </c>
      <c r="P18" s="64">
        <f t="shared" si="9"/>
        <v>0</v>
      </c>
      <c r="Q18" s="63">
        <f t="shared" si="10"/>
        <v>0.06009476022099446</v>
      </c>
      <c r="R18" s="64">
        <f t="shared" si="11"/>
        <v>0</v>
      </c>
      <c r="AU18" s="65">
        <f>8.8-SUM(AU15:AU17)</f>
        <v>6.280000000000001</v>
      </c>
      <c r="AW18" s="27">
        <f>9.3-SUM(AW15:AW17)</f>
        <v>7.000000000000001</v>
      </c>
      <c r="AY18" s="27">
        <f>8.7-SUM(AY15:AY17)</f>
        <v>6.529999999999999</v>
      </c>
    </row>
    <row r="19" spans="2:51" ht="12.75">
      <c r="B19" s="26" t="s">
        <v>61</v>
      </c>
      <c r="C19" s="57">
        <v>0.01</v>
      </c>
      <c r="D19" s="57"/>
      <c r="E19" s="39">
        <f t="shared" si="0"/>
        <v>0.012911684210526318</v>
      </c>
      <c r="F19" s="55">
        <f t="shared" si="1"/>
        <v>0.00012911684210526318</v>
      </c>
      <c r="G19" s="55">
        <f t="shared" si="2"/>
        <v>0.012911684210526318</v>
      </c>
      <c r="H19" s="55">
        <f t="shared" si="3"/>
        <v>0.00012911684210526318</v>
      </c>
      <c r="I19" s="55"/>
      <c r="J19" s="51">
        <f t="shared" si="4"/>
        <v>0.010087896150402868</v>
      </c>
      <c r="K19" s="55">
        <f t="shared" si="5"/>
        <v>0.00010087896150402868</v>
      </c>
      <c r="L19" s="63">
        <f t="shared" si="6"/>
        <v>0.010087896150402868</v>
      </c>
      <c r="M19" s="55">
        <f t="shared" si="7"/>
        <v>0.00010087896150402868</v>
      </c>
      <c r="N19" s="55"/>
      <c r="O19" s="44">
        <f t="shared" si="8"/>
        <v>0.010123160220994477</v>
      </c>
      <c r="P19" s="55">
        <f t="shared" si="9"/>
        <v>0.00010123160220994477</v>
      </c>
      <c r="Q19" s="63">
        <f t="shared" si="10"/>
        <v>0.010123160220994477</v>
      </c>
      <c r="R19" s="55">
        <f t="shared" si="11"/>
        <v>0.00010123160220994477</v>
      </c>
      <c r="AU19" s="65">
        <v>1.4</v>
      </c>
      <c r="AW19" s="27">
        <v>1.1</v>
      </c>
      <c r="AY19" s="27">
        <v>1.1</v>
      </c>
    </row>
    <row r="20" spans="2:51" ht="12.75">
      <c r="B20" s="26" t="s">
        <v>62</v>
      </c>
      <c r="C20" s="57">
        <v>0</v>
      </c>
      <c r="D20" s="57"/>
      <c r="E20" s="39">
        <f t="shared" si="0"/>
        <v>0.01198942105263158</v>
      </c>
      <c r="F20" s="64">
        <f t="shared" si="1"/>
        <v>0</v>
      </c>
      <c r="G20" s="55">
        <f t="shared" si="2"/>
        <v>0.01198942105263158</v>
      </c>
      <c r="H20" s="64">
        <f t="shared" si="3"/>
        <v>0</v>
      </c>
      <c r="I20" s="55"/>
      <c r="J20" s="51">
        <f t="shared" si="4"/>
        <v>0.010087896150402868</v>
      </c>
      <c r="K20" s="64">
        <f t="shared" si="5"/>
        <v>0</v>
      </c>
      <c r="L20" s="63">
        <f t="shared" si="6"/>
        <v>0.010087896150402868</v>
      </c>
      <c r="M20" s="64">
        <f t="shared" si="7"/>
        <v>0</v>
      </c>
      <c r="N20" s="55"/>
      <c r="O20" s="42">
        <f t="shared" si="8"/>
        <v>0</v>
      </c>
      <c r="P20" s="67">
        <f t="shared" si="9"/>
        <v>0</v>
      </c>
      <c r="Q20" s="68">
        <f t="shared" si="10"/>
      </c>
      <c r="R20" s="67">
        <f t="shared" si="11"/>
      </c>
      <c r="AU20" s="65">
        <v>1.3</v>
      </c>
      <c r="AW20" s="27">
        <v>1.1</v>
      </c>
      <c r="AY20" s="27">
        <f>1.1-AY19</f>
        <v>0</v>
      </c>
    </row>
    <row r="21" spans="2:51" ht="12.75">
      <c r="B21" s="26" t="s">
        <v>63</v>
      </c>
      <c r="C21" s="57">
        <v>0.001</v>
      </c>
      <c r="D21" s="57"/>
      <c r="E21" s="39">
        <f t="shared" si="0"/>
        <v>0.021212052631578947</v>
      </c>
      <c r="F21" s="64">
        <f t="shared" si="1"/>
        <v>2.1212052631578948E-05</v>
      </c>
      <c r="G21" s="55">
        <f t="shared" si="2"/>
        <v>0.021212052631578947</v>
      </c>
      <c r="H21" s="64">
        <f t="shared" si="3"/>
        <v>2.1212052631578948E-05</v>
      </c>
      <c r="I21" s="55"/>
      <c r="J21" s="44">
        <f t="shared" si="4"/>
        <v>0.020175792300805736</v>
      </c>
      <c r="K21" s="64">
        <f t="shared" si="5"/>
        <v>2.0175792300805735E-05</v>
      </c>
      <c r="L21" s="63">
        <f t="shared" si="6"/>
        <v>0.020175792300805736</v>
      </c>
      <c r="M21" s="64">
        <f t="shared" si="7"/>
        <v>2.0175792300805735E-05</v>
      </c>
      <c r="N21" s="55"/>
      <c r="O21" s="44">
        <f t="shared" si="8"/>
        <v>0.016565171270718233</v>
      </c>
      <c r="P21" s="64">
        <f t="shared" si="9"/>
        <v>1.6565171270718234E-05</v>
      </c>
      <c r="Q21" s="63">
        <f t="shared" si="10"/>
        <v>0.016565171270718233</v>
      </c>
      <c r="R21" s="64">
        <f t="shared" si="11"/>
        <v>1.6565171270718234E-05</v>
      </c>
      <c r="AU21" s="65">
        <v>2.3</v>
      </c>
      <c r="AW21" s="27">
        <v>2.2</v>
      </c>
      <c r="AY21" s="27">
        <v>1.8</v>
      </c>
    </row>
    <row r="22" spans="2:51" ht="12.75">
      <c r="B22" s="26" t="s">
        <v>64</v>
      </c>
      <c r="C22" s="57">
        <v>0.1</v>
      </c>
      <c r="D22" s="57"/>
      <c r="E22" s="39">
        <f t="shared" si="0"/>
        <v>0.13003910526315793</v>
      </c>
      <c r="F22" s="55">
        <f t="shared" si="1"/>
        <v>0.013003910526315793</v>
      </c>
      <c r="G22" s="55">
        <f t="shared" si="2"/>
        <v>0.13003910526315793</v>
      </c>
      <c r="H22" s="55">
        <f t="shared" si="3"/>
        <v>0.013003910526315793</v>
      </c>
      <c r="I22" s="55"/>
      <c r="J22" s="51">
        <f t="shared" si="4"/>
        <v>0.12013767233661593</v>
      </c>
      <c r="K22" s="55">
        <f t="shared" si="5"/>
        <v>0.012013767233661593</v>
      </c>
      <c r="L22" s="63">
        <f t="shared" si="6"/>
        <v>0.12013767233661593</v>
      </c>
      <c r="M22" s="55">
        <f t="shared" si="7"/>
        <v>0.012013767233661593</v>
      </c>
      <c r="N22" s="55"/>
      <c r="O22" s="44">
        <f t="shared" si="8"/>
        <v>0.11963734806629833</v>
      </c>
      <c r="P22" s="63">
        <f t="shared" si="9"/>
        <v>0.011963734806629834</v>
      </c>
      <c r="Q22" s="63">
        <f t="shared" si="10"/>
        <v>0.11963734806629833</v>
      </c>
      <c r="R22" s="63">
        <f t="shared" si="11"/>
        <v>0.011963734806629834</v>
      </c>
      <c r="AU22" s="65">
        <v>14.1</v>
      </c>
      <c r="AW22" s="27">
        <v>13.1</v>
      </c>
      <c r="AY22" s="27">
        <v>13</v>
      </c>
    </row>
    <row r="23" spans="2:51" ht="12.75">
      <c r="B23" s="26" t="s">
        <v>65</v>
      </c>
      <c r="C23" s="57">
        <v>0</v>
      </c>
      <c r="D23" s="57"/>
      <c r="E23" s="39">
        <f t="shared" si="0"/>
        <v>4.47205405263158</v>
      </c>
      <c r="F23" s="64">
        <f t="shared" si="1"/>
        <v>0</v>
      </c>
      <c r="G23" s="55">
        <f t="shared" si="2"/>
        <v>4.47205405263158</v>
      </c>
      <c r="H23" s="64">
        <f t="shared" si="3"/>
        <v>0</v>
      </c>
      <c r="I23" s="55"/>
      <c r="J23" s="51">
        <f t="shared" si="4"/>
        <v>3.878337529095793</v>
      </c>
      <c r="K23" s="64">
        <f t="shared" si="5"/>
        <v>0</v>
      </c>
      <c r="L23" s="63">
        <f t="shared" si="6"/>
        <v>3.878337529095793</v>
      </c>
      <c r="M23" s="64">
        <f t="shared" si="7"/>
        <v>0</v>
      </c>
      <c r="N23" s="55"/>
      <c r="O23" s="44">
        <f t="shared" si="8"/>
        <v>3.5799175690607727</v>
      </c>
      <c r="P23" s="64">
        <f t="shared" si="9"/>
        <v>0</v>
      </c>
      <c r="Q23" s="63">
        <f t="shared" si="10"/>
        <v>3.5799175690607727</v>
      </c>
      <c r="R23" s="64">
        <f t="shared" si="11"/>
        <v>0</v>
      </c>
      <c r="AU23" s="65">
        <f>499-AU22</f>
        <v>484.9</v>
      </c>
      <c r="AW23" s="27">
        <f>436-AW22</f>
        <v>422.9</v>
      </c>
      <c r="AY23" s="27">
        <f>402-AY22</f>
        <v>389</v>
      </c>
    </row>
    <row r="24" spans="2:51" ht="12.75">
      <c r="B24" s="26" t="s">
        <v>66</v>
      </c>
      <c r="C24" s="57">
        <v>0.05</v>
      </c>
      <c r="D24" s="57"/>
      <c r="E24" s="39">
        <f t="shared" si="0"/>
        <v>0.21949863157894745</v>
      </c>
      <c r="F24" s="55">
        <f t="shared" si="1"/>
        <v>0.010974931578947373</v>
      </c>
      <c r="G24" s="55">
        <f t="shared" si="2"/>
        <v>0.21949863157894745</v>
      </c>
      <c r="H24" s="55">
        <f t="shared" si="3"/>
        <v>0.010974931578947373</v>
      </c>
      <c r="I24" s="55"/>
      <c r="J24" s="51">
        <f t="shared" si="4"/>
        <v>0.1999237600716204</v>
      </c>
      <c r="K24" s="55">
        <f t="shared" si="5"/>
        <v>0.00999618800358102</v>
      </c>
      <c r="L24" s="63">
        <f t="shared" si="6"/>
        <v>0.1999237600716204</v>
      </c>
      <c r="M24" s="55">
        <f t="shared" si="7"/>
        <v>0.00999618800358102</v>
      </c>
      <c r="N24" s="55"/>
      <c r="O24" s="44">
        <f t="shared" si="8"/>
        <v>0.18957918232044196</v>
      </c>
      <c r="P24" s="55">
        <f t="shared" si="9"/>
        <v>0.009478959116022099</v>
      </c>
      <c r="Q24" s="63">
        <f t="shared" si="10"/>
        <v>0.18957918232044196</v>
      </c>
      <c r="R24" s="55">
        <f t="shared" si="11"/>
        <v>0.009478959116022099</v>
      </c>
      <c r="AU24" s="65">
        <v>23.8</v>
      </c>
      <c r="AW24" s="27">
        <v>21.8</v>
      </c>
      <c r="AY24" s="27">
        <v>20.6</v>
      </c>
    </row>
    <row r="25" spans="2:51" ht="12.75">
      <c r="B25" s="26" t="s">
        <v>67</v>
      </c>
      <c r="C25" s="57">
        <v>0.5</v>
      </c>
      <c r="D25" s="57"/>
      <c r="E25" s="39">
        <f t="shared" si="0"/>
        <v>0.1798413157894737</v>
      </c>
      <c r="F25" s="55">
        <f t="shared" si="1"/>
        <v>0.08992065789473686</v>
      </c>
      <c r="G25" s="55">
        <f t="shared" si="2"/>
        <v>0.1798413157894737</v>
      </c>
      <c r="H25" s="55">
        <f t="shared" si="3"/>
        <v>0.08992065789473686</v>
      </c>
      <c r="I25" s="55"/>
      <c r="J25" s="51">
        <f t="shared" si="4"/>
        <v>0.17974796777081473</v>
      </c>
      <c r="K25" s="55">
        <f t="shared" si="5"/>
        <v>0.08987398388540736</v>
      </c>
      <c r="L25" s="63">
        <f t="shared" si="6"/>
        <v>0.17974796777081473</v>
      </c>
      <c r="M25" s="55">
        <f t="shared" si="7"/>
        <v>0.08987398388540736</v>
      </c>
      <c r="N25" s="55"/>
      <c r="O25" s="44">
        <f t="shared" si="8"/>
        <v>0.16012998895027625</v>
      </c>
      <c r="P25" s="55">
        <f t="shared" si="9"/>
        <v>0.08006499447513812</v>
      </c>
      <c r="Q25" s="63">
        <f t="shared" si="10"/>
        <v>0.16012998895027625</v>
      </c>
      <c r="R25" s="55">
        <f t="shared" si="11"/>
        <v>0.08006499447513812</v>
      </c>
      <c r="AU25" s="65">
        <v>19.5</v>
      </c>
      <c r="AW25" s="27">
        <v>19.6</v>
      </c>
      <c r="AY25" s="27">
        <v>17.4</v>
      </c>
    </row>
    <row r="26" spans="2:51" ht="12.75">
      <c r="B26" s="26" t="s">
        <v>68</v>
      </c>
      <c r="C26" s="57">
        <v>0</v>
      </c>
      <c r="D26" s="57"/>
      <c r="E26" s="39">
        <f t="shared" si="0"/>
        <v>4.599326368421053</v>
      </c>
      <c r="F26" s="64">
        <f t="shared" si="1"/>
        <v>0</v>
      </c>
      <c r="G26" s="55">
        <f t="shared" si="2"/>
        <v>4.599326368421053</v>
      </c>
      <c r="H26" s="64">
        <f t="shared" si="3"/>
        <v>0</v>
      </c>
      <c r="I26" s="55"/>
      <c r="J26" s="51">
        <f t="shared" si="4"/>
        <v>4.324956204118174</v>
      </c>
      <c r="K26" s="64">
        <f t="shared" si="5"/>
        <v>0</v>
      </c>
      <c r="L26" s="63">
        <f t="shared" si="6"/>
        <v>4.324956204118174</v>
      </c>
      <c r="M26" s="64">
        <f t="shared" si="7"/>
        <v>0</v>
      </c>
      <c r="N26" s="55"/>
      <c r="O26" s="44">
        <f t="shared" si="8"/>
        <v>4.0492640883977895</v>
      </c>
      <c r="P26" s="64">
        <f t="shared" si="9"/>
        <v>0</v>
      </c>
      <c r="Q26" s="63">
        <f t="shared" si="10"/>
        <v>4.0492640883977895</v>
      </c>
      <c r="R26" s="64">
        <f t="shared" si="11"/>
        <v>0</v>
      </c>
      <c r="AU26" s="65">
        <f>542-AU25-AU24</f>
        <v>498.7</v>
      </c>
      <c r="AW26" s="27">
        <f>513-AW24-AW25</f>
        <v>471.59999999999997</v>
      </c>
      <c r="AY26" s="27">
        <f>478-AY24-AY25</f>
        <v>440</v>
      </c>
    </row>
    <row r="27" spans="2:51" ht="12.75">
      <c r="B27" s="26" t="s">
        <v>69</v>
      </c>
      <c r="C27" s="57">
        <v>0.1</v>
      </c>
      <c r="D27" s="57"/>
      <c r="E27" s="39">
        <f t="shared" si="0"/>
        <v>0.2895906315789474</v>
      </c>
      <c r="F27" s="55">
        <f t="shared" si="1"/>
        <v>0.02895906315789474</v>
      </c>
      <c r="G27" s="55">
        <f t="shared" si="2"/>
        <v>0.2895906315789474</v>
      </c>
      <c r="H27" s="55">
        <f t="shared" si="3"/>
        <v>0.02895906315789474</v>
      </c>
      <c r="I27" s="55"/>
      <c r="J27" s="51">
        <f t="shared" si="4"/>
        <v>0.24027534467323186</v>
      </c>
      <c r="K27" s="55">
        <f t="shared" si="5"/>
        <v>0.024027534467323187</v>
      </c>
      <c r="L27" s="63">
        <f t="shared" si="6"/>
        <v>0.24027534467323186</v>
      </c>
      <c r="M27" s="55">
        <f t="shared" si="7"/>
        <v>0.024027534467323187</v>
      </c>
      <c r="N27" s="55"/>
      <c r="O27" s="44">
        <f t="shared" si="8"/>
        <v>0.23007182320441988</v>
      </c>
      <c r="P27" s="55">
        <f t="shared" si="9"/>
        <v>0.02300718232044199</v>
      </c>
      <c r="Q27" s="63">
        <f t="shared" si="10"/>
        <v>0.23007182320441988</v>
      </c>
      <c r="R27" s="55">
        <f t="shared" si="11"/>
        <v>0.02300718232044199</v>
      </c>
      <c r="AU27" s="65">
        <v>31.4</v>
      </c>
      <c r="AW27" s="27">
        <v>26.2</v>
      </c>
      <c r="AY27" s="27">
        <v>25</v>
      </c>
    </row>
    <row r="28" spans="2:51" ht="12.75">
      <c r="B28" s="26" t="s">
        <v>70</v>
      </c>
      <c r="C28" s="57">
        <v>0.1</v>
      </c>
      <c r="D28" s="57"/>
      <c r="E28" s="39">
        <f t="shared" si="0"/>
        <v>0.1595515263157895</v>
      </c>
      <c r="F28" s="55">
        <f t="shared" si="1"/>
        <v>0.015955152631578953</v>
      </c>
      <c r="G28" s="55">
        <f t="shared" si="2"/>
        <v>0.1595515263157895</v>
      </c>
      <c r="H28" s="55">
        <f t="shared" si="3"/>
        <v>0.015955152631578953</v>
      </c>
      <c r="I28" s="55"/>
      <c r="J28" s="51">
        <f t="shared" si="4"/>
        <v>0.14031346463742167</v>
      </c>
      <c r="K28" s="55">
        <f t="shared" si="5"/>
        <v>0.014031346463742168</v>
      </c>
      <c r="L28" s="63">
        <f t="shared" si="6"/>
        <v>0.14031346463742167</v>
      </c>
      <c r="M28" s="55">
        <f t="shared" si="7"/>
        <v>0.014031346463742168</v>
      </c>
      <c r="N28" s="55"/>
      <c r="O28" s="44">
        <f t="shared" si="8"/>
        <v>0.12976050828729283</v>
      </c>
      <c r="P28" s="55">
        <f t="shared" si="9"/>
        <v>0.012976050828729283</v>
      </c>
      <c r="Q28" s="63">
        <f t="shared" si="10"/>
        <v>0.12976050828729283</v>
      </c>
      <c r="R28" s="55">
        <f t="shared" si="11"/>
        <v>0.012976050828729283</v>
      </c>
      <c r="AU28" s="65">
        <v>17.3</v>
      </c>
      <c r="AW28" s="27">
        <v>15.3</v>
      </c>
      <c r="AY28" s="27">
        <v>14.1</v>
      </c>
    </row>
    <row r="29" spans="2:51" ht="12.75">
      <c r="B29" s="26" t="s">
        <v>71</v>
      </c>
      <c r="C29" s="57">
        <v>0.1</v>
      </c>
      <c r="D29" s="57"/>
      <c r="E29" s="39">
        <f t="shared" si="0"/>
        <v>0.07654784210526318</v>
      </c>
      <c r="F29" s="55">
        <f t="shared" si="1"/>
        <v>0.007654784210526318</v>
      </c>
      <c r="G29" s="55">
        <f t="shared" si="2"/>
        <v>0.07654784210526318</v>
      </c>
      <c r="H29" s="55">
        <f t="shared" si="3"/>
        <v>0.007654784210526318</v>
      </c>
      <c r="I29" s="55"/>
      <c r="J29" s="51">
        <f t="shared" si="4"/>
        <v>0.06419570277529096</v>
      </c>
      <c r="K29" s="55">
        <f t="shared" si="5"/>
        <v>0.006419570277529096</v>
      </c>
      <c r="L29" s="63">
        <f t="shared" si="6"/>
        <v>0.06419570277529096</v>
      </c>
      <c r="M29" s="55">
        <f t="shared" si="7"/>
        <v>0.006419570277529096</v>
      </c>
      <c r="N29" s="55"/>
      <c r="O29" s="44">
        <f t="shared" si="8"/>
        <v>0.06165924861878454</v>
      </c>
      <c r="P29" s="55">
        <f t="shared" si="9"/>
        <v>0.006165924861878454</v>
      </c>
      <c r="Q29" s="63">
        <f t="shared" si="10"/>
        <v>0.06165924861878454</v>
      </c>
      <c r="R29" s="55">
        <f t="shared" si="11"/>
        <v>0.006165924861878454</v>
      </c>
      <c r="AU29" s="65">
        <v>8.3</v>
      </c>
      <c r="AW29" s="27">
        <v>7</v>
      </c>
      <c r="AY29" s="27">
        <v>6.7</v>
      </c>
    </row>
    <row r="30" spans="2:51" ht="12.75">
      <c r="B30" s="26" t="s">
        <v>72</v>
      </c>
      <c r="C30" s="57">
        <v>0.1</v>
      </c>
      <c r="D30" s="57"/>
      <c r="E30" s="39">
        <f t="shared" si="0"/>
        <v>0.028590157894736845</v>
      </c>
      <c r="F30" s="55">
        <f t="shared" si="1"/>
        <v>0.0028590157894736847</v>
      </c>
      <c r="G30" s="55">
        <f t="shared" si="2"/>
        <v>0.028590157894736845</v>
      </c>
      <c r="H30" s="55">
        <f t="shared" si="3"/>
        <v>0.0028590157894736847</v>
      </c>
      <c r="I30" s="55"/>
      <c r="J30" s="51">
        <f t="shared" si="4"/>
        <v>0.0238441181736795</v>
      </c>
      <c r="K30" s="55">
        <f t="shared" si="5"/>
        <v>0.00238441181736795</v>
      </c>
      <c r="L30" s="63">
        <f t="shared" si="6"/>
        <v>0.0238441181736795</v>
      </c>
      <c r="M30" s="55">
        <f t="shared" si="7"/>
        <v>0.00238441181736795</v>
      </c>
      <c r="N30" s="55"/>
      <c r="O30" s="44">
        <f t="shared" si="8"/>
        <v>0.02484775690607735</v>
      </c>
      <c r="P30" s="55">
        <f t="shared" si="9"/>
        <v>0.0024847756906077353</v>
      </c>
      <c r="Q30" s="63">
        <f t="shared" si="10"/>
        <v>0.02484775690607735</v>
      </c>
      <c r="R30" s="55">
        <f t="shared" si="11"/>
        <v>0.0024847756906077353</v>
      </c>
      <c r="AU30" s="65">
        <v>3.1</v>
      </c>
      <c r="AW30" s="27">
        <v>2.6</v>
      </c>
      <c r="AY30" s="27">
        <v>2.7</v>
      </c>
    </row>
    <row r="31" spans="2:51" ht="12.75">
      <c r="B31" s="26" t="s">
        <v>73</v>
      </c>
      <c r="C31" s="57">
        <v>0</v>
      </c>
      <c r="D31" s="57"/>
      <c r="E31" s="39">
        <f t="shared" si="0"/>
        <v>1.4470308947368424</v>
      </c>
      <c r="F31" s="64">
        <f t="shared" si="1"/>
        <v>0</v>
      </c>
      <c r="G31" s="55">
        <f t="shared" si="2"/>
        <v>1.4470308947368424</v>
      </c>
      <c r="H31" s="64">
        <f t="shared" si="3"/>
        <v>0</v>
      </c>
      <c r="I31" s="55"/>
      <c r="J31" s="51">
        <f t="shared" si="4"/>
        <v>1.3288510474485231</v>
      </c>
      <c r="K31" s="27">
        <f t="shared" si="5"/>
        <v>0</v>
      </c>
      <c r="L31" s="63">
        <f t="shared" si="6"/>
        <v>1.3288510474485231</v>
      </c>
      <c r="M31" s="27">
        <f t="shared" si="7"/>
        <v>0</v>
      </c>
      <c r="N31" s="55"/>
      <c r="O31" s="44">
        <f t="shared" si="8"/>
        <v>1.154960552486188</v>
      </c>
      <c r="P31" s="64">
        <f t="shared" si="9"/>
        <v>0</v>
      </c>
      <c r="Q31" s="63">
        <f t="shared" si="10"/>
        <v>1.154960552486188</v>
      </c>
      <c r="R31" s="64">
        <f t="shared" si="11"/>
        <v>0</v>
      </c>
      <c r="AU31" s="65">
        <f>217-SUM(AU27:AU30)</f>
        <v>156.9</v>
      </c>
      <c r="AW31" s="27">
        <f>196-SUM(AW27:AW30)</f>
        <v>144.9</v>
      </c>
      <c r="AY31" s="27">
        <f>174-SUM(AY27:AY30)</f>
        <v>125.5</v>
      </c>
    </row>
    <row r="32" spans="2:51" ht="12.75">
      <c r="B32" s="26" t="s">
        <v>74</v>
      </c>
      <c r="C32" s="57">
        <v>0.01</v>
      </c>
      <c r="D32" s="57"/>
      <c r="E32" s="39">
        <f t="shared" si="0"/>
        <v>0.3698275263157895</v>
      </c>
      <c r="F32" s="55">
        <f t="shared" si="1"/>
        <v>0.003698275263157895</v>
      </c>
      <c r="G32" s="55">
        <f t="shared" si="2"/>
        <v>0.3698275263157895</v>
      </c>
      <c r="H32" s="55">
        <f t="shared" si="3"/>
        <v>0.003698275263157895</v>
      </c>
      <c r="I32" s="55"/>
      <c r="J32" s="51">
        <f t="shared" si="4"/>
        <v>0.33014932855863927</v>
      </c>
      <c r="K32" s="55">
        <f t="shared" si="5"/>
        <v>0.0033014932855863926</v>
      </c>
      <c r="L32" s="63">
        <f t="shared" si="6"/>
        <v>0.33014932855863927</v>
      </c>
      <c r="M32" s="55">
        <f t="shared" si="7"/>
        <v>0.0033014932855863926</v>
      </c>
      <c r="N32" s="55"/>
      <c r="O32" s="44">
        <f t="shared" si="8"/>
        <v>0.30001365745856357</v>
      </c>
      <c r="P32" s="55">
        <f t="shared" si="9"/>
        <v>0.0030001365745856356</v>
      </c>
      <c r="Q32" s="63">
        <f t="shared" si="10"/>
        <v>0.30001365745856357</v>
      </c>
      <c r="R32" s="55">
        <f t="shared" si="11"/>
        <v>0.0030001365745856356</v>
      </c>
      <c r="AU32" s="65">
        <v>40.1</v>
      </c>
      <c r="AW32" s="27">
        <v>36</v>
      </c>
      <c r="AY32" s="27">
        <v>32.6</v>
      </c>
    </row>
    <row r="33" spans="2:51" ht="12.75">
      <c r="B33" s="26" t="s">
        <v>75</v>
      </c>
      <c r="C33" s="57">
        <v>0.01</v>
      </c>
      <c r="D33" s="57"/>
      <c r="E33" s="39">
        <f t="shared" si="0"/>
        <v>0.028590157894736845</v>
      </c>
      <c r="F33" s="55">
        <f t="shared" si="1"/>
        <v>0.0002859015789473685</v>
      </c>
      <c r="G33" s="55">
        <f t="shared" si="2"/>
        <v>0.028590157894736845</v>
      </c>
      <c r="H33" s="55">
        <f t="shared" si="3"/>
        <v>0.0002859015789473685</v>
      </c>
      <c r="I33" s="55"/>
      <c r="J33" s="51">
        <f t="shared" si="4"/>
        <v>0.0238441181736795</v>
      </c>
      <c r="K33" s="55">
        <f t="shared" si="5"/>
        <v>0.00023844118173679498</v>
      </c>
      <c r="L33" s="63">
        <f t="shared" si="6"/>
        <v>0.0238441181736795</v>
      </c>
      <c r="M33" s="55">
        <f t="shared" si="7"/>
        <v>0.00023844118173679498</v>
      </c>
      <c r="N33" s="55"/>
      <c r="O33" s="44">
        <f t="shared" si="8"/>
        <v>0.02576804419889502</v>
      </c>
      <c r="P33" s="55">
        <f t="shared" si="9"/>
        <v>0.0002576804419889502</v>
      </c>
      <c r="Q33" s="63">
        <f t="shared" si="10"/>
        <v>0.02576804419889502</v>
      </c>
      <c r="R33" s="55">
        <f t="shared" si="11"/>
        <v>0.0002576804419889502</v>
      </c>
      <c r="AU33" s="65">
        <v>3.1</v>
      </c>
      <c r="AW33" s="27">
        <v>2.6</v>
      </c>
      <c r="AY33" s="27">
        <v>2.8</v>
      </c>
    </row>
    <row r="34" spans="2:51" ht="12.75">
      <c r="B34" s="26" t="s">
        <v>76</v>
      </c>
      <c r="C34" s="57">
        <v>0</v>
      </c>
      <c r="D34" s="57"/>
      <c r="E34" s="39">
        <f t="shared" si="0"/>
        <v>0.13188363157894734</v>
      </c>
      <c r="F34" s="64">
        <f t="shared" si="1"/>
        <v>0</v>
      </c>
      <c r="G34" s="55">
        <f t="shared" si="2"/>
        <v>0.13188363157894734</v>
      </c>
      <c r="H34" s="64">
        <f t="shared" si="3"/>
        <v>0</v>
      </c>
      <c r="I34" s="55"/>
      <c r="J34" s="51">
        <f t="shared" si="4"/>
        <v>0.11646934646374214</v>
      </c>
      <c r="K34" s="64">
        <f t="shared" si="5"/>
        <v>0</v>
      </c>
      <c r="L34" s="63">
        <f t="shared" si="6"/>
        <v>0.11646934646374214</v>
      </c>
      <c r="M34" s="64">
        <f t="shared" si="7"/>
        <v>0</v>
      </c>
      <c r="N34" s="55"/>
      <c r="O34" s="44">
        <f t="shared" si="8"/>
        <v>0.11411562430939225</v>
      </c>
      <c r="P34" s="55">
        <f t="shared" si="9"/>
        <v>0</v>
      </c>
      <c r="Q34" s="63">
        <f t="shared" si="10"/>
        <v>0.11411562430939225</v>
      </c>
      <c r="R34" s="55">
        <f t="shared" si="11"/>
        <v>0</v>
      </c>
      <c r="AU34" s="65">
        <f>57.5-AU33-AU32</f>
        <v>14.299999999999997</v>
      </c>
      <c r="AW34" s="27">
        <f>51.3-AW32-AW33</f>
        <v>12.699999999999998</v>
      </c>
      <c r="AY34" s="27">
        <f>47.8-AY33-AY32</f>
        <v>12.399999999999999</v>
      </c>
    </row>
    <row r="35" spans="2:51" ht="12.75">
      <c r="B35" s="26" t="s">
        <v>77</v>
      </c>
      <c r="C35" s="57">
        <v>0.001</v>
      </c>
      <c r="D35" s="57"/>
      <c r="E35" s="39">
        <f t="shared" si="0"/>
        <v>0.1595515263157895</v>
      </c>
      <c r="F35" s="55">
        <f t="shared" si="1"/>
        <v>0.0001595515263157895</v>
      </c>
      <c r="G35" s="55">
        <f t="shared" si="2"/>
        <v>0.1595515263157895</v>
      </c>
      <c r="H35" s="55">
        <f t="shared" si="3"/>
        <v>0.0001595515263157895</v>
      </c>
      <c r="I35" s="55"/>
      <c r="J35" s="51">
        <f t="shared" si="4"/>
        <v>0.15040136078782454</v>
      </c>
      <c r="K35" s="55">
        <f t="shared" si="5"/>
        <v>0.00015040136078782454</v>
      </c>
      <c r="L35" s="63">
        <f t="shared" si="6"/>
        <v>0.15040136078782454</v>
      </c>
      <c r="M35" s="55">
        <f t="shared" si="7"/>
        <v>0.00015040136078782454</v>
      </c>
      <c r="N35" s="55"/>
      <c r="O35" s="44">
        <f t="shared" si="8"/>
        <v>0.15000682872928178</v>
      </c>
      <c r="P35" s="55">
        <f t="shared" si="9"/>
        <v>0.00015000682872928179</v>
      </c>
      <c r="Q35" s="63">
        <f t="shared" si="10"/>
        <v>0.15000682872928178</v>
      </c>
      <c r="R35" s="55">
        <f t="shared" si="11"/>
        <v>0.00015000682872928179</v>
      </c>
      <c r="AU35" s="65">
        <v>17.3</v>
      </c>
      <c r="AW35" s="27">
        <v>16.4</v>
      </c>
      <c r="AY35" s="27">
        <v>16.3</v>
      </c>
    </row>
    <row r="36" spans="3:51" ht="12.75">
      <c r="C36" s="57"/>
      <c r="D36" s="57"/>
      <c r="E36" s="55"/>
      <c r="G36" s="55"/>
      <c r="I36" s="55"/>
      <c r="J36" s="39"/>
      <c r="K36" s="55"/>
      <c r="L36" s="55"/>
      <c r="M36" s="55"/>
      <c r="N36" s="55"/>
      <c r="O36" s="39"/>
      <c r="P36" s="55"/>
      <c r="Q36" s="55"/>
      <c r="R36" s="55"/>
      <c r="AU36" s="57"/>
      <c r="AY36" s="55"/>
    </row>
    <row r="37" spans="2:51" ht="12.75">
      <c r="B37" s="26" t="s">
        <v>91</v>
      </c>
      <c r="E37" s="28"/>
      <c r="F37" s="64">
        <v>1064</v>
      </c>
      <c r="G37" s="28"/>
      <c r="H37" s="64">
        <v>1064</v>
      </c>
      <c r="I37" s="28"/>
      <c r="J37" s="28"/>
      <c r="K37" s="64">
        <v>1117</v>
      </c>
      <c r="L37" s="28"/>
      <c r="M37" s="64">
        <v>1117</v>
      </c>
      <c r="N37" s="28"/>
      <c r="O37" s="28"/>
      <c r="P37" s="66">
        <v>1086</v>
      </c>
      <c r="Q37" s="28"/>
      <c r="R37" s="66">
        <v>1086</v>
      </c>
      <c r="AY37" s="28"/>
    </row>
    <row r="38" spans="2:51" ht="12.75">
      <c r="B38" s="26" t="s">
        <v>78</v>
      </c>
      <c r="E38" s="28"/>
      <c r="F38" s="27">
        <v>129.8</v>
      </c>
      <c r="G38" s="27">
        <v>129.8</v>
      </c>
      <c r="H38" s="27">
        <v>129.8</v>
      </c>
      <c r="I38" s="28"/>
      <c r="J38" s="28"/>
      <c r="K38" s="27">
        <v>135.5</v>
      </c>
      <c r="L38" s="27">
        <v>135.5</v>
      </c>
      <c r="M38" s="27">
        <v>135.5</v>
      </c>
      <c r="N38" s="28"/>
      <c r="O38" s="28"/>
      <c r="P38" s="28">
        <v>132.2</v>
      </c>
      <c r="Q38" s="28">
        <v>132.2</v>
      </c>
      <c r="R38" s="28">
        <v>132.2</v>
      </c>
      <c r="AY38" s="28"/>
    </row>
    <row r="39" spans="2:51" ht="12.75">
      <c r="B39" s="26" t="s">
        <v>79</v>
      </c>
      <c r="E39" s="28"/>
      <c r="F39" s="27">
        <v>8.7</v>
      </c>
      <c r="G39" s="27">
        <v>8.7</v>
      </c>
      <c r="H39" s="27">
        <v>8.7</v>
      </c>
      <c r="I39" s="28"/>
      <c r="J39" s="28"/>
      <c r="K39" s="27">
        <v>7.9</v>
      </c>
      <c r="L39" s="27">
        <v>7.9</v>
      </c>
      <c r="M39" s="27">
        <v>7.9</v>
      </c>
      <c r="N39" s="28"/>
      <c r="O39" s="28"/>
      <c r="P39" s="28">
        <v>7.9</v>
      </c>
      <c r="Q39" s="28">
        <v>7.9</v>
      </c>
      <c r="R39" s="28">
        <v>7.9</v>
      </c>
      <c r="AY39" s="28"/>
    </row>
    <row r="40" spans="5:51" ht="12.75">
      <c r="E40" s="28"/>
      <c r="F40" s="39"/>
      <c r="G40" s="28"/>
      <c r="H40" s="39"/>
      <c r="I40" s="39"/>
      <c r="J40" s="28"/>
      <c r="K40" s="39"/>
      <c r="L40" s="28"/>
      <c r="M40" s="39"/>
      <c r="N40" s="28"/>
      <c r="O40" s="28"/>
      <c r="P40" s="28"/>
      <c r="Q40" s="28"/>
      <c r="R40" s="28"/>
      <c r="AY40" s="28"/>
    </row>
    <row r="41" spans="2:47" ht="12.75">
      <c r="B41" s="26" t="s">
        <v>80</v>
      </c>
      <c r="C41" s="55"/>
      <c r="D41" s="55"/>
      <c r="E41" s="55"/>
      <c r="F41" s="55">
        <f>SUM(F11:F35)</f>
        <v>0.20269130778947367</v>
      </c>
      <c r="G41" s="27">
        <f>SUM(G11:G35)</f>
        <v>12.723542526315793</v>
      </c>
      <c r="H41" s="55">
        <f>SUM(H11:H35)</f>
        <v>0.20269130778947367</v>
      </c>
      <c r="I41" s="55"/>
      <c r="J41" s="55"/>
      <c r="K41" s="55">
        <f>SUM(K11:K35)</f>
        <v>0.18759451681289172</v>
      </c>
      <c r="L41" s="27">
        <f>SUM(L11:L35)</f>
        <v>11.483694145031334</v>
      </c>
      <c r="M41" s="55">
        <f>SUM(M11:M35)</f>
        <v>0.18759451681289172</v>
      </c>
      <c r="N41" s="55"/>
      <c r="O41" s="55"/>
      <c r="P41" s="55">
        <f>SUM(P11:P35)</f>
        <v>0.1746714484640884</v>
      </c>
      <c r="Q41" s="27">
        <f>SUM(Q11:Q35)</f>
        <v>10.620115359116019</v>
      </c>
      <c r="R41" s="55">
        <f>SUM(R11:R35)</f>
        <v>0.1746714484640884</v>
      </c>
      <c r="AU41" s="55"/>
    </row>
    <row r="42" spans="2:47" ht="12.75">
      <c r="B42" s="26" t="s">
        <v>81</v>
      </c>
      <c r="C42" s="55"/>
      <c r="D42" s="55"/>
      <c r="E42" s="55"/>
      <c r="F42" s="55">
        <f>F41/F38/0.0283*(21-7)/(21-F39)</f>
        <v>0.06280539062039307</v>
      </c>
      <c r="G42" s="28">
        <f>(G41/G38/0.0283*(21-7)/(21-G39))</f>
        <v>3.942483114620993</v>
      </c>
      <c r="H42" s="55">
        <f>H41/H38/0.0283*(21-7)/(21-H39)</f>
        <v>0.06280539062039307</v>
      </c>
      <c r="I42" s="55"/>
      <c r="J42" s="55"/>
      <c r="K42" s="55">
        <f>K41/K38/0.0283*(21-7)/(21-K39)</f>
        <v>0.05228187441453616</v>
      </c>
      <c r="L42" s="28">
        <f>(L41/L38/0.0283*(21-7)/(21-L39))</f>
        <v>3.2004616409140856</v>
      </c>
      <c r="M42" s="55">
        <f>M41/M38/0.0283*(21-7)/(21-M39)</f>
        <v>0.05228187441453616</v>
      </c>
      <c r="N42" s="55"/>
      <c r="O42" s="55"/>
      <c r="P42" s="63">
        <f>P41/P38/0.0283*(21-7)/(21-P39)</f>
        <v>0.049895430145063965</v>
      </c>
      <c r="Q42" s="28">
        <f>(Q41/Q38/0.0283*(21-7)/(21-Q39))</f>
        <v>3.033668230799827</v>
      </c>
      <c r="R42" s="63">
        <f>R41/R38/0.0283*(21-7)/(21-R39)</f>
        <v>0.049895430145063965</v>
      </c>
      <c r="AU42" s="55"/>
    </row>
    <row r="43" spans="3:47" ht="12.75">
      <c r="C43" s="55"/>
      <c r="D43" s="55"/>
      <c r="E43" s="55"/>
      <c r="G43" s="28"/>
      <c r="I43" s="55"/>
      <c r="J43" s="55"/>
      <c r="K43" s="55"/>
      <c r="L43" s="28"/>
      <c r="M43" s="55"/>
      <c r="N43" s="55"/>
      <c r="O43" s="55"/>
      <c r="P43" s="55"/>
      <c r="Q43" s="28"/>
      <c r="R43" s="55"/>
      <c r="AU43" s="55"/>
    </row>
    <row r="44" spans="2:47" ht="12.75">
      <c r="B44" s="26" t="s">
        <v>125</v>
      </c>
      <c r="C44" s="28">
        <f>AVERAGE(H42,M42,R42)</f>
        <v>0.0549942317266644</v>
      </c>
      <c r="D44" s="55"/>
      <c r="E44" s="55"/>
      <c r="G44" s="28"/>
      <c r="I44" s="55"/>
      <c r="J44" s="55"/>
      <c r="K44" s="55"/>
      <c r="L44" s="28"/>
      <c r="M44" s="55"/>
      <c r="N44" s="55"/>
      <c r="O44" s="55"/>
      <c r="P44" s="55"/>
      <c r="Q44" s="28"/>
      <c r="R44" s="55"/>
      <c r="AU44" s="55"/>
    </row>
    <row r="45" spans="2:47" ht="12.75">
      <c r="B45" s="26" t="s">
        <v>126</v>
      </c>
      <c r="C45" s="28">
        <f>AVERAGE(G42,L42,Q42)</f>
        <v>3.392204328778302</v>
      </c>
      <c r="D45" s="55"/>
      <c r="E45" s="55"/>
      <c r="G45" s="28"/>
      <c r="I45" s="55"/>
      <c r="J45" s="55"/>
      <c r="K45" s="55"/>
      <c r="L45" s="28"/>
      <c r="M45" s="55"/>
      <c r="N45" s="55"/>
      <c r="O45" s="55"/>
      <c r="P45" s="55"/>
      <c r="Q45" s="28"/>
      <c r="R45" s="55"/>
      <c r="AU45" s="55"/>
    </row>
    <row r="46" ht="12.75">
      <c r="B46" s="25"/>
    </row>
    <row r="48" spans="5:7" ht="12.75">
      <c r="E48" s="26"/>
      <c r="G48" s="26"/>
    </row>
    <row r="49" spans="4:47" ht="12.75">
      <c r="D49" s="57"/>
      <c r="E49" s="26"/>
      <c r="F49" s="58"/>
      <c r="G49" s="26"/>
      <c r="H49" s="58"/>
      <c r="AU49" s="57"/>
    </row>
    <row r="50" spans="4:47" ht="12.75">
      <c r="D50" s="57"/>
      <c r="E50" s="26"/>
      <c r="G50" s="26"/>
      <c r="AU50" s="57"/>
    </row>
    <row r="51" spans="2:47" ht="12.75">
      <c r="B51" s="25"/>
      <c r="C51" s="57"/>
      <c r="D51" s="57"/>
      <c r="E51" s="60"/>
      <c r="G51" s="60"/>
      <c r="J51" s="60"/>
      <c r="L51" s="60"/>
      <c r="O51" s="60"/>
      <c r="Q51" s="60"/>
      <c r="AU51" s="57"/>
    </row>
    <row r="52" spans="3:47" ht="12.75">
      <c r="C52" s="57"/>
      <c r="D52" s="57"/>
      <c r="E52" s="61"/>
      <c r="F52" s="61"/>
      <c r="G52" s="61"/>
      <c r="H52" s="61"/>
      <c r="I52" s="62"/>
      <c r="J52" s="61"/>
      <c r="K52" s="61"/>
      <c r="L52" s="61"/>
      <c r="M52" s="61"/>
      <c r="N52" s="62"/>
      <c r="O52" s="61"/>
      <c r="P52" s="61"/>
      <c r="Q52" s="61"/>
      <c r="R52" s="61"/>
      <c r="AU52" s="57"/>
    </row>
    <row r="53" spans="3:47" ht="12.75">
      <c r="C53" s="57"/>
      <c r="E53" s="60"/>
      <c r="F53" s="58"/>
      <c r="G53" s="60"/>
      <c r="H53" s="58"/>
      <c r="J53" s="60"/>
      <c r="K53" s="60"/>
      <c r="L53" s="60"/>
      <c r="M53" s="60"/>
      <c r="O53" s="60"/>
      <c r="P53" s="60"/>
      <c r="Q53" s="60"/>
      <c r="R53" s="60"/>
      <c r="AU53" s="60"/>
    </row>
    <row r="54" spans="3:47" ht="12.75">
      <c r="C54" s="57"/>
      <c r="E54" s="60"/>
      <c r="G54" s="60"/>
      <c r="J54" s="60"/>
      <c r="K54" s="55"/>
      <c r="L54" s="60"/>
      <c r="M54" s="55"/>
      <c r="O54" s="60"/>
      <c r="P54" s="55"/>
      <c r="Q54" s="60"/>
      <c r="R54" s="55"/>
      <c r="AU54" s="56"/>
    </row>
    <row r="56" spans="3:47" ht="12.75">
      <c r="C56" s="57"/>
      <c r="D56" s="57"/>
      <c r="E56" s="51"/>
      <c r="G56" s="55"/>
      <c r="I56" s="55"/>
      <c r="J56" s="44"/>
      <c r="K56" s="55"/>
      <c r="L56" s="55"/>
      <c r="M56" s="55"/>
      <c r="N56" s="55"/>
      <c r="O56" s="44"/>
      <c r="P56" s="55"/>
      <c r="Q56" s="55"/>
      <c r="R56" s="55"/>
      <c r="AU56" s="65"/>
    </row>
    <row r="57" spans="3:47" ht="12.75">
      <c r="C57" s="57"/>
      <c r="D57" s="57"/>
      <c r="E57" s="51"/>
      <c r="F57" s="64"/>
      <c r="G57" s="55"/>
      <c r="H57" s="64"/>
      <c r="I57" s="55"/>
      <c r="J57" s="44"/>
      <c r="K57" s="64"/>
      <c r="L57" s="55"/>
      <c r="M57" s="64"/>
      <c r="N57" s="55"/>
      <c r="O57" s="44"/>
      <c r="P57" s="64"/>
      <c r="Q57" s="55"/>
      <c r="R57" s="64"/>
      <c r="AU57" s="65"/>
    </row>
    <row r="58" spans="3:47" ht="12.75">
      <c r="C58" s="57"/>
      <c r="D58" s="57"/>
      <c r="E58" s="51"/>
      <c r="G58" s="55"/>
      <c r="I58" s="55"/>
      <c r="J58" s="44"/>
      <c r="K58" s="55"/>
      <c r="L58" s="55"/>
      <c r="M58" s="55"/>
      <c r="N58" s="55"/>
      <c r="O58" s="44"/>
      <c r="P58" s="55"/>
      <c r="Q58" s="55"/>
      <c r="R58" s="55"/>
      <c r="AU58" s="65"/>
    </row>
    <row r="59" spans="3:47" ht="12.75">
      <c r="C59" s="57"/>
      <c r="D59" s="57"/>
      <c r="E59" s="51"/>
      <c r="F59" s="64"/>
      <c r="G59" s="55"/>
      <c r="H59" s="64"/>
      <c r="I59" s="55"/>
      <c r="J59" s="44"/>
      <c r="K59" s="64"/>
      <c r="L59" s="55"/>
      <c r="M59" s="64"/>
      <c r="N59" s="55"/>
      <c r="O59" s="44"/>
      <c r="P59" s="64"/>
      <c r="Q59" s="55"/>
      <c r="R59" s="64"/>
      <c r="AU59" s="65"/>
    </row>
    <row r="60" spans="3:47" ht="12.75">
      <c r="C60" s="57"/>
      <c r="D60" s="57"/>
      <c r="E60" s="51"/>
      <c r="G60" s="55"/>
      <c r="I60" s="55"/>
      <c r="J60" s="44"/>
      <c r="K60" s="55"/>
      <c r="L60" s="55"/>
      <c r="M60" s="55"/>
      <c r="N60" s="55"/>
      <c r="O60" s="44"/>
      <c r="P60" s="55"/>
      <c r="Q60" s="55"/>
      <c r="R60" s="55"/>
      <c r="AU60" s="65"/>
    </row>
    <row r="61" spans="3:47" ht="12.75">
      <c r="C61" s="57"/>
      <c r="D61" s="57"/>
      <c r="E61" s="51"/>
      <c r="G61" s="55"/>
      <c r="I61" s="55"/>
      <c r="J61" s="44"/>
      <c r="K61" s="55"/>
      <c r="L61" s="55"/>
      <c r="M61" s="55"/>
      <c r="N61" s="55"/>
      <c r="O61" s="44"/>
      <c r="P61" s="55"/>
      <c r="Q61" s="55"/>
      <c r="R61" s="55"/>
      <c r="AU61" s="65"/>
    </row>
    <row r="62" spans="3:47" ht="12.75">
      <c r="C62" s="57"/>
      <c r="D62" s="57"/>
      <c r="E62" s="51"/>
      <c r="G62" s="55"/>
      <c r="I62" s="55"/>
      <c r="J62" s="44"/>
      <c r="K62" s="55"/>
      <c r="L62" s="55"/>
      <c r="M62" s="55"/>
      <c r="N62" s="55"/>
      <c r="O62" s="44"/>
      <c r="P62" s="55"/>
      <c r="Q62" s="55"/>
      <c r="R62" s="55"/>
      <c r="AU62" s="65"/>
    </row>
    <row r="63" spans="3:47" ht="12.75">
      <c r="C63" s="57"/>
      <c r="D63" s="57"/>
      <c r="E63" s="51"/>
      <c r="F63" s="64"/>
      <c r="G63" s="55"/>
      <c r="H63" s="64"/>
      <c r="I63" s="55"/>
      <c r="J63" s="44"/>
      <c r="K63" s="64"/>
      <c r="L63" s="55"/>
      <c r="M63" s="64"/>
      <c r="N63" s="55"/>
      <c r="O63" s="44"/>
      <c r="P63" s="64"/>
      <c r="Q63" s="55"/>
      <c r="R63" s="64"/>
      <c r="AU63" s="65"/>
    </row>
    <row r="64" spans="3:47" ht="12.75">
      <c r="C64" s="57"/>
      <c r="D64" s="57"/>
      <c r="E64" s="51"/>
      <c r="G64" s="55"/>
      <c r="I64" s="55"/>
      <c r="J64" s="44"/>
      <c r="K64" s="55"/>
      <c r="L64" s="55"/>
      <c r="M64" s="55"/>
      <c r="N64" s="55"/>
      <c r="O64" s="44"/>
      <c r="P64" s="55"/>
      <c r="Q64" s="55"/>
      <c r="R64" s="55"/>
      <c r="AU64" s="65"/>
    </row>
    <row r="65" spans="3:47" ht="12.75">
      <c r="C65" s="57"/>
      <c r="D65" s="57"/>
      <c r="E65" s="51"/>
      <c r="F65" s="64"/>
      <c r="G65" s="55"/>
      <c r="H65" s="64"/>
      <c r="I65" s="55"/>
      <c r="J65" s="44"/>
      <c r="K65" s="64"/>
      <c r="L65" s="55"/>
      <c r="M65" s="64"/>
      <c r="N65" s="55"/>
      <c r="O65" s="44"/>
      <c r="P65" s="64"/>
      <c r="Q65" s="55"/>
      <c r="R65" s="64"/>
      <c r="AU65" s="65"/>
    </row>
    <row r="66" spans="3:47" ht="12.75">
      <c r="C66" s="57"/>
      <c r="D66" s="57"/>
      <c r="E66" s="51"/>
      <c r="G66" s="55"/>
      <c r="I66" s="55"/>
      <c r="J66" s="44"/>
      <c r="K66" s="55"/>
      <c r="L66" s="55"/>
      <c r="M66" s="55"/>
      <c r="N66" s="55"/>
      <c r="O66" s="44"/>
      <c r="P66" s="55"/>
      <c r="Q66" s="55"/>
      <c r="R66" s="55"/>
      <c r="AU66" s="65"/>
    </row>
    <row r="67" spans="3:47" ht="12.75">
      <c r="C67" s="57"/>
      <c r="D67" s="57"/>
      <c r="E67" s="51"/>
      <c r="G67" s="55"/>
      <c r="I67" s="55"/>
      <c r="J67" s="44"/>
      <c r="K67" s="55"/>
      <c r="L67" s="55"/>
      <c r="M67" s="55"/>
      <c r="N67" s="55"/>
      <c r="O67" s="44"/>
      <c r="P67" s="55"/>
      <c r="Q67" s="55"/>
      <c r="R67" s="55"/>
      <c r="AU67" s="65"/>
    </row>
    <row r="68" spans="3:47" ht="12.75">
      <c r="C68" s="57"/>
      <c r="D68" s="57"/>
      <c r="E68" s="51"/>
      <c r="F68" s="64"/>
      <c r="G68" s="55"/>
      <c r="H68" s="64"/>
      <c r="I68" s="55"/>
      <c r="J68" s="44"/>
      <c r="K68" s="64"/>
      <c r="L68" s="55"/>
      <c r="M68" s="64"/>
      <c r="N68" s="55"/>
      <c r="O68" s="44"/>
      <c r="P68" s="55"/>
      <c r="Q68" s="55"/>
      <c r="R68" s="55"/>
      <c r="AU68" s="65"/>
    </row>
    <row r="69" spans="3:47" ht="12.75">
      <c r="C69" s="57"/>
      <c r="D69" s="57"/>
      <c r="E69" s="51"/>
      <c r="G69" s="55"/>
      <c r="I69" s="55"/>
      <c r="J69" s="44"/>
      <c r="K69" s="55"/>
      <c r="L69" s="55"/>
      <c r="M69" s="55"/>
      <c r="N69" s="55"/>
      <c r="O69" s="44"/>
      <c r="P69" s="55"/>
      <c r="Q69" s="55"/>
      <c r="R69" s="55"/>
      <c r="AU69" s="65"/>
    </row>
    <row r="70" spans="3:47" ht="12.75">
      <c r="C70" s="57"/>
      <c r="D70" s="57"/>
      <c r="E70" s="51"/>
      <c r="G70" s="55"/>
      <c r="I70" s="55"/>
      <c r="J70" s="44"/>
      <c r="K70" s="55"/>
      <c r="L70" s="55"/>
      <c r="M70" s="55"/>
      <c r="N70" s="55"/>
      <c r="O70" s="44"/>
      <c r="P70" s="55"/>
      <c r="Q70" s="55"/>
      <c r="R70" s="55"/>
      <c r="AU70" s="65"/>
    </row>
    <row r="71" spans="3:47" ht="12.75">
      <c r="C71" s="57"/>
      <c r="D71" s="57"/>
      <c r="E71" s="51"/>
      <c r="F71" s="64"/>
      <c r="G71" s="55"/>
      <c r="H71" s="64"/>
      <c r="I71" s="55"/>
      <c r="J71" s="44"/>
      <c r="K71" s="55"/>
      <c r="L71" s="55"/>
      <c r="M71" s="55"/>
      <c r="N71" s="55"/>
      <c r="O71" s="44"/>
      <c r="P71" s="64"/>
      <c r="Q71" s="55"/>
      <c r="R71" s="64"/>
      <c r="AU71" s="65"/>
    </row>
    <row r="72" spans="3:47" ht="12.75">
      <c r="C72" s="57"/>
      <c r="D72" s="57"/>
      <c r="E72" s="51"/>
      <c r="F72" s="63"/>
      <c r="G72" s="55"/>
      <c r="H72" s="63"/>
      <c r="I72" s="55"/>
      <c r="J72" s="44"/>
      <c r="K72" s="55"/>
      <c r="L72" s="55"/>
      <c r="M72" s="55"/>
      <c r="N72" s="55"/>
      <c r="O72" s="44"/>
      <c r="P72" s="63"/>
      <c r="Q72" s="55"/>
      <c r="R72" s="63"/>
      <c r="AU72" s="65"/>
    </row>
    <row r="73" spans="3:47" ht="12.75">
      <c r="C73" s="57"/>
      <c r="D73" s="57"/>
      <c r="E73" s="51"/>
      <c r="F73" s="63"/>
      <c r="G73" s="55"/>
      <c r="H73" s="63"/>
      <c r="I73" s="55"/>
      <c r="J73" s="44"/>
      <c r="K73" s="55"/>
      <c r="L73" s="55"/>
      <c r="M73" s="55"/>
      <c r="N73" s="55"/>
      <c r="O73" s="44"/>
      <c r="P73" s="63"/>
      <c r="Q73" s="55"/>
      <c r="R73" s="63"/>
      <c r="AU73" s="65"/>
    </row>
    <row r="74" spans="3:47" ht="12.75">
      <c r="C74" s="57"/>
      <c r="D74" s="57"/>
      <c r="E74" s="51"/>
      <c r="G74" s="55"/>
      <c r="I74" s="55"/>
      <c r="J74" s="44"/>
      <c r="K74" s="55"/>
      <c r="L74" s="55"/>
      <c r="M74" s="55"/>
      <c r="N74" s="55"/>
      <c r="O74" s="44"/>
      <c r="P74" s="55"/>
      <c r="Q74" s="55"/>
      <c r="R74" s="55"/>
      <c r="AU74" s="65"/>
    </row>
    <row r="75" spans="3:18" ht="12.75">
      <c r="C75" s="57"/>
      <c r="D75" s="57"/>
      <c r="E75" s="51"/>
      <c r="G75" s="55"/>
      <c r="I75" s="55"/>
      <c r="J75" s="44"/>
      <c r="K75" s="55"/>
      <c r="L75" s="55"/>
      <c r="M75" s="55"/>
      <c r="N75" s="55"/>
      <c r="O75" s="44"/>
      <c r="P75" s="55"/>
      <c r="Q75" s="55"/>
      <c r="R75" s="55"/>
    </row>
    <row r="76" spans="3:18" ht="12.75">
      <c r="C76" s="57"/>
      <c r="D76" s="57"/>
      <c r="E76" s="51"/>
      <c r="F76" s="64"/>
      <c r="G76" s="55"/>
      <c r="H76" s="64"/>
      <c r="I76" s="55"/>
      <c r="J76" s="44"/>
      <c r="K76" s="64"/>
      <c r="L76" s="55"/>
      <c r="M76" s="64"/>
      <c r="N76" s="55"/>
      <c r="O76" s="44"/>
      <c r="P76" s="64"/>
      <c r="Q76" s="55"/>
      <c r="R76" s="64"/>
    </row>
    <row r="77" spans="3:18" ht="12.75">
      <c r="C77" s="57"/>
      <c r="D77" s="57"/>
      <c r="E77" s="51"/>
      <c r="G77" s="55"/>
      <c r="I77" s="55"/>
      <c r="J77" s="44"/>
      <c r="K77" s="55"/>
      <c r="L77" s="55"/>
      <c r="M77" s="55"/>
      <c r="N77" s="55"/>
      <c r="O77" s="44"/>
      <c r="P77" s="55"/>
      <c r="Q77" s="55"/>
      <c r="R77" s="55"/>
    </row>
    <row r="78" spans="3:18" ht="12.75">
      <c r="C78" s="57"/>
      <c r="D78" s="57"/>
      <c r="E78" s="51"/>
      <c r="G78" s="55"/>
      <c r="I78" s="55"/>
      <c r="J78" s="44"/>
      <c r="K78" s="55"/>
      <c r="L78" s="55"/>
      <c r="M78" s="55"/>
      <c r="N78" s="55"/>
      <c r="O78" s="44"/>
      <c r="P78" s="55"/>
      <c r="Q78" s="55"/>
      <c r="R78" s="55"/>
    </row>
    <row r="79" spans="3:18" ht="12.75">
      <c r="C79" s="57"/>
      <c r="D79" s="57"/>
      <c r="E79" s="51"/>
      <c r="F79" s="64"/>
      <c r="G79" s="55"/>
      <c r="H79" s="64"/>
      <c r="I79" s="55"/>
      <c r="J79" s="44"/>
      <c r="K79" s="64"/>
      <c r="L79" s="55"/>
      <c r="M79" s="64"/>
      <c r="N79" s="55"/>
      <c r="O79" s="44"/>
      <c r="P79" s="64"/>
      <c r="Q79" s="55"/>
      <c r="R79" s="64"/>
    </row>
    <row r="80" spans="3:18" ht="12.75">
      <c r="C80" s="57"/>
      <c r="D80" s="57"/>
      <c r="E80" s="51"/>
      <c r="G80" s="55"/>
      <c r="I80" s="55"/>
      <c r="J80" s="44"/>
      <c r="K80" s="55"/>
      <c r="L80" s="55"/>
      <c r="M80" s="55"/>
      <c r="N80" s="55"/>
      <c r="O80" s="44"/>
      <c r="P80" s="55"/>
      <c r="Q80" s="55"/>
      <c r="R80" s="55"/>
    </row>
    <row r="81" spans="3:18" ht="12.75">
      <c r="C81" s="57"/>
      <c r="D81" s="57"/>
      <c r="E81" s="55"/>
      <c r="G81" s="55"/>
      <c r="I81" s="55"/>
      <c r="J81" s="39"/>
      <c r="K81" s="55"/>
      <c r="L81" s="55"/>
      <c r="M81" s="55"/>
      <c r="N81" s="55"/>
      <c r="O81" s="39"/>
      <c r="P81" s="55"/>
      <c r="Q81" s="55"/>
      <c r="R81" s="55"/>
    </row>
    <row r="82" spans="5:18" ht="12.75">
      <c r="E82" s="28"/>
      <c r="F82" s="64"/>
      <c r="G82" s="28"/>
      <c r="H82" s="64"/>
      <c r="I82" s="28"/>
      <c r="J82" s="28"/>
      <c r="K82" s="27"/>
      <c r="L82" s="28"/>
      <c r="M82" s="27"/>
      <c r="N82" s="28"/>
      <c r="O82" s="28"/>
      <c r="P82" s="66"/>
      <c r="Q82" s="28"/>
      <c r="R82" s="66"/>
    </row>
    <row r="83" spans="5:18" ht="12.75">
      <c r="E83" s="28"/>
      <c r="F83" s="28"/>
      <c r="G83" s="28"/>
      <c r="H83" s="28"/>
      <c r="I83" s="28"/>
      <c r="J83" s="28"/>
      <c r="K83" s="27"/>
      <c r="L83" s="27"/>
      <c r="M83" s="27"/>
      <c r="N83" s="28"/>
      <c r="O83" s="28"/>
      <c r="P83" s="64"/>
      <c r="Q83" s="64"/>
      <c r="R83" s="64"/>
    </row>
    <row r="84" spans="5:18" ht="12.75"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7"/>
      <c r="Q84" s="27"/>
      <c r="R84" s="27"/>
    </row>
    <row r="85" spans="5:18" ht="12.75">
      <c r="E85" s="28"/>
      <c r="F85" s="39"/>
      <c r="G85" s="28"/>
      <c r="H85" s="39"/>
      <c r="I85" s="39"/>
      <c r="J85" s="28"/>
      <c r="K85" s="39"/>
      <c r="L85" s="28"/>
      <c r="M85" s="39"/>
      <c r="N85" s="28"/>
      <c r="O85" s="28"/>
      <c r="P85" s="28"/>
      <c r="Q85" s="28"/>
      <c r="R85" s="28"/>
    </row>
    <row r="86" spans="3:18" ht="12.75">
      <c r="C86" s="55"/>
      <c r="D86" s="55"/>
      <c r="E86" s="55"/>
      <c r="G86" s="27"/>
      <c r="I86" s="55"/>
      <c r="J86" s="27"/>
      <c r="K86" s="55"/>
      <c r="L86" s="27"/>
      <c r="M86" s="55"/>
      <c r="N86" s="55"/>
      <c r="O86" s="55"/>
      <c r="P86" s="55"/>
      <c r="Q86" s="27"/>
      <c r="R86" s="55"/>
    </row>
    <row r="87" spans="3:18" ht="12.75">
      <c r="C87" s="55"/>
      <c r="D87" s="55"/>
      <c r="E87" s="55"/>
      <c r="G87" s="28"/>
      <c r="I87" s="55"/>
      <c r="J87" s="28"/>
      <c r="K87" s="55"/>
      <c r="L87" s="28"/>
      <c r="M87" s="55"/>
      <c r="N87" s="55"/>
      <c r="O87" s="55"/>
      <c r="P87" s="55"/>
      <c r="Q87" s="28"/>
      <c r="R87" s="55"/>
    </row>
    <row r="89" ht="12.75">
      <c r="C89" s="28"/>
    </row>
    <row r="90" ht="12.75">
      <c r="C90" s="28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  <rowBreaks count="1" manualBreakCount="1">
    <brk id="4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Y57"/>
  <sheetViews>
    <sheetView workbookViewId="0" topLeftCell="A27">
      <selection activeCell="B2" sqref="B2"/>
    </sheetView>
  </sheetViews>
  <sheetFormatPr defaultColWidth="9.140625" defaultRowHeight="12.75"/>
  <cols>
    <col min="1" max="1" width="1.7109375" style="2" customWidth="1"/>
    <col min="2" max="2" width="25.8515625" style="2" customWidth="1"/>
    <col min="3" max="3" width="7.8515625" style="2" customWidth="1"/>
    <col min="4" max="4" width="3.140625" style="2" customWidth="1"/>
    <col min="5" max="5" width="7.421875" style="3" customWidth="1"/>
    <col min="6" max="6" width="7.8515625" style="5" bestFit="1" customWidth="1"/>
    <col min="7" max="7" width="7.8515625" style="3" bestFit="1" customWidth="1"/>
    <col min="8" max="8" width="7.8515625" style="5" bestFit="1" customWidth="1"/>
    <col min="9" max="9" width="3.57421875" style="3" customWidth="1"/>
    <col min="10" max="10" width="6.8515625" style="3" customWidth="1"/>
    <col min="11" max="13" width="7.8515625" style="3" bestFit="1" customWidth="1"/>
    <col min="14" max="14" width="4.00390625" style="3" customWidth="1"/>
    <col min="15" max="15" width="6.8515625" style="3" customWidth="1"/>
    <col min="16" max="16" width="8.140625" style="3" customWidth="1"/>
    <col min="17" max="17" width="7.8515625" style="3" bestFit="1" customWidth="1"/>
    <col min="18" max="18" width="8.140625" style="3" customWidth="1"/>
    <col min="19" max="20" width="7.7109375" style="2" customWidth="1"/>
    <col min="21" max="25" width="9.140625" style="0" hidden="1" customWidth="1"/>
    <col min="26" max="43" width="10.8515625" style="2" hidden="1" customWidth="1"/>
    <col min="44" max="46" width="10.8515625" style="2" customWidth="1"/>
    <col min="47" max="47" width="9.8515625" style="2" customWidth="1"/>
    <col min="48" max="48" width="7.7109375" style="2" customWidth="1"/>
    <col min="49" max="49" width="7.00390625" style="2" customWidth="1"/>
    <col min="50" max="50" width="7.421875" style="2" customWidth="1"/>
    <col min="51" max="16384" width="10.8515625" style="2" customWidth="1"/>
  </cols>
  <sheetData>
    <row r="1" spans="1:18" ht="12.75">
      <c r="A1" s="25" t="s">
        <v>115</v>
      </c>
      <c r="C1" s="26"/>
      <c r="D1" s="26"/>
      <c r="E1" s="56"/>
      <c r="F1" s="55"/>
      <c r="G1" s="56"/>
      <c r="H1" s="55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18" ht="12.75">
      <c r="A2" s="26" t="s">
        <v>243</v>
      </c>
      <c r="C2" s="26"/>
      <c r="D2" s="26"/>
      <c r="E2" s="56"/>
      <c r="F2" s="55"/>
      <c r="G2" s="56"/>
      <c r="H2" s="55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12.75">
      <c r="A3" s="26" t="s">
        <v>116</v>
      </c>
      <c r="C3" s="26" t="s">
        <v>121</v>
      </c>
      <c r="D3" s="26"/>
      <c r="E3" s="26"/>
      <c r="F3" s="55"/>
      <c r="G3" s="26"/>
      <c r="H3" s="55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1:18" ht="12.75">
      <c r="A4" s="26" t="s">
        <v>117</v>
      </c>
      <c r="C4" s="26" t="s">
        <v>186</v>
      </c>
      <c r="D4" s="19" t="s">
        <v>242</v>
      </c>
      <c r="E4" s="26"/>
      <c r="F4" s="58"/>
      <c r="G4" s="26"/>
      <c r="H4" s="58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1:18" ht="12.75">
      <c r="A5" s="26" t="s">
        <v>118</v>
      </c>
      <c r="C5" s="26" t="s">
        <v>123</v>
      </c>
      <c r="D5" s="57"/>
      <c r="E5" s="26"/>
      <c r="F5" s="55"/>
      <c r="G5" s="26"/>
      <c r="H5" s="55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51" ht="12.75">
      <c r="B6" s="25"/>
      <c r="C6" s="57"/>
      <c r="D6" s="57"/>
      <c r="E6" s="60"/>
      <c r="F6" s="55"/>
      <c r="G6" s="60"/>
      <c r="H6" s="55"/>
      <c r="I6" s="56"/>
      <c r="J6" s="60"/>
      <c r="K6" s="56"/>
      <c r="L6" s="60"/>
      <c r="M6" s="56"/>
      <c r="N6" s="56"/>
      <c r="O6" s="60"/>
      <c r="P6" s="56"/>
      <c r="Q6" s="60"/>
      <c r="R6" s="56"/>
      <c r="AU6" s="2" t="s">
        <v>208</v>
      </c>
      <c r="AW6" s="2" t="s">
        <v>209</v>
      </c>
      <c r="AY6" s="2" t="s">
        <v>210</v>
      </c>
    </row>
    <row r="7" spans="2:18" ht="12.75">
      <c r="B7" s="26"/>
      <c r="C7" s="57" t="s">
        <v>44</v>
      </c>
      <c r="D7" s="57"/>
      <c r="E7" s="61" t="s">
        <v>45</v>
      </c>
      <c r="F7" s="61"/>
      <c r="G7" s="61"/>
      <c r="H7" s="61"/>
      <c r="I7" s="62"/>
      <c r="J7" s="61" t="s">
        <v>46</v>
      </c>
      <c r="K7" s="61"/>
      <c r="L7" s="61"/>
      <c r="M7" s="61"/>
      <c r="N7" s="62"/>
      <c r="O7" s="61" t="s">
        <v>47</v>
      </c>
      <c r="P7" s="61"/>
      <c r="Q7" s="61"/>
      <c r="R7" s="61"/>
    </row>
    <row r="8" spans="2:51" ht="12.75">
      <c r="B8" s="26"/>
      <c r="C8" s="57" t="s">
        <v>48</v>
      </c>
      <c r="D8" s="26"/>
      <c r="E8" s="60" t="s">
        <v>49</v>
      </c>
      <c r="F8" s="58" t="s">
        <v>50</v>
      </c>
      <c r="G8" s="60" t="s">
        <v>49</v>
      </c>
      <c r="H8" s="58" t="s">
        <v>50</v>
      </c>
      <c r="I8" s="56"/>
      <c r="J8" s="60" t="s">
        <v>49</v>
      </c>
      <c r="K8" s="60" t="s">
        <v>51</v>
      </c>
      <c r="L8" s="60" t="s">
        <v>49</v>
      </c>
      <c r="M8" s="60" t="s">
        <v>51</v>
      </c>
      <c r="N8" s="56"/>
      <c r="O8" s="60" t="s">
        <v>49</v>
      </c>
      <c r="P8" s="60" t="s">
        <v>51</v>
      </c>
      <c r="Q8" s="60" t="s">
        <v>49</v>
      </c>
      <c r="R8" s="60" t="s">
        <v>51</v>
      </c>
      <c r="AU8" s="60" t="s">
        <v>92</v>
      </c>
      <c r="AW8" s="56" t="s">
        <v>92</v>
      </c>
      <c r="AY8" s="56" t="s">
        <v>92</v>
      </c>
    </row>
    <row r="9" spans="2:51" ht="14.25">
      <c r="B9" s="26"/>
      <c r="C9" s="57"/>
      <c r="D9" s="26"/>
      <c r="E9" s="60" t="s">
        <v>94</v>
      </c>
      <c r="F9" s="55" t="s">
        <v>120</v>
      </c>
      <c r="G9" s="60" t="s">
        <v>119</v>
      </c>
      <c r="H9" s="55" t="s">
        <v>120</v>
      </c>
      <c r="I9" s="56"/>
      <c r="J9" s="60" t="s">
        <v>94</v>
      </c>
      <c r="K9" s="55" t="s">
        <v>120</v>
      </c>
      <c r="L9" s="60" t="s">
        <v>119</v>
      </c>
      <c r="M9" s="55" t="s">
        <v>120</v>
      </c>
      <c r="N9" s="56"/>
      <c r="O9" s="60" t="s">
        <v>94</v>
      </c>
      <c r="P9" s="55" t="s">
        <v>120</v>
      </c>
      <c r="Q9" s="60" t="s">
        <v>120</v>
      </c>
      <c r="R9" s="55" t="s">
        <v>120</v>
      </c>
      <c r="AU9" s="56" t="s">
        <v>127</v>
      </c>
      <c r="AW9" s="56" t="s">
        <v>127</v>
      </c>
      <c r="AY9" s="56" t="s">
        <v>127</v>
      </c>
    </row>
    <row r="10" spans="1:51" ht="12.75">
      <c r="A10" s="2" t="s">
        <v>52</v>
      </c>
      <c r="B10" s="26"/>
      <c r="C10" s="26"/>
      <c r="D10" s="26"/>
      <c r="E10" s="56"/>
      <c r="F10" s="55"/>
      <c r="G10" s="56"/>
      <c r="H10" s="55"/>
      <c r="I10" s="56"/>
      <c r="J10" s="56"/>
      <c r="K10" s="56"/>
      <c r="L10" s="56"/>
      <c r="M10" s="56"/>
      <c r="N10" s="56"/>
      <c r="O10" s="56"/>
      <c r="P10" s="56"/>
      <c r="Q10" s="56"/>
      <c r="R10" s="56"/>
      <c r="AU10" s="26"/>
      <c r="AW10" s="56"/>
      <c r="AY10" s="56"/>
    </row>
    <row r="11" spans="2:51" ht="12.75">
      <c r="B11" s="26" t="s">
        <v>53</v>
      </c>
      <c r="C11" s="57">
        <v>1</v>
      </c>
      <c r="D11" s="57"/>
      <c r="E11" s="51">
        <f aca="true" t="shared" si="0" ref="E11:E35">AU11/$H$37/60*453.6*$H$38*0.01</f>
        <v>0.014421888787602553</v>
      </c>
      <c r="F11" s="55">
        <f aca="true" t="shared" si="1" ref="F11:F35">IF(E11="","",E11*$C11)</f>
        <v>0.014421888787602553</v>
      </c>
      <c r="G11" s="55">
        <f aca="true" t="shared" si="2" ref="G11:G35">IF(E11=0,"",IF(D11="nd",E11/2,E11))</f>
        <v>0.014421888787602553</v>
      </c>
      <c r="H11" s="55">
        <f aca="true" t="shared" si="3" ref="H11:H35">IF(G11="","",G11*$C11)</f>
        <v>0.014421888787602553</v>
      </c>
      <c r="I11" s="55"/>
      <c r="J11" s="44">
        <f aca="true" t="shared" si="4" ref="J11:J35">AW11/$M$37/60*453.6*$M$38*0.01</f>
        <v>0.019706950819672133</v>
      </c>
      <c r="K11" s="55">
        <f aca="true" t="shared" si="5" ref="K11:K35">IF(J11="","",J11*$C11)</f>
        <v>0.019706950819672133</v>
      </c>
      <c r="L11" s="55">
        <f aca="true" t="shared" si="6" ref="L11:L35">IF(J11=0,"",IF(I11="nd",J11/2,J11))</f>
        <v>0.019706950819672133</v>
      </c>
      <c r="M11" s="55">
        <f aca="true" t="shared" si="7" ref="M11:M35">IF(L11="","",L11*$C11)</f>
        <v>0.019706950819672133</v>
      </c>
      <c r="N11" s="55"/>
      <c r="O11" s="44">
        <f aca="true" t="shared" si="8" ref="O11:O35">AY11/$R$37/60*453.6*$R$38*0.01</f>
        <v>0.0181267364414843</v>
      </c>
      <c r="P11" s="55">
        <f aca="true" t="shared" si="9" ref="P11:P35">IF(O11="","",O11*$C11)</f>
        <v>0.0181267364414843</v>
      </c>
      <c r="Q11" s="55">
        <f aca="true" t="shared" si="10" ref="Q11:Q35">IF(O11=0,"",IF(N11="nd",O11/2,O11))</f>
        <v>0.0181267364414843</v>
      </c>
      <c r="R11" s="55">
        <f aca="true" t="shared" si="11" ref="R11:R35">IF(Q11="","",Q11*$C11)</f>
        <v>0.0181267364414843</v>
      </c>
      <c r="AU11" s="65">
        <v>1.7</v>
      </c>
      <c r="AW11" s="27">
        <v>2.2</v>
      </c>
      <c r="AY11" s="27">
        <v>2</v>
      </c>
    </row>
    <row r="12" spans="2:51" ht="12.75">
      <c r="B12" s="26" t="s">
        <v>54</v>
      </c>
      <c r="C12" s="57">
        <v>0</v>
      </c>
      <c r="D12" s="57"/>
      <c r="E12" s="51">
        <f t="shared" si="0"/>
        <v>0.06871605834092982</v>
      </c>
      <c r="F12" s="64">
        <f t="shared" si="1"/>
        <v>0</v>
      </c>
      <c r="G12" s="55">
        <f t="shared" si="2"/>
        <v>0.06871605834092982</v>
      </c>
      <c r="H12" s="64">
        <f t="shared" si="3"/>
        <v>0</v>
      </c>
      <c r="I12" s="55"/>
      <c r="J12" s="44">
        <f t="shared" si="4"/>
        <v>0.0671827868852459</v>
      </c>
      <c r="K12" s="64">
        <f t="shared" si="5"/>
        <v>0</v>
      </c>
      <c r="L12" s="55">
        <f t="shared" si="6"/>
        <v>0.0671827868852459</v>
      </c>
      <c r="M12" s="64">
        <f t="shared" si="7"/>
        <v>0</v>
      </c>
      <c r="N12" s="55"/>
      <c r="O12" s="44">
        <f t="shared" si="8"/>
        <v>0.06344357754519506</v>
      </c>
      <c r="P12" s="64">
        <f t="shared" si="9"/>
        <v>0</v>
      </c>
      <c r="Q12" s="55">
        <f t="shared" si="10"/>
        <v>0.06344357754519506</v>
      </c>
      <c r="R12" s="64">
        <f t="shared" si="11"/>
        <v>0</v>
      </c>
      <c r="AU12" s="65">
        <f>9.8-AU11</f>
        <v>8.100000000000001</v>
      </c>
      <c r="AW12" s="27">
        <f>9.7-AW11</f>
        <v>7.499999999999999</v>
      </c>
      <c r="AY12" s="27">
        <v>7</v>
      </c>
    </row>
    <row r="13" spans="2:51" ht="12.75">
      <c r="B13" s="26" t="s">
        <v>55</v>
      </c>
      <c r="C13" s="57">
        <v>0.5</v>
      </c>
      <c r="D13" s="57"/>
      <c r="E13" s="51">
        <f t="shared" si="0"/>
        <v>0.012725195989061076</v>
      </c>
      <c r="F13" s="55">
        <f t="shared" si="1"/>
        <v>0.006362597994530538</v>
      </c>
      <c r="G13" s="55">
        <f t="shared" si="2"/>
        <v>0.012725195989061076</v>
      </c>
      <c r="H13" s="55">
        <f t="shared" si="3"/>
        <v>0.006362597994530538</v>
      </c>
      <c r="I13" s="55"/>
      <c r="J13" s="44">
        <f t="shared" si="4"/>
        <v>0.02418580327868853</v>
      </c>
      <c r="K13" s="55">
        <f t="shared" si="5"/>
        <v>0.012092901639344265</v>
      </c>
      <c r="L13" s="55">
        <f t="shared" si="6"/>
        <v>0.02418580327868853</v>
      </c>
      <c r="M13" s="55">
        <f t="shared" si="7"/>
        <v>0.012092901639344265</v>
      </c>
      <c r="N13" s="55"/>
      <c r="O13" s="44">
        <f t="shared" si="8"/>
        <v>0.02628376784015224</v>
      </c>
      <c r="P13" s="55">
        <f t="shared" si="9"/>
        <v>0.01314188392007612</v>
      </c>
      <c r="Q13" s="55">
        <f t="shared" si="10"/>
        <v>0.02628376784015224</v>
      </c>
      <c r="R13" s="55">
        <f t="shared" si="11"/>
        <v>0.01314188392007612</v>
      </c>
      <c r="AU13" s="65">
        <v>1.5</v>
      </c>
      <c r="AW13" s="27">
        <v>2.7</v>
      </c>
      <c r="AY13" s="27">
        <v>2.9</v>
      </c>
    </row>
    <row r="14" spans="2:51" ht="12.75">
      <c r="B14" s="26" t="s">
        <v>56</v>
      </c>
      <c r="C14" s="57">
        <v>0</v>
      </c>
      <c r="D14" s="57"/>
      <c r="E14" s="51">
        <f t="shared" si="0"/>
        <v>0.074654483135825</v>
      </c>
      <c r="F14" s="64">
        <f t="shared" si="1"/>
        <v>0</v>
      </c>
      <c r="G14" s="55">
        <f t="shared" si="2"/>
        <v>0.074654483135825</v>
      </c>
      <c r="H14" s="64">
        <f t="shared" si="3"/>
        <v>0</v>
      </c>
      <c r="I14" s="55"/>
      <c r="J14" s="44">
        <f t="shared" si="4"/>
        <v>0.1263036393442623</v>
      </c>
      <c r="K14" s="64">
        <f t="shared" si="5"/>
        <v>0</v>
      </c>
      <c r="L14" s="55">
        <f t="shared" si="6"/>
        <v>0.1263036393442623</v>
      </c>
      <c r="M14" s="64">
        <f t="shared" si="7"/>
        <v>0</v>
      </c>
      <c r="N14" s="55"/>
      <c r="O14" s="44">
        <f t="shared" si="8"/>
        <v>0.11329210275927686</v>
      </c>
      <c r="P14" s="64">
        <f t="shared" si="9"/>
        <v>0</v>
      </c>
      <c r="Q14" s="55">
        <f t="shared" si="10"/>
        <v>0.11329210275927686</v>
      </c>
      <c r="R14" s="64">
        <f t="shared" si="11"/>
        <v>0</v>
      </c>
      <c r="AU14" s="65">
        <f>10.3-AU13</f>
        <v>8.8</v>
      </c>
      <c r="AW14" s="27">
        <f>16.8-AW13</f>
        <v>14.100000000000001</v>
      </c>
      <c r="AY14" s="27">
        <f>15.4-AY13</f>
        <v>12.5</v>
      </c>
    </row>
    <row r="15" spans="2:51" ht="12.75">
      <c r="B15" s="26" t="s">
        <v>57</v>
      </c>
      <c r="C15" s="57">
        <v>0.1</v>
      </c>
      <c r="D15" s="57"/>
      <c r="E15" s="51">
        <f t="shared" si="0"/>
        <v>0.009331810391978125</v>
      </c>
      <c r="F15" s="55">
        <f t="shared" si="1"/>
        <v>0.0009331810391978125</v>
      </c>
      <c r="G15" s="55">
        <f t="shared" si="2"/>
        <v>0.009331810391978125</v>
      </c>
      <c r="H15" s="55">
        <f t="shared" si="3"/>
        <v>0.0009331810391978125</v>
      </c>
      <c r="I15" s="55"/>
      <c r="J15" s="44">
        <f t="shared" si="4"/>
        <v>0.009853475409836067</v>
      </c>
      <c r="K15" s="55">
        <f t="shared" si="5"/>
        <v>0.0009853475409836068</v>
      </c>
      <c r="L15" s="55">
        <f t="shared" si="6"/>
        <v>0.009853475409836067</v>
      </c>
      <c r="M15" s="55">
        <f t="shared" si="7"/>
        <v>0.0009853475409836068</v>
      </c>
      <c r="N15" s="55"/>
      <c r="O15" s="44">
        <f t="shared" si="8"/>
        <v>0.00906336822074215</v>
      </c>
      <c r="P15" s="55">
        <f t="shared" si="9"/>
        <v>0.0009063368220742151</v>
      </c>
      <c r="Q15" s="55">
        <f t="shared" si="10"/>
        <v>0.00906336822074215</v>
      </c>
      <c r="R15" s="55">
        <f t="shared" si="11"/>
        <v>0.0009063368220742151</v>
      </c>
      <c r="AU15" s="65">
        <v>1.1</v>
      </c>
      <c r="AW15" s="27">
        <v>1.1</v>
      </c>
      <c r="AY15" s="27">
        <v>1</v>
      </c>
    </row>
    <row r="16" spans="2:51" ht="12.75">
      <c r="B16" s="26" t="s">
        <v>58</v>
      </c>
      <c r="C16" s="57">
        <v>0.1</v>
      </c>
      <c r="D16" s="57"/>
      <c r="E16" s="51">
        <f t="shared" si="0"/>
        <v>0.008483463992707383</v>
      </c>
      <c r="F16" s="55">
        <f t="shared" si="1"/>
        <v>0.0008483463992707384</v>
      </c>
      <c r="G16" s="55">
        <f t="shared" si="2"/>
        <v>0.008483463992707383</v>
      </c>
      <c r="H16" s="55">
        <f t="shared" si="3"/>
        <v>0.0008483463992707384</v>
      </c>
      <c r="I16" s="55"/>
      <c r="J16" s="44">
        <f t="shared" si="4"/>
        <v>0.011645016393442622</v>
      </c>
      <c r="K16" s="55">
        <f t="shared" si="5"/>
        <v>0.0011645016393442623</v>
      </c>
      <c r="L16" s="55">
        <f t="shared" si="6"/>
        <v>0.011645016393442622</v>
      </c>
      <c r="M16" s="55">
        <f t="shared" si="7"/>
        <v>0.0011645016393442623</v>
      </c>
      <c r="N16" s="55"/>
      <c r="O16" s="44">
        <f t="shared" si="8"/>
        <v>0.009969705042816367</v>
      </c>
      <c r="P16" s="55">
        <f t="shared" si="9"/>
        <v>0.0009969705042816369</v>
      </c>
      <c r="Q16" s="55">
        <f t="shared" si="10"/>
        <v>0.009969705042816367</v>
      </c>
      <c r="R16" s="55">
        <f t="shared" si="11"/>
        <v>0.0009969705042816369</v>
      </c>
      <c r="AU16" s="65">
        <v>1</v>
      </c>
      <c r="AW16" s="27">
        <v>1.3</v>
      </c>
      <c r="AY16" s="27">
        <v>1.1</v>
      </c>
    </row>
    <row r="17" spans="2:51" ht="12.75">
      <c r="B17" s="26" t="s">
        <v>59</v>
      </c>
      <c r="C17" s="57">
        <v>0.1</v>
      </c>
      <c r="D17" s="57"/>
      <c r="E17" s="51">
        <f t="shared" si="0"/>
        <v>0.006192928714676389</v>
      </c>
      <c r="F17" s="55">
        <f t="shared" si="1"/>
        <v>0.000619292871467639</v>
      </c>
      <c r="G17" s="55">
        <f t="shared" si="2"/>
        <v>0.006192928714676389</v>
      </c>
      <c r="H17" s="55">
        <f t="shared" si="3"/>
        <v>0.000619292871467639</v>
      </c>
      <c r="I17" s="55"/>
      <c r="J17" s="44">
        <f t="shared" si="4"/>
        <v>0.005643354098360655</v>
      </c>
      <c r="K17" s="55">
        <f t="shared" si="5"/>
        <v>0.0005643354098360656</v>
      </c>
      <c r="L17" s="55">
        <f t="shared" si="6"/>
        <v>0.005643354098360655</v>
      </c>
      <c r="M17" s="55">
        <f t="shared" si="7"/>
        <v>0.0005643354098360656</v>
      </c>
      <c r="N17" s="55" t="s">
        <v>37</v>
      </c>
      <c r="O17" s="44">
        <f t="shared" si="8"/>
        <v>0.007613229305423406</v>
      </c>
      <c r="P17" s="55">
        <f t="shared" si="9"/>
        <v>0.0007613229305423407</v>
      </c>
      <c r="Q17" s="55">
        <f t="shared" si="10"/>
        <v>0.003806614652711703</v>
      </c>
      <c r="R17" s="55">
        <f t="shared" si="11"/>
        <v>0.00038066146527117035</v>
      </c>
      <c r="AU17" s="65">
        <v>0.73</v>
      </c>
      <c r="AW17" s="27">
        <v>0.63</v>
      </c>
      <c r="AY17" s="27">
        <v>0.84</v>
      </c>
    </row>
    <row r="18" spans="2:51" ht="12.75">
      <c r="B18" s="26" t="s">
        <v>60</v>
      </c>
      <c r="C18" s="57">
        <v>0</v>
      </c>
      <c r="D18" s="57"/>
      <c r="E18" s="51">
        <f t="shared" si="0"/>
        <v>0.03876943044667275</v>
      </c>
      <c r="F18" s="64">
        <f t="shared" si="1"/>
        <v>0</v>
      </c>
      <c r="G18" s="55">
        <f t="shared" si="2"/>
        <v>0.03876943044667275</v>
      </c>
      <c r="H18" s="64">
        <f t="shared" si="3"/>
        <v>0</v>
      </c>
      <c r="I18" s="55"/>
      <c r="J18" s="44">
        <f t="shared" si="4"/>
        <v>0.08303792459016393</v>
      </c>
      <c r="K18" s="64">
        <f t="shared" si="5"/>
        <v>0</v>
      </c>
      <c r="L18" s="55">
        <f t="shared" si="6"/>
        <v>0.08303792459016393</v>
      </c>
      <c r="M18" s="64">
        <f t="shared" si="7"/>
        <v>0</v>
      </c>
      <c r="N18" s="55"/>
      <c r="O18" s="44">
        <f t="shared" si="8"/>
        <v>0.07305074785918175</v>
      </c>
      <c r="P18" s="64">
        <f t="shared" si="9"/>
        <v>0</v>
      </c>
      <c r="Q18" s="55">
        <f t="shared" si="10"/>
        <v>0.07305074785918175</v>
      </c>
      <c r="R18" s="64">
        <f t="shared" si="11"/>
        <v>0</v>
      </c>
      <c r="AU18" s="65">
        <f>7.4-SUM(AU15:AU17)</f>
        <v>4.57</v>
      </c>
      <c r="AW18" s="27">
        <f>12.3-SUM(AW15:AW17)</f>
        <v>9.27</v>
      </c>
      <c r="AY18" s="27">
        <f>11-SUM(AY15:AY17)</f>
        <v>8.06</v>
      </c>
    </row>
    <row r="19" spans="2:51" ht="12.75">
      <c r="B19" s="26" t="s">
        <v>61</v>
      </c>
      <c r="C19" s="57">
        <v>0.01</v>
      </c>
      <c r="D19" s="57"/>
      <c r="E19" s="51">
        <f t="shared" si="0"/>
        <v>0.012725195989061076</v>
      </c>
      <c r="F19" s="55">
        <f t="shared" si="1"/>
        <v>0.00012725195989061075</v>
      </c>
      <c r="G19" s="55">
        <f t="shared" si="2"/>
        <v>0.012725195989061076</v>
      </c>
      <c r="H19" s="55">
        <f t="shared" si="3"/>
        <v>0.00012725195989061075</v>
      </c>
      <c r="I19" s="55"/>
      <c r="J19" s="44">
        <f t="shared" si="4"/>
        <v>0.01433232786885246</v>
      </c>
      <c r="K19" s="55">
        <f t="shared" si="5"/>
        <v>0.0001433232786885246</v>
      </c>
      <c r="L19" s="55">
        <f t="shared" si="6"/>
        <v>0.01433232786885246</v>
      </c>
      <c r="M19" s="55">
        <f t="shared" si="7"/>
        <v>0.0001433232786885246</v>
      </c>
      <c r="N19" s="55"/>
      <c r="O19" s="44">
        <f t="shared" si="8"/>
        <v>0.013595052331113227</v>
      </c>
      <c r="P19" s="55">
        <f t="shared" si="9"/>
        <v>0.00013595052331113227</v>
      </c>
      <c r="Q19" s="55">
        <f t="shared" si="10"/>
        <v>0.013595052331113227</v>
      </c>
      <c r="R19" s="55">
        <f t="shared" si="11"/>
        <v>0.00013595052331113227</v>
      </c>
      <c r="AU19" s="65">
        <v>1.5</v>
      </c>
      <c r="AW19" s="27">
        <v>1.6</v>
      </c>
      <c r="AY19" s="27">
        <v>1.5</v>
      </c>
    </row>
    <row r="20" spans="2:51" ht="12.75">
      <c r="B20" s="26" t="s">
        <v>62</v>
      </c>
      <c r="C20" s="57">
        <v>0</v>
      </c>
      <c r="D20" s="57"/>
      <c r="E20" s="51">
        <f t="shared" si="0"/>
        <v>0.01611858158614403</v>
      </c>
      <c r="F20" s="64">
        <f t="shared" si="1"/>
        <v>0</v>
      </c>
      <c r="G20" s="55">
        <f t="shared" si="2"/>
        <v>0.01611858158614403</v>
      </c>
      <c r="H20" s="64">
        <f t="shared" si="3"/>
        <v>0</v>
      </c>
      <c r="I20" s="55"/>
      <c r="J20" s="44">
        <f t="shared" si="4"/>
        <v>0.018811180327868854</v>
      </c>
      <c r="K20" s="64">
        <f t="shared" si="5"/>
        <v>0</v>
      </c>
      <c r="L20" s="55">
        <f t="shared" si="6"/>
        <v>0.018811180327868854</v>
      </c>
      <c r="M20" s="64">
        <f t="shared" si="7"/>
        <v>0</v>
      </c>
      <c r="N20" s="55"/>
      <c r="O20" s="44">
        <f t="shared" si="8"/>
        <v>0.019033073263558516</v>
      </c>
      <c r="P20" s="64">
        <f t="shared" si="9"/>
        <v>0</v>
      </c>
      <c r="Q20" s="55">
        <f t="shared" si="10"/>
        <v>0.019033073263558516</v>
      </c>
      <c r="R20" s="64">
        <f t="shared" si="11"/>
        <v>0</v>
      </c>
      <c r="AU20" s="65">
        <v>1.9</v>
      </c>
      <c r="AW20" s="27">
        <v>2.1</v>
      </c>
      <c r="AY20" s="27">
        <v>2.1</v>
      </c>
    </row>
    <row r="21" spans="2:51" ht="12.75">
      <c r="B21" s="26" t="s">
        <v>63</v>
      </c>
      <c r="C21" s="57">
        <v>0.001</v>
      </c>
      <c r="D21" s="57"/>
      <c r="E21" s="51">
        <f t="shared" si="0"/>
        <v>0.06277763354603465</v>
      </c>
      <c r="F21" s="55">
        <f t="shared" si="1"/>
        <v>6.277763354603464E-05</v>
      </c>
      <c r="G21" s="55">
        <f t="shared" si="2"/>
        <v>0.06277763354603465</v>
      </c>
      <c r="H21" s="55">
        <f t="shared" si="3"/>
        <v>6.277763354603464E-05</v>
      </c>
      <c r="I21" s="55"/>
      <c r="J21" s="44">
        <f t="shared" si="4"/>
        <v>0.08599396721311475</v>
      </c>
      <c r="K21" s="55">
        <f t="shared" si="5"/>
        <v>8.599396721311475E-05</v>
      </c>
      <c r="L21" s="55">
        <f t="shared" si="6"/>
        <v>0.08599396721311475</v>
      </c>
      <c r="M21" s="55">
        <f t="shared" si="7"/>
        <v>8.599396721311475E-05</v>
      </c>
      <c r="N21" s="55"/>
      <c r="O21" s="44">
        <f t="shared" si="8"/>
        <v>0.051661198858230256</v>
      </c>
      <c r="P21" s="55">
        <f t="shared" si="9"/>
        <v>5.1661198858230256E-05</v>
      </c>
      <c r="Q21" s="55">
        <f t="shared" si="10"/>
        <v>0.051661198858230256</v>
      </c>
      <c r="R21" s="55">
        <f t="shared" si="11"/>
        <v>5.1661198858230256E-05</v>
      </c>
      <c r="AU21" s="65">
        <v>7.4</v>
      </c>
      <c r="AW21" s="27">
        <v>9.6</v>
      </c>
      <c r="AY21" s="27">
        <v>5.7</v>
      </c>
    </row>
    <row r="22" spans="2:51" ht="12.75">
      <c r="B22" s="26" t="s">
        <v>64</v>
      </c>
      <c r="C22" s="57">
        <v>0.1</v>
      </c>
      <c r="D22" s="57"/>
      <c r="E22" s="51">
        <f t="shared" si="0"/>
        <v>0.08228960072926161</v>
      </c>
      <c r="F22" s="55">
        <f t="shared" si="1"/>
        <v>0.008228960072926162</v>
      </c>
      <c r="G22" s="55">
        <f t="shared" si="2"/>
        <v>0.08228960072926161</v>
      </c>
      <c r="H22" s="55">
        <f t="shared" si="3"/>
        <v>0.008228960072926162</v>
      </c>
      <c r="I22" s="55"/>
      <c r="J22" s="44">
        <f t="shared" si="4"/>
        <v>0.13974019672131147</v>
      </c>
      <c r="K22" s="55">
        <f t="shared" si="5"/>
        <v>0.013974019672131147</v>
      </c>
      <c r="L22" s="55">
        <f t="shared" si="6"/>
        <v>0.13974019672131147</v>
      </c>
      <c r="M22" s="55">
        <f t="shared" si="7"/>
        <v>0.013974019672131147</v>
      </c>
      <c r="N22" s="55"/>
      <c r="O22" s="44">
        <f t="shared" si="8"/>
        <v>0.12960616555661278</v>
      </c>
      <c r="P22" s="55">
        <f t="shared" si="9"/>
        <v>0.012960616555661279</v>
      </c>
      <c r="Q22" s="55">
        <f t="shared" si="10"/>
        <v>0.12960616555661278</v>
      </c>
      <c r="R22" s="55">
        <f t="shared" si="11"/>
        <v>0.012960616555661279</v>
      </c>
      <c r="AU22" s="65">
        <v>9.7</v>
      </c>
      <c r="AW22" s="27">
        <v>15.6</v>
      </c>
      <c r="AY22" s="27">
        <v>14.3</v>
      </c>
    </row>
    <row r="23" spans="2:51" ht="12.75">
      <c r="B23" s="26" t="s">
        <v>65</v>
      </c>
      <c r="C23" s="57">
        <v>0</v>
      </c>
      <c r="D23" s="57"/>
      <c r="E23" s="51">
        <f t="shared" si="0"/>
        <v>2.920856652689152</v>
      </c>
      <c r="F23" s="64">
        <f t="shared" si="1"/>
        <v>0</v>
      </c>
      <c r="G23" s="55">
        <f t="shared" si="2"/>
        <v>2.920856652689152</v>
      </c>
      <c r="H23" s="64">
        <f t="shared" si="3"/>
        <v>0</v>
      </c>
      <c r="I23" s="55"/>
      <c r="J23" s="44">
        <f t="shared" si="4"/>
        <v>4.061423409836065</v>
      </c>
      <c r="K23" s="64">
        <f t="shared" si="5"/>
        <v>0</v>
      </c>
      <c r="L23" s="55">
        <f t="shared" si="6"/>
        <v>4.061423409836065</v>
      </c>
      <c r="M23" s="64">
        <f t="shared" si="7"/>
        <v>0</v>
      </c>
      <c r="N23" s="55"/>
      <c r="O23" s="44">
        <f t="shared" si="8"/>
        <v>3.568248068506185</v>
      </c>
      <c r="P23" s="55">
        <f t="shared" si="9"/>
        <v>0</v>
      </c>
      <c r="Q23" s="55">
        <f t="shared" si="10"/>
        <v>3.568248068506185</v>
      </c>
      <c r="R23" s="55">
        <f t="shared" si="11"/>
        <v>0</v>
      </c>
      <c r="AU23" s="65">
        <f>354-AU22</f>
        <v>344.3</v>
      </c>
      <c r="AW23" s="27">
        <f>469-AW22</f>
        <v>453.4</v>
      </c>
      <c r="AY23" s="27">
        <f>408-AY22</f>
        <v>393.7</v>
      </c>
    </row>
    <row r="24" spans="2:51" ht="12.75">
      <c r="B24" s="26" t="s">
        <v>66</v>
      </c>
      <c r="C24" s="57">
        <v>0.05</v>
      </c>
      <c r="D24" s="57"/>
      <c r="E24" s="51">
        <f t="shared" si="0"/>
        <v>0.12979699908842296</v>
      </c>
      <c r="F24" s="55">
        <f t="shared" si="1"/>
        <v>0.006489849954421149</v>
      </c>
      <c r="G24" s="55">
        <f t="shared" si="2"/>
        <v>0.12979699908842296</v>
      </c>
      <c r="H24" s="55">
        <f t="shared" si="3"/>
        <v>0.006489849954421149</v>
      </c>
      <c r="I24" s="55"/>
      <c r="J24" s="44">
        <f t="shared" si="4"/>
        <v>0.22035954098360655</v>
      </c>
      <c r="K24" s="55">
        <f t="shared" si="5"/>
        <v>0.011017977049180328</v>
      </c>
      <c r="L24" s="55">
        <f t="shared" si="6"/>
        <v>0.22035954098360655</v>
      </c>
      <c r="M24" s="55">
        <f t="shared" si="7"/>
        <v>0.011017977049180328</v>
      </c>
      <c r="N24" s="55"/>
      <c r="O24" s="44">
        <f t="shared" si="8"/>
        <v>0.22023984776403424</v>
      </c>
      <c r="P24" s="55">
        <f t="shared" si="9"/>
        <v>0.011011992388201712</v>
      </c>
      <c r="Q24" s="55">
        <f t="shared" si="10"/>
        <v>0.22023984776403424</v>
      </c>
      <c r="R24" s="55">
        <f t="shared" si="11"/>
        <v>0.011011992388201712</v>
      </c>
      <c r="AU24" s="65">
        <v>15.3</v>
      </c>
      <c r="AW24" s="27">
        <v>24.6</v>
      </c>
      <c r="AY24" s="27">
        <v>24.3</v>
      </c>
    </row>
    <row r="25" spans="2:51" ht="12.75">
      <c r="B25" s="26" t="s">
        <v>67</v>
      </c>
      <c r="C25" s="57">
        <v>0.5</v>
      </c>
      <c r="D25" s="57"/>
      <c r="E25" s="51">
        <f t="shared" si="0"/>
        <v>0.09331810391978124</v>
      </c>
      <c r="F25" s="55">
        <f t="shared" si="1"/>
        <v>0.04665905195989062</v>
      </c>
      <c r="G25" s="55">
        <f t="shared" si="2"/>
        <v>0.09331810391978124</v>
      </c>
      <c r="H25" s="55">
        <f t="shared" si="3"/>
        <v>0.04665905195989062</v>
      </c>
      <c r="I25" s="55"/>
      <c r="J25" s="44">
        <f t="shared" si="4"/>
        <v>0.16034291803278689</v>
      </c>
      <c r="K25" s="55">
        <f t="shared" si="5"/>
        <v>0.08017145901639344</v>
      </c>
      <c r="L25" s="55">
        <f t="shared" si="6"/>
        <v>0.16034291803278689</v>
      </c>
      <c r="M25" s="55">
        <f t="shared" si="7"/>
        <v>0.08017145901639344</v>
      </c>
      <c r="N25" s="55"/>
      <c r="O25" s="44">
        <f t="shared" si="8"/>
        <v>0.17039132254995246</v>
      </c>
      <c r="P25" s="55">
        <f t="shared" si="9"/>
        <v>0.08519566127497623</v>
      </c>
      <c r="Q25" s="55">
        <f t="shared" si="10"/>
        <v>0.17039132254995246</v>
      </c>
      <c r="R25" s="55">
        <f t="shared" si="11"/>
        <v>0.08519566127497623</v>
      </c>
      <c r="AU25" s="65">
        <v>11</v>
      </c>
      <c r="AW25" s="27">
        <v>17.9</v>
      </c>
      <c r="AY25" s="27">
        <v>18.8</v>
      </c>
    </row>
    <row r="26" spans="2:51" ht="12.75">
      <c r="B26" s="26" t="s">
        <v>68</v>
      </c>
      <c r="C26" s="57">
        <v>0</v>
      </c>
      <c r="D26" s="57"/>
      <c r="E26" s="51">
        <f t="shared" si="0"/>
        <v>2.7800311504102098</v>
      </c>
      <c r="F26" s="64">
        <f t="shared" si="1"/>
        <v>0</v>
      </c>
      <c r="G26" s="55">
        <f t="shared" si="2"/>
        <v>2.7800311504102098</v>
      </c>
      <c r="H26" s="64">
        <f t="shared" si="3"/>
        <v>0</v>
      </c>
      <c r="I26" s="55"/>
      <c r="J26" s="44">
        <f t="shared" si="4"/>
        <v>4.519162131147541</v>
      </c>
      <c r="K26" s="55">
        <f t="shared" si="5"/>
        <v>0</v>
      </c>
      <c r="L26" s="55">
        <f t="shared" si="6"/>
        <v>4.519162131147541</v>
      </c>
      <c r="M26" s="55">
        <f t="shared" si="7"/>
        <v>0</v>
      </c>
      <c r="N26" s="55"/>
      <c r="O26" s="44">
        <f t="shared" si="8"/>
        <v>4.7120451379638455</v>
      </c>
      <c r="P26" s="64">
        <f t="shared" si="9"/>
        <v>0</v>
      </c>
      <c r="Q26" s="55">
        <f t="shared" si="10"/>
        <v>4.7120451379638455</v>
      </c>
      <c r="R26" s="64">
        <f t="shared" si="11"/>
        <v>0</v>
      </c>
      <c r="AU26" s="65">
        <f>354-AU25-AU24</f>
        <v>327.7</v>
      </c>
      <c r="AW26" s="27">
        <f>547-AW24-AW25</f>
        <v>504.5</v>
      </c>
      <c r="AY26" s="27">
        <f>563-AY24-AY25</f>
        <v>519.9000000000001</v>
      </c>
    </row>
    <row r="27" spans="2:51" ht="12.75">
      <c r="B27" s="26" t="s">
        <v>69</v>
      </c>
      <c r="C27" s="57">
        <v>0.1</v>
      </c>
      <c r="D27" s="57"/>
      <c r="E27" s="51">
        <f t="shared" si="0"/>
        <v>0.17984943664539657</v>
      </c>
      <c r="F27" s="63">
        <f t="shared" si="1"/>
        <v>0.01798494366453966</v>
      </c>
      <c r="G27" s="55">
        <f t="shared" si="2"/>
        <v>0.17984943664539657</v>
      </c>
      <c r="H27" s="63">
        <f t="shared" si="3"/>
        <v>0.01798494366453966</v>
      </c>
      <c r="I27" s="55"/>
      <c r="J27" s="44">
        <f t="shared" si="4"/>
        <v>0.2803761639344262</v>
      </c>
      <c r="K27" s="55">
        <f t="shared" si="5"/>
        <v>0.028037616393442624</v>
      </c>
      <c r="L27" s="55">
        <f t="shared" si="6"/>
        <v>0.2803761639344262</v>
      </c>
      <c r="M27" s="55">
        <f t="shared" si="7"/>
        <v>0.028037616393442624</v>
      </c>
      <c r="N27" s="55"/>
      <c r="O27" s="44">
        <f t="shared" si="8"/>
        <v>0.3299066032350143</v>
      </c>
      <c r="P27" s="63">
        <f t="shared" si="9"/>
        <v>0.03299066032350143</v>
      </c>
      <c r="Q27" s="55">
        <f t="shared" si="10"/>
        <v>0.3299066032350143</v>
      </c>
      <c r="R27" s="63">
        <f t="shared" si="11"/>
        <v>0.03299066032350143</v>
      </c>
      <c r="AU27" s="65">
        <v>21.2</v>
      </c>
      <c r="AW27" s="27">
        <v>31.3</v>
      </c>
      <c r="AY27" s="27">
        <v>36.4</v>
      </c>
    </row>
    <row r="28" spans="2:51" ht="12.75">
      <c r="B28" s="26" t="s">
        <v>70</v>
      </c>
      <c r="C28" s="57">
        <v>0.1</v>
      </c>
      <c r="D28" s="57"/>
      <c r="E28" s="51">
        <f t="shared" si="0"/>
        <v>0.10010487511394715</v>
      </c>
      <c r="F28" s="63">
        <f t="shared" si="1"/>
        <v>0.010010487511394717</v>
      </c>
      <c r="G28" s="55">
        <f t="shared" si="2"/>
        <v>0.10010487511394715</v>
      </c>
      <c r="H28" s="63">
        <f t="shared" si="3"/>
        <v>0.010010487511394717</v>
      </c>
      <c r="I28" s="55"/>
      <c r="J28" s="44">
        <f t="shared" si="4"/>
        <v>0.17019639344262294</v>
      </c>
      <c r="K28" s="55">
        <f t="shared" si="5"/>
        <v>0.017019639344262295</v>
      </c>
      <c r="L28" s="55">
        <f t="shared" si="6"/>
        <v>0.17019639344262294</v>
      </c>
      <c r="M28" s="55">
        <f t="shared" si="7"/>
        <v>0.017019639344262295</v>
      </c>
      <c r="N28" s="55"/>
      <c r="O28" s="44">
        <f t="shared" si="8"/>
        <v>0.20030043767840155</v>
      </c>
      <c r="P28" s="63">
        <f t="shared" si="9"/>
        <v>0.020030043767840157</v>
      </c>
      <c r="Q28" s="55">
        <f t="shared" si="10"/>
        <v>0.20030043767840155</v>
      </c>
      <c r="R28" s="63">
        <f t="shared" si="11"/>
        <v>0.020030043767840157</v>
      </c>
      <c r="AU28" s="65">
        <v>11.8</v>
      </c>
      <c r="AW28" s="27">
        <v>19</v>
      </c>
      <c r="AY28" s="27">
        <v>22.1</v>
      </c>
    </row>
    <row r="29" spans="2:51" ht="12.75">
      <c r="B29" s="26" t="s">
        <v>71</v>
      </c>
      <c r="C29" s="57">
        <v>0.1</v>
      </c>
      <c r="D29" s="57"/>
      <c r="E29" s="51">
        <f t="shared" si="0"/>
        <v>0.049204091157702814</v>
      </c>
      <c r="F29" s="55">
        <f t="shared" si="1"/>
        <v>0.004920409115770282</v>
      </c>
      <c r="G29" s="55">
        <f t="shared" si="2"/>
        <v>0.049204091157702814</v>
      </c>
      <c r="H29" s="55">
        <f t="shared" si="3"/>
        <v>0.004920409115770282</v>
      </c>
      <c r="I29" s="55"/>
      <c r="J29" s="44">
        <f t="shared" si="4"/>
        <v>0.07076586885245903</v>
      </c>
      <c r="K29" s="55">
        <f t="shared" si="5"/>
        <v>0.007076586885245904</v>
      </c>
      <c r="L29" s="55">
        <f t="shared" si="6"/>
        <v>0.07076586885245903</v>
      </c>
      <c r="M29" s="55">
        <f t="shared" si="7"/>
        <v>0.007076586885245904</v>
      </c>
      <c r="N29" s="55"/>
      <c r="O29" s="44">
        <f t="shared" si="8"/>
        <v>0.0833829876308278</v>
      </c>
      <c r="P29" s="55">
        <f t="shared" si="9"/>
        <v>0.00833829876308278</v>
      </c>
      <c r="Q29" s="55">
        <f t="shared" si="10"/>
        <v>0.0833829876308278</v>
      </c>
      <c r="R29" s="55">
        <f t="shared" si="11"/>
        <v>0.00833829876308278</v>
      </c>
      <c r="AU29" s="65">
        <v>5.8</v>
      </c>
      <c r="AW29" s="27">
        <v>7.9</v>
      </c>
      <c r="AY29" s="27">
        <v>9.2</v>
      </c>
    </row>
    <row r="30" spans="2:51" ht="12.75">
      <c r="B30" s="26" t="s">
        <v>72</v>
      </c>
      <c r="C30" s="57">
        <v>0.1</v>
      </c>
      <c r="D30" s="57"/>
      <c r="E30" s="51">
        <f t="shared" si="0"/>
        <v>0.022905352780309935</v>
      </c>
      <c r="F30" s="55">
        <f t="shared" si="1"/>
        <v>0.0022905352780309934</v>
      </c>
      <c r="G30" s="55">
        <f t="shared" si="2"/>
        <v>0.022905352780309935</v>
      </c>
      <c r="H30" s="55">
        <f t="shared" si="3"/>
        <v>0.0022905352780309934</v>
      </c>
      <c r="I30" s="55"/>
      <c r="J30" s="44">
        <f t="shared" si="4"/>
        <v>0.03224773770491803</v>
      </c>
      <c r="K30" s="55">
        <f t="shared" si="5"/>
        <v>0.0032247737704918034</v>
      </c>
      <c r="L30" s="55">
        <f t="shared" si="6"/>
        <v>0.03224773770491803</v>
      </c>
      <c r="M30" s="55">
        <f t="shared" si="7"/>
        <v>0.0032247737704918034</v>
      </c>
      <c r="N30" s="55"/>
      <c r="O30" s="44">
        <f t="shared" si="8"/>
        <v>0.03262812559467175</v>
      </c>
      <c r="P30" s="55">
        <f t="shared" si="9"/>
        <v>0.003262812559467175</v>
      </c>
      <c r="Q30" s="55">
        <f t="shared" si="10"/>
        <v>0.03262812559467175</v>
      </c>
      <c r="R30" s="55">
        <f t="shared" si="11"/>
        <v>0.003262812559467175</v>
      </c>
      <c r="AU30" s="65">
        <v>2.7</v>
      </c>
      <c r="AW30" s="27">
        <v>3.6</v>
      </c>
      <c r="AY30" s="27">
        <v>3.6</v>
      </c>
    </row>
    <row r="31" spans="2:51" ht="12.75">
      <c r="B31" s="26" t="s">
        <v>73</v>
      </c>
      <c r="C31" s="57">
        <v>0</v>
      </c>
      <c r="D31" s="57"/>
      <c r="E31" s="51">
        <f t="shared" si="0"/>
        <v>0.9459062351868732</v>
      </c>
      <c r="F31" s="64">
        <f t="shared" si="1"/>
        <v>0</v>
      </c>
      <c r="G31" s="55">
        <f t="shared" si="2"/>
        <v>0.9459062351868732</v>
      </c>
      <c r="H31" s="64">
        <f t="shared" si="3"/>
        <v>0</v>
      </c>
      <c r="I31" s="55"/>
      <c r="J31" s="44">
        <f t="shared" si="4"/>
        <v>1.443982032786885</v>
      </c>
      <c r="K31" s="64">
        <f t="shared" si="5"/>
        <v>0</v>
      </c>
      <c r="L31" s="55">
        <f t="shared" si="6"/>
        <v>1.443982032786885</v>
      </c>
      <c r="M31" s="64">
        <f t="shared" si="7"/>
        <v>0</v>
      </c>
      <c r="N31" s="55"/>
      <c r="O31" s="44">
        <f t="shared" si="8"/>
        <v>1.7555744243577545</v>
      </c>
      <c r="P31" s="64">
        <f t="shared" si="9"/>
        <v>0</v>
      </c>
      <c r="Q31" s="55">
        <f t="shared" si="10"/>
        <v>1.7555744243577545</v>
      </c>
      <c r="R31" s="64">
        <f t="shared" si="11"/>
        <v>0</v>
      </c>
      <c r="AU31" s="65">
        <f>153-SUM(AU27:AU30)</f>
        <v>111.5</v>
      </c>
      <c r="AW31" s="27">
        <f>223-SUM(AW27:AW30)</f>
        <v>161.2</v>
      </c>
      <c r="AY31" s="27">
        <f>265-SUM(AY27:AY30)</f>
        <v>193.7</v>
      </c>
    </row>
    <row r="32" spans="2:51" ht="12.75">
      <c r="B32" s="26" t="s">
        <v>74</v>
      </c>
      <c r="C32" s="57">
        <v>0.01</v>
      </c>
      <c r="D32" s="57"/>
      <c r="E32" s="51">
        <f t="shared" si="0"/>
        <v>0.2502621877848678</v>
      </c>
      <c r="F32" s="55">
        <f t="shared" si="1"/>
        <v>0.0025026218778486783</v>
      </c>
      <c r="G32" s="55">
        <f t="shared" si="2"/>
        <v>0.2502621877848678</v>
      </c>
      <c r="H32" s="55">
        <f t="shared" si="3"/>
        <v>0.0025026218778486783</v>
      </c>
      <c r="I32" s="55"/>
      <c r="J32" s="44">
        <f t="shared" si="4"/>
        <v>0.3798066885245902</v>
      </c>
      <c r="K32" s="55">
        <f t="shared" si="5"/>
        <v>0.0037980668852459023</v>
      </c>
      <c r="L32" s="55">
        <f t="shared" si="6"/>
        <v>0.3798066885245902</v>
      </c>
      <c r="M32" s="55">
        <f t="shared" si="7"/>
        <v>0.0037980668852459023</v>
      </c>
      <c r="N32" s="55"/>
      <c r="O32" s="44">
        <f t="shared" si="8"/>
        <v>0.4196339486203615</v>
      </c>
      <c r="P32" s="55">
        <f t="shared" si="9"/>
        <v>0.004196339486203615</v>
      </c>
      <c r="Q32" s="55">
        <f t="shared" si="10"/>
        <v>0.4196339486203615</v>
      </c>
      <c r="R32" s="55">
        <f t="shared" si="11"/>
        <v>0.004196339486203615</v>
      </c>
      <c r="AU32" s="65">
        <v>29.5</v>
      </c>
      <c r="AW32" s="27">
        <v>42.4</v>
      </c>
      <c r="AY32" s="27">
        <v>46.3</v>
      </c>
    </row>
    <row r="33" spans="2:51" ht="12.75">
      <c r="B33" s="26" t="s">
        <v>75</v>
      </c>
      <c r="C33" s="57">
        <v>0.01</v>
      </c>
      <c r="D33" s="57" t="s">
        <v>37</v>
      </c>
      <c r="E33" s="51">
        <f t="shared" si="0"/>
        <v>0.011876849589790335</v>
      </c>
      <c r="F33" s="55">
        <f t="shared" si="1"/>
        <v>0.00011876849589790335</v>
      </c>
      <c r="G33" s="55">
        <f t="shared" si="2"/>
        <v>0.005938424794895167</v>
      </c>
      <c r="H33" s="55">
        <f t="shared" si="3"/>
        <v>5.938424794895167E-05</v>
      </c>
      <c r="I33" s="55"/>
      <c r="J33" s="44">
        <f t="shared" si="4"/>
        <v>0.026873114754098364</v>
      </c>
      <c r="K33" s="55">
        <f t="shared" si="5"/>
        <v>0.00026873114754098363</v>
      </c>
      <c r="L33" s="55">
        <f t="shared" si="6"/>
        <v>0.026873114754098364</v>
      </c>
      <c r="M33" s="55">
        <f t="shared" si="7"/>
        <v>0.00026873114754098363</v>
      </c>
      <c r="N33" s="55"/>
      <c r="O33" s="44">
        <f t="shared" si="8"/>
        <v>0.03172178877259753</v>
      </c>
      <c r="P33" s="55">
        <f t="shared" si="9"/>
        <v>0.0003172178877259753</v>
      </c>
      <c r="Q33" s="55">
        <f t="shared" si="10"/>
        <v>0.03172178877259753</v>
      </c>
      <c r="R33" s="55">
        <f t="shared" si="11"/>
        <v>0.0003172178877259753</v>
      </c>
      <c r="AU33" s="65">
        <v>1.4</v>
      </c>
      <c r="AW33" s="27">
        <v>3</v>
      </c>
      <c r="AY33" s="27">
        <v>3.5</v>
      </c>
    </row>
    <row r="34" spans="2:51" ht="12.75">
      <c r="B34" s="26" t="s">
        <v>76</v>
      </c>
      <c r="C34" s="57">
        <v>0</v>
      </c>
      <c r="D34" s="57"/>
      <c r="E34" s="51">
        <f t="shared" si="0"/>
        <v>0.08822802552415678</v>
      </c>
      <c r="F34" s="64">
        <f t="shared" si="1"/>
        <v>0</v>
      </c>
      <c r="G34" s="55">
        <f t="shared" si="2"/>
        <v>0.08822802552415678</v>
      </c>
      <c r="H34" s="64">
        <f t="shared" si="3"/>
        <v>0</v>
      </c>
      <c r="I34" s="55"/>
      <c r="J34" s="44">
        <f t="shared" si="4"/>
        <v>0.10390937704918035</v>
      </c>
      <c r="K34" s="64">
        <f t="shared" si="5"/>
        <v>0</v>
      </c>
      <c r="L34" s="55">
        <f t="shared" si="6"/>
        <v>0.10390937704918035</v>
      </c>
      <c r="M34" s="64">
        <f t="shared" si="7"/>
        <v>0</v>
      </c>
      <c r="N34" s="55"/>
      <c r="O34" s="44">
        <f t="shared" si="8"/>
        <v>0.08882100856327312</v>
      </c>
      <c r="P34" s="64">
        <f t="shared" si="9"/>
        <v>0</v>
      </c>
      <c r="Q34" s="55">
        <f t="shared" si="10"/>
        <v>0.08882100856327312</v>
      </c>
      <c r="R34" s="64">
        <f t="shared" si="11"/>
        <v>0</v>
      </c>
      <c r="AU34" s="65">
        <f>41.3-AU33-AU32</f>
        <v>10.399999999999999</v>
      </c>
      <c r="AW34" s="27">
        <f>57-AW32-AW33</f>
        <v>11.600000000000001</v>
      </c>
      <c r="AY34" s="27">
        <f>59.6-AY33-AY32</f>
        <v>9.800000000000004</v>
      </c>
    </row>
    <row r="35" spans="2:51" ht="12.75">
      <c r="B35" s="26" t="s">
        <v>77</v>
      </c>
      <c r="C35" s="57">
        <v>0.001</v>
      </c>
      <c r="D35" s="57"/>
      <c r="E35" s="51">
        <f t="shared" si="0"/>
        <v>0.17984943664539657</v>
      </c>
      <c r="F35" s="55">
        <f t="shared" si="1"/>
        <v>0.00017984943664539656</v>
      </c>
      <c r="G35" s="55">
        <f t="shared" si="2"/>
        <v>0.17984943664539657</v>
      </c>
      <c r="H35" s="55">
        <f t="shared" si="3"/>
        <v>0.00017984943664539656</v>
      </c>
      <c r="I35" s="55"/>
      <c r="J35" s="44">
        <f t="shared" si="4"/>
        <v>0.19975681967213116</v>
      </c>
      <c r="K35" s="55">
        <f t="shared" si="5"/>
        <v>0.00019975681967213116</v>
      </c>
      <c r="L35" s="55">
        <f t="shared" si="6"/>
        <v>0.19975681967213116</v>
      </c>
      <c r="M35" s="55">
        <f t="shared" si="7"/>
        <v>0.00019975681967213116</v>
      </c>
      <c r="N35" s="55"/>
      <c r="O35" s="44">
        <f t="shared" si="8"/>
        <v>0.22023984776403424</v>
      </c>
      <c r="P35" s="55">
        <f t="shared" si="9"/>
        <v>0.00022023984776403424</v>
      </c>
      <c r="Q35" s="55">
        <f t="shared" si="10"/>
        <v>0.22023984776403424</v>
      </c>
      <c r="R35" s="55">
        <f t="shared" si="11"/>
        <v>0.00022023984776403424</v>
      </c>
      <c r="AU35" s="65">
        <v>21.2</v>
      </c>
      <c r="AW35" s="27">
        <v>22.3</v>
      </c>
      <c r="AY35" s="27">
        <v>24.3</v>
      </c>
    </row>
    <row r="36" spans="2:49" ht="12.75">
      <c r="B36" s="26"/>
      <c r="C36" s="57"/>
      <c r="D36" s="57"/>
      <c r="E36" s="55"/>
      <c r="F36" s="55"/>
      <c r="G36" s="55"/>
      <c r="H36" s="55"/>
      <c r="I36" s="55"/>
      <c r="J36" s="39"/>
      <c r="K36" s="55"/>
      <c r="L36" s="55"/>
      <c r="M36" s="55"/>
      <c r="N36" s="55"/>
      <c r="O36" s="39"/>
      <c r="P36" s="55"/>
      <c r="Q36" s="55"/>
      <c r="R36" s="55"/>
      <c r="AU36" s="65"/>
      <c r="AW36" s="55"/>
    </row>
    <row r="37" spans="2:49" ht="12.75">
      <c r="B37" s="26" t="s">
        <v>91</v>
      </c>
      <c r="C37" s="26"/>
      <c r="D37" s="26"/>
      <c r="E37" s="28"/>
      <c r="F37" s="64">
        <v>1097</v>
      </c>
      <c r="G37" s="28"/>
      <c r="H37" s="64">
        <v>1097</v>
      </c>
      <c r="I37" s="28"/>
      <c r="J37" s="28"/>
      <c r="K37" s="27">
        <v>1098</v>
      </c>
      <c r="L37" s="28"/>
      <c r="M37" s="27">
        <v>1098</v>
      </c>
      <c r="N37" s="28"/>
      <c r="O37" s="28"/>
      <c r="P37" s="66">
        <v>1051</v>
      </c>
      <c r="Q37" s="28"/>
      <c r="R37" s="66">
        <v>1051</v>
      </c>
      <c r="AU37" s="65"/>
      <c r="AW37" s="28"/>
    </row>
    <row r="38" spans="2:49" ht="12.75">
      <c r="B38" s="26" t="s">
        <v>78</v>
      </c>
      <c r="C38" s="26"/>
      <c r="D38" s="26"/>
      <c r="E38" s="28"/>
      <c r="F38" s="28">
        <v>123.1</v>
      </c>
      <c r="G38" s="28">
        <v>123.1</v>
      </c>
      <c r="H38" s="28">
        <v>123.1</v>
      </c>
      <c r="I38" s="28"/>
      <c r="J38" s="28"/>
      <c r="K38" s="27">
        <v>130.1</v>
      </c>
      <c r="L38" s="27">
        <v>130.1</v>
      </c>
      <c r="M38" s="27">
        <v>130.1</v>
      </c>
      <c r="N38" s="28"/>
      <c r="O38" s="28"/>
      <c r="P38" s="64">
        <v>126</v>
      </c>
      <c r="Q38" s="64">
        <v>126</v>
      </c>
      <c r="R38" s="64">
        <v>126</v>
      </c>
      <c r="AU38" s="65"/>
      <c r="AW38" s="28"/>
    </row>
    <row r="39" spans="2:49" ht="12.75">
      <c r="B39" s="26" t="s">
        <v>79</v>
      </c>
      <c r="C39" s="26"/>
      <c r="D39" s="26"/>
      <c r="E39" s="28"/>
      <c r="F39" s="28">
        <v>7.6</v>
      </c>
      <c r="G39" s="28">
        <v>7.6</v>
      </c>
      <c r="H39" s="28">
        <v>7.6</v>
      </c>
      <c r="I39" s="28"/>
      <c r="J39" s="28"/>
      <c r="K39" s="28">
        <v>7.1</v>
      </c>
      <c r="L39" s="28">
        <v>7.1</v>
      </c>
      <c r="M39" s="28">
        <v>7.1</v>
      </c>
      <c r="N39" s="28"/>
      <c r="O39" s="28"/>
      <c r="P39" s="27">
        <v>7.1</v>
      </c>
      <c r="Q39" s="27">
        <v>7.1</v>
      </c>
      <c r="R39" s="27">
        <v>7.1</v>
      </c>
      <c r="AU39" s="65"/>
      <c r="AW39" s="28"/>
    </row>
    <row r="40" spans="2:49" ht="12.75">
      <c r="B40" s="26"/>
      <c r="C40" s="26"/>
      <c r="D40" s="26"/>
      <c r="E40" s="28"/>
      <c r="F40" s="39"/>
      <c r="G40" s="28"/>
      <c r="H40" s="39"/>
      <c r="I40" s="39"/>
      <c r="J40" s="28"/>
      <c r="K40" s="39"/>
      <c r="L40" s="28"/>
      <c r="M40" s="39"/>
      <c r="N40" s="28"/>
      <c r="O40" s="28"/>
      <c r="P40" s="28"/>
      <c r="Q40" s="28"/>
      <c r="R40" s="28"/>
      <c r="AU40" s="65"/>
      <c r="AW40" s="39"/>
    </row>
    <row r="41" spans="2:49" ht="12.75">
      <c r="B41" s="26" t="s">
        <v>80</v>
      </c>
      <c r="C41" s="55"/>
      <c r="D41" s="55"/>
      <c r="E41" s="55"/>
      <c r="F41" s="55">
        <f>SUM(F11:F35)</f>
        <v>0.12276081405287148</v>
      </c>
      <c r="G41" s="27">
        <f>SUM(G11:G35)</f>
        <v>8.153457243391067</v>
      </c>
      <c r="H41" s="55">
        <f>SUM(H11:H35)</f>
        <v>0.12270142980492253</v>
      </c>
      <c r="I41" s="55"/>
      <c r="J41" s="27"/>
      <c r="K41" s="55">
        <f>SUM(K11:K35)</f>
        <v>0.19953198127868849</v>
      </c>
      <c r="L41" s="27">
        <f>SUM(L11:L35)</f>
        <v>12.27563881967213</v>
      </c>
      <c r="M41" s="55">
        <f>SUM(M11:M35)</f>
        <v>0.19953198127868849</v>
      </c>
      <c r="N41" s="55"/>
      <c r="O41" s="55"/>
      <c r="P41" s="55">
        <f>SUM(P11:P35)</f>
        <v>0.21264474519505236</v>
      </c>
      <c r="Q41" s="27">
        <f>SUM(Q11:Q35)</f>
        <v>12.364065659372029</v>
      </c>
      <c r="R41" s="55">
        <f>SUM(R11:R35)</f>
        <v>0.2122640837297812</v>
      </c>
      <c r="AU41" s="67"/>
      <c r="AW41" s="55"/>
    </row>
    <row r="42" spans="2:49" ht="12.75">
      <c r="B42" s="26" t="s">
        <v>81</v>
      </c>
      <c r="C42" s="55"/>
      <c r="D42" s="55"/>
      <c r="E42" s="55"/>
      <c r="F42" s="55">
        <f>F41/F38/0.0283*(21-7)/(21-F39)</f>
        <v>0.03681616167754405</v>
      </c>
      <c r="G42" s="28">
        <f>(G41/G38/0.0283*(21-7)/(21-G39))</f>
        <v>2.4452346819266353</v>
      </c>
      <c r="H42" s="55">
        <f>H41/H38/0.0283*(21-7)/(21-H39)</f>
        <v>0.03679835224795973</v>
      </c>
      <c r="I42" s="55"/>
      <c r="J42" s="28"/>
      <c r="K42" s="55">
        <f>K41/K38/0.0283*(21-7)/(21-K39)</f>
        <v>0.05458358021918212</v>
      </c>
      <c r="L42" s="28">
        <f>(L41/L38/0.0283*(21-7)/(21-L39))</f>
        <v>3.358099849263843</v>
      </c>
      <c r="M42" s="55">
        <f>M41/M38/0.0283*(21-7)/(21-M39)</f>
        <v>0.05458358021918212</v>
      </c>
      <c r="N42" s="55"/>
      <c r="O42" s="55"/>
      <c r="P42" s="55">
        <f>P41/P38/0.0283*(21-7)/(21-P39)</f>
        <v>0.06006353791738407</v>
      </c>
      <c r="Q42" s="28">
        <f>(Q41/Q38/0.0283*(21-7)/(21-Q39))</f>
        <v>3.492348357179141</v>
      </c>
      <c r="R42" s="55">
        <f>R41/R38/0.0283*(21-7)/(21-R39)</f>
        <v>0.05995601645320668</v>
      </c>
      <c r="AU42" s="67"/>
      <c r="AW42" s="55"/>
    </row>
    <row r="43" spans="2:47" ht="12.75">
      <c r="B43" s="26"/>
      <c r="C43" s="26"/>
      <c r="D43" s="26"/>
      <c r="E43" s="56"/>
      <c r="F43" s="55"/>
      <c r="G43" s="56"/>
      <c r="H43" s="55"/>
      <c r="I43" s="56"/>
      <c r="J43" s="56"/>
      <c r="K43" s="56"/>
      <c r="L43" s="56"/>
      <c r="M43" s="56"/>
      <c r="N43" s="56"/>
      <c r="O43" s="56"/>
      <c r="P43" s="56"/>
      <c r="Q43" s="56"/>
      <c r="R43" s="56"/>
      <c r="AU43" s="65"/>
    </row>
    <row r="44" spans="2:47" ht="12.75">
      <c r="B44" s="26" t="s">
        <v>125</v>
      </c>
      <c r="C44" s="28">
        <f>AVERAGE(H42,M42,R42)</f>
        <v>0.05044598297344951</v>
      </c>
      <c r="D44" s="26"/>
      <c r="E44" s="56"/>
      <c r="F44" s="55"/>
      <c r="G44" s="56"/>
      <c r="H44" s="55"/>
      <c r="I44" s="56"/>
      <c r="J44" s="56"/>
      <c r="K44" s="56"/>
      <c r="L44" s="56"/>
      <c r="M44" s="56"/>
      <c r="N44" s="56"/>
      <c r="O44" s="56"/>
      <c r="P44" s="56"/>
      <c r="Q44" s="56"/>
      <c r="R44" s="56"/>
      <c r="AU44" s="65"/>
    </row>
    <row r="45" spans="2:47" ht="12.75">
      <c r="B45" s="26" t="s">
        <v>126</v>
      </c>
      <c r="C45" s="28">
        <f>AVERAGE(G42,L42,Q42)</f>
        <v>3.098560962789873</v>
      </c>
      <c r="D45" s="26"/>
      <c r="E45" s="56"/>
      <c r="F45" s="55"/>
      <c r="G45" s="56"/>
      <c r="H45" s="55"/>
      <c r="I45" s="56"/>
      <c r="J45" s="56"/>
      <c r="K45" s="56"/>
      <c r="L45" s="56"/>
      <c r="M45" s="56"/>
      <c r="N45" s="56"/>
      <c r="O45" s="56"/>
      <c r="P45" s="56"/>
      <c r="Q45" s="56"/>
      <c r="R45" s="56"/>
      <c r="AU45" s="65"/>
    </row>
    <row r="46" spans="2:18" ht="12.75">
      <c r="B46" s="26"/>
      <c r="C46" s="26"/>
      <c r="D46" s="26"/>
      <c r="E46" s="56"/>
      <c r="F46" s="55"/>
      <c r="G46" s="56"/>
      <c r="H46" s="55"/>
      <c r="I46" s="56"/>
      <c r="J46" s="56"/>
      <c r="K46" s="56"/>
      <c r="L46" s="56"/>
      <c r="M46" s="56"/>
      <c r="N46" s="56"/>
      <c r="O46" s="56"/>
      <c r="P46" s="56"/>
      <c r="Q46" s="56"/>
      <c r="R46" s="56"/>
    </row>
    <row r="47" spans="2:18" ht="12.75">
      <c r="B47" s="26"/>
      <c r="C47" s="26"/>
      <c r="D47" s="26"/>
      <c r="E47" s="56"/>
      <c r="F47" s="55"/>
      <c r="G47" s="56"/>
      <c r="H47" s="55"/>
      <c r="I47" s="56"/>
      <c r="J47" s="56"/>
      <c r="K47" s="56"/>
      <c r="L47" s="56"/>
      <c r="M47" s="56"/>
      <c r="N47" s="56"/>
      <c r="O47" s="56"/>
      <c r="P47" s="56"/>
      <c r="Q47" s="56"/>
      <c r="R47" s="56"/>
    </row>
    <row r="48" spans="2:18" ht="12.75">
      <c r="B48" s="26"/>
      <c r="C48" s="26"/>
      <c r="D48" s="26"/>
      <c r="E48" s="56"/>
      <c r="F48" s="55"/>
      <c r="G48" s="56"/>
      <c r="H48" s="55"/>
      <c r="I48" s="56"/>
      <c r="J48" s="56"/>
      <c r="K48" s="56"/>
      <c r="L48" s="56"/>
      <c r="M48" s="56"/>
      <c r="N48" s="56"/>
      <c r="O48" s="56"/>
      <c r="P48" s="56"/>
      <c r="Q48" s="56"/>
      <c r="R48" s="56"/>
    </row>
    <row r="49" spans="2:18" ht="12.75">
      <c r="B49" s="26"/>
      <c r="C49" s="26"/>
      <c r="D49" s="26"/>
      <c r="E49" s="56"/>
      <c r="F49" s="55"/>
      <c r="G49" s="56"/>
      <c r="H49" s="55"/>
      <c r="I49" s="56"/>
      <c r="J49" s="56"/>
      <c r="K49" s="56"/>
      <c r="L49" s="56"/>
      <c r="M49" s="56"/>
      <c r="N49" s="56"/>
      <c r="O49" s="56"/>
      <c r="P49" s="56"/>
      <c r="Q49" s="56"/>
      <c r="R49" s="56"/>
    </row>
    <row r="50" spans="2:18" ht="12.75">
      <c r="B50" s="26"/>
      <c r="C50" s="26"/>
      <c r="D50" s="26"/>
      <c r="E50" s="56"/>
      <c r="F50" s="55"/>
      <c r="G50" s="56"/>
      <c r="H50" s="55"/>
      <c r="I50" s="56"/>
      <c r="J50" s="56"/>
      <c r="K50" s="56"/>
      <c r="L50" s="56"/>
      <c r="M50" s="56"/>
      <c r="N50" s="56"/>
      <c r="O50" s="56"/>
      <c r="P50" s="56"/>
      <c r="Q50" s="56"/>
      <c r="R50" s="56"/>
    </row>
    <row r="51" spans="2:18" ht="12.75">
      <c r="B51" s="26"/>
      <c r="C51" s="26"/>
      <c r="D51" s="26"/>
      <c r="E51" s="56"/>
      <c r="F51" s="55"/>
      <c r="G51" s="56"/>
      <c r="H51" s="55"/>
      <c r="I51" s="56"/>
      <c r="J51" s="56"/>
      <c r="K51" s="56"/>
      <c r="L51" s="56"/>
      <c r="M51" s="56"/>
      <c r="N51" s="56"/>
      <c r="O51" s="56"/>
      <c r="P51" s="56"/>
      <c r="Q51" s="56"/>
      <c r="R51" s="56"/>
    </row>
    <row r="52" spans="2:18" ht="12.75">
      <c r="B52" s="26"/>
      <c r="C52" s="26"/>
      <c r="D52" s="26"/>
      <c r="E52" s="56"/>
      <c r="F52" s="55"/>
      <c r="G52" s="56"/>
      <c r="H52" s="55"/>
      <c r="I52" s="56"/>
      <c r="J52" s="56"/>
      <c r="K52" s="56"/>
      <c r="L52" s="56"/>
      <c r="M52" s="56"/>
      <c r="N52" s="56"/>
      <c r="O52" s="56"/>
      <c r="P52" s="56"/>
      <c r="Q52" s="56"/>
      <c r="R52" s="56"/>
    </row>
    <row r="53" spans="2:18" ht="12.75">
      <c r="B53" s="26"/>
      <c r="C53" s="26"/>
      <c r="D53" s="26"/>
      <c r="E53" s="56"/>
      <c r="F53" s="55"/>
      <c r="G53" s="56"/>
      <c r="H53" s="55"/>
      <c r="I53" s="56"/>
      <c r="J53" s="56"/>
      <c r="K53" s="56"/>
      <c r="L53" s="56"/>
      <c r="M53" s="56"/>
      <c r="N53" s="56"/>
      <c r="O53" s="56"/>
      <c r="P53" s="56"/>
      <c r="Q53" s="56"/>
      <c r="R53" s="56"/>
    </row>
    <row r="54" spans="2:18" ht="12.75">
      <c r="B54" s="26"/>
      <c r="C54" s="26"/>
      <c r="D54" s="26"/>
      <c r="E54" s="56"/>
      <c r="F54" s="55"/>
      <c r="G54" s="56"/>
      <c r="H54" s="55"/>
      <c r="I54" s="56"/>
      <c r="J54" s="56"/>
      <c r="K54" s="56"/>
      <c r="L54" s="56"/>
      <c r="M54" s="56"/>
      <c r="N54" s="56"/>
      <c r="O54" s="56"/>
      <c r="P54" s="56"/>
      <c r="Q54" s="56"/>
      <c r="R54" s="56"/>
    </row>
    <row r="55" spans="2:18" ht="12.75">
      <c r="B55" s="26"/>
      <c r="C55" s="26"/>
      <c r="D55" s="26"/>
      <c r="E55" s="56"/>
      <c r="F55" s="55"/>
      <c r="G55" s="56"/>
      <c r="H55" s="55"/>
      <c r="I55" s="56"/>
      <c r="J55" s="56"/>
      <c r="K55" s="56"/>
      <c r="L55" s="56"/>
      <c r="M55" s="56"/>
      <c r="N55" s="56"/>
      <c r="O55" s="56"/>
      <c r="P55" s="56"/>
      <c r="Q55" s="56"/>
      <c r="R55" s="56"/>
    </row>
    <row r="56" spans="2:18" ht="12.75">
      <c r="B56" s="26"/>
      <c r="C56" s="26"/>
      <c r="D56" s="26"/>
      <c r="E56" s="56"/>
      <c r="F56" s="55"/>
      <c r="G56" s="56"/>
      <c r="H56" s="55"/>
      <c r="I56" s="56"/>
      <c r="J56" s="56"/>
      <c r="K56" s="56"/>
      <c r="L56" s="56"/>
      <c r="M56" s="56"/>
      <c r="N56" s="56"/>
      <c r="O56" s="56"/>
      <c r="P56" s="56"/>
      <c r="Q56" s="56"/>
      <c r="R56" s="56"/>
    </row>
    <row r="57" spans="2:18" ht="12.75">
      <c r="B57" s="26"/>
      <c r="C57" s="26"/>
      <c r="D57" s="26"/>
      <c r="E57" s="56"/>
      <c r="F57" s="55"/>
      <c r="G57" s="56"/>
      <c r="H57" s="55"/>
      <c r="I57" s="56"/>
      <c r="J57" s="56"/>
      <c r="K57" s="56"/>
      <c r="L57" s="56"/>
      <c r="M57" s="56"/>
      <c r="N57" s="56"/>
      <c r="O57" s="56"/>
      <c r="P57" s="56"/>
      <c r="Q57" s="56"/>
      <c r="R57" s="56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Alan Nguyen</cp:lastModifiedBy>
  <cp:lastPrinted>2004-02-25T16:51:27Z</cp:lastPrinted>
  <dcterms:created xsi:type="dcterms:W3CDTF">1999-12-20T09:27:35Z</dcterms:created>
  <dcterms:modified xsi:type="dcterms:W3CDTF">2004-02-25T16:57:26Z</dcterms:modified>
  <cp:category/>
  <cp:version/>
  <cp:contentType/>
  <cp:contentStatus/>
</cp:coreProperties>
</file>