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3" sheetId="7" r:id="rId7"/>
  </sheets>
  <definedNames/>
  <calcPr fullCalcOnLoad="1"/>
</workbook>
</file>

<file path=xl/sharedStrings.xml><?xml version="1.0" encoding="utf-8"?>
<sst xmlns="http://schemas.openxmlformats.org/spreadsheetml/2006/main" count="1218" uniqueCount="249">
  <si>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</si>
  <si>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</si>
  <si>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</si>
  <si>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</si>
  <si>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</si>
  <si>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</si>
  <si>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</si>
  <si>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</si>
  <si>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</si>
  <si>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</si>
  <si>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</si>
  <si>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</si>
  <si>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</si>
  <si>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 xml:space="preserve">    Report Prepare</t>
  </si>
  <si>
    <t xml:space="preserve">    Testing Firm</t>
  </si>
  <si>
    <t xml:space="preserve">    Condition Descr</t>
  </si>
  <si>
    <t xml:space="preserve">    Content</t>
  </si>
  <si>
    <t>Units</t>
  </si>
  <si>
    <t>PM</t>
  </si>
  <si>
    <t>gr/dscf</t>
  </si>
  <si>
    <t>y</t>
  </si>
  <si>
    <t>ppmv</t>
  </si>
  <si>
    <t>dscfm</t>
  </si>
  <si>
    <t>%</t>
  </si>
  <si>
    <t>°F</t>
  </si>
  <si>
    <t>Facility Name and ID: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</si>
  <si>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</si>
  <si>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</si>
  <si>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</si>
  <si>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</si>
  <si>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</si>
  <si>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</si>
  <si>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</si>
  <si>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2,3,7,8-TCDD</t>
  </si>
  <si>
    <t>nd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</si>
  <si>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</si>
  <si>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</si>
  <si>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</si>
  <si>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</si>
  <si>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</si>
  <si>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</si>
  <si>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</si>
  <si>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</si>
  <si>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</si>
  <si>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</si>
  <si>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</si>
  <si>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</si>
  <si>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</si>
  <si>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</si>
  <si>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</si>
  <si>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</si>
  <si>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</si>
  <si>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PCDD/PCDF (ng/dscm @ 7% O2)</t>
  </si>
  <si>
    <t>Feedrate Calculations</t>
  </si>
  <si>
    <t>Cond Avg</t>
  </si>
  <si>
    <t>Feedstream Description</t>
  </si>
  <si>
    <t>g/hr</t>
  </si>
  <si>
    <t>Heating Value</t>
  </si>
  <si>
    <t>Btu/lb</t>
  </si>
  <si>
    <t>Ash</t>
  </si>
  <si>
    <t>Chlorine</t>
  </si>
  <si>
    <t>Viscosity</t>
  </si>
  <si>
    <t>cps</t>
  </si>
  <si>
    <t>HCl</t>
  </si>
  <si>
    <t>Cl2</t>
  </si>
  <si>
    <t>Freeport</t>
  </si>
  <si>
    <t>TX</t>
  </si>
  <si>
    <t>Dow Chemical Company</t>
  </si>
  <si>
    <t>Focus Environmental, Inc.</t>
  </si>
  <si>
    <t>METCO Environmental</t>
  </si>
  <si>
    <t>DRE</t>
  </si>
  <si>
    <t>Chlorobenzene</t>
  </si>
  <si>
    <t>lb/hr</t>
  </si>
  <si>
    <t>Liquid waste</t>
  </si>
  <si>
    <t>Density</t>
  </si>
  <si>
    <t>lb/gal</t>
  </si>
  <si>
    <t>Detected in sample volume (pg)</t>
  </si>
  <si>
    <t>PCDD/PCDF (pg in sample)</t>
  </si>
  <si>
    <t>Run 1</t>
  </si>
  <si>
    <t>Run 2</t>
  </si>
  <si>
    <t>Run 3</t>
  </si>
  <si>
    <t>None</t>
  </si>
  <si>
    <t>Vapor</t>
  </si>
  <si>
    <t>PCDD/F, metals</t>
  </si>
  <si>
    <t>F-210</t>
  </si>
  <si>
    <t>T-214 Scrubber Effluent pH</t>
  </si>
  <si>
    <t>T-214 Scrubber Effluent Flow</t>
  </si>
  <si>
    <t>T-214 Recycle Pressure</t>
  </si>
  <si>
    <t>T-214 Scrubber L/G</t>
  </si>
  <si>
    <r>
      <t>o</t>
    </r>
    <r>
      <rPr>
        <sz val="10"/>
        <rFont val="Arial"/>
        <family val="2"/>
      </rPr>
      <t>F</t>
    </r>
  </si>
  <si>
    <t>pH</t>
  </si>
  <si>
    <t>gpm</t>
  </si>
  <si>
    <t>psig</t>
  </si>
  <si>
    <t>gal/Macf</t>
  </si>
  <si>
    <t>TCP</t>
  </si>
  <si>
    <t>BO Heavies</t>
  </si>
  <si>
    <t>Epi Heavies</t>
  </si>
  <si>
    <t>Natural gas</t>
  </si>
  <si>
    <t>Mlb/hr</t>
  </si>
  <si>
    <t>Allyl Tars Mix</t>
  </si>
  <si>
    <t>MMBtu/hr</t>
  </si>
  <si>
    <t>Spike</t>
  </si>
  <si>
    <t>&gt;</t>
  </si>
  <si>
    <t>Risk burn, above normal operating of liq waste feed rate, normal comb temp, April 14, 1998</t>
  </si>
  <si>
    <t xml:space="preserve">Liquid wastes (Epi Heavies, Allyl Tars mix, TCP, BO Heavies) </t>
  </si>
  <si>
    <t>DRE (chlorobenzene)</t>
  </si>
  <si>
    <t>ug/dscm</t>
  </si>
  <si>
    <t>SVM</t>
  </si>
  <si>
    <t>LVM</t>
  </si>
  <si>
    <t>O2 (%)</t>
  </si>
  <si>
    <t>TEQ Cond Avg</t>
  </si>
  <si>
    <t>Total Cond Avg</t>
  </si>
  <si>
    <t>Stack Gas Flowrate</t>
  </si>
  <si>
    <t>Oxygen</t>
  </si>
  <si>
    <t>mg/dscm</t>
  </si>
  <si>
    <t>Liq</t>
  </si>
  <si>
    <t>Stack Gas Emissions</t>
  </si>
  <si>
    <t>HW</t>
  </si>
  <si>
    <t>µg/dscm</t>
  </si>
  <si>
    <t>Trial burn, max waste feed rate, max ash and Cr</t>
  </si>
  <si>
    <t>Combustor Characteristics</t>
  </si>
  <si>
    <t>7% O2</t>
  </si>
  <si>
    <t>Process Information</t>
  </si>
  <si>
    <t>Dow Chemical Company, Freeport, TX</t>
  </si>
  <si>
    <t>1/2 ND</t>
  </si>
  <si>
    <t>PCDD/PCDF</t>
  </si>
  <si>
    <t>Hazardous Wastes</t>
  </si>
  <si>
    <t>Supplemental Fuel</t>
  </si>
  <si>
    <t>POHC DRE</t>
  </si>
  <si>
    <t>TXD008092793</t>
  </si>
  <si>
    <t>Trial burn, DRE min comb temp, max stack gas flow rate</t>
  </si>
  <si>
    <t>F-210 Trial Burn and Risk Burn Report, July 13 and 15, 1998</t>
  </si>
  <si>
    <t xml:space="preserve">    Testing Dates</t>
  </si>
  <si>
    <t>Firetube boiler made by Johnston company, horizontal direct fired combustion chamber made by John Zink Company, capacity of 50.2 MMBtu/hr</t>
  </si>
  <si>
    <t>Capacity (MMBtu/hr)</t>
  </si>
  <si>
    <t>n</t>
  </si>
  <si>
    <t>Comb Temp</t>
  </si>
  <si>
    <t>Prod Rate</t>
  </si>
  <si>
    <t>845C1</t>
  </si>
  <si>
    <t>845C2</t>
  </si>
  <si>
    <t>845C3</t>
  </si>
  <si>
    <t>Risk burn, above normal feed of liq waste, normal comb temp</t>
  </si>
  <si>
    <t>PM, HCl/Cl2, Cr+6, Cr/Pb</t>
  </si>
  <si>
    <t xml:space="preserve">    Gas Velocity (ft/sec)</t>
  </si>
  <si>
    <t xml:space="preserve">    Gas Temperature (°F)</t>
  </si>
  <si>
    <t>Nat Gas</t>
  </si>
  <si>
    <t>Feedrate MTEC Calculations</t>
  </si>
  <si>
    <t>Tier I Feedrate Limits</t>
  </si>
  <si>
    <t>Nat gas</t>
  </si>
  <si>
    <t>Phase II ID No.</t>
  </si>
  <si>
    <t>Source Description</t>
  </si>
  <si>
    <t>Soot Blowing</t>
  </si>
  <si>
    <t>Haz Waste Description</t>
  </si>
  <si>
    <t>µg/dscf</t>
  </si>
  <si>
    <t xml:space="preserve">   Temperature</t>
  </si>
  <si>
    <t xml:space="preserve">   Stack Gas Flowrate</t>
  </si>
  <si>
    <t>Lead</t>
  </si>
  <si>
    <t>Antimony</t>
  </si>
  <si>
    <t>Arsenic</t>
  </si>
  <si>
    <t>Barium</t>
  </si>
  <si>
    <t>Beryllium</t>
  </si>
  <si>
    <t>Cadmium</t>
  </si>
  <si>
    <t>Mercury</t>
  </si>
  <si>
    <t>Nickel</t>
  </si>
  <si>
    <t>Selenium</t>
  </si>
  <si>
    <t>Silver</t>
  </si>
  <si>
    <t>Thallium</t>
  </si>
  <si>
    <t>Comments</t>
  </si>
  <si>
    <t>Trial Burn</t>
  </si>
  <si>
    <t>PM, HCl/Cl2</t>
  </si>
  <si>
    <t>Cr+6</t>
  </si>
  <si>
    <t>Cr/Pb</t>
  </si>
  <si>
    <t>Risk Burn</t>
  </si>
  <si>
    <t>POHC Feedrate</t>
  </si>
  <si>
    <t>Emission Rate</t>
  </si>
  <si>
    <t xml:space="preserve">   O2</t>
  </si>
  <si>
    <t xml:space="preserve">   Moisture</t>
  </si>
  <si>
    <t>Cobalt</t>
  </si>
  <si>
    <t>Copper</t>
  </si>
  <si>
    <t>Manganese</t>
  </si>
  <si>
    <t>Molybdenum</t>
  </si>
  <si>
    <t>Vanadium</t>
  </si>
  <si>
    <t>CO (RA)</t>
  </si>
  <si>
    <t>CO (MHRA)</t>
  </si>
  <si>
    <t>Chromium</t>
  </si>
  <si>
    <t>Total Chlorine</t>
  </si>
  <si>
    <t>Sampling Train</t>
  </si>
  <si>
    <t>Zinc</t>
  </si>
  <si>
    <t xml:space="preserve">845C1 </t>
  </si>
  <si>
    <t>Trial burn</t>
  </si>
  <si>
    <t xml:space="preserve">845C2 </t>
  </si>
  <si>
    <t xml:space="preserve">845C3 </t>
  </si>
  <si>
    <t>Risk burn</t>
  </si>
  <si>
    <t>*</t>
  </si>
  <si>
    <t>Thermal Feedrate</t>
  </si>
  <si>
    <t>Feed Rate</t>
  </si>
  <si>
    <t>HWC Burn Status (Date if Terminated)</t>
  </si>
  <si>
    <t>WHB/Q/HCLABS/VS/WS</t>
  </si>
  <si>
    <t xml:space="preserve"> (Quench and HCl absorber, venturi scrubber, wet scrubber)  Gases contacted with caustic water in an ejector venturi (VE-214) then pass through scrubbing medium in T-214 chlorine scrubber</t>
  </si>
  <si>
    <t>Tier l for metals except Tier lll for Cr+6 and Tier III for Cl and Tier III Pb?</t>
  </si>
  <si>
    <t xml:space="preserve">    Cond Dates</t>
  </si>
  <si>
    <t>HCl Production Furnace</t>
  </si>
  <si>
    <t>Cond Description</t>
  </si>
  <si>
    <t>Number of Sister Facilities</t>
  </si>
  <si>
    <t>APCS Detailed Acronym</t>
  </si>
  <si>
    <t>APCS General Class</t>
  </si>
  <si>
    <t>WHB, WQ, LEWS, HEWS</t>
  </si>
  <si>
    <t>Combustor Class</t>
  </si>
  <si>
    <t>R1</t>
  </si>
  <si>
    <t>R2</t>
  </si>
  <si>
    <t>R3</t>
  </si>
  <si>
    <t>E1</t>
  </si>
  <si>
    <t>E2</t>
  </si>
  <si>
    <t>E3</t>
  </si>
  <si>
    <t>Metals</t>
  </si>
  <si>
    <t>Chromium (Hex)</t>
  </si>
  <si>
    <t>Combustor Type</t>
  </si>
  <si>
    <t>source</t>
  </si>
  <si>
    <t>cond</t>
  </si>
  <si>
    <t>emiss</t>
  </si>
  <si>
    <t>feed</t>
  </si>
  <si>
    <t>process</t>
  </si>
  <si>
    <t>Feedstream Number</t>
  </si>
  <si>
    <t>Feed Class</t>
  </si>
  <si>
    <t>F1</t>
  </si>
  <si>
    <t>F2</t>
  </si>
  <si>
    <t>F3</t>
  </si>
  <si>
    <t>F4</t>
  </si>
  <si>
    <t>F5</t>
  </si>
  <si>
    <t>F6</t>
  </si>
  <si>
    <t>Liq HW</t>
  </si>
  <si>
    <t>Process Gas</t>
  </si>
  <si>
    <t>NG</t>
  </si>
  <si>
    <t>MF</t>
  </si>
  <si>
    <t>Feed Class 2</t>
  </si>
  <si>
    <t>Estimated Firing Rate</t>
  </si>
  <si>
    <t>No Be, As</t>
  </si>
  <si>
    <t>No Cd</t>
  </si>
  <si>
    <t>df c3</t>
  </si>
  <si>
    <t>Full ND</t>
  </si>
  <si>
    <t>N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</si>
  <si>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</si>
  <si>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</si>
  <si>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</si>
  <si>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</si>
  <si>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</si>
  <si>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</si>
  <si>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</si>
  <si>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>Total HCDF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</si>
</sst>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mmmm\-yy"/>
  </numFmts>
  <fonts count="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74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177" fontId="0" fillId="0" borderId="0" xfId="0" applyNumberFormat="1" applyFont="1" applyAlignment="1">
      <alignment horizontal="left"/>
    </xf>
    <xf numFmtId="17" fontId="0" fillId="0" borderId="0" xfId="0" applyNumberFormat="1" applyFont="1" applyAlignment="1">
      <alignment horizontal="left"/>
    </xf>
    <xf numFmtId="165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 topLeftCell="A1">
      <selection activeCell="D23" sqref="D23"/>
    </sheetView>
  </sheetViews>
  <sheetFormatPr defaultColWidth="9.140625" defaultRowHeight="12.75"/>
  <sheetData>
    <row r="1" ht="12.75">
      <c r="A1" t="s">
        <v>217</v>
      </c>
    </row>
    <row r="2" ht="12.75">
      <c r="A2" t="s">
        <v>218</v>
      </c>
    </row>
    <row r="3" ht="12.75">
      <c r="A3" t="s">
        <v>219</v>
      </c>
    </row>
    <row r="4" ht="12.75">
      <c r="A4" t="s">
        <v>220</v>
      </c>
    </row>
    <row r="5" ht="12.75">
      <c r="A5" t="s">
        <v>221</v>
      </c>
    </row>
    <row r="6" ht="12.75">
      <c r="A6" t="s">
        <v>238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67"/>
  <sheetViews>
    <sheetView workbookViewId="0" topLeftCell="B1">
      <selection activeCell="A2" sqref="A2"/>
    </sheetView>
  </sheetViews>
  <sheetFormatPr defaultColWidth="9.140625" defaultRowHeight="12.75"/>
  <cols>
    <col min="1" max="1" width="9.140625" style="1" hidden="1" customWidth="1"/>
    <col min="2" max="2" width="23.8515625" style="1" customWidth="1"/>
    <col min="3" max="3" width="58.421875" style="1" customWidth="1"/>
    <col min="4" max="16384" width="8.8515625" style="1" customWidth="1"/>
  </cols>
  <sheetData>
    <row r="1" spans="2:12" ht="12.75">
      <c r="B1" s="11" t="s">
        <v>150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2:12" ht="12.7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2" ht="12.75">
      <c r="B3" s="24" t="s">
        <v>149</v>
      </c>
      <c r="C3" s="25">
        <v>845</v>
      </c>
      <c r="D3" s="24"/>
      <c r="E3" s="24"/>
      <c r="F3" s="24"/>
      <c r="G3" s="24"/>
      <c r="H3" s="24"/>
      <c r="I3" s="24"/>
      <c r="J3" s="24"/>
      <c r="K3" s="24"/>
      <c r="L3" s="24"/>
    </row>
    <row r="4" spans="2:12" ht="12.75">
      <c r="B4" s="24" t="s">
        <v>0</v>
      </c>
      <c r="C4" s="24" t="s">
        <v>129</v>
      </c>
      <c r="D4" s="24"/>
      <c r="E4" s="24"/>
      <c r="F4" s="24"/>
      <c r="G4" s="24"/>
      <c r="H4" s="24"/>
      <c r="I4" s="24"/>
      <c r="J4" s="24"/>
      <c r="K4" s="24"/>
      <c r="L4" s="24"/>
    </row>
    <row r="5" spans="2:12" ht="12.75">
      <c r="B5" s="24" t="s">
        <v>1</v>
      </c>
      <c r="C5" s="24" t="s">
        <v>67</v>
      </c>
      <c r="D5" s="24"/>
      <c r="E5" s="24"/>
      <c r="F5" s="24"/>
      <c r="G5" s="24"/>
      <c r="H5" s="24"/>
      <c r="I5" s="24"/>
      <c r="J5" s="24"/>
      <c r="K5" s="24"/>
      <c r="L5" s="24"/>
    </row>
    <row r="6" spans="2:12" ht="12.75">
      <c r="B6" s="24" t="s">
        <v>2</v>
      </c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2:12" ht="12.75">
      <c r="B7" s="24" t="s">
        <v>3</v>
      </c>
      <c r="C7" s="24" t="s">
        <v>65</v>
      </c>
      <c r="D7" s="24"/>
      <c r="E7" s="24"/>
      <c r="F7" s="24"/>
      <c r="G7" s="24"/>
      <c r="H7" s="24"/>
      <c r="I7" s="24"/>
      <c r="J7" s="24"/>
      <c r="K7" s="24"/>
      <c r="L7" s="24"/>
    </row>
    <row r="8" spans="2:12" ht="12.75">
      <c r="B8" s="24" t="s">
        <v>4</v>
      </c>
      <c r="C8" s="24" t="s">
        <v>66</v>
      </c>
      <c r="D8" s="24"/>
      <c r="E8" s="24"/>
      <c r="F8" s="24"/>
      <c r="G8" s="24"/>
      <c r="H8" s="24"/>
      <c r="I8" s="24"/>
      <c r="J8" s="24"/>
      <c r="K8" s="24"/>
      <c r="L8" s="24"/>
    </row>
    <row r="9" spans="2:12" ht="12.75">
      <c r="B9" s="24" t="s">
        <v>5</v>
      </c>
      <c r="C9" s="24" t="s">
        <v>84</v>
      </c>
      <c r="D9" s="24"/>
      <c r="E9" s="24"/>
      <c r="F9" s="24"/>
      <c r="G9" s="24"/>
      <c r="H9" s="24"/>
      <c r="I9" s="24"/>
      <c r="J9" s="24"/>
      <c r="K9" s="24"/>
      <c r="L9" s="24"/>
    </row>
    <row r="10" spans="2:12" ht="12.75">
      <c r="B10" s="24" t="s">
        <v>6</v>
      </c>
      <c r="C10" s="24" t="s">
        <v>81</v>
      </c>
      <c r="D10" s="24"/>
      <c r="E10" s="24"/>
      <c r="F10" s="24"/>
      <c r="G10" s="24"/>
      <c r="H10" s="24"/>
      <c r="I10" s="24"/>
      <c r="J10" s="24"/>
      <c r="K10" s="24"/>
      <c r="L10" s="24"/>
    </row>
    <row r="11" spans="2:12" ht="12.75">
      <c r="B11" s="24" t="s">
        <v>203</v>
      </c>
      <c r="C11" s="25">
        <v>0</v>
      </c>
      <c r="D11" s="24"/>
      <c r="E11" s="24"/>
      <c r="F11" s="24"/>
      <c r="G11" s="24"/>
      <c r="H11" s="24"/>
      <c r="I11" s="24"/>
      <c r="J11" s="24"/>
      <c r="K11" s="24"/>
      <c r="L11" s="24"/>
    </row>
    <row r="12" spans="2:12" ht="12.75">
      <c r="B12" s="24" t="s">
        <v>207</v>
      </c>
      <c r="C12" s="24" t="s">
        <v>201</v>
      </c>
      <c r="D12" s="24"/>
      <c r="E12" s="24"/>
      <c r="F12" s="24"/>
      <c r="G12" s="24"/>
      <c r="H12" s="24"/>
      <c r="I12" s="24"/>
      <c r="J12" s="24"/>
      <c r="K12" s="24"/>
      <c r="L12" s="24"/>
    </row>
    <row r="13" spans="2:12" ht="12.75">
      <c r="B13" s="24" t="s">
        <v>216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s="70" customFormat="1" ht="38.25">
      <c r="B14" s="69" t="s">
        <v>120</v>
      </c>
      <c r="C14" s="69" t="s">
        <v>133</v>
      </c>
      <c r="D14" s="69"/>
      <c r="E14" s="69"/>
      <c r="F14" s="69"/>
      <c r="G14" s="69"/>
      <c r="H14" s="69"/>
      <c r="I14" s="69"/>
      <c r="J14" s="69"/>
      <c r="K14" s="69"/>
      <c r="L14" s="69"/>
    </row>
    <row r="15" spans="2:12" s="70" customFormat="1" ht="12.75">
      <c r="B15" s="69" t="s">
        <v>134</v>
      </c>
      <c r="C15" s="71">
        <v>50.2</v>
      </c>
      <c r="D15" s="69"/>
      <c r="E15" s="69"/>
      <c r="F15" s="69"/>
      <c r="G15" s="69"/>
      <c r="H15" s="69"/>
      <c r="I15" s="69"/>
      <c r="J15" s="69"/>
      <c r="K15" s="69"/>
      <c r="L15" s="69"/>
    </row>
    <row r="16" spans="2:12" s="70" customFormat="1" ht="12.75">
      <c r="B16" s="24" t="s">
        <v>151</v>
      </c>
      <c r="C16" s="24" t="s">
        <v>81</v>
      </c>
      <c r="F16" s="69"/>
      <c r="G16" s="69"/>
      <c r="H16" s="69"/>
      <c r="I16" s="69"/>
      <c r="J16" s="69"/>
      <c r="K16" s="69"/>
      <c r="L16" s="69"/>
    </row>
    <row r="17" spans="2:12" s="70" customFormat="1" ht="12.75">
      <c r="B17" s="69" t="s">
        <v>204</v>
      </c>
      <c r="C17" s="69" t="s">
        <v>197</v>
      </c>
      <c r="D17" s="69"/>
      <c r="E17" s="69"/>
      <c r="F17" s="69"/>
      <c r="G17" s="69"/>
      <c r="H17" s="69"/>
      <c r="I17" s="69"/>
      <c r="J17" s="69"/>
      <c r="K17" s="69"/>
      <c r="L17" s="69"/>
    </row>
    <row r="18" spans="2:12" s="70" customFormat="1" ht="12.75">
      <c r="B18" s="69" t="s">
        <v>205</v>
      </c>
      <c r="C18" s="69" t="s">
        <v>206</v>
      </c>
      <c r="D18" s="69"/>
      <c r="E18" s="69"/>
      <c r="F18" s="69"/>
      <c r="G18" s="69"/>
      <c r="H18" s="69"/>
      <c r="I18" s="69"/>
      <c r="J18" s="69"/>
      <c r="K18" s="69"/>
      <c r="L18" s="69"/>
    </row>
    <row r="19" spans="2:12" ht="38.25">
      <c r="B19" s="69" t="s">
        <v>7</v>
      </c>
      <c r="C19" s="69" t="s">
        <v>198</v>
      </c>
      <c r="D19" s="24"/>
      <c r="E19" s="24"/>
      <c r="F19" s="24"/>
      <c r="G19" s="24"/>
      <c r="H19" s="24"/>
      <c r="I19" s="24"/>
      <c r="J19" s="24"/>
      <c r="K19" s="24"/>
      <c r="L19" s="24"/>
    </row>
    <row r="20" spans="2:12" ht="12.75">
      <c r="B20" s="24" t="s">
        <v>126</v>
      </c>
      <c r="C20" s="24" t="s">
        <v>115</v>
      </c>
      <c r="D20" s="24"/>
      <c r="E20" s="24"/>
      <c r="F20" s="24"/>
      <c r="G20" s="24"/>
      <c r="H20" s="24"/>
      <c r="I20" s="24"/>
      <c r="J20" s="24"/>
      <c r="K20" s="24"/>
      <c r="L20" s="24"/>
    </row>
    <row r="21" spans="2:12" ht="12.75">
      <c r="B21" s="24" t="s">
        <v>152</v>
      </c>
      <c r="C21" s="24" t="s">
        <v>104</v>
      </c>
      <c r="D21" s="24"/>
      <c r="E21" s="24"/>
      <c r="F21" s="24"/>
      <c r="G21" s="24"/>
      <c r="H21" s="24"/>
      <c r="I21" s="24"/>
      <c r="J21" s="24"/>
      <c r="K21" s="24"/>
      <c r="L21" s="24"/>
    </row>
    <row r="22" spans="2:12" ht="12.75">
      <c r="B22" s="24" t="s">
        <v>127</v>
      </c>
      <c r="C22" s="24" t="s">
        <v>97</v>
      </c>
      <c r="D22" s="24"/>
      <c r="E22" s="24"/>
      <c r="F22" s="24"/>
      <c r="G22" s="24"/>
      <c r="H22" s="24"/>
      <c r="I22" s="24"/>
      <c r="J22" s="24"/>
      <c r="K22" s="24"/>
      <c r="L22" s="24"/>
    </row>
    <row r="23" spans="2:12" ht="12.75" customHeigh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2:12" ht="12.75">
      <c r="B24" s="24" t="s">
        <v>8</v>
      </c>
      <c r="C24" s="25"/>
      <c r="D24" s="24"/>
      <c r="E24" s="24"/>
      <c r="F24" s="24"/>
      <c r="G24" s="24"/>
      <c r="H24" s="24"/>
      <c r="I24" s="24"/>
      <c r="J24" s="24"/>
      <c r="K24" s="24"/>
      <c r="L24" s="24"/>
    </row>
    <row r="25" spans="2:12" ht="12.75">
      <c r="B25" s="24" t="s">
        <v>9</v>
      </c>
      <c r="C25" s="25">
        <v>2.5</v>
      </c>
      <c r="D25" s="24"/>
      <c r="E25" s="24"/>
      <c r="F25" s="24"/>
      <c r="G25" s="24"/>
      <c r="H25" s="24"/>
      <c r="I25" s="24"/>
      <c r="J25" s="24"/>
      <c r="K25" s="24"/>
      <c r="L25" s="24"/>
    </row>
    <row r="26" spans="2:12" ht="12.75">
      <c r="B26" s="24" t="s">
        <v>10</v>
      </c>
      <c r="C26" s="25">
        <v>85</v>
      </c>
      <c r="D26" s="24"/>
      <c r="E26" s="24"/>
      <c r="F26" s="24"/>
      <c r="G26" s="24"/>
      <c r="H26" s="24"/>
      <c r="I26" s="24"/>
      <c r="J26" s="24"/>
      <c r="K26" s="24"/>
      <c r="L26" s="24"/>
    </row>
    <row r="27" spans="2:12" ht="12.75">
      <c r="B27" s="24" t="s">
        <v>143</v>
      </c>
      <c r="C27" s="26">
        <v>47.5</v>
      </c>
      <c r="D27" s="24"/>
      <c r="E27" s="24"/>
      <c r="F27" s="24"/>
      <c r="G27" s="24"/>
      <c r="H27" s="24"/>
      <c r="I27" s="24"/>
      <c r="J27" s="24"/>
      <c r="K27" s="24"/>
      <c r="L27" s="24"/>
    </row>
    <row r="28" spans="2:12" ht="14.25" customHeight="1">
      <c r="B28" s="24" t="s">
        <v>144</v>
      </c>
      <c r="C28" s="25">
        <v>140.7</v>
      </c>
      <c r="D28" s="24"/>
      <c r="E28" s="24"/>
      <c r="F28" s="24"/>
      <c r="G28" s="24"/>
      <c r="H28" s="24"/>
      <c r="I28" s="24"/>
      <c r="J28" s="24"/>
      <c r="K28" s="24"/>
      <c r="L28" s="24"/>
    </row>
    <row r="29" spans="2:12" ht="12" customHeight="1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2:12" ht="12.75">
      <c r="B30" s="24" t="s">
        <v>11</v>
      </c>
      <c r="C30" s="24" t="s">
        <v>199</v>
      </c>
      <c r="D30" s="24"/>
      <c r="E30" s="24"/>
      <c r="F30" s="24"/>
      <c r="G30" s="24"/>
      <c r="H30" s="24"/>
      <c r="I30" s="24"/>
      <c r="J30" s="24"/>
      <c r="K30" s="24"/>
      <c r="L30" s="24"/>
    </row>
    <row r="31" spans="2:12" s="76" customFormat="1" ht="25.5">
      <c r="B31" s="75" t="s">
        <v>196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2:12" ht="14.25" customHeight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51" spans="2:12" ht="12.7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2:12" ht="12.7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2:12" ht="12.75">
      <c r="B53" s="24"/>
      <c r="C53" s="27"/>
      <c r="D53" s="24"/>
      <c r="E53" s="24"/>
      <c r="F53" s="24"/>
      <c r="G53" s="24"/>
      <c r="H53" s="24"/>
      <c r="I53" s="24"/>
      <c r="J53" s="24"/>
      <c r="K53" s="24"/>
      <c r="L53" s="24"/>
    </row>
    <row r="54" spans="2:12" ht="12.7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2:12" ht="12.7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2:12" ht="12.7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2:12" ht="12.75">
      <c r="B57" s="24"/>
      <c r="C57" s="27"/>
      <c r="D57" s="24"/>
      <c r="E57" s="24"/>
      <c r="F57" s="24"/>
      <c r="G57" s="24"/>
      <c r="H57" s="24"/>
      <c r="I57" s="24"/>
      <c r="J57" s="24"/>
      <c r="K57" s="24"/>
      <c r="L57" s="24"/>
    </row>
    <row r="58" spans="2:12" ht="12.7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2:12" ht="12.7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2:12" ht="12.75">
      <c r="B60" s="24"/>
      <c r="C60" s="27"/>
      <c r="D60" s="24"/>
      <c r="E60" s="24"/>
      <c r="F60" s="24"/>
      <c r="G60" s="24"/>
      <c r="H60" s="24"/>
      <c r="I60" s="24"/>
      <c r="J60" s="24"/>
      <c r="K60" s="24"/>
      <c r="L60" s="24"/>
    </row>
    <row r="61" spans="2:12" ht="12.75">
      <c r="B61" s="24"/>
      <c r="C61" s="27"/>
      <c r="D61" s="24"/>
      <c r="E61" s="24"/>
      <c r="F61" s="24"/>
      <c r="G61" s="24"/>
      <c r="H61" s="24"/>
      <c r="I61" s="24"/>
      <c r="J61" s="24"/>
      <c r="K61" s="24"/>
      <c r="L61" s="24"/>
    </row>
    <row r="62" spans="2:12" ht="12.7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2:12" ht="12.7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2:12" ht="12.7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2:12" ht="12.7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2:12" ht="12.7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2:12" ht="12.7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2:12" ht="12.7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2:12" ht="12.7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2:12" ht="12.7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2:12" ht="12.7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2:12" ht="12.7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2:12" ht="12.7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2" ht="12.7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2:12" ht="12.7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2:12" ht="12.7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2:12" ht="12.7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2:12" ht="12.7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2:12" ht="12.7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2:12" ht="12.7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2:12" ht="12.7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2:12" ht="12.7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2:12" ht="12.7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2:12" ht="12.7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2:12" ht="12.7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2:12" ht="12.7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2:12" ht="12.7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2:12" ht="12.7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2:12" ht="12.7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2:12" ht="12.7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2:12" ht="12.7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2:12" ht="12.7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2:12" ht="12.7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2:12" ht="12.7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2:12" ht="12.7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2:12" ht="12.7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2:12" ht="12.7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2:12" ht="12.7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2:12" ht="12.7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2:12" ht="12.7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2:12" ht="12.7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2:12" ht="12.7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2:12" ht="12.7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2:12" ht="12.7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2:12" ht="12.7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2:12" ht="12.7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2:12" ht="12.75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2:12" ht="12.75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2:12" ht="12.75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2:12" ht="12.75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2:12" ht="12.75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2:12" ht="12.75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2:12" ht="12.75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2:12" ht="12.75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2:12" ht="12.75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2:12" ht="12.75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2:12" ht="12.75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2:12" ht="12.75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2:12" ht="12.75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2:12" ht="12.75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2:12" ht="12.75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2:12" ht="12.75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2:12" ht="12.7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2:12" ht="12.7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2:12" ht="12.7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2:12" ht="12.7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2:12" ht="12.7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2:12" ht="12.7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2:12" ht="12.7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2:12" ht="12.7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2:12" ht="12.7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2:12" ht="12.7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2:12" ht="12.7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2:12" ht="12.7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2:12" ht="12.7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2:12" ht="12.7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2:12" ht="12.7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2:12" ht="12.7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2:12" ht="12.7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2:12" ht="12.7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2:12" ht="12.7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2:12" ht="12.7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2:12" ht="12.7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</row>
    <row r="144" spans="2:12" ht="12.7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2:12" ht="12.7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</row>
    <row r="146" spans="2:12" ht="12.7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2:12" ht="12.7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2:12" ht="12.7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2:12" ht="12.7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</row>
    <row r="150" spans="2:12" ht="12.7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</row>
    <row r="151" spans="2:12" ht="12.7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2:12" ht="12.7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2:12" ht="12.7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2:12" ht="12.7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2:12" ht="12.7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</row>
    <row r="156" spans="2:12" ht="12.7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</row>
    <row r="157" spans="2:12" ht="12.7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</row>
    <row r="158" spans="2:12" ht="12.7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2:12" ht="12.7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2:12" ht="12.7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</row>
    <row r="161" spans="2:12" ht="12.7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</row>
    <row r="162" spans="2:12" ht="12.7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2:12" ht="12.7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2:12" ht="12.7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</row>
    <row r="165" spans="2:12" ht="12.7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</row>
    <row r="166" spans="2:12" ht="12.7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2:12" ht="12.7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2:12" ht="12.7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2:12" ht="12.7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2:12" ht="12.7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2:12" ht="12.7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2:12" ht="12.7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2:12" ht="12.7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2:12" ht="12.75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2:12" ht="12.75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2:12" ht="12.75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2:12" ht="12.75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2:12" ht="12.75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2:12" ht="12.75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2:12" ht="12.75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2:12" ht="12.75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2:12" ht="12.75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2:12" ht="12.75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2:12" ht="12.75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2:12" ht="12.75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2:12" ht="12.75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2:12" ht="12.75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2:12" ht="12.75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2:12" ht="12.75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2:12" ht="12.75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2:12" ht="12.75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2:12" ht="12.75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2:12" ht="12.75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2:12" ht="12.75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2:12" ht="12.75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2:12" ht="12.75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2:12" ht="12.75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2:12" ht="12.75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</row>
    <row r="199" spans="2:12" ht="12.75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2:12" ht="12.75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</row>
    <row r="201" spans="2:12" ht="12.75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</row>
    <row r="202" spans="2:12" ht="12.75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</row>
    <row r="203" spans="2:12" ht="12.75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</row>
    <row r="204" spans="2:12" ht="12.75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</row>
    <row r="205" spans="2:12" ht="12.75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</row>
    <row r="206" spans="2:12" ht="12.75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</row>
    <row r="207" spans="2:12" ht="12.75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</row>
    <row r="208" spans="2:12" ht="12.75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</row>
    <row r="209" spans="2:12" ht="12.75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</row>
    <row r="210" spans="2:12" ht="12.75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</row>
    <row r="211" spans="2:12" ht="12.75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</row>
    <row r="212" spans="2:12" ht="12.75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</row>
    <row r="213" spans="2:12" ht="12.75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</row>
    <row r="214" spans="2:12" ht="12.75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</row>
    <row r="215" spans="2:12" ht="12.75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</row>
    <row r="216" spans="2:12" ht="12.75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</row>
    <row r="217" spans="2:12" ht="12.75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</row>
    <row r="218" spans="2:12" ht="12.75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</row>
    <row r="219" spans="2:12" ht="12.75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</row>
    <row r="220" spans="2:12" ht="12.75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</row>
    <row r="221" spans="2:12" ht="12.75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</row>
    <row r="222" spans="2:12" ht="12.75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</row>
    <row r="223" spans="2:12" ht="12.75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</row>
    <row r="224" spans="2:12" ht="12.75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</row>
    <row r="225" spans="2:12" ht="12.75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</row>
    <row r="226" spans="2:12" ht="12.75"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</row>
    <row r="227" spans="2:12" ht="12.75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</row>
    <row r="228" spans="2:12" ht="12.75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</row>
    <row r="229" spans="2:12" ht="12.75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</row>
    <row r="230" spans="2:12" ht="12.75"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</row>
    <row r="231" spans="2:12" ht="12.75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</row>
    <row r="232" spans="2:12" ht="12.75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</row>
    <row r="233" spans="2:12" ht="12.75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</row>
    <row r="234" spans="2:12" ht="12.75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</row>
    <row r="235" spans="2:12" ht="12.75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</row>
    <row r="236" spans="2:12" ht="12.75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</row>
    <row r="237" spans="2:12" ht="12.75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</row>
    <row r="238" spans="2:12" ht="12.75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</row>
    <row r="239" spans="2:12" ht="12.75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</row>
    <row r="240" spans="2:12" ht="12.75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</row>
    <row r="241" spans="2:12" ht="12.75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</row>
    <row r="242" spans="2:12" ht="12.75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</row>
    <row r="243" spans="2:12" ht="12.75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</row>
    <row r="244" spans="2:12" ht="12.75"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</row>
    <row r="245" spans="2:12" ht="12.75"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</row>
    <row r="246" spans="2:12" ht="12.75"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</row>
    <row r="247" spans="2:12" ht="12.75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</row>
    <row r="248" spans="2:12" ht="12.75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</row>
    <row r="249" spans="2:12" ht="12.75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</row>
    <row r="250" spans="2:12" ht="12.75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</row>
    <row r="251" spans="2:12" ht="12.75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</row>
    <row r="252" spans="2:12" ht="12.75"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</row>
    <row r="253" spans="2:12" ht="12.75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</row>
    <row r="254" spans="2:12" ht="12.75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</row>
    <row r="255" spans="2:12" ht="12.75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</row>
    <row r="256" spans="2:12" ht="12.75"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</row>
    <row r="257" spans="2:12" ht="12.75"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</row>
    <row r="258" spans="2:12" ht="12.75"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</row>
    <row r="259" spans="2:12" ht="12.75"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</row>
    <row r="260" spans="2:12" ht="12.75"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</row>
    <row r="261" spans="2:12" ht="12.75"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</row>
    <row r="262" spans="2:12" ht="12.75"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</row>
    <row r="263" spans="2:12" ht="12.75"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</row>
    <row r="264" spans="2:12" ht="12.75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</row>
    <row r="265" spans="2:12" ht="12.75"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</row>
    <row r="266" spans="2:12" ht="12.75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</row>
    <row r="267" spans="2:12" ht="12.75"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</row>
    <row r="268" spans="2:12" ht="12.75"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</row>
    <row r="269" spans="2:12" ht="12.75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</row>
    <row r="270" spans="2:12" ht="12.75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</row>
    <row r="271" spans="2:12" ht="12.75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</row>
    <row r="272" spans="2:12" ht="12.75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</row>
    <row r="273" spans="2:12" ht="12.75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</row>
    <row r="274" spans="2:12" ht="12.75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</row>
    <row r="275" spans="2:12" ht="12.75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</row>
    <row r="276" spans="2:12" ht="12.75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</row>
    <row r="277" spans="2:12" ht="12.75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</row>
    <row r="278" spans="2:12" ht="12.75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</row>
    <row r="279" spans="2:12" ht="12.75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</row>
    <row r="280" spans="2:12" ht="12.75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</row>
    <row r="281" spans="2:12" ht="12.75"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</row>
    <row r="282" spans="2:12" ht="12.75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</row>
    <row r="283" spans="2:12" ht="12.75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</row>
    <row r="284" spans="2:12" ht="12.75"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</row>
    <row r="285" spans="2:12" ht="12.75"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</row>
    <row r="286" spans="2:12" ht="12.75"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</row>
    <row r="287" spans="2:12" ht="12.75"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</row>
    <row r="288" spans="2:12" ht="12.75"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</row>
    <row r="289" spans="2:12" ht="12.75"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</row>
    <row r="290" spans="2:12" ht="12.75"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</row>
    <row r="291" spans="2:12" ht="12.75"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</row>
    <row r="292" spans="2:12" ht="12.75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</row>
    <row r="293" spans="2:12" ht="12.75"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</row>
    <row r="294" spans="2:12" ht="12.75"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</row>
    <row r="295" spans="2:12" ht="12.75"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</row>
    <row r="296" spans="2:12" ht="12.75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</row>
    <row r="297" spans="2:12" ht="12.75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</row>
    <row r="298" spans="2:12" ht="12.75"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</row>
    <row r="299" spans="2:12" ht="12.75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</row>
    <row r="300" spans="2:12" ht="12.75"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</row>
    <row r="301" spans="2:12" ht="12.75"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</row>
    <row r="302" spans="2:12" ht="12.75"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</row>
    <row r="303" spans="2:12" ht="12.75"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</row>
    <row r="304" spans="2:12" ht="12.75"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</row>
    <row r="305" spans="2:12" ht="12.75"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</row>
    <row r="306" spans="2:12" ht="12.75"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</row>
    <row r="307" spans="2:12" ht="12.75"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</row>
    <row r="308" spans="2:12" ht="12.75"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</row>
    <row r="309" spans="2:12" ht="12.75"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</row>
    <row r="310" spans="2:12" ht="12.75"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</row>
    <row r="311" spans="2:12" ht="12.75"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</row>
    <row r="312" spans="2:12" ht="12.75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</row>
    <row r="313" spans="2:12" ht="12.75"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</row>
    <row r="314" spans="2:12" ht="12.75"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</row>
    <row r="315" spans="2:12" ht="12.75"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</row>
    <row r="316" spans="2:12" ht="12.75"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</row>
    <row r="317" spans="2:12" ht="12.75"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</row>
    <row r="318" spans="2:12" ht="12.75"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</row>
    <row r="319" spans="2:12" ht="12.75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</row>
    <row r="320" spans="2:12" ht="12.75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</row>
    <row r="321" spans="2:12" ht="12.75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</row>
    <row r="322" spans="2:12" ht="12.75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</row>
    <row r="323" spans="2:12" ht="12.75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</row>
    <row r="324" spans="2:12" ht="12.75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</row>
    <row r="325" spans="2:12" ht="12.75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</row>
    <row r="326" spans="2:12" ht="12.75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</row>
    <row r="327" spans="2:12" ht="12.75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</row>
    <row r="328" spans="2:12" ht="12.75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</row>
    <row r="329" spans="2:12" ht="12.75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</row>
    <row r="330" spans="2:12" ht="12.75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</row>
    <row r="331" spans="2:12" ht="12.75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</row>
    <row r="332" spans="2:12" ht="12.75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</row>
    <row r="333" spans="2:12" ht="12.75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</row>
    <row r="334" spans="2:12" ht="12.75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</row>
    <row r="335" spans="2:12" ht="12.75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</row>
    <row r="336" spans="2:12" ht="12.75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</row>
    <row r="337" spans="2:12" ht="12.75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</row>
    <row r="338" spans="2:12" ht="12.75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</row>
    <row r="339" spans="2:12" ht="12.75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</row>
    <row r="340" spans="2:12" ht="12.75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</row>
    <row r="341" spans="2:12" ht="12.75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</row>
    <row r="342" spans="2:12" ht="12.75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</row>
    <row r="343" spans="2:12" ht="12.75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</row>
    <row r="344" spans="2:12" ht="12.75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</row>
    <row r="345" spans="2:12" ht="12.75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</row>
    <row r="346" spans="2:12" ht="12.75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</row>
    <row r="347" spans="2:12" ht="12.75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</row>
    <row r="348" spans="2:12" ht="12.75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</row>
    <row r="349" spans="2:12" ht="12.75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</row>
    <row r="350" spans="2:12" ht="12.75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</row>
    <row r="351" spans="2:12" ht="12.75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</row>
    <row r="352" spans="2:12" ht="12.75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</row>
    <row r="353" spans="2:12" ht="12.75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</row>
    <row r="354" spans="2:12" ht="12.75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</row>
    <row r="355" spans="2:12" ht="12.75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</row>
    <row r="356" spans="2:12" ht="12.75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</row>
    <row r="357" spans="2:12" ht="12.75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</row>
    <row r="358" spans="2:12" ht="12.75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</row>
    <row r="359" spans="2:12" ht="12.75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</row>
    <row r="360" spans="2:12" ht="12.75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</row>
    <row r="361" spans="2:12" ht="12.75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</row>
    <row r="362" spans="2:12" ht="12.75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</row>
    <row r="363" spans="2:12" ht="12.75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</row>
    <row r="364" spans="2:12" ht="12.75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</row>
    <row r="365" spans="2:12" ht="12.75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</row>
    <row r="366" spans="2:12" ht="12.75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</row>
    <row r="367" spans="2:12" ht="12.75"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</row>
    <row r="368" spans="2:12" ht="12.75"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</row>
    <row r="369" spans="2:12" ht="12.75"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</row>
    <row r="370" spans="2:12" ht="12.75"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</row>
    <row r="371" spans="2:12" ht="12.75"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</row>
    <row r="372" spans="2:12" ht="12.75"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</row>
    <row r="373" spans="2:12" ht="12.75"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</row>
    <row r="374" spans="2:12" ht="12.75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</row>
    <row r="375" spans="2:12" ht="12.75"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</row>
    <row r="376" spans="2:12" ht="12.75"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</row>
    <row r="377" spans="2:12" ht="12.75"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</row>
    <row r="378" spans="2:12" ht="12.75"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</row>
    <row r="379" spans="2:12" ht="12.75"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</row>
    <row r="380" spans="2:12" ht="12.75"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</row>
    <row r="381" spans="2:12" ht="12.75"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</row>
    <row r="382" spans="2:12" ht="12.75"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</row>
    <row r="383" spans="2:12" ht="12.75"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</row>
    <row r="384" spans="2:12" ht="12.75"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</row>
    <row r="385" spans="2:12" ht="12.75"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</row>
    <row r="386" spans="2:12" ht="12.75"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</row>
    <row r="387" spans="2:12" ht="12.75"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</row>
    <row r="388" spans="2:12" ht="12.75"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</row>
    <row r="389" spans="2:12" ht="12.75"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</row>
    <row r="390" spans="2:12" ht="12.75"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</row>
    <row r="391" spans="2:12" ht="12.75"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</row>
    <row r="392" spans="2:12" ht="12.75"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</row>
    <row r="393" spans="2:12" ht="12.75"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</row>
    <row r="394" spans="2:12" ht="12.75"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</row>
    <row r="395" spans="2:12" ht="12.75"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</row>
    <row r="396" spans="2:12" ht="12.75"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</row>
    <row r="397" spans="2:12" ht="12.75"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</row>
    <row r="398" spans="2:12" ht="12.75"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</row>
    <row r="399" spans="2:12" ht="12.75"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</row>
    <row r="400" spans="2:12" ht="12.75"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</row>
    <row r="401" spans="2:12" ht="12.75"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</row>
    <row r="402" spans="2:12" ht="12.75"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</row>
    <row r="403" spans="2:12" ht="12.75"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</row>
    <row r="404" spans="2:12" ht="12.75"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</row>
    <row r="405" spans="2:12" ht="12.75"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</row>
    <row r="406" spans="2:12" ht="12.75"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</row>
    <row r="407" spans="2:12" ht="12.75"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</row>
    <row r="408" spans="2:12" ht="12.75"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</row>
    <row r="409" spans="2:12" ht="12.75"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</row>
    <row r="410" spans="2:12" ht="12.75"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</row>
    <row r="411" spans="2:12" ht="12.75"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</row>
    <row r="412" spans="2:12" ht="12.75"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</row>
    <row r="413" spans="2:12" ht="12.75"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</row>
    <row r="414" spans="2:12" ht="12.75"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</row>
    <row r="415" spans="2:12" ht="12.75"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</row>
    <row r="416" spans="2:12" ht="12.75"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</row>
    <row r="417" spans="2:12" ht="12.75"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</row>
    <row r="418" spans="2:12" ht="12.75"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</row>
    <row r="419" spans="2:12" ht="12.75"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</row>
    <row r="420" spans="2:12" ht="12.75"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</row>
    <row r="421" spans="2:12" ht="12.75"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</row>
    <row r="422" spans="2:12" ht="12.75"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</row>
    <row r="423" spans="2:12" ht="12.75"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</row>
    <row r="424" spans="2:12" ht="12.75"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</row>
    <row r="425" spans="2:12" ht="12.75"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</row>
    <row r="426" spans="2:12" ht="12.75"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</row>
    <row r="427" spans="2:12" ht="12.75"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</row>
    <row r="428" spans="2:12" ht="12.75"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</row>
    <row r="429" spans="2:12" ht="12.75"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</row>
    <row r="430" spans="2:12" ht="12.75"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</row>
    <row r="431" spans="2:12" ht="12.75"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</row>
    <row r="432" spans="2:12" ht="12.75"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</row>
    <row r="433" spans="2:12" ht="12.75"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</row>
    <row r="434" spans="2:12" ht="12.75"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</row>
    <row r="435" spans="2:12" ht="12.75"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</row>
    <row r="436" spans="2:12" ht="12.75"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</row>
    <row r="437" spans="2:12" ht="12.75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</row>
    <row r="438" spans="2:12" ht="12.75"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</row>
    <row r="439" spans="2:12" ht="12.75"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</row>
    <row r="440" spans="2:12" ht="12.75"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</row>
    <row r="441" spans="2:12" ht="12.75"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</row>
    <row r="442" spans="2:12" ht="12.75"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</row>
    <row r="443" spans="2:12" ht="12.75"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</row>
    <row r="444" spans="2:12" ht="12.75"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</row>
    <row r="445" spans="2:12" ht="12.75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</row>
    <row r="446" spans="2:12" ht="12.75"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</row>
    <row r="447" spans="2:12" ht="12.75"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</row>
    <row r="448" spans="2:12" ht="12.75"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</row>
    <row r="449" spans="2:12" ht="12.75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</row>
    <row r="450" spans="2:12" ht="12.75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</row>
    <row r="451" spans="2:12" ht="12.75"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</row>
    <row r="452" spans="2:12" ht="12.75"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</row>
    <row r="453" spans="2:12" ht="12.75"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</row>
    <row r="454" spans="2:12" ht="12.75"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</row>
    <row r="455" spans="2:12" ht="12.75"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</row>
    <row r="456" spans="2:12" ht="12.75"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</row>
    <row r="457" spans="2:12" ht="12.75"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</row>
    <row r="458" spans="2:12" ht="12.75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</row>
    <row r="459" spans="2:12" ht="12.75"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</row>
    <row r="460" spans="2:12" ht="12.75"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</row>
    <row r="461" spans="2:12" ht="12.75"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</row>
    <row r="462" spans="2:12" ht="12.75"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</row>
    <row r="463" spans="2:12" ht="12.75"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</row>
    <row r="464" spans="2:12" ht="12.75"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</row>
    <row r="465" spans="2:12" ht="12.75"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</row>
    <row r="466" spans="2:12" ht="12.75"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</row>
    <row r="467" spans="2:12" ht="12.75"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A2" sqref="A2"/>
    </sheetView>
  </sheetViews>
  <sheetFormatPr defaultColWidth="9.140625" defaultRowHeight="12.75"/>
  <cols>
    <col min="1" max="1" width="9.140625" style="24" hidden="1" customWidth="1"/>
    <col min="2" max="2" width="22.00390625" style="24" customWidth="1"/>
    <col min="3" max="3" width="54.7109375" style="24" customWidth="1"/>
    <col min="4" max="16384" width="9.140625" style="24" customWidth="1"/>
  </cols>
  <sheetData>
    <row r="1" ht="12.75">
      <c r="B1" s="11" t="s">
        <v>202</v>
      </c>
    </row>
    <row r="3" ht="12.75">
      <c r="B3" s="74" t="s">
        <v>138</v>
      </c>
    </row>
    <row r="4" ht="12.75">
      <c r="B4" s="74"/>
    </row>
    <row r="5" spans="2:3" ht="12.75">
      <c r="B5" s="24" t="s">
        <v>12</v>
      </c>
      <c r="C5" s="24" t="s">
        <v>131</v>
      </c>
    </row>
    <row r="6" spans="2:3" ht="12.75">
      <c r="B6" s="24" t="s">
        <v>13</v>
      </c>
      <c r="C6" s="24" t="s">
        <v>68</v>
      </c>
    </row>
    <row r="7" spans="2:3" ht="12.75">
      <c r="B7" s="24" t="s">
        <v>14</v>
      </c>
      <c r="C7" s="24" t="s">
        <v>69</v>
      </c>
    </row>
    <row r="8" spans="2:3" ht="12.75">
      <c r="B8" s="24" t="s">
        <v>132</v>
      </c>
      <c r="C8" s="27">
        <v>35901</v>
      </c>
    </row>
    <row r="9" spans="2:3" ht="12.75">
      <c r="B9" s="24" t="s">
        <v>200</v>
      </c>
      <c r="C9" s="77">
        <v>35886</v>
      </c>
    </row>
    <row r="10" spans="2:3" ht="12.75">
      <c r="B10" s="24" t="s">
        <v>15</v>
      </c>
      <c r="C10" s="24" t="s">
        <v>119</v>
      </c>
    </row>
    <row r="11" spans="2:3" ht="12.75">
      <c r="B11" s="24" t="s">
        <v>16</v>
      </c>
      <c r="C11" s="27" t="s">
        <v>142</v>
      </c>
    </row>
    <row r="12" ht="12.75">
      <c r="C12" s="27"/>
    </row>
    <row r="13" ht="12.75">
      <c r="B13" s="74" t="s">
        <v>139</v>
      </c>
    </row>
    <row r="14" ht="12.75">
      <c r="B14" s="74"/>
    </row>
    <row r="15" spans="2:3" ht="12.75">
      <c r="B15" s="24" t="s">
        <v>12</v>
      </c>
      <c r="C15" s="24" t="s">
        <v>131</v>
      </c>
    </row>
    <row r="16" spans="2:3" ht="12.75">
      <c r="B16" s="24" t="s">
        <v>13</v>
      </c>
      <c r="C16" s="24" t="s">
        <v>68</v>
      </c>
    </row>
    <row r="17" spans="2:3" ht="12.75">
      <c r="B17" s="24" t="s">
        <v>14</v>
      </c>
      <c r="C17" s="24" t="s">
        <v>69</v>
      </c>
    </row>
    <row r="18" spans="2:3" ht="12.75">
      <c r="B18" s="24" t="s">
        <v>132</v>
      </c>
      <c r="C18" s="27">
        <v>35902</v>
      </c>
    </row>
    <row r="19" spans="2:3" ht="12.75">
      <c r="B19" s="24" t="s">
        <v>200</v>
      </c>
      <c r="C19" s="78">
        <v>35886</v>
      </c>
    </row>
    <row r="20" spans="2:3" ht="12.75">
      <c r="B20" s="24" t="s">
        <v>15</v>
      </c>
      <c r="C20" s="27" t="s">
        <v>130</v>
      </c>
    </row>
    <row r="21" spans="2:3" ht="12.75">
      <c r="B21" s="24" t="s">
        <v>16</v>
      </c>
      <c r="C21" s="27" t="s">
        <v>105</v>
      </c>
    </row>
    <row r="22" ht="12.75">
      <c r="C22" s="27"/>
    </row>
    <row r="23" ht="12.75">
      <c r="B23" s="74" t="s">
        <v>140</v>
      </c>
    </row>
    <row r="24" ht="12.75">
      <c r="B24" s="74"/>
    </row>
    <row r="25" spans="2:3" ht="12.75">
      <c r="B25" s="24" t="s">
        <v>12</v>
      </c>
      <c r="C25" s="24" t="s">
        <v>131</v>
      </c>
    </row>
    <row r="26" spans="2:3" ht="12.75">
      <c r="B26" s="24" t="s">
        <v>13</v>
      </c>
      <c r="C26" s="24" t="s">
        <v>68</v>
      </c>
    </row>
    <row r="27" spans="2:3" ht="12.75">
      <c r="B27" s="24" t="s">
        <v>14</v>
      </c>
      <c r="C27" s="24" t="s">
        <v>69</v>
      </c>
    </row>
    <row r="28" spans="2:3" ht="12.75">
      <c r="B28" s="24" t="s">
        <v>132</v>
      </c>
      <c r="C28" s="27">
        <v>35899</v>
      </c>
    </row>
    <row r="29" spans="2:3" ht="12.75">
      <c r="B29" s="24" t="s">
        <v>200</v>
      </c>
      <c r="C29" s="78">
        <v>35886</v>
      </c>
    </row>
    <row r="30" spans="2:3" s="69" customFormat="1" ht="12.75">
      <c r="B30" s="69" t="s">
        <v>15</v>
      </c>
      <c r="C30" s="69" t="s">
        <v>141</v>
      </c>
    </row>
    <row r="31" spans="2:3" ht="12.75">
      <c r="B31" s="24" t="s">
        <v>16</v>
      </c>
      <c r="C31" s="24" t="s">
        <v>83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68"/>
  <sheetViews>
    <sheetView workbookViewId="0" topLeftCell="B1">
      <selection activeCell="A2" sqref="A2"/>
    </sheetView>
  </sheetViews>
  <sheetFormatPr defaultColWidth="9.140625" defaultRowHeight="12.75"/>
  <cols>
    <col min="1" max="1" width="9.140625" style="29" hidden="1" customWidth="1"/>
    <col min="2" max="2" width="21.140625" style="29" customWidth="1"/>
    <col min="3" max="3" width="11.421875" style="29" customWidth="1"/>
    <col min="4" max="4" width="8.8515625" style="13" customWidth="1"/>
    <col min="5" max="5" width="6.140625" style="13" customWidth="1"/>
    <col min="6" max="6" width="3.8515625" style="31" customWidth="1"/>
    <col min="7" max="7" width="10.00390625" style="29" customWidth="1"/>
    <col min="8" max="8" width="3.7109375" style="31" customWidth="1"/>
    <col min="9" max="9" width="9.7109375" style="30" customWidth="1"/>
    <col min="10" max="10" width="3.57421875" style="31" customWidth="1"/>
    <col min="11" max="11" width="12.28125" style="29" customWidth="1"/>
    <col min="12" max="12" width="3.8515625" style="29" customWidth="1"/>
    <col min="13" max="13" width="8.8515625" style="29" customWidth="1"/>
    <col min="14" max="14" width="2.140625" style="29" customWidth="1"/>
    <col min="15" max="15" width="9.8515625" style="29" customWidth="1"/>
    <col min="16" max="16384" width="8.8515625" style="29" customWidth="1"/>
  </cols>
  <sheetData>
    <row r="1" spans="2:3" ht="12.75">
      <c r="B1" s="28" t="s">
        <v>116</v>
      </c>
      <c r="C1" s="28"/>
    </row>
    <row r="2" spans="2:12" ht="12.75">
      <c r="B2" s="31"/>
      <c r="C2" s="31"/>
      <c r="G2" s="31"/>
      <c r="I2" s="32"/>
      <c r="K2" s="31"/>
      <c r="L2" s="31"/>
    </row>
    <row r="3" spans="2:12" ht="12.75">
      <c r="B3" s="24"/>
      <c r="C3" s="24" t="s">
        <v>167</v>
      </c>
      <c r="D3" s="13" t="s">
        <v>17</v>
      </c>
      <c r="E3" s="13" t="s">
        <v>121</v>
      </c>
      <c r="G3" s="31"/>
      <c r="I3" s="32"/>
      <c r="K3" s="31"/>
      <c r="L3" s="31"/>
    </row>
    <row r="4" spans="2:12" ht="12.75">
      <c r="B4" s="24"/>
      <c r="C4" s="24"/>
      <c r="G4" s="31"/>
      <c r="I4" s="32"/>
      <c r="K4" s="31"/>
      <c r="L4" s="31"/>
    </row>
    <row r="5" spans="2:12" ht="12.75">
      <c r="B5" s="24"/>
      <c r="C5" s="24"/>
      <c r="G5" s="31"/>
      <c r="I5" s="32"/>
      <c r="K5" s="31"/>
      <c r="L5" s="31"/>
    </row>
    <row r="6" spans="1:13" ht="12.75">
      <c r="A6" s="29">
        <v>1</v>
      </c>
      <c r="B6" s="33" t="s">
        <v>138</v>
      </c>
      <c r="C6" s="33" t="s">
        <v>168</v>
      </c>
      <c r="G6" s="31" t="s">
        <v>208</v>
      </c>
      <c r="I6" s="32" t="s">
        <v>209</v>
      </c>
      <c r="K6" s="31" t="s">
        <v>210</v>
      </c>
      <c r="L6" s="31"/>
      <c r="M6" s="29" t="s">
        <v>54</v>
      </c>
    </row>
    <row r="7" spans="2:12" ht="12.75">
      <c r="B7" s="13"/>
      <c r="C7" s="13"/>
      <c r="D7" s="24"/>
      <c r="E7" s="24"/>
      <c r="F7" s="73"/>
      <c r="G7" s="24"/>
      <c r="H7" s="73"/>
      <c r="I7" s="34"/>
      <c r="J7" s="73"/>
      <c r="K7" s="24"/>
      <c r="L7" s="31"/>
    </row>
    <row r="8" spans="2:13" ht="12.75">
      <c r="B8" s="13" t="s">
        <v>18</v>
      </c>
      <c r="C8" s="13" t="s">
        <v>211</v>
      </c>
      <c r="D8" s="13" t="s">
        <v>19</v>
      </c>
      <c r="E8" s="13" t="s">
        <v>20</v>
      </c>
      <c r="G8" s="24">
        <v>0.0012</v>
      </c>
      <c r="H8" s="73"/>
      <c r="I8" s="34">
        <v>0.0018</v>
      </c>
      <c r="J8" s="73"/>
      <c r="K8" s="24">
        <v>0.0015</v>
      </c>
      <c r="L8" s="31"/>
      <c r="M8" s="35">
        <v>0.0015</v>
      </c>
    </row>
    <row r="9" spans="2:13" ht="12.75">
      <c r="B9" s="13" t="s">
        <v>183</v>
      </c>
      <c r="C9" s="13" t="s">
        <v>211</v>
      </c>
      <c r="D9" s="13" t="s">
        <v>21</v>
      </c>
      <c r="E9" s="13" t="s">
        <v>20</v>
      </c>
      <c r="G9" s="37">
        <v>4.85</v>
      </c>
      <c r="I9" s="38">
        <v>4.12</v>
      </c>
      <c r="K9" s="37">
        <v>4.3</v>
      </c>
      <c r="L9" s="31"/>
      <c r="M9" s="36">
        <f>AVERAGE(G9,I9,K9)</f>
        <v>4.423333333333333</v>
      </c>
    </row>
    <row r="10" spans="2:13" ht="12.75">
      <c r="B10" s="13" t="s">
        <v>182</v>
      </c>
      <c r="C10" s="13" t="s">
        <v>211</v>
      </c>
      <c r="D10" s="13" t="s">
        <v>21</v>
      </c>
      <c r="E10" s="13" t="s">
        <v>20</v>
      </c>
      <c r="G10" s="37">
        <v>4.23</v>
      </c>
      <c r="I10" s="38">
        <v>3.55</v>
      </c>
      <c r="K10" s="37">
        <v>3.4</v>
      </c>
      <c r="L10" s="31"/>
      <c r="M10" s="36">
        <f>AVERAGE(G10,I10,K10)</f>
        <v>3.7266666666666666</v>
      </c>
    </row>
    <row r="11" spans="2:13" ht="12.75">
      <c r="B11" s="13" t="s">
        <v>215</v>
      </c>
      <c r="C11" s="13"/>
      <c r="D11" s="13" t="s">
        <v>56</v>
      </c>
      <c r="G11" s="37">
        <v>0.15</v>
      </c>
      <c r="I11" s="38">
        <v>0.08</v>
      </c>
      <c r="K11" s="37">
        <v>0.08</v>
      </c>
      <c r="L11" s="31"/>
      <c r="M11" s="36">
        <f>AVERAGE(G11,I11,K11)</f>
        <v>0.10333333333333333</v>
      </c>
    </row>
    <row r="12" spans="2:13" ht="12.75">
      <c r="B12" s="13" t="s">
        <v>184</v>
      </c>
      <c r="C12" s="13"/>
      <c r="D12" s="13" t="s">
        <v>56</v>
      </c>
      <c r="G12" s="29">
        <v>0.072</v>
      </c>
      <c r="I12" s="29">
        <v>0.065</v>
      </c>
      <c r="K12" s="29">
        <v>0.13</v>
      </c>
      <c r="M12" s="29">
        <v>0.09</v>
      </c>
    </row>
    <row r="13" spans="2:13" ht="12.75">
      <c r="B13" s="13" t="s">
        <v>156</v>
      </c>
      <c r="C13" s="13"/>
      <c r="D13" s="13" t="s">
        <v>56</v>
      </c>
      <c r="G13" s="37">
        <v>2.9</v>
      </c>
      <c r="I13" s="38">
        <v>3.3</v>
      </c>
      <c r="K13" s="37">
        <v>3.2</v>
      </c>
      <c r="L13" s="31"/>
      <c r="M13" s="39">
        <v>3.1</v>
      </c>
    </row>
    <row r="14" spans="2:13" ht="12.75">
      <c r="B14" s="13" t="s">
        <v>63</v>
      </c>
      <c r="C14" s="13"/>
      <c r="D14" s="13" t="s">
        <v>56</v>
      </c>
      <c r="G14" s="37">
        <v>23</v>
      </c>
      <c r="I14" s="38">
        <v>24</v>
      </c>
      <c r="K14" s="37">
        <v>17</v>
      </c>
      <c r="L14" s="31"/>
      <c r="M14" s="36">
        <f>AVERAGE(G14,I14,K14)</f>
        <v>21.333333333333332</v>
      </c>
    </row>
    <row r="15" spans="2:13" ht="12.75">
      <c r="B15" s="13" t="s">
        <v>64</v>
      </c>
      <c r="C15" s="13"/>
      <c r="D15" s="13" t="s">
        <v>56</v>
      </c>
      <c r="G15" s="37">
        <v>51</v>
      </c>
      <c r="I15" s="38">
        <v>62</v>
      </c>
      <c r="K15" s="37">
        <v>55</v>
      </c>
      <c r="L15" s="31"/>
      <c r="M15" s="39">
        <f>AVERAGE(G15,I15,K15)</f>
        <v>56</v>
      </c>
    </row>
    <row r="16" spans="2:13" ht="12.75">
      <c r="B16" s="13"/>
      <c r="C16" s="13"/>
      <c r="G16" s="37"/>
      <c r="I16" s="38"/>
      <c r="K16" s="37"/>
      <c r="L16" s="31"/>
      <c r="M16" s="39"/>
    </row>
    <row r="17" spans="2:13" ht="12.75">
      <c r="B17" s="13" t="s">
        <v>215</v>
      </c>
      <c r="C17" s="13" t="s">
        <v>212</v>
      </c>
      <c r="D17" s="13" t="s">
        <v>118</v>
      </c>
      <c r="E17" s="13" t="s">
        <v>20</v>
      </c>
      <c r="G17" s="14">
        <f>(G11/(G$33*60*0.0283))*10^6*(14/(21-G$28))</f>
        <v>7.916268425589736</v>
      </c>
      <c r="H17" s="79"/>
      <c r="I17" s="14">
        <f>(I11/(I$33*60*0.0283))*10^6*(14/(21-I$28))</f>
        <v>3.9525947692049703</v>
      </c>
      <c r="J17" s="79"/>
      <c r="K17" s="14">
        <f>(K11/(K$33*60*0.0283))*10^6*(14/(21-K$28))</f>
        <v>4.167242825194775</v>
      </c>
      <c r="L17" s="14"/>
      <c r="M17" s="14">
        <f>(M11/(M$33*60*0.0283))*10^6*(14/(21-M$28))</f>
        <v>5.309534202159281</v>
      </c>
    </row>
    <row r="18" spans="2:13" ht="12.75">
      <c r="B18" s="13" t="s">
        <v>184</v>
      </c>
      <c r="C18" s="13" t="s">
        <v>213</v>
      </c>
      <c r="D18" s="13" t="s">
        <v>118</v>
      </c>
      <c r="E18" s="13" t="s">
        <v>20</v>
      </c>
      <c r="G18" s="14">
        <f>(G12/(G$39*60*0.0283))*10^6*(14/(21-G$28))</f>
        <v>3.5900263426730574</v>
      </c>
      <c r="H18" s="79"/>
      <c r="I18" s="14">
        <f>(I12/(I$39*60*0.0283))*10^6*(14/(21-I$28))</f>
        <v>3.0959189193994807</v>
      </c>
      <c r="J18" s="79"/>
      <c r="K18" s="14">
        <f>(K12/(K$39*60*0.0283))*10^6*(14/(21-K$28))</f>
        <v>6.422966499958077</v>
      </c>
      <c r="L18" s="14"/>
      <c r="M18" s="14">
        <f>(M12/(M$39*60*0.0283))*10^6*(14/(21-M$28))</f>
        <v>4.405227841348744</v>
      </c>
    </row>
    <row r="19" spans="2:15" ht="12.75">
      <c r="B19" s="13" t="s">
        <v>108</v>
      </c>
      <c r="C19" s="13" t="s">
        <v>213</v>
      </c>
      <c r="D19" s="13" t="s">
        <v>118</v>
      </c>
      <c r="E19" s="13" t="s">
        <v>20</v>
      </c>
      <c r="G19" s="14">
        <f>G18</f>
        <v>3.5900263426730574</v>
      </c>
      <c r="H19" s="79"/>
      <c r="I19" s="14">
        <f>I18</f>
        <v>3.0959189193994807</v>
      </c>
      <c r="J19" s="79"/>
      <c r="K19" s="14">
        <f>K18</f>
        <v>6.422966499958077</v>
      </c>
      <c r="L19" s="14"/>
      <c r="M19" s="14">
        <f>M18</f>
        <v>4.405227841348744</v>
      </c>
      <c r="O19" s="29" t="s">
        <v>236</v>
      </c>
    </row>
    <row r="20" spans="2:13" ht="12.75">
      <c r="B20" s="13" t="s">
        <v>156</v>
      </c>
      <c r="C20" s="13" t="s">
        <v>213</v>
      </c>
      <c r="D20" s="13" t="s">
        <v>118</v>
      </c>
      <c r="E20" s="13" t="s">
        <v>20</v>
      </c>
      <c r="G20" s="14">
        <f>(G13/(G$39*60*0.0283))*10^6*(14/(21-G$28))</f>
        <v>144.5982832465537</v>
      </c>
      <c r="H20" s="79"/>
      <c r="I20" s="14">
        <f>(I13/(I$39*60*0.0283))*10^6*(14/(21-I$28))</f>
        <v>157.17742206181978</v>
      </c>
      <c r="J20" s="79"/>
      <c r="K20" s="14">
        <f>(K13/(K$39*60*0.0283))*10^6*(14/(21-K$28))</f>
        <v>158.10379076819882</v>
      </c>
      <c r="L20" s="14"/>
      <c r="M20" s="14">
        <f>(M13/(M$39*60*0.0283))*10^6*(14/(21-M$28))</f>
        <v>151.73562564645673</v>
      </c>
    </row>
    <row r="21" spans="2:15" ht="12.75">
      <c r="B21" s="13" t="s">
        <v>107</v>
      </c>
      <c r="C21" s="13" t="s">
        <v>213</v>
      </c>
      <c r="D21" s="13" t="s">
        <v>118</v>
      </c>
      <c r="E21" s="13" t="s">
        <v>20</v>
      </c>
      <c r="G21" s="14">
        <f>G20</f>
        <v>144.5982832465537</v>
      </c>
      <c r="H21" s="79"/>
      <c r="I21" s="14">
        <f>I20</f>
        <v>157.17742206181978</v>
      </c>
      <c r="J21" s="79"/>
      <c r="K21" s="14">
        <f>K20</f>
        <v>158.10379076819882</v>
      </c>
      <c r="L21" s="14"/>
      <c r="M21" s="14">
        <f>M20</f>
        <v>151.73562564645673</v>
      </c>
      <c r="O21" s="29" t="s">
        <v>237</v>
      </c>
    </row>
    <row r="22" spans="2:13" ht="12.75">
      <c r="B22" s="13" t="s">
        <v>63</v>
      </c>
      <c r="C22" s="13" t="s">
        <v>211</v>
      </c>
      <c r="D22" s="13" t="s">
        <v>21</v>
      </c>
      <c r="E22" s="13" t="s">
        <v>20</v>
      </c>
      <c r="G22" s="14">
        <f>(G14/(G$27*60*0.0283))*(14/(21-G$28))*667.8</f>
        <v>0.7968673706529676</v>
      </c>
      <c r="H22" s="79"/>
      <c r="I22" s="14">
        <f>(I14/(I$27*60*0.0283))*(14/(21-I$28))*667.8</f>
        <v>0.796625088083599</v>
      </c>
      <c r="J22" s="79"/>
      <c r="K22" s="14">
        <f>(K14/(K$27*60*0.0283))*(14/(21-K$28))*667.8</f>
        <v>0.5763677348604849</v>
      </c>
      <c r="L22" s="14"/>
      <c r="M22" s="14">
        <f>(M14/(M$27*60*0.0283))*(14/(21-M$28))*667.8</f>
        <v>0.7232850006092361</v>
      </c>
    </row>
    <row r="23" spans="2:13" ht="12.75">
      <c r="B23" s="13" t="s">
        <v>64</v>
      </c>
      <c r="C23" s="13" t="s">
        <v>211</v>
      </c>
      <c r="D23" s="13" t="s">
        <v>21</v>
      </c>
      <c r="E23" s="13" t="s">
        <v>20</v>
      </c>
      <c r="G23" s="14">
        <f>(G15/(G$27*60*0.0283))*343.4*(14/(21-G$28))</f>
        <v>0.9086199336688726</v>
      </c>
      <c r="H23" s="79"/>
      <c r="I23" s="14">
        <f>(I15/(I$27*60*0.0283))*343.4*(14/(21-I$28))</f>
        <v>1.0582500639768826</v>
      </c>
      <c r="J23" s="79"/>
      <c r="K23" s="14">
        <f>(K15/(K$27*60*0.0283))*343.4*(14/(21-K$28))</f>
        <v>0.9588867227163802</v>
      </c>
      <c r="L23" s="14"/>
      <c r="M23" s="14">
        <f>(M15/(M$27*60*0.0283))*343.4*(14/(21-M$28))</f>
        <v>0.9763210267657688</v>
      </c>
    </row>
    <row r="24" spans="2:13" ht="12.75">
      <c r="B24" s="13" t="s">
        <v>185</v>
      </c>
      <c r="C24" s="13" t="s">
        <v>211</v>
      </c>
      <c r="D24" s="13" t="s">
        <v>21</v>
      </c>
      <c r="E24" s="13" t="s">
        <v>20</v>
      </c>
      <c r="G24" s="15">
        <f>2*G23+G22</f>
        <v>2.614107237990713</v>
      </c>
      <c r="H24" s="80"/>
      <c r="I24" s="15">
        <f>2*I23+I22</f>
        <v>2.913125216037364</v>
      </c>
      <c r="J24" s="80"/>
      <c r="K24" s="15">
        <f>2*K23+K22</f>
        <v>2.494141180293245</v>
      </c>
      <c r="L24" s="15"/>
      <c r="M24" s="15">
        <f>2*M23+M22</f>
        <v>2.675927054140774</v>
      </c>
    </row>
    <row r="25" spans="2:13" ht="12.75">
      <c r="B25" s="13"/>
      <c r="C25" s="13"/>
      <c r="G25" s="37"/>
      <c r="I25" s="38"/>
      <c r="K25" s="37"/>
      <c r="L25" s="31"/>
      <c r="M25" s="39"/>
    </row>
    <row r="26" spans="2:13" ht="12.75">
      <c r="B26" s="13" t="s">
        <v>186</v>
      </c>
      <c r="C26" s="13" t="s">
        <v>169</v>
      </c>
      <c r="D26" s="13" t="s">
        <v>211</v>
      </c>
      <c r="L26" s="31"/>
      <c r="M26" s="40"/>
    </row>
    <row r="27" spans="2:13" ht="12.75">
      <c r="B27" s="13" t="s">
        <v>155</v>
      </c>
      <c r="C27" s="13"/>
      <c r="D27" s="13" t="s">
        <v>22</v>
      </c>
      <c r="G27" s="37">
        <v>13700</v>
      </c>
      <c r="I27" s="38">
        <v>14300</v>
      </c>
      <c r="J27" s="81"/>
      <c r="K27" s="37">
        <v>14000</v>
      </c>
      <c r="L27" s="31"/>
      <c r="M27" s="39">
        <f>AVERAGE(G27,I27,K27)</f>
        <v>14000</v>
      </c>
    </row>
    <row r="28" spans="2:13" ht="12.75">
      <c r="B28" s="13" t="s">
        <v>175</v>
      </c>
      <c r="C28" s="13"/>
      <c r="D28" s="13" t="s">
        <v>23</v>
      </c>
      <c r="G28" s="37">
        <v>9.4</v>
      </c>
      <c r="I28" s="38">
        <v>9.4</v>
      </c>
      <c r="K28" s="37">
        <v>9.4</v>
      </c>
      <c r="M28" s="36">
        <f>AVERAGE(G28,I28,K28)</f>
        <v>9.4</v>
      </c>
    </row>
    <row r="29" spans="2:13" ht="12.75">
      <c r="B29" s="13" t="s">
        <v>176</v>
      </c>
      <c r="C29" s="13"/>
      <c r="D29" s="13" t="s">
        <v>23</v>
      </c>
      <c r="G29" s="37"/>
      <c r="I29" s="38"/>
      <c r="K29" s="37"/>
      <c r="M29" s="40"/>
    </row>
    <row r="30" spans="2:13" ht="12.75">
      <c r="B30" s="13" t="s">
        <v>154</v>
      </c>
      <c r="C30" s="13"/>
      <c r="D30" s="13" t="s">
        <v>24</v>
      </c>
      <c r="G30" s="37"/>
      <c r="I30" s="38"/>
      <c r="K30" s="37"/>
      <c r="M30" s="40"/>
    </row>
    <row r="31" spans="2:13" ht="12.75">
      <c r="B31" s="13"/>
      <c r="C31" s="13"/>
      <c r="G31" s="37"/>
      <c r="I31" s="38"/>
      <c r="K31" s="37"/>
      <c r="M31" s="40"/>
    </row>
    <row r="32" spans="2:13" ht="12.75">
      <c r="B32" s="13" t="s">
        <v>186</v>
      </c>
      <c r="C32" s="13" t="s">
        <v>170</v>
      </c>
      <c r="D32" s="13" t="s">
        <v>212</v>
      </c>
      <c r="G32" s="37"/>
      <c r="I32" s="38"/>
      <c r="K32" s="37"/>
      <c r="M32" s="40"/>
    </row>
    <row r="33" spans="2:13" ht="12.75">
      <c r="B33" s="13" t="s">
        <v>155</v>
      </c>
      <c r="C33" s="13"/>
      <c r="D33" s="13" t="s">
        <v>22</v>
      </c>
      <c r="G33" s="37">
        <v>13468</v>
      </c>
      <c r="I33" s="38">
        <v>14386</v>
      </c>
      <c r="K33" s="37">
        <v>13645</v>
      </c>
      <c r="M33" s="39">
        <f>AVERAGE(G33,I33,K33)</f>
        <v>13833</v>
      </c>
    </row>
    <row r="34" spans="2:13" ht="12.75">
      <c r="B34" s="13" t="s">
        <v>175</v>
      </c>
      <c r="C34" s="13"/>
      <c r="D34" s="13" t="s">
        <v>23</v>
      </c>
      <c r="G34" s="37"/>
      <c r="I34" s="38"/>
      <c r="K34" s="37"/>
      <c r="M34" s="40"/>
    </row>
    <row r="35" spans="2:13" ht="12.75">
      <c r="B35" s="13" t="s">
        <v>176</v>
      </c>
      <c r="C35" s="13"/>
      <c r="D35" s="13" t="s">
        <v>23</v>
      </c>
      <c r="G35" s="37"/>
      <c r="I35" s="38"/>
      <c r="K35" s="37"/>
      <c r="M35" s="40"/>
    </row>
    <row r="36" spans="2:13" ht="12.75">
      <c r="B36" s="13" t="s">
        <v>154</v>
      </c>
      <c r="C36" s="13"/>
      <c r="D36" s="13" t="s">
        <v>24</v>
      </c>
      <c r="G36" s="37"/>
      <c r="I36" s="38"/>
      <c r="K36" s="37"/>
      <c r="M36" s="40"/>
    </row>
    <row r="37" spans="2:13" ht="12.75">
      <c r="B37" s="13"/>
      <c r="C37" s="13"/>
      <c r="G37" s="37"/>
      <c r="I37" s="38"/>
      <c r="K37" s="37"/>
      <c r="M37" s="40"/>
    </row>
    <row r="38" spans="2:13" ht="12.75">
      <c r="B38" s="13" t="s">
        <v>186</v>
      </c>
      <c r="C38" s="13" t="s">
        <v>171</v>
      </c>
      <c r="D38" s="13" t="s">
        <v>213</v>
      </c>
      <c r="G38" s="37"/>
      <c r="I38" s="38"/>
      <c r="K38" s="37"/>
      <c r="M38" s="40"/>
    </row>
    <row r="39" spans="2:13" ht="12.75">
      <c r="B39" s="13" t="s">
        <v>155</v>
      </c>
      <c r="C39" s="13"/>
      <c r="D39" s="13" t="s">
        <v>22</v>
      </c>
      <c r="G39" s="37">
        <v>14255</v>
      </c>
      <c r="I39" s="38">
        <v>14923</v>
      </c>
      <c r="K39" s="37">
        <v>14386</v>
      </c>
      <c r="M39" s="39">
        <f>AVERAGE(K39,I39,G39)</f>
        <v>14521.333333333334</v>
      </c>
    </row>
    <row r="40" spans="2:13" ht="12.75">
      <c r="B40" s="13" t="s">
        <v>175</v>
      </c>
      <c r="C40" s="13"/>
      <c r="D40" s="13" t="s">
        <v>23</v>
      </c>
      <c r="G40" s="37"/>
      <c r="I40" s="38"/>
      <c r="K40" s="37"/>
      <c r="M40" s="40"/>
    </row>
    <row r="41" spans="2:13" ht="12.75">
      <c r="B41" s="13" t="s">
        <v>176</v>
      </c>
      <c r="C41" s="13"/>
      <c r="D41" s="13" t="s">
        <v>23</v>
      </c>
      <c r="G41" s="37"/>
      <c r="I41" s="38"/>
      <c r="K41" s="37"/>
      <c r="M41" s="40"/>
    </row>
    <row r="42" spans="2:13" ht="12.75">
      <c r="B42" s="13" t="s">
        <v>154</v>
      </c>
      <c r="C42" s="13"/>
      <c r="D42" s="13" t="s">
        <v>24</v>
      </c>
      <c r="G42" s="37"/>
      <c r="I42" s="38"/>
      <c r="K42" s="37"/>
      <c r="M42" s="40"/>
    </row>
    <row r="43" spans="2:13" ht="12.75">
      <c r="B43" s="13"/>
      <c r="C43" s="13"/>
      <c r="G43" s="37"/>
      <c r="I43" s="38"/>
      <c r="K43" s="37"/>
      <c r="M43" s="39"/>
    </row>
    <row r="44" spans="1:13" ht="12.75">
      <c r="A44" s="29">
        <v>2</v>
      </c>
      <c r="B44" s="33" t="s">
        <v>139</v>
      </c>
      <c r="C44" s="33" t="s">
        <v>168</v>
      </c>
      <c r="G44" s="31" t="s">
        <v>208</v>
      </c>
      <c r="I44" s="32" t="s">
        <v>209</v>
      </c>
      <c r="K44" s="31" t="s">
        <v>210</v>
      </c>
      <c r="L44" s="31"/>
      <c r="M44" s="29" t="s">
        <v>54</v>
      </c>
    </row>
    <row r="45" spans="2:13" ht="12.75">
      <c r="B45" s="13"/>
      <c r="C45" s="13"/>
      <c r="G45" s="37"/>
      <c r="I45" s="38"/>
      <c r="K45" s="37"/>
      <c r="M45" s="40"/>
    </row>
    <row r="46" spans="2:13" ht="12.75">
      <c r="B46" s="13" t="s">
        <v>183</v>
      </c>
      <c r="C46" s="13" t="s">
        <v>211</v>
      </c>
      <c r="D46" s="13" t="s">
        <v>21</v>
      </c>
      <c r="E46" s="13" t="s">
        <v>20</v>
      </c>
      <c r="G46" s="37">
        <v>64.72</v>
      </c>
      <c r="I46" s="38">
        <v>62.15</v>
      </c>
      <c r="K46" s="37">
        <v>54.01</v>
      </c>
      <c r="M46" s="36">
        <f>AVERAGE(G46,I46,K46)</f>
        <v>60.29333333333333</v>
      </c>
    </row>
    <row r="47" spans="2:13" ht="12.75">
      <c r="B47" s="13" t="s">
        <v>182</v>
      </c>
      <c r="C47" s="13" t="s">
        <v>211</v>
      </c>
      <c r="D47" s="13" t="s">
        <v>21</v>
      </c>
      <c r="E47" s="13" t="s">
        <v>20</v>
      </c>
      <c r="G47" s="24">
        <v>59.45</v>
      </c>
      <c r="H47" s="73"/>
      <c r="I47" s="34">
        <v>55.62</v>
      </c>
      <c r="J47" s="73"/>
      <c r="K47" s="24">
        <v>52.85</v>
      </c>
      <c r="M47" s="36">
        <f>AVERAGE(G47,I47,K47)</f>
        <v>55.97333333333333</v>
      </c>
    </row>
    <row r="48" spans="2:13" ht="12.75">
      <c r="B48" s="13"/>
      <c r="C48" s="13"/>
      <c r="G48" s="37"/>
      <c r="I48" s="38"/>
      <c r="K48" s="37"/>
      <c r="M48" s="40"/>
    </row>
    <row r="49" spans="2:13" ht="12.75">
      <c r="B49" s="13" t="s">
        <v>128</v>
      </c>
      <c r="C49" s="13" t="s">
        <v>71</v>
      </c>
      <c r="G49" s="37"/>
      <c r="I49" s="38"/>
      <c r="K49" s="37"/>
      <c r="M49" s="40"/>
    </row>
    <row r="50" spans="2:13" ht="12.75">
      <c r="B50" s="13" t="s">
        <v>173</v>
      </c>
      <c r="C50" s="13"/>
      <c r="D50" s="13" t="s">
        <v>72</v>
      </c>
      <c r="G50" s="37">
        <v>45</v>
      </c>
      <c r="I50" s="38">
        <v>45</v>
      </c>
      <c r="K50" s="37">
        <v>45</v>
      </c>
      <c r="M50" s="40"/>
    </row>
    <row r="51" spans="2:13" ht="12.75">
      <c r="B51" s="13" t="s">
        <v>174</v>
      </c>
      <c r="C51" s="13" t="s">
        <v>211</v>
      </c>
      <c r="D51" s="13" t="s">
        <v>72</v>
      </c>
      <c r="F51" s="31" t="s">
        <v>34</v>
      </c>
      <c r="G51" s="41">
        <v>3.9E-05</v>
      </c>
      <c r="H51" s="31" t="s">
        <v>34</v>
      </c>
      <c r="I51" s="41">
        <v>3.9E-05</v>
      </c>
      <c r="J51" s="31" t="s">
        <v>34</v>
      </c>
      <c r="K51" s="41">
        <v>4E-05</v>
      </c>
      <c r="M51" s="42"/>
    </row>
    <row r="52" spans="2:13" ht="12.75">
      <c r="B52" s="13" t="s">
        <v>70</v>
      </c>
      <c r="C52" s="13" t="s">
        <v>211</v>
      </c>
      <c r="D52" s="13" t="s">
        <v>23</v>
      </c>
      <c r="F52" s="31" t="s">
        <v>102</v>
      </c>
      <c r="G52" s="37">
        <v>99.99991</v>
      </c>
      <c r="H52" s="31" t="s">
        <v>102</v>
      </c>
      <c r="I52" s="38">
        <v>99.99991</v>
      </c>
      <c r="J52" s="31" t="s">
        <v>102</v>
      </c>
      <c r="K52" s="37">
        <v>99.99991</v>
      </c>
      <c r="M52" s="43"/>
    </row>
    <row r="53" spans="2:13" ht="12.75">
      <c r="B53" s="13"/>
      <c r="C53" s="13"/>
      <c r="G53" s="37"/>
      <c r="I53" s="38"/>
      <c r="K53" s="37"/>
      <c r="M53" s="40"/>
    </row>
    <row r="54" spans="2:13" ht="12.75">
      <c r="B54" s="13" t="s">
        <v>186</v>
      </c>
      <c r="C54" s="13" t="s">
        <v>70</v>
      </c>
      <c r="D54" s="13" t="s">
        <v>211</v>
      </c>
      <c r="G54" s="37"/>
      <c r="I54" s="38"/>
      <c r="K54" s="37"/>
      <c r="M54" s="40"/>
    </row>
    <row r="55" spans="2:13" ht="12.75">
      <c r="B55" s="13" t="s">
        <v>155</v>
      </c>
      <c r="C55" s="13"/>
      <c r="D55" s="13" t="s">
        <v>22</v>
      </c>
      <c r="G55" s="37">
        <v>16334</v>
      </c>
      <c r="I55" s="38">
        <v>16439</v>
      </c>
      <c r="K55" s="37">
        <v>16311</v>
      </c>
      <c r="M55" s="36">
        <f>AVERAGE(G55,I55,K55)</f>
        <v>16361.333333333334</v>
      </c>
    </row>
    <row r="56" spans="2:13" ht="12.75">
      <c r="B56" s="13" t="s">
        <v>175</v>
      </c>
      <c r="C56" s="13"/>
      <c r="D56" s="13" t="s">
        <v>23</v>
      </c>
      <c r="G56" s="37">
        <v>6</v>
      </c>
      <c r="I56" s="38">
        <v>5.9</v>
      </c>
      <c r="K56" s="37">
        <v>5.9</v>
      </c>
      <c r="M56" s="36">
        <f>AVERAGE(G56,I56,K56)</f>
        <v>5.933333333333334</v>
      </c>
    </row>
    <row r="57" spans="2:13" ht="12.75">
      <c r="B57" s="13" t="s">
        <v>176</v>
      </c>
      <c r="C57" s="13"/>
      <c r="D57" s="13" t="s">
        <v>23</v>
      </c>
      <c r="G57" s="37">
        <v>19.77</v>
      </c>
      <c r="I57" s="38">
        <v>19.11</v>
      </c>
      <c r="K57" s="37">
        <v>20.34</v>
      </c>
      <c r="M57" s="36">
        <f>AVERAGE(G57,I57,K57)</f>
        <v>19.74</v>
      </c>
    </row>
    <row r="58" spans="2:13" ht="12.75">
      <c r="B58" s="13" t="s">
        <v>154</v>
      </c>
      <c r="C58" s="13"/>
      <c r="D58" s="13" t="s">
        <v>24</v>
      </c>
      <c r="G58" s="37">
        <v>141</v>
      </c>
      <c r="I58" s="38">
        <v>140</v>
      </c>
      <c r="K58" s="37">
        <v>141</v>
      </c>
      <c r="M58" s="36">
        <f>AVERAGE(G58,I58,K58)</f>
        <v>140.66666666666666</v>
      </c>
    </row>
    <row r="59" spans="2:13" ht="12.75">
      <c r="B59" s="13"/>
      <c r="C59" s="13"/>
      <c r="G59" s="37"/>
      <c r="I59" s="38"/>
      <c r="K59" s="37"/>
      <c r="M59" s="40"/>
    </row>
    <row r="60" spans="1:13" ht="12.75">
      <c r="A60" s="29">
        <v>3</v>
      </c>
      <c r="B60" s="33" t="s">
        <v>140</v>
      </c>
      <c r="C60" s="33" t="s">
        <v>172</v>
      </c>
      <c r="G60" s="31" t="s">
        <v>208</v>
      </c>
      <c r="I60" s="32" t="s">
        <v>209</v>
      </c>
      <c r="K60" s="31" t="s">
        <v>210</v>
      </c>
      <c r="L60" s="31"/>
      <c r="M60" s="29" t="s">
        <v>54</v>
      </c>
    </row>
    <row r="61" spans="2:13" ht="12.75">
      <c r="B61" s="13"/>
      <c r="C61" s="13"/>
      <c r="D61" s="24"/>
      <c r="E61" s="24"/>
      <c r="F61" s="73"/>
      <c r="G61" s="24"/>
      <c r="H61" s="73"/>
      <c r="I61" s="34"/>
      <c r="J61" s="73"/>
      <c r="K61" s="24"/>
      <c r="L61" s="31"/>
      <c r="M61" s="40"/>
    </row>
    <row r="62" spans="2:13" ht="12.75">
      <c r="B62" s="13" t="s">
        <v>183</v>
      </c>
      <c r="C62" s="13" t="s">
        <v>211</v>
      </c>
      <c r="D62" s="13" t="s">
        <v>21</v>
      </c>
      <c r="E62" s="13" t="s">
        <v>20</v>
      </c>
      <c r="G62" s="37">
        <v>10.34</v>
      </c>
      <c r="I62" s="38">
        <v>11.53</v>
      </c>
      <c r="K62" s="37">
        <v>5.22</v>
      </c>
      <c r="L62" s="31"/>
      <c r="M62" s="40">
        <f>AVERAGE(G62,I62,K62)</f>
        <v>9.03</v>
      </c>
    </row>
    <row r="63" spans="2:13" ht="12.75">
      <c r="B63" s="13" t="s">
        <v>182</v>
      </c>
      <c r="C63" s="13" t="s">
        <v>211</v>
      </c>
      <c r="D63" s="13" t="s">
        <v>21</v>
      </c>
      <c r="E63" s="13" t="s">
        <v>20</v>
      </c>
      <c r="G63" s="37">
        <v>8.64</v>
      </c>
      <c r="I63" s="38">
        <v>6.45</v>
      </c>
      <c r="K63" s="37">
        <v>4.66</v>
      </c>
      <c r="L63" s="31"/>
      <c r="M63" s="40">
        <f>AVERAGE(G63,I63,K63)</f>
        <v>6.583333333333333</v>
      </c>
    </row>
    <row r="64" spans="2:13" ht="12.75">
      <c r="B64" s="13" t="s">
        <v>157</v>
      </c>
      <c r="C64" s="13"/>
      <c r="D64" s="13" t="s">
        <v>153</v>
      </c>
      <c r="E64" s="13" t="s">
        <v>135</v>
      </c>
      <c r="F64" s="31" t="s">
        <v>34</v>
      </c>
      <c r="G64" s="37">
        <v>0.0047</v>
      </c>
      <c r="H64" s="31" t="s">
        <v>34</v>
      </c>
      <c r="I64" s="38">
        <v>0.0047</v>
      </c>
      <c r="J64" s="31" t="s">
        <v>34</v>
      </c>
      <c r="K64" s="37">
        <v>0.0047</v>
      </c>
      <c r="L64" s="37"/>
      <c r="M64" s="35"/>
    </row>
    <row r="65" spans="2:13" ht="12.75">
      <c r="B65" s="13" t="s">
        <v>158</v>
      </c>
      <c r="C65" s="13"/>
      <c r="D65" s="13" t="s">
        <v>153</v>
      </c>
      <c r="E65" s="13" t="s">
        <v>135</v>
      </c>
      <c r="F65" s="31" t="s">
        <v>34</v>
      </c>
      <c r="G65" s="29">
        <v>0.0044</v>
      </c>
      <c r="H65" s="31" t="s">
        <v>34</v>
      </c>
      <c r="I65" s="38">
        <v>0.019</v>
      </c>
      <c r="J65" s="31" t="s">
        <v>34</v>
      </c>
      <c r="K65" s="37">
        <v>0.0044</v>
      </c>
      <c r="L65" s="37"/>
      <c r="M65" s="35"/>
    </row>
    <row r="66" spans="2:13" ht="12.75">
      <c r="B66" s="13" t="s">
        <v>159</v>
      </c>
      <c r="C66" s="13"/>
      <c r="D66" s="13" t="s">
        <v>153</v>
      </c>
      <c r="E66" s="13" t="s">
        <v>135</v>
      </c>
      <c r="G66" s="18">
        <v>0</v>
      </c>
      <c r="I66" s="30">
        <v>0</v>
      </c>
      <c r="K66" s="29">
        <v>0</v>
      </c>
      <c r="M66" s="39"/>
    </row>
    <row r="67" spans="2:13" ht="12.75">
      <c r="B67" s="13" t="s">
        <v>160</v>
      </c>
      <c r="C67" s="13"/>
      <c r="D67" s="13" t="s">
        <v>153</v>
      </c>
      <c r="E67" s="13" t="s">
        <v>135</v>
      </c>
      <c r="F67" s="31" t="s">
        <v>34</v>
      </c>
      <c r="G67" s="44">
        <v>0.00057</v>
      </c>
      <c r="H67" s="31" t="s">
        <v>34</v>
      </c>
      <c r="I67" s="38">
        <v>0.00058</v>
      </c>
      <c r="J67" s="31" t="s">
        <v>34</v>
      </c>
      <c r="K67" s="37">
        <v>0.00058</v>
      </c>
      <c r="L67" s="37"/>
      <c r="M67" s="35"/>
    </row>
    <row r="68" spans="2:13" ht="12.75">
      <c r="B68" s="13" t="s">
        <v>161</v>
      </c>
      <c r="C68" s="13"/>
      <c r="D68" s="13" t="s">
        <v>153</v>
      </c>
      <c r="E68" s="13" t="s">
        <v>135</v>
      </c>
      <c r="G68" s="17">
        <v>0.0304</v>
      </c>
      <c r="H68" s="31" t="s">
        <v>34</v>
      </c>
      <c r="I68" s="38">
        <v>0.0059</v>
      </c>
      <c r="J68" s="31" t="s">
        <v>34</v>
      </c>
      <c r="K68" s="37">
        <v>0.0048</v>
      </c>
      <c r="L68" s="37"/>
      <c r="M68" s="35"/>
    </row>
    <row r="69" spans="2:13" ht="12.75">
      <c r="B69" s="13" t="s">
        <v>184</v>
      </c>
      <c r="C69" s="13"/>
      <c r="D69" s="13" t="s">
        <v>153</v>
      </c>
      <c r="E69" s="13" t="s">
        <v>135</v>
      </c>
      <c r="G69" s="17">
        <v>0.0131</v>
      </c>
      <c r="I69" s="38">
        <v>0.011</v>
      </c>
      <c r="K69" s="37">
        <v>0.0104</v>
      </c>
      <c r="L69" s="37"/>
      <c r="M69" s="35"/>
    </row>
    <row r="70" spans="2:13" ht="12.75">
      <c r="B70" s="13" t="s">
        <v>177</v>
      </c>
      <c r="C70" s="13"/>
      <c r="D70" s="13" t="s">
        <v>153</v>
      </c>
      <c r="E70" s="13" t="s">
        <v>135</v>
      </c>
      <c r="F70" s="31" t="s">
        <v>34</v>
      </c>
      <c r="G70" s="16">
        <v>0.016</v>
      </c>
      <c r="H70" s="31" t="s">
        <v>34</v>
      </c>
      <c r="I70" s="38">
        <v>0.019</v>
      </c>
      <c r="J70" s="31" t="s">
        <v>34</v>
      </c>
      <c r="K70" s="37">
        <v>0.017</v>
      </c>
      <c r="L70" s="37"/>
      <c r="M70" s="35"/>
    </row>
    <row r="71" spans="2:13" ht="12.75">
      <c r="B71" s="13" t="s">
        <v>178</v>
      </c>
      <c r="C71" s="13"/>
      <c r="D71" s="13" t="s">
        <v>153</v>
      </c>
      <c r="E71" s="13" t="s">
        <v>135</v>
      </c>
      <c r="G71" s="15">
        <v>0.417</v>
      </c>
      <c r="I71" s="38">
        <v>0.676</v>
      </c>
      <c r="K71" s="37">
        <v>0.445</v>
      </c>
      <c r="L71" s="37"/>
      <c r="M71" s="35"/>
    </row>
    <row r="72" spans="2:13" ht="12.75">
      <c r="B72" s="13" t="s">
        <v>156</v>
      </c>
      <c r="C72" s="13"/>
      <c r="D72" s="13" t="s">
        <v>153</v>
      </c>
      <c r="E72" s="13" t="s">
        <v>135</v>
      </c>
      <c r="G72" s="17">
        <v>0.0484</v>
      </c>
      <c r="I72" s="38">
        <v>0.0278</v>
      </c>
      <c r="K72" s="37">
        <v>0.0279</v>
      </c>
      <c r="L72" s="37"/>
      <c r="M72" s="35"/>
    </row>
    <row r="73" spans="2:13" ht="12.75">
      <c r="B73" s="13" t="s">
        <v>179</v>
      </c>
      <c r="C73" s="13"/>
      <c r="D73" s="13" t="s">
        <v>153</v>
      </c>
      <c r="E73" s="13" t="s">
        <v>135</v>
      </c>
      <c r="G73" s="15">
        <v>0.731</v>
      </c>
      <c r="I73" s="38">
        <v>0.0382</v>
      </c>
      <c r="K73" s="37">
        <v>0.67</v>
      </c>
      <c r="L73" s="37"/>
      <c r="M73" s="35"/>
    </row>
    <row r="74" spans="2:13" ht="12.75">
      <c r="B74" s="13" t="s">
        <v>162</v>
      </c>
      <c r="C74" s="13"/>
      <c r="D74" s="13" t="s">
        <v>153</v>
      </c>
      <c r="E74" s="13" t="s">
        <v>135</v>
      </c>
      <c r="F74" s="31" t="s">
        <v>34</v>
      </c>
      <c r="G74" s="17">
        <v>0.0055</v>
      </c>
      <c r="H74" s="31" t="s">
        <v>34</v>
      </c>
      <c r="I74" s="38">
        <v>0.0037</v>
      </c>
      <c r="J74" s="31" t="s">
        <v>34</v>
      </c>
      <c r="K74" s="37">
        <v>0.0025</v>
      </c>
      <c r="L74" s="37"/>
      <c r="M74" s="35"/>
    </row>
    <row r="75" spans="2:13" ht="12.75">
      <c r="B75" s="13" t="s">
        <v>180</v>
      </c>
      <c r="C75" s="13"/>
      <c r="D75" s="13" t="s">
        <v>153</v>
      </c>
      <c r="E75" s="13" t="s">
        <v>135</v>
      </c>
      <c r="F75" s="31" t="s">
        <v>34</v>
      </c>
      <c r="G75" s="15">
        <v>0.11</v>
      </c>
      <c r="H75" s="31" t="s">
        <v>34</v>
      </c>
      <c r="I75" s="38">
        <v>0.12</v>
      </c>
      <c r="J75" s="31" t="s">
        <v>34</v>
      </c>
      <c r="K75" s="37">
        <v>0.1</v>
      </c>
      <c r="L75" s="37"/>
      <c r="M75" s="40"/>
    </row>
    <row r="76" spans="2:13" ht="12.75">
      <c r="B76" s="13" t="s">
        <v>163</v>
      </c>
      <c r="C76" s="13"/>
      <c r="D76" s="13" t="s">
        <v>153</v>
      </c>
      <c r="E76" s="13" t="s">
        <v>135</v>
      </c>
      <c r="F76" s="31" t="s">
        <v>34</v>
      </c>
      <c r="G76" s="16">
        <v>0.076</v>
      </c>
      <c r="H76" s="31" t="s">
        <v>34</v>
      </c>
      <c r="I76" s="38">
        <v>0.14</v>
      </c>
      <c r="J76" s="31" t="s">
        <v>34</v>
      </c>
      <c r="K76" s="37">
        <v>0.08</v>
      </c>
      <c r="L76" s="37"/>
      <c r="M76" s="35"/>
    </row>
    <row r="77" spans="2:13" ht="12.75">
      <c r="B77" s="13" t="s">
        <v>164</v>
      </c>
      <c r="C77" s="13"/>
      <c r="D77" s="13" t="s">
        <v>153</v>
      </c>
      <c r="E77" s="13" t="s">
        <v>135</v>
      </c>
      <c r="F77" s="31" t="s">
        <v>34</v>
      </c>
      <c r="G77" s="17">
        <v>0.0082</v>
      </c>
      <c r="H77" s="31" t="s">
        <v>34</v>
      </c>
      <c r="I77" s="38">
        <v>0.0083</v>
      </c>
      <c r="J77" s="31" t="s">
        <v>34</v>
      </c>
      <c r="K77" s="37">
        <v>0.0083</v>
      </c>
      <c r="L77" s="37"/>
      <c r="M77" s="35"/>
    </row>
    <row r="78" spans="2:13" ht="12.75">
      <c r="B78" s="13" t="s">
        <v>165</v>
      </c>
      <c r="C78" s="13"/>
      <c r="D78" s="13" t="s">
        <v>153</v>
      </c>
      <c r="E78" s="13" t="s">
        <v>135</v>
      </c>
      <c r="F78" s="31" t="s">
        <v>34</v>
      </c>
      <c r="G78" s="17">
        <v>0.0011</v>
      </c>
      <c r="H78" s="31" t="s">
        <v>34</v>
      </c>
      <c r="I78" s="38">
        <v>0.0011</v>
      </c>
      <c r="J78" s="31" t="s">
        <v>34</v>
      </c>
      <c r="K78" s="37">
        <v>0.0011</v>
      </c>
      <c r="L78" s="37"/>
      <c r="M78" s="35"/>
    </row>
    <row r="79" spans="2:13" ht="12.75">
      <c r="B79" s="13" t="s">
        <v>166</v>
      </c>
      <c r="C79" s="13"/>
      <c r="D79" s="13" t="s">
        <v>153</v>
      </c>
      <c r="E79" s="13" t="s">
        <v>135</v>
      </c>
      <c r="F79" s="31" t="s">
        <v>34</v>
      </c>
      <c r="G79" s="29">
        <v>0.012</v>
      </c>
      <c r="H79" s="31" t="s">
        <v>34</v>
      </c>
      <c r="I79" s="38">
        <v>0.013</v>
      </c>
      <c r="J79" s="31" t="s">
        <v>34</v>
      </c>
      <c r="K79" s="29">
        <v>0.0072</v>
      </c>
      <c r="M79" s="35"/>
    </row>
    <row r="80" spans="2:13" ht="12.75">
      <c r="B80" s="13" t="s">
        <v>181</v>
      </c>
      <c r="C80" s="13"/>
      <c r="D80" s="13" t="s">
        <v>153</v>
      </c>
      <c r="E80" s="13" t="s">
        <v>135</v>
      </c>
      <c r="F80" s="31" t="s">
        <v>34</v>
      </c>
      <c r="G80" s="15">
        <v>0.0067</v>
      </c>
      <c r="H80" s="31" t="s">
        <v>34</v>
      </c>
      <c r="I80" s="30">
        <v>0.0067</v>
      </c>
      <c r="J80" s="31" t="s">
        <v>34</v>
      </c>
      <c r="K80" s="37">
        <v>0.0067</v>
      </c>
      <c r="L80" s="31"/>
      <c r="M80" s="35"/>
    </row>
    <row r="81" spans="2:13" ht="12.75">
      <c r="B81" s="13"/>
      <c r="C81" s="13"/>
      <c r="G81" s="15"/>
      <c r="K81" s="37"/>
      <c r="L81" s="31"/>
      <c r="M81" s="35"/>
    </row>
    <row r="82" spans="2:13" ht="12.75">
      <c r="B82" s="13" t="s">
        <v>157</v>
      </c>
      <c r="C82" s="13" t="s">
        <v>211</v>
      </c>
      <c r="D82" s="13" t="s">
        <v>118</v>
      </c>
      <c r="E82" s="13" t="s">
        <v>20</v>
      </c>
      <c r="F82" s="31" t="s">
        <v>34</v>
      </c>
      <c r="G82" s="14">
        <f>(G64*(14/(21-G$110)))/0.0283</f>
        <v>0.25550421310138627</v>
      </c>
      <c r="H82" s="31" t="s">
        <v>34</v>
      </c>
      <c r="I82" s="14">
        <f>(I64*(14/(21-I$110)))/0.0283</f>
        <v>0.25272699339376253</v>
      </c>
      <c r="J82" s="31" t="s">
        <v>34</v>
      </c>
      <c r="K82" s="14">
        <f>(K64*(14/(21-K$110)))/0.0283</f>
        <v>0.24734982332155478</v>
      </c>
      <c r="L82" s="37">
        <v>100</v>
      </c>
      <c r="M82" s="14">
        <f>AVERAGE(K82,I82,G82)</f>
        <v>0.25186034327223455</v>
      </c>
    </row>
    <row r="83" spans="2:13" ht="12.75">
      <c r="B83" s="13" t="s">
        <v>158</v>
      </c>
      <c r="C83" s="13" t="s">
        <v>211</v>
      </c>
      <c r="D83" s="13" t="s">
        <v>118</v>
      </c>
      <c r="E83" s="13" t="s">
        <v>20</v>
      </c>
      <c r="F83" s="31" t="s">
        <v>34</v>
      </c>
      <c r="G83" s="14">
        <f aca="true" t="shared" si="0" ref="G83:G98">(G65*(14/(21-G$110)))/0.0283</f>
        <v>0.23919543354172335</v>
      </c>
      <c r="H83" s="31" t="s">
        <v>34</v>
      </c>
      <c r="I83" s="14">
        <f aca="true" t="shared" si="1" ref="I83:I98">(I65*(14/(21-I$110)))/0.0283</f>
        <v>1.0216623137194654</v>
      </c>
      <c r="J83" s="31" t="s">
        <v>34</v>
      </c>
      <c r="K83" s="14">
        <f aca="true" t="shared" si="2" ref="K83:K98">(K65*(14/(21-K$110)))/0.0283</f>
        <v>0.23156153672656193</v>
      </c>
      <c r="L83" s="37">
        <v>100</v>
      </c>
      <c r="M83" s="14">
        <f aca="true" t="shared" si="3" ref="M83:M100">AVERAGE(K83,I83,G83)</f>
        <v>0.49747309466258355</v>
      </c>
    </row>
    <row r="84" spans="2:13" ht="12.75">
      <c r="B84" s="13" t="s">
        <v>159</v>
      </c>
      <c r="C84" s="13" t="s">
        <v>211</v>
      </c>
      <c r="D84" s="13" t="s">
        <v>118</v>
      </c>
      <c r="E84" s="13" t="s">
        <v>20</v>
      </c>
      <c r="G84" s="14">
        <f t="shared" si="0"/>
        <v>0</v>
      </c>
      <c r="I84" s="14">
        <f t="shared" si="1"/>
        <v>0</v>
      </c>
      <c r="K84" s="14">
        <f t="shared" si="2"/>
        <v>0</v>
      </c>
      <c r="M84" s="14">
        <f t="shared" si="3"/>
        <v>0</v>
      </c>
    </row>
    <row r="85" spans="2:13" ht="12.75">
      <c r="B85" s="13" t="s">
        <v>160</v>
      </c>
      <c r="C85" s="13" t="s">
        <v>211</v>
      </c>
      <c r="D85" s="13" t="s">
        <v>118</v>
      </c>
      <c r="E85" s="13" t="s">
        <v>20</v>
      </c>
      <c r="F85" s="31" t="s">
        <v>34</v>
      </c>
      <c r="G85" s="15">
        <f t="shared" si="0"/>
        <v>0.03098668116335961</v>
      </c>
      <c r="H85" s="31" t="s">
        <v>34</v>
      </c>
      <c r="I85" s="15">
        <f t="shared" si="1"/>
        <v>0.031187586418804737</v>
      </c>
      <c r="J85" s="31" t="s">
        <v>34</v>
      </c>
      <c r="K85" s="15">
        <f t="shared" si="2"/>
        <v>0.030524020750319524</v>
      </c>
      <c r="L85" s="37">
        <v>100</v>
      </c>
      <c r="M85" s="14">
        <f t="shared" si="3"/>
        <v>0.030899429444161287</v>
      </c>
    </row>
    <row r="86" spans="2:13" ht="12.75">
      <c r="B86" s="13" t="s">
        <v>161</v>
      </c>
      <c r="C86" s="13" t="s">
        <v>211</v>
      </c>
      <c r="D86" s="13" t="s">
        <v>118</v>
      </c>
      <c r="E86" s="13" t="s">
        <v>20</v>
      </c>
      <c r="G86" s="14">
        <f t="shared" si="0"/>
        <v>1.6526229953791793</v>
      </c>
      <c r="H86" s="31" t="s">
        <v>34</v>
      </c>
      <c r="I86" s="14">
        <f t="shared" si="1"/>
        <v>0.3172530342602551</v>
      </c>
      <c r="J86" s="31" t="s">
        <v>34</v>
      </c>
      <c r="K86" s="14">
        <f t="shared" si="2"/>
        <v>0.2526125855198857</v>
      </c>
      <c r="L86" s="37">
        <f>(I86+K86)/(M86*3)*100</f>
        <v>25.640879143009233</v>
      </c>
      <c r="M86" s="14">
        <f t="shared" si="3"/>
        <v>0.7408295383864401</v>
      </c>
    </row>
    <row r="87" spans="2:13" ht="12.75">
      <c r="B87" s="13" t="s">
        <v>184</v>
      </c>
      <c r="C87" s="13" t="s">
        <v>211</v>
      </c>
      <c r="D87" s="13" t="s">
        <v>118</v>
      </c>
      <c r="E87" s="13" t="s">
        <v>20</v>
      </c>
      <c r="G87" s="14">
        <f t="shared" si="0"/>
        <v>0.712150040771949</v>
      </c>
      <c r="I87" s="14">
        <f t="shared" si="1"/>
        <v>0.5914887079428484</v>
      </c>
      <c r="K87" s="14">
        <f t="shared" si="2"/>
        <v>0.547327268626419</v>
      </c>
      <c r="L87" s="37"/>
      <c r="M87" s="14">
        <f t="shared" si="3"/>
        <v>0.6169886724470721</v>
      </c>
    </row>
    <row r="88" spans="2:13" ht="12.75">
      <c r="B88" s="13" t="s">
        <v>177</v>
      </c>
      <c r="C88" s="13" t="s">
        <v>211</v>
      </c>
      <c r="D88" s="13" t="s">
        <v>118</v>
      </c>
      <c r="E88" s="13" t="s">
        <v>20</v>
      </c>
      <c r="F88" s="31" t="s">
        <v>34</v>
      </c>
      <c r="G88" s="14">
        <f t="shared" si="0"/>
        <v>0.8698015765153576</v>
      </c>
      <c r="H88" s="31" t="s">
        <v>34</v>
      </c>
      <c r="I88" s="14">
        <f t="shared" si="1"/>
        <v>1.0216623137194654</v>
      </c>
      <c r="J88" s="31" t="s">
        <v>34</v>
      </c>
      <c r="K88" s="14">
        <f t="shared" si="2"/>
        <v>0.894669573716262</v>
      </c>
      <c r="L88" s="37">
        <v>100</v>
      </c>
      <c r="M88" s="14">
        <f t="shared" si="3"/>
        <v>0.9287111546503617</v>
      </c>
    </row>
    <row r="89" spans="2:13" ht="12.75">
      <c r="B89" s="13" t="s">
        <v>178</v>
      </c>
      <c r="C89" s="13" t="s">
        <v>211</v>
      </c>
      <c r="D89" s="13" t="s">
        <v>118</v>
      </c>
      <c r="E89" s="13" t="s">
        <v>20</v>
      </c>
      <c r="G89" s="14">
        <f t="shared" si="0"/>
        <v>22.669203587931502</v>
      </c>
      <c r="I89" s="14">
        <f t="shared" si="1"/>
        <v>36.349669688124145</v>
      </c>
      <c r="K89" s="14">
        <f t="shared" si="2"/>
        <v>23.41929178257274</v>
      </c>
      <c r="L89" s="37"/>
      <c r="M89" s="14">
        <f t="shared" si="3"/>
        <v>27.47938835287613</v>
      </c>
    </row>
    <row r="90" spans="2:13" ht="12.75">
      <c r="B90" s="13" t="s">
        <v>156</v>
      </c>
      <c r="C90" s="13" t="s">
        <v>211</v>
      </c>
      <c r="D90" s="13" t="s">
        <v>118</v>
      </c>
      <c r="E90" s="13" t="s">
        <v>20</v>
      </c>
      <c r="G90" s="14">
        <f t="shared" si="0"/>
        <v>2.6311497689589567</v>
      </c>
      <c r="I90" s="14">
        <f t="shared" si="1"/>
        <v>1.494853280073744</v>
      </c>
      <c r="K90" s="14">
        <f t="shared" si="2"/>
        <v>1.4683106533343357</v>
      </c>
      <c r="L90" s="37"/>
      <c r="M90" s="14">
        <f t="shared" si="3"/>
        <v>1.8647712341223455</v>
      </c>
    </row>
    <row r="91" spans="2:13" ht="12.75">
      <c r="B91" s="13" t="s">
        <v>179</v>
      </c>
      <c r="C91" s="13" t="s">
        <v>211</v>
      </c>
      <c r="D91" s="13" t="s">
        <v>118</v>
      </c>
      <c r="E91" s="13" t="s">
        <v>20</v>
      </c>
      <c r="G91" s="14">
        <f t="shared" si="0"/>
        <v>39.73905952704539</v>
      </c>
      <c r="I91" s="14">
        <f t="shared" si="1"/>
        <v>2.0540789675833464</v>
      </c>
      <c r="K91" s="14">
        <f t="shared" si="2"/>
        <v>35.26050672881738</v>
      </c>
      <c r="L91" s="37"/>
      <c r="M91" s="14">
        <f t="shared" si="3"/>
        <v>25.684548407815374</v>
      </c>
    </row>
    <row r="92" spans="2:13" ht="12.75">
      <c r="B92" s="13" t="s">
        <v>162</v>
      </c>
      <c r="C92" s="13" t="s">
        <v>211</v>
      </c>
      <c r="D92" s="13" t="s">
        <v>118</v>
      </c>
      <c r="E92" s="13" t="s">
        <v>20</v>
      </c>
      <c r="F92" s="31" t="s">
        <v>34</v>
      </c>
      <c r="G92" s="14">
        <f t="shared" si="0"/>
        <v>0.2989942919271541</v>
      </c>
      <c r="H92" s="31" t="s">
        <v>34</v>
      </c>
      <c r="I92" s="14">
        <f t="shared" si="1"/>
        <v>0.19895529267168538</v>
      </c>
      <c r="J92" s="31" t="s">
        <v>34</v>
      </c>
      <c r="K92" s="14">
        <f t="shared" si="2"/>
        <v>0.1315690549582738</v>
      </c>
      <c r="L92" s="37">
        <v>100</v>
      </c>
      <c r="M92" s="14">
        <f t="shared" si="3"/>
        <v>0.20983954651903777</v>
      </c>
    </row>
    <row r="93" spans="2:13" ht="12.75">
      <c r="B93" s="13" t="s">
        <v>180</v>
      </c>
      <c r="C93" s="13" t="s">
        <v>211</v>
      </c>
      <c r="D93" s="13" t="s">
        <v>118</v>
      </c>
      <c r="E93" s="13" t="s">
        <v>20</v>
      </c>
      <c r="F93" s="31" t="s">
        <v>34</v>
      </c>
      <c r="G93" s="14">
        <f t="shared" si="0"/>
        <v>5.979885838543083</v>
      </c>
      <c r="H93" s="31" t="s">
        <v>34</v>
      </c>
      <c r="I93" s="14">
        <f t="shared" si="1"/>
        <v>6.452604086649255</v>
      </c>
      <c r="J93" s="31" t="s">
        <v>34</v>
      </c>
      <c r="K93" s="14">
        <f t="shared" si="2"/>
        <v>5.262762198330953</v>
      </c>
      <c r="L93" s="37">
        <v>100</v>
      </c>
      <c r="M93" s="14">
        <f t="shared" si="3"/>
        <v>5.898417374507763</v>
      </c>
    </row>
    <row r="94" spans="2:13" ht="12.75">
      <c r="B94" s="13" t="s">
        <v>163</v>
      </c>
      <c r="C94" s="13" t="s">
        <v>211</v>
      </c>
      <c r="D94" s="13" t="s">
        <v>118</v>
      </c>
      <c r="E94" s="13" t="s">
        <v>20</v>
      </c>
      <c r="F94" s="31" t="s">
        <v>34</v>
      </c>
      <c r="G94" s="14">
        <f t="shared" si="0"/>
        <v>4.131557488447948</v>
      </c>
      <c r="H94" s="31" t="s">
        <v>34</v>
      </c>
      <c r="I94" s="14">
        <f t="shared" si="1"/>
        <v>7.528038101090799</v>
      </c>
      <c r="J94" s="31" t="s">
        <v>34</v>
      </c>
      <c r="K94" s="14">
        <f t="shared" si="2"/>
        <v>4.210209758664762</v>
      </c>
      <c r="L94" s="37">
        <v>100</v>
      </c>
      <c r="M94" s="14">
        <f t="shared" si="3"/>
        <v>5.289935116067836</v>
      </c>
    </row>
    <row r="95" spans="2:13" ht="12.75">
      <c r="B95" s="13" t="s">
        <v>164</v>
      </c>
      <c r="C95" s="13" t="s">
        <v>211</v>
      </c>
      <c r="D95" s="13" t="s">
        <v>118</v>
      </c>
      <c r="E95" s="13" t="s">
        <v>20</v>
      </c>
      <c r="F95" s="31" t="s">
        <v>34</v>
      </c>
      <c r="G95" s="14">
        <f t="shared" si="0"/>
        <v>0.44577330796412074</v>
      </c>
      <c r="H95" s="31" t="s">
        <v>34</v>
      </c>
      <c r="I95" s="14">
        <f t="shared" si="1"/>
        <v>0.4463051159932402</v>
      </c>
      <c r="J95" s="31" t="s">
        <v>34</v>
      </c>
      <c r="K95" s="14">
        <f t="shared" si="2"/>
        <v>0.43680926246146906</v>
      </c>
      <c r="L95" s="37">
        <v>100</v>
      </c>
      <c r="M95" s="14">
        <f t="shared" si="3"/>
        <v>0.44296256213961005</v>
      </c>
    </row>
    <row r="96" spans="2:13" ht="12.75">
      <c r="B96" s="13" t="s">
        <v>165</v>
      </c>
      <c r="C96" s="13" t="s">
        <v>211</v>
      </c>
      <c r="D96" s="13" t="s">
        <v>118</v>
      </c>
      <c r="E96" s="13" t="s">
        <v>20</v>
      </c>
      <c r="F96" s="31" t="s">
        <v>34</v>
      </c>
      <c r="G96" s="14">
        <f t="shared" si="0"/>
        <v>0.059798858385430836</v>
      </c>
      <c r="H96" s="31" t="s">
        <v>34</v>
      </c>
      <c r="I96" s="14">
        <f t="shared" si="1"/>
        <v>0.059148870794284845</v>
      </c>
      <c r="J96" s="31" t="s">
        <v>34</v>
      </c>
      <c r="K96" s="14">
        <f t="shared" si="2"/>
        <v>0.057890384181640483</v>
      </c>
      <c r="L96" s="37">
        <v>100</v>
      </c>
      <c r="M96" s="14">
        <f t="shared" si="3"/>
        <v>0.05894603778711872</v>
      </c>
    </row>
    <row r="97" spans="2:13" ht="12.75">
      <c r="B97" s="13" t="s">
        <v>166</v>
      </c>
      <c r="C97" s="13" t="s">
        <v>211</v>
      </c>
      <c r="D97" s="13" t="s">
        <v>118</v>
      </c>
      <c r="E97" s="13" t="s">
        <v>20</v>
      </c>
      <c r="F97" s="31" t="s">
        <v>34</v>
      </c>
      <c r="G97" s="14">
        <f t="shared" si="0"/>
        <v>0.6523511823865181</v>
      </c>
      <c r="H97" s="31" t="s">
        <v>34</v>
      </c>
      <c r="I97" s="14">
        <f t="shared" si="1"/>
        <v>0.6990321093870027</v>
      </c>
      <c r="J97" s="31" t="s">
        <v>34</v>
      </c>
      <c r="K97" s="14">
        <f t="shared" si="2"/>
        <v>0.37891887827982856</v>
      </c>
      <c r="L97" s="37">
        <v>100</v>
      </c>
      <c r="M97" s="14">
        <f t="shared" si="3"/>
        <v>0.5767673900177831</v>
      </c>
    </row>
    <row r="98" spans="2:13" ht="12.75">
      <c r="B98" s="13" t="s">
        <v>181</v>
      </c>
      <c r="C98" s="13" t="s">
        <v>211</v>
      </c>
      <c r="D98" s="13" t="s">
        <v>118</v>
      </c>
      <c r="E98" s="13" t="s">
        <v>20</v>
      </c>
      <c r="F98" s="31" t="s">
        <v>34</v>
      </c>
      <c r="G98" s="14">
        <f t="shared" si="0"/>
        <v>0.364229410165806</v>
      </c>
      <c r="H98" s="31" t="s">
        <v>34</v>
      </c>
      <c r="I98" s="14">
        <f t="shared" si="1"/>
        <v>0.3602703948379168</v>
      </c>
      <c r="J98" s="31" t="s">
        <v>34</v>
      </c>
      <c r="K98" s="14">
        <f t="shared" si="2"/>
        <v>0.3526050672881738</v>
      </c>
      <c r="L98" s="37">
        <v>100</v>
      </c>
      <c r="M98" s="14">
        <f t="shared" si="3"/>
        <v>0.35903495743063224</v>
      </c>
    </row>
    <row r="99" spans="2:13" ht="12.75">
      <c r="B99" s="13" t="s">
        <v>107</v>
      </c>
      <c r="C99" s="13" t="s">
        <v>211</v>
      </c>
      <c r="D99" s="13" t="s">
        <v>118</v>
      </c>
      <c r="E99" s="13" t="s">
        <v>20</v>
      </c>
      <c r="G99" s="14">
        <f>(G86+G90)</f>
        <v>4.283772764338136</v>
      </c>
      <c r="H99" s="81">
        <f>I86/I99*100</f>
        <v>19.186991869918703</v>
      </c>
      <c r="I99" s="14">
        <f>(I86/2+I90)</f>
        <v>1.6534797972038715</v>
      </c>
      <c r="J99" s="81">
        <f>K86/K99*100</f>
        <v>15.841584158415841</v>
      </c>
      <c r="K99" s="14">
        <f>(K86/2+K90)</f>
        <v>1.5946169460942785</v>
      </c>
      <c r="L99" s="18">
        <f>(M86*L86)/M99</f>
        <v>7.566058057728895</v>
      </c>
      <c r="M99" s="14">
        <f t="shared" si="3"/>
        <v>2.5106231692120953</v>
      </c>
    </row>
    <row r="100" spans="2:13" ht="12.75">
      <c r="B100" s="13" t="s">
        <v>108</v>
      </c>
      <c r="C100" s="13" t="s">
        <v>211</v>
      </c>
      <c r="D100" s="13" t="s">
        <v>118</v>
      </c>
      <c r="E100" s="13" t="s">
        <v>20</v>
      </c>
      <c r="F100" s="31">
        <f>(G83+G85)/G100*100</f>
        <v>31.88963747192814</v>
      </c>
      <c r="G100" s="14">
        <f>(G83/2+G85/2+G87)</f>
        <v>0.8472410981244904</v>
      </c>
      <c r="H100" s="31">
        <f>(I83+I85)/I100*100</f>
        <v>94.17989417989419</v>
      </c>
      <c r="I100" s="14">
        <f>(I83/2+I85/2+I87)</f>
        <v>1.1179136580119833</v>
      </c>
      <c r="J100" s="31">
        <f>(K83+K85)/K100*100</f>
        <v>38.63460046547712</v>
      </c>
      <c r="K100" s="14">
        <f>(K83/2+K85/2+K87)</f>
        <v>0.6783700473648597</v>
      </c>
      <c r="L100" s="13">
        <f>(M83+M85)/M100*100</f>
        <v>59.96227348503618</v>
      </c>
      <c r="M100" s="14">
        <f t="shared" si="3"/>
        <v>0.8811749345004444</v>
      </c>
    </row>
    <row r="101" spans="2:13" ht="12.75">
      <c r="B101" s="13"/>
      <c r="C101" s="13"/>
      <c r="G101" s="37"/>
      <c r="I101" s="38"/>
      <c r="K101" s="37"/>
      <c r="M101" s="40"/>
    </row>
    <row r="102" spans="2:13" ht="12.75">
      <c r="B102" s="13" t="s">
        <v>186</v>
      </c>
      <c r="C102" s="13" t="s">
        <v>214</v>
      </c>
      <c r="D102" s="13" t="s">
        <v>211</v>
      </c>
      <c r="G102" s="45"/>
      <c r="I102" s="46"/>
      <c r="K102" s="45"/>
      <c r="M102" s="40"/>
    </row>
    <row r="103" spans="2:13" ht="12.75">
      <c r="B103" s="13" t="s">
        <v>155</v>
      </c>
      <c r="C103" s="13"/>
      <c r="D103" s="13" t="s">
        <v>22</v>
      </c>
      <c r="G103" s="45">
        <v>14269</v>
      </c>
      <c r="I103" s="46">
        <v>13953</v>
      </c>
      <c r="K103" s="45">
        <v>14188</v>
      </c>
      <c r="M103" s="36">
        <f>AVERAGE(G103,I103,K103)</f>
        <v>14136.666666666666</v>
      </c>
    </row>
    <row r="104" spans="2:13" ht="12.75">
      <c r="B104" s="13" t="s">
        <v>175</v>
      </c>
      <c r="C104" s="13"/>
      <c r="D104" s="13" t="s">
        <v>23</v>
      </c>
      <c r="G104" s="45"/>
      <c r="I104" s="46"/>
      <c r="K104" s="45"/>
      <c r="M104" s="40"/>
    </row>
    <row r="105" spans="2:13" ht="12.75">
      <c r="B105" s="13" t="s">
        <v>176</v>
      </c>
      <c r="C105" s="13"/>
      <c r="D105" s="13" t="s">
        <v>23</v>
      </c>
      <c r="G105" s="37"/>
      <c r="I105" s="38"/>
      <c r="K105" s="37"/>
      <c r="M105" s="40"/>
    </row>
    <row r="106" spans="2:13" ht="12.75">
      <c r="B106" s="13" t="s">
        <v>154</v>
      </c>
      <c r="C106" s="13"/>
      <c r="D106" s="13" t="s">
        <v>24</v>
      </c>
      <c r="G106" s="37"/>
      <c r="I106" s="38"/>
      <c r="K106" s="37"/>
      <c r="M106" s="40"/>
    </row>
    <row r="107" spans="2:13" ht="12.75">
      <c r="B107" s="13"/>
      <c r="C107" s="13"/>
      <c r="G107" s="37"/>
      <c r="I107" s="38"/>
      <c r="K107" s="37"/>
      <c r="M107" s="40"/>
    </row>
    <row r="108" spans="2:13" ht="12.75">
      <c r="B108" s="13" t="s">
        <v>186</v>
      </c>
      <c r="C108" s="13" t="s">
        <v>125</v>
      </c>
      <c r="D108" s="13" t="s">
        <v>212</v>
      </c>
      <c r="G108" s="37"/>
      <c r="I108" s="38"/>
      <c r="K108" s="37"/>
      <c r="M108" s="40"/>
    </row>
    <row r="109" spans="2:13" ht="12.75">
      <c r="B109" s="13" t="s">
        <v>155</v>
      </c>
      <c r="C109" s="13"/>
      <c r="D109" s="13" t="s">
        <v>22</v>
      </c>
      <c r="G109" s="37">
        <v>14580</v>
      </c>
      <c r="I109" s="38">
        <v>13550</v>
      </c>
      <c r="K109" s="37">
        <v>14100</v>
      </c>
      <c r="M109" s="36">
        <f>AVERAGE(G109,I109,K109)</f>
        <v>14076.666666666666</v>
      </c>
    </row>
    <row r="110" spans="2:13" ht="12.75">
      <c r="B110" s="13" t="s">
        <v>175</v>
      </c>
      <c r="C110" s="13"/>
      <c r="D110" s="13" t="s">
        <v>23</v>
      </c>
      <c r="G110" s="37">
        <v>11.9</v>
      </c>
      <c r="I110" s="38">
        <v>11.8</v>
      </c>
      <c r="K110" s="37">
        <v>11.6</v>
      </c>
      <c r="M110" s="36">
        <f>AVERAGE(G110,I110,K110)</f>
        <v>11.766666666666667</v>
      </c>
    </row>
    <row r="111" spans="2:11" ht="12.75">
      <c r="B111" s="13" t="s">
        <v>176</v>
      </c>
      <c r="C111" s="13"/>
      <c r="D111" s="13" t="s">
        <v>23</v>
      </c>
      <c r="G111" s="37"/>
      <c r="I111" s="38"/>
      <c r="J111" s="81"/>
      <c r="K111" s="37"/>
    </row>
    <row r="112" spans="2:11" ht="12.75">
      <c r="B112" s="13" t="s">
        <v>154</v>
      </c>
      <c r="C112" s="13"/>
      <c r="D112" s="13" t="s">
        <v>24</v>
      </c>
      <c r="G112" s="37"/>
      <c r="I112" s="38"/>
      <c r="K112" s="37"/>
    </row>
    <row r="113" spans="2:11" ht="12.75">
      <c r="B113" s="13"/>
      <c r="C113" s="13"/>
      <c r="G113" s="37"/>
      <c r="I113" s="38"/>
      <c r="K113" s="37"/>
    </row>
    <row r="114" spans="2:11" ht="12.75">
      <c r="B114" s="13"/>
      <c r="C114" s="13"/>
      <c r="G114" s="37"/>
      <c r="I114" s="38"/>
      <c r="K114" s="37"/>
    </row>
    <row r="115" spans="2:3" ht="12.75">
      <c r="B115" s="13"/>
      <c r="C115" s="13"/>
    </row>
    <row r="116" spans="2:11" ht="12.75">
      <c r="B116" s="33"/>
      <c r="C116" s="33"/>
      <c r="G116" s="31"/>
      <c r="I116" s="32"/>
      <c r="K116" s="31"/>
    </row>
    <row r="117" spans="2:11" ht="12.75">
      <c r="B117" s="13"/>
      <c r="C117" s="13"/>
      <c r="D117" s="24"/>
      <c r="E117" s="24"/>
      <c r="F117" s="73"/>
      <c r="G117" s="24"/>
      <c r="H117" s="73"/>
      <c r="I117" s="34"/>
      <c r="J117" s="73"/>
      <c r="K117" s="24"/>
    </row>
    <row r="118" spans="2:11" ht="12.75">
      <c r="B118" s="13"/>
      <c r="C118" s="13"/>
      <c r="G118" s="37"/>
      <c r="I118" s="38"/>
      <c r="K118" s="37"/>
    </row>
    <row r="119" spans="2:11" ht="12.75">
      <c r="B119" s="13"/>
      <c r="C119" s="13"/>
      <c r="G119" s="37"/>
      <c r="I119" s="38"/>
      <c r="K119" s="37"/>
    </row>
    <row r="120" spans="2:11" ht="12.75">
      <c r="B120" s="13"/>
      <c r="C120" s="13"/>
      <c r="G120" s="37"/>
      <c r="I120" s="38"/>
      <c r="K120" s="37"/>
    </row>
    <row r="121" spans="2:11" ht="12.75">
      <c r="B121" s="13"/>
      <c r="C121" s="13"/>
      <c r="G121" s="37"/>
      <c r="I121" s="38"/>
      <c r="K121" s="37"/>
    </row>
    <row r="122" spans="2:11" ht="12.75">
      <c r="B122" s="13"/>
      <c r="C122" s="13"/>
      <c r="G122" s="37"/>
      <c r="I122" s="38"/>
      <c r="K122" s="37"/>
    </row>
    <row r="123" spans="2:11" ht="12.75">
      <c r="B123" s="13"/>
      <c r="C123" s="13"/>
      <c r="G123" s="37"/>
      <c r="I123" s="38"/>
      <c r="K123" s="37"/>
    </row>
    <row r="124" spans="2:11" ht="12.75">
      <c r="B124" s="13"/>
      <c r="C124" s="13"/>
      <c r="G124" s="37"/>
      <c r="I124" s="38"/>
      <c r="K124" s="37"/>
    </row>
    <row r="125" spans="2:11" ht="12.75">
      <c r="B125" s="13"/>
      <c r="C125" s="13"/>
      <c r="G125" s="37"/>
      <c r="I125" s="38"/>
      <c r="K125" s="37"/>
    </row>
    <row r="126" spans="2:11" ht="12.75">
      <c r="B126" s="13"/>
      <c r="C126" s="13"/>
      <c r="G126" s="37"/>
      <c r="I126" s="38"/>
      <c r="J126" s="81"/>
      <c r="K126" s="37"/>
    </row>
    <row r="127" spans="2:11" ht="12.75">
      <c r="B127" s="13"/>
      <c r="C127" s="13"/>
      <c r="G127" s="37"/>
      <c r="I127" s="38"/>
      <c r="K127" s="37"/>
    </row>
    <row r="128" spans="2:11" ht="12.75">
      <c r="B128" s="13"/>
      <c r="C128" s="13"/>
      <c r="G128" s="37"/>
      <c r="I128" s="38"/>
      <c r="K128" s="37"/>
    </row>
    <row r="129" spans="2:11" ht="12.75">
      <c r="B129" s="13"/>
      <c r="C129" s="13"/>
      <c r="G129" s="37"/>
      <c r="I129" s="38"/>
      <c r="K129" s="37"/>
    </row>
    <row r="130" spans="2:3" ht="12.75">
      <c r="B130" s="13"/>
      <c r="C130" s="13"/>
    </row>
    <row r="131" spans="2:11" ht="12.75">
      <c r="B131" s="13"/>
      <c r="C131" s="13"/>
      <c r="G131" s="37"/>
      <c r="I131" s="38"/>
      <c r="K131" s="37"/>
    </row>
    <row r="132" spans="2:11" ht="12.75">
      <c r="B132" s="13"/>
      <c r="C132" s="13"/>
      <c r="G132" s="37"/>
      <c r="I132" s="38"/>
      <c r="J132" s="81"/>
      <c r="K132" s="37"/>
    </row>
    <row r="133" spans="2:11" ht="12.75">
      <c r="B133" s="13"/>
      <c r="C133" s="13"/>
      <c r="G133" s="37"/>
      <c r="I133" s="38"/>
      <c r="K133" s="37"/>
    </row>
    <row r="134" spans="2:11" ht="12.75">
      <c r="B134" s="13"/>
      <c r="C134" s="13"/>
      <c r="G134" s="37"/>
      <c r="I134" s="38"/>
      <c r="K134" s="37"/>
    </row>
    <row r="135" spans="2:11" ht="12.75">
      <c r="B135" s="13"/>
      <c r="C135" s="13"/>
      <c r="G135" s="37"/>
      <c r="I135" s="38"/>
      <c r="K135" s="37"/>
    </row>
    <row r="136" spans="7:11" ht="12.75">
      <c r="G136" s="42"/>
      <c r="K136" s="42"/>
    </row>
    <row r="138" spans="2:3" ht="12.75">
      <c r="B138" s="28"/>
      <c r="C138" s="28"/>
    </row>
    <row r="139" spans="2:3" ht="12.75">
      <c r="B139" s="13"/>
      <c r="C139" s="13"/>
    </row>
    <row r="140" spans="2:3" ht="12.75">
      <c r="B140" s="33"/>
      <c r="C140" s="33"/>
    </row>
    <row r="141" spans="2:3" ht="12.75">
      <c r="B141" s="13"/>
      <c r="C141" s="13"/>
    </row>
    <row r="142" spans="2:9" ht="12.75">
      <c r="B142" s="13"/>
      <c r="C142" s="13"/>
      <c r="G142" s="37"/>
      <c r="I142" s="38"/>
    </row>
    <row r="143" spans="2:9" ht="12.75">
      <c r="B143" s="13"/>
      <c r="C143" s="13"/>
      <c r="G143" s="37"/>
      <c r="I143" s="38"/>
    </row>
    <row r="144" spans="7:9" ht="12.75">
      <c r="G144" s="37"/>
      <c r="I144" s="38"/>
    </row>
    <row r="145" spans="2:11" ht="12.75">
      <c r="B145" s="13"/>
      <c r="C145" s="13"/>
      <c r="G145" s="37"/>
      <c r="I145" s="38"/>
      <c r="K145" s="37"/>
    </row>
    <row r="146" spans="7:9" ht="12.75">
      <c r="G146" s="37"/>
      <c r="I146" s="38"/>
    </row>
    <row r="147" spans="2:9" ht="12.75">
      <c r="B147" s="13"/>
      <c r="C147" s="13"/>
      <c r="G147" s="37"/>
      <c r="I147" s="38"/>
    </row>
    <row r="148" spans="2:9" ht="12.75">
      <c r="B148" s="13"/>
      <c r="C148" s="13"/>
      <c r="G148" s="37"/>
      <c r="I148" s="38"/>
    </row>
    <row r="149" spans="2:9" ht="12.75">
      <c r="B149" s="13"/>
      <c r="C149" s="13"/>
      <c r="G149" s="37"/>
      <c r="I149" s="38"/>
    </row>
    <row r="150" spans="2:9" ht="12.75">
      <c r="B150" s="13"/>
      <c r="C150" s="13"/>
      <c r="G150" s="37"/>
      <c r="I150" s="38"/>
    </row>
    <row r="151" spans="7:9" ht="12.75">
      <c r="G151" s="37"/>
      <c r="I151" s="38"/>
    </row>
    <row r="152" spans="2:11" ht="12.75">
      <c r="B152" s="28"/>
      <c r="C152" s="28"/>
      <c r="G152" s="31"/>
      <c r="I152" s="32"/>
      <c r="K152" s="31"/>
    </row>
    <row r="155" spans="7:11" ht="12.75">
      <c r="G155" s="42"/>
      <c r="K155" s="42"/>
    </row>
    <row r="156" spans="7:11" ht="12.75">
      <c r="G156" s="42"/>
      <c r="K156" s="42"/>
    </row>
    <row r="157" spans="7:11" ht="12.75">
      <c r="G157" s="42"/>
      <c r="K157" s="42"/>
    </row>
    <row r="158" spans="7:11" ht="12.75">
      <c r="G158" s="42"/>
      <c r="K158" s="42"/>
    </row>
    <row r="159" spans="7:11" ht="12.75">
      <c r="G159" s="42"/>
      <c r="K159" s="42"/>
    </row>
    <row r="160" spans="7:11" ht="12.75">
      <c r="G160" s="42"/>
      <c r="K160" s="42"/>
    </row>
    <row r="161" spans="7:11" ht="12.75">
      <c r="G161" s="42"/>
      <c r="K161" s="42"/>
    </row>
    <row r="162" spans="7:11" ht="12.75">
      <c r="G162" s="42"/>
      <c r="K162" s="42"/>
    </row>
    <row r="163" spans="7:11" ht="12.75">
      <c r="G163" s="42"/>
      <c r="K163" s="42"/>
    </row>
    <row r="164" spans="7:11" ht="12.75">
      <c r="G164" s="42"/>
      <c r="K164" s="42"/>
    </row>
    <row r="165" spans="7:11" ht="12.75">
      <c r="G165" s="42"/>
      <c r="K165" s="42"/>
    </row>
    <row r="166" spans="7:11" ht="12.75">
      <c r="G166" s="42"/>
      <c r="K166" s="42"/>
    </row>
    <row r="168" spans="7:11" ht="12.75">
      <c r="G168" s="42"/>
      <c r="K168" s="42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H138"/>
  <sheetViews>
    <sheetView zoomScale="75" zoomScaleNormal="75" workbookViewId="0" topLeftCell="B83">
      <selection activeCell="A2" sqref="A2"/>
    </sheetView>
  </sheetViews>
  <sheetFormatPr defaultColWidth="9.140625" defaultRowHeight="12.75"/>
  <cols>
    <col min="1" max="1" width="9.140625" style="3" hidden="1" customWidth="1"/>
    <col min="2" max="2" width="20.140625" style="2" customWidth="1"/>
    <col min="3" max="3" width="4.421875" style="2" customWidth="1"/>
    <col min="4" max="4" width="9.28125" style="2" customWidth="1"/>
    <col min="5" max="5" width="4.7109375" style="3" customWidth="1"/>
    <col min="6" max="6" width="9.140625" style="3" customWidth="1"/>
    <col min="7" max="7" width="4.421875" style="3" customWidth="1"/>
    <col min="8" max="8" width="10.140625" style="3" customWidth="1"/>
    <col min="9" max="9" width="4.00390625" style="3" customWidth="1"/>
    <col min="10" max="10" width="11.57421875" style="3" customWidth="1"/>
    <col min="11" max="11" width="2.8515625" style="3" customWidth="1"/>
    <col min="12" max="12" width="9.8515625" style="5" customWidth="1"/>
    <col min="13" max="13" width="4.28125" style="4" customWidth="1"/>
    <col min="14" max="14" width="10.7109375" style="4" customWidth="1"/>
    <col min="15" max="15" width="4.421875" style="4" customWidth="1"/>
    <col min="16" max="16" width="9.00390625" style="4" customWidth="1"/>
    <col min="17" max="17" width="4.140625" style="4" customWidth="1"/>
    <col min="18" max="18" width="9.140625" style="4" customWidth="1"/>
    <col min="19" max="19" width="3.140625" style="4" customWidth="1"/>
    <col min="20" max="20" width="9.00390625" style="3" customWidth="1"/>
    <col min="21" max="21" width="5.00390625" style="3" customWidth="1"/>
    <col min="22" max="22" width="10.7109375" style="3" customWidth="1"/>
    <col min="23" max="23" width="4.140625" style="3" customWidth="1"/>
    <col min="24" max="24" width="12.28125" style="3" customWidth="1"/>
    <col min="25" max="25" width="3.7109375" style="3" customWidth="1"/>
    <col min="26" max="26" width="11.7109375" style="3" customWidth="1"/>
    <col min="27" max="27" width="4.140625" style="3" customWidth="1"/>
    <col min="28" max="28" width="12.421875" style="3" customWidth="1"/>
    <col min="29" max="29" width="3.00390625" style="3" customWidth="1"/>
    <col min="30" max="30" width="10.8515625" style="3" customWidth="1"/>
    <col min="31" max="31" width="3.00390625" style="3" customWidth="1"/>
    <col min="32" max="32" width="10.57421875" style="3" customWidth="1"/>
    <col min="33" max="33" width="3.00390625" style="3" customWidth="1"/>
    <col min="34" max="34" width="10.28125" style="3" customWidth="1"/>
    <col min="35" max="35" width="3.00390625" style="3" customWidth="1"/>
    <col min="36" max="36" width="9.00390625" style="3" customWidth="1"/>
    <col min="37" max="37" width="2.8515625" style="3" customWidth="1"/>
    <col min="38" max="38" width="10.8515625" style="3" customWidth="1"/>
    <col min="39" max="39" width="2.8515625" style="3" customWidth="1"/>
    <col min="40" max="40" width="11.7109375" style="3" customWidth="1"/>
    <col min="41" max="41" width="2.8515625" style="3" customWidth="1"/>
    <col min="42" max="42" width="12.140625" style="3" customWidth="1"/>
    <col min="43" max="43" width="2.8515625" style="3" customWidth="1"/>
    <col min="44" max="44" width="12.7109375" style="3" customWidth="1"/>
    <col min="45" max="45" width="4.140625" style="3" customWidth="1"/>
    <col min="46" max="46" width="10.421875" style="3" customWidth="1"/>
    <col min="47" max="47" width="3.7109375" style="3" customWidth="1"/>
    <col min="48" max="48" width="11.00390625" style="3" customWidth="1"/>
    <col min="49" max="49" width="4.28125" style="3" customWidth="1"/>
    <col min="50" max="50" width="10.57421875" style="3" customWidth="1"/>
    <col min="51" max="51" width="4.57421875" style="3" customWidth="1"/>
    <col min="52" max="52" width="10.8515625" style="3" customWidth="1"/>
    <col min="53" max="53" width="4.140625" style="3" customWidth="1"/>
    <col min="54" max="54" width="15.28125" style="3" customWidth="1"/>
    <col min="55" max="55" width="3.8515625" style="3" customWidth="1"/>
    <col min="56" max="56" width="11.421875" style="3" customWidth="1"/>
    <col min="57" max="57" width="4.140625" style="3" customWidth="1"/>
    <col min="58" max="58" width="12.140625" style="3" customWidth="1"/>
    <col min="59" max="59" width="4.421875" style="3" customWidth="1"/>
    <col min="60" max="60" width="11.8515625" style="3" customWidth="1"/>
    <col min="61" max="16384" width="8.8515625" style="3" customWidth="1"/>
  </cols>
  <sheetData>
    <row r="1" spans="2:60" ht="12.75">
      <c r="B1" s="47" t="s">
        <v>53</v>
      </c>
      <c r="C1" s="47"/>
      <c r="D1" s="19"/>
      <c r="E1" s="48"/>
      <c r="F1" s="48"/>
      <c r="G1" s="48"/>
      <c r="H1" s="48"/>
      <c r="I1" s="48"/>
      <c r="J1" s="48"/>
      <c r="K1" s="48"/>
      <c r="L1" s="49"/>
      <c r="M1" s="50"/>
      <c r="N1" s="50"/>
      <c r="O1" s="50"/>
      <c r="P1" s="50"/>
      <c r="Q1" s="50"/>
      <c r="R1" s="50"/>
      <c r="S1" s="50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</row>
    <row r="2" spans="2:60" ht="12.75">
      <c r="B2" s="19"/>
      <c r="C2" s="19"/>
      <c r="D2" s="19"/>
      <c r="E2" s="48"/>
      <c r="F2" s="48"/>
      <c r="G2" s="48"/>
      <c r="H2" s="48"/>
      <c r="I2" s="48"/>
      <c r="J2" s="48"/>
      <c r="K2" s="48"/>
      <c r="L2" s="49"/>
      <c r="M2" s="50"/>
      <c r="N2" s="50"/>
      <c r="O2" s="50"/>
      <c r="P2" s="50"/>
      <c r="Q2" s="50"/>
      <c r="R2" s="50"/>
      <c r="S2" s="50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</row>
    <row r="3" spans="2:60" ht="12.75">
      <c r="B3" s="19"/>
      <c r="C3" s="19"/>
      <c r="D3" s="19"/>
      <c r="E3" s="48"/>
      <c r="F3" s="48"/>
      <c r="G3" s="48"/>
      <c r="H3" s="48"/>
      <c r="I3" s="48"/>
      <c r="J3" s="48"/>
      <c r="K3" s="48"/>
      <c r="L3" s="49"/>
      <c r="M3" s="50"/>
      <c r="N3" s="50"/>
      <c r="O3" s="50"/>
      <c r="P3" s="50"/>
      <c r="Q3" s="50"/>
      <c r="R3" s="50"/>
      <c r="S3" s="50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</row>
    <row r="4" spans="1:60" ht="12.75">
      <c r="A4" s="3" t="s">
        <v>193</v>
      </c>
      <c r="B4" s="47" t="s">
        <v>188</v>
      </c>
      <c r="C4" s="47" t="s">
        <v>189</v>
      </c>
      <c r="D4" s="19"/>
      <c r="E4" s="48"/>
      <c r="F4" s="50" t="s">
        <v>208</v>
      </c>
      <c r="G4" s="50"/>
      <c r="H4" s="50" t="s">
        <v>209</v>
      </c>
      <c r="I4" s="50"/>
      <c r="J4" s="50" t="s">
        <v>210</v>
      </c>
      <c r="K4" s="50"/>
      <c r="L4" s="4" t="s">
        <v>54</v>
      </c>
      <c r="M4" s="50"/>
      <c r="N4" s="50" t="s">
        <v>208</v>
      </c>
      <c r="O4" s="50"/>
      <c r="P4" s="50" t="s">
        <v>209</v>
      </c>
      <c r="Q4" s="50"/>
      <c r="R4" s="50" t="s">
        <v>210</v>
      </c>
      <c r="S4" s="50"/>
      <c r="T4" s="4" t="s">
        <v>54</v>
      </c>
      <c r="U4" s="48"/>
      <c r="V4" s="50" t="s">
        <v>208</v>
      </c>
      <c r="W4" s="50"/>
      <c r="X4" s="50" t="s">
        <v>209</v>
      </c>
      <c r="Y4" s="50"/>
      <c r="Z4" s="50" t="s">
        <v>210</v>
      </c>
      <c r="AA4" s="50"/>
      <c r="AB4" s="4" t="s">
        <v>54</v>
      </c>
      <c r="AC4" s="48"/>
      <c r="AD4" s="50" t="s">
        <v>208</v>
      </c>
      <c r="AE4" s="50"/>
      <c r="AF4" s="50" t="s">
        <v>209</v>
      </c>
      <c r="AG4" s="50"/>
      <c r="AH4" s="50" t="s">
        <v>210</v>
      </c>
      <c r="AI4" s="50"/>
      <c r="AJ4" s="4" t="s">
        <v>54</v>
      </c>
      <c r="AK4" s="48"/>
      <c r="AL4" s="50" t="s">
        <v>208</v>
      </c>
      <c r="AM4" s="50"/>
      <c r="AN4" s="50" t="s">
        <v>209</v>
      </c>
      <c r="AO4" s="50"/>
      <c r="AP4" s="50" t="s">
        <v>210</v>
      </c>
      <c r="AQ4" s="50"/>
      <c r="AR4" s="4" t="s">
        <v>54</v>
      </c>
      <c r="AS4" s="48"/>
      <c r="AT4" s="50" t="s">
        <v>208</v>
      </c>
      <c r="AU4" s="50"/>
      <c r="AV4" s="50" t="s">
        <v>209</v>
      </c>
      <c r="AW4" s="50"/>
      <c r="AX4" s="50" t="s">
        <v>210</v>
      </c>
      <c r="AY4" s="50"/>
      <c r="AZ4" s="4" t="s">
        <v>54</v>
      </c>
      <c r="BA4" s="48"/>
      <c r="BB4" s="50" t="s">
        <v>208</v>
      </c>
      <c r="BC4" s="50"/>
      <c r="BD4" s="50" t="s">
        <v>209</v>
      </c>
      <c r="BE4" s="50"/>
      <c r="BF4" s="50" t="s">
        <v>210</v>
      </c>
      <c r="BG4" s="50"/>
      <c r="BH4" s="4" t="s">
        <v>54</v>
      </c>
    </row>
    <row r="5" spans="2:60" ht="12.75">
      <c r="B5" s="19"/>
      <c r="C5" s="19"/>
      <c r="D5" s="19"/>
      <c r="E5" s="48"/>
      <c r="F5" s="48"/>
      <c r="G5" s="48"/>
      <c r="H5" s="48"/>
      <c r="I5" s="48"/>
      <c r="J5" s="48"/>
      <c r="K5" s="48"/>
      <c r="L5" s="49"/>
      <c r="M5" s="50"/>
      <c r="N5" s="50"/>
      <c r="O5" s="50"/>
      <c r="P5" s="50"/>
      <c r="Q5" s="50"/>
      <c r="R5" s="50"/>
      <c r="S5" s="50"/>
      <c r="T5" s="48"/>
      <c r="U5" s="48"/>
      <c r="V5" s="50"/>
      <c r="W5" s="50"/>
      <c r="X5" s="50"/>
      <c r="Y5" s="50"/>
      <c r="Z5" s="50"/>
      <c r="AA5" s="50"/>
      <c r="AB5" s="4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</row>
    <row r="6" spans="2:60" ht="12.75">
      <c r="B6" s="19" t="s">
        <v>222</v>
      </c>
      <c r="C6" s="19"/>
      <c r="D6" s="19"/>
      <c r="E6" s="48"/>
      <c r="F6" s="50" t="s">
        <v>224</v>
      </c>
      <c r="G6" s="50"/>
      <c r="H6" s="50" t="s">
        <v>224</v>
      </c>
      <c r="I6" s="50"/>
      <c r="J6" s="50" t="s">
        <v>224</v>
      </c>
      <c r="K6" s="50"/>
      <c r="L6" s="50" t="s">
        <v>224</v>
      </c>
      <c r="M6" s="50"/>
      <c r="N6" s="50" t="s">
        <v>225</v>
      </c>
      <c r="O6" s="50"/>
      <c r="P6" s="50" t="s">
        <v>225</v>
      </c>
      <c r="Q6" s="50"/>
      <c r="R6" s="50" t="s">
        <v>225</v>
      </c>
      <c r="S6" s="50"/>
      <c r="T6" s="50" t="s">
        <v>225</v>
      </c>
      <c r="U6" s="50"/>
      <c r="V6" s="50"/>
      <c r="W6" s="50"/>
      <c r="X6" s="50"/>
      <c r="Y6" s="50"/>
      <c r="Z6" s="50"/>
      <c r="AA6" s="50"/>
      <c r="AB6" s="50"/>
      <c r="AC6" s="50"/>
      <c r="AD6" s="50" t="s">
        <v>226</v>
      </c>
      <c r="AE6" s="50"/>
      <c r="AF6" s="50" t="s">
        <v>226</v>
      </c>
      <c r="AG6" s="50"/>
      <c r="AH6" s="50" t="s">
        <v>226</v>
      </c>
      <c r="AI6" s="50"/>
      <c r="AJ6" s="50" t="s">
        <v>226</v>
      </c>
      <c r="AK6" s="50"/>
      <c r="AL6" s="50" t="s">
        <v>227</v>
      </c>
      <c r="AM6" s="50"/>
      <c r="AN6" s="50" t="s">
        <v>227</v>
      </c>
      <c r="AO6" s="50"/>
      <c r="AP6" s="50" t="s">
        <v>227</v>
      </c>
      <c r="AQ6" s="50"/>
      <c r="AR6" s="50" t="s">
        <v>227</v>
      </c>
      <c r="AS6" s="50"/>
      <c r="AT6" s="50" t="s">
        <v>228</v>
      </c>
      <c r="AU6" s="50"/>
      <c r="AV6" s="50" t="s">
        <v>228</v>
      </c>
      <c r="AW6" s="50"/>
      <c r="AX6" s="50" t="s">
        <v>228</v>
      </c>
      <c r="AY6" s="50"/>
      <c r="AZ6" s="50" t="s">
        <v>228</v>
      </c>
      <c r="BA6" s="50"/>
      <c r="BB6" s="50" t="s">
        <v>229</v>
      </c>
      <c r="BC6" s="50"/>
      <c r="BD6" s="50" t="s">
        <v>229</v>
      </c>
      <c r="BE6" s="50"/>
      <c r="BF6" s="50" t="s">
        <v>229</v>
      </c>
      <c r="BG6" s="50"/>
      <c r="BH6" s="50" t="s">
        <v>229</v>
      </c>
    </row>
    <row r="7" spans="2:60" ht="12.75">
      <c r="B7" s="19" t="s">
        <v>223</v>
      </c>
      <c r="C7" s="19"/>
      <c r="D7" s="19"/>
      <c r="E7" s="48"/>
      <c r="F7" s="50" t="s">
        <v>230</v>
      </c>
      <c r="G7" s="50"/>
      <c r="H7" s="50" t="s">
        <v>230</v>
      </c>
      <c r="I7" s="50"/>
      <c r="J7" s="50" t="s">
        <v>230</v>
      </c>
      <c r="K7" s="50"/>
      <c r="L7" s="50" t="s">
        <v>230</v>
      </c>
      <c r="M7" s="50"/>
      <c r="N7" s="50" t="s">
        <v>230</v>
      </c>
      <c r="O7" s="50"/>
      <c r="P7" s="50" t="s">
        <v>230</v>
      </c>
      <c r="Q7" s="50"/>
      <c r="R7" s="50" t="s">
        <v>230</v>
      </c>
      <c r="S7" s="50"/>
      <c r="T7" s="50" t="s">
        <v>230</v>
      </c>
      <c r="U7" s="50"/>
      <c r="V7" s="50"/>
      <c r="W7" s="50"/>
      <c r="X7" s="50"/>
      <c r="Y7" s="50"/>
      <c r="Z7" s="50"/>
      <c r="AA7" s="50"/>
      <c r="AB7" s="50"/>
      <c r="AC7" s="50"/>
      <c r="AD7" s="50" t="s">
        <v>231</v>
      </c>
      <c r="AE7" s="50"/>
      <c r="AF7" s="50" t="s">
        <v>231</v>
      </c>
      <c r="AG7" s="50"/>
      <c r="AH7" s="50" t="s">
        <v>231</v>
      </c>
      <c r="AI7" s="50"/>
      <c r="AJ7" s="50" t="s">
        <v>231</v>
      </c>
      <c r="AK7" s="50"/>
      <c r="AL7" s="50" t="s">
        <v>232</v>
      </c>
      <c r="AM7" s="50"/>
      <c r="AN7" s="50" t="s">
        <v>232</v>
      </c>
      <c r="AO7" s="50"/>
      <c r="AP7" s="50" t="s">
        <v>232</v>
      </c>
      <c r="AQ7" s="50"/>
      <c r="AR7" s="50" t="s">
        <v>232</v>
      </c>
      <c r="AS7" s="50"/>
      <c r="AT7" s="50" t="s">
        <v>101</v>
      </c>
      <c r="AU7" s="50"/>
      <c r="AV7" s="50" t="s">
        <v>101</v>
      </c>
      <c r="AW7" s="50"/>
      <c r="AX7" s="50" t="s">
        <v>101</v>
      </c>
      <c r="AY7" s="50"/>
      <c r="AZ7" s="50" t="s">
        <v>101</v>
      </c>
      <c r="BA7" s="50"/>
      <c r="BB7" s="50" t="s">
        <v>30</v>
      </c>
      <c r="BC7" s="50"/>
      <c r="BD7" s="50" t="s">
        <v>30</v>
      </c>
      <c r="BE7" s="50"/>
      <c r="BF7" s="50" t="s">
        <v>30</v>
      </c>
      <c r="BG7" s="48"/>
      <c r="BH7" s="50" t="s">
        <v>30</v>
      </c>
    </row>
    <row r="8" spans="2:60" ht="12.75">
      <c r="B8" s="19" t="s">
        <v>234</v>
      </c>
      <c r="C8" s="19"/>
      <c r="D8" s="19"/>
      <c r="E8" s="48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 t="s">
        <v>117</v>
      </c>
      <c r="W8" s="50"/>
      <c r="X8" s="50" t="s">
        <v>117</v>
      </c>
      <c r="Y8" s="50"/>
      <c r="Z8" s="50" t="s">
        <v>117</v>
      </c>
      <c r="AA8" s="50"/>
      <c r="AB8" s="50" t="s">
        <v>117</v>
      </c>
      <c r="AC8" s="50"/>
      <c r="AD8" s="50" t="s">
        <v>233</v>
      </c>
      <c r="AE8" s="50"/>
      <c r="AF8" s="50" t="s">
        <v>233</v>
      </c>
      <c r="AG8" s="50"/>
      <c r="AH8" s="50" t="s">
        <v>233</v>
      </c>
      <c r="AI8" s="50"/>
      <c r="AJ8" s="50" t="s">
        <v>233</v>
      </c>
      <c r="AK8" s="50"/>
      <c r="AL8" s="50"/>
      <c r="AM8" s="50"/>
      <c r="AN8" s="50"/>
      <c r="AO8" s="50"/>
      <c r="AP8" s="50"/>
      <c r="AQ8" s="50"/>
      <c r="AR8" s="50"/>
      <c r="AS8" s="50"/>
      <c r="AT8" s="50" t="s">
        <v>101</v>
      </c>
      <c r="AU8" s="50"/>
      <c r="AV8" s="50" t="s">
        <v>101</v>
      </c>
      <c r="AW8" s="50"/>
      <c r="AX8" s="50" t="s">
        <v>101</v>
      </c>
      <c r="AY8" s="50"/>
      <c r="AZ8" s="50" t="s">
        <v>101</v>
      </c>
      <c r="BA8" s="50"/>
      <c r="BB8" s="50" t="s">
        <v>30</v>
      </c>
      <c r="BC8" s="50"/>
      <c r="BD8" s="50" t="s">
        <v>30</v>
      </c>
      <c r="BE8" s="50"/>
      <c r="BF8" s="50" t="s">
        <v>30</v>
      </c>
      <c r="BG8" s="48"/>
      <c r="BH8" s="50" t="s">
        <v>30</v>
      </c>
    </row>
    <row r="9" spans="2:60" ht="12.75">
      <c r="B9" s="19" t="s">
        <v>55</v>
      </c>
      <c r="C9" s="19"/>
      <c r="D9" s="19"/>
      <c r="E9" s="48"/>
      <c r="F9" s="49" t="s">
        <v>94</v>
      </c>
      <c r="G9" s="48"/>
      <c r="H9" s="49" t="s">
        <v>94</v>
      </c>
      <c r="I9" s="48"/>
      <c r="J9" s="49" t="s">
        <v>94</v>
      </c>
      <c r="K9" s="48"/>
      <c r="L9" s="49" t="s">
        <v>94</v>
      </c>
      <c r="M9" s="49"/>
      <c r="N9" s="49" t="s">
        <v>95</v>
      </c>
      <c r="O9" s="49"/>
      <c r="P9" s="49" t="s">
        <v>95</v>
      </c>
      <c r="Q9" s="49"/>
      <c r="R9" s="49" t="s">
        <v>95</v>
      </c>
      <c r="S9" s="49"/>
      <c r="T9" s="49" t="s">
        <v>95</v>
      </c>
      <c r="U9" s="49"/>
      <c r="V9" s="49"/>
      <c r="W9" s="49"/>
      <c r="X9" s="49"/>
      <c r="Y9" s="49"/>
      <c r="Z9" s="49"/>
      <c r="AA9" s="49"/>
      <c r="AB9" s="49"/>
      <c r="AC9" s="49"/>
      <c r="AD9" s="49" t="s">
        <v>82</v>
      </c>
      <c r="AE9" s="49"/>
      <c r="AF9" s="49" t="s">
        <v>82</v>
      </c>
      <c r="AG9" s="49"/>
      <c r="AH9" s="49" t="s">
        <v>82</v>
      </c>
      <c r="AI9" s="49"/>
      <c r="AJ9" s="49" t="s">
        <v>82</v>
      </c>
      <c r="AK9" s="49"/>
      <c r="AL9" s="49" t="s">
        <v>145</v>
      </c>
      <c r="AM9" s="49"/>
      <c r="AN9" s="49" t="s">
        <v>145</v>
      </c>
      <c r="AO9" s="49"/>
      <c r="AP9" s="49" t="s">
        <v>145</v>
      </c>
      <c r="AQ9" s="49"/>
      <c r="AR9" s="49" t="s">
        <v>145</v>
      </c>
      <c r="AS9" s="49"/>
      <c r="AT9" s="49" t="s">
        <v>101</v>
      </c>
      <c r="AU9" s="49"/>
      <c r="AV9" s="49" t="s">
        <v>101</v>
      </c>
      <c r="AW9" s="49"/>
      <c r="AX9" s="49" t="s">
        <v>101</v>
      </c>
      <c r="AY9" s="49"/>
      <c r="AZ9" s="49" t="s">
        <v>101</v>
      </c>
      <c r="BA9" s="49"/>
      <c r="BB9" s="49" t="s">
        <v>30</v>
      </c>
      <c r="BC9" s="49"/>
      <c r="BD9" s="49" t="s">
        <v>30</v>
      </c>
      <c r="BE9" s="49"/>
      <c r="BF9" s="49" t="s">
        <v>30</v>
      </c>
      <c r="BG9" s="49"/>
      <c r="BH9" s="49" t="s">
        <v>30</v>
      </c>
    </row>
    <row r="10" spans="2:60" ht="12.75">
      <c r="B10" s="19" t="s">
        <v>195</v>
      </c>
      <c r="C10" s="19"/>
      <c r="D10" s="19" t="s">
        <v>72</v>
      </c>
      <c r="E10" s="48"/>
      <c r="F10" s="48">
        <v>5600</v>
      </c>
      <c r="G10" s="48"/>
      <c r="H10" s="48">
        <v>5599</v>
      </c>
      <c r="I10" s="48"/>
      <c r="J10" s="48">
        <v>5604</v>
      </c>
      <c r="K10" s="48"/>
      <c r="L10" s="51">
        <v>5599</v>
      </c>
      <c r="M10" s="50"/>
      <c r="N10" s="49">
        <v>1090</v>
      </c>
      <c r="O10" s="49"/>
      <c r="P10" s="49">
        <v>1093</v>
      </c>
      <c r="Q10" s="49"/>
      <c r="R10" s="49">
        <v>1088</v>
      </c>
      <c r="S10" s="50"/>
      <c r="T10" s="48">
        <v>1089</v>
      </c>
      <c r="U10" s="48"/>
      <c r="V10" s="48"/>
      <c r="W10" s="48"/>
      <c r="X10" s="48"/>
      <c r="Y10" s="48"/>
      <c r="Z10" s="48"/>
      <c r="AA10" s="48"/>
      <c r="AB10" s="48"/>
      <c r="AC10" s="48"/>
      <c r="AD10" s="48">
        <v>238.8</v>
      </c>
      <c r="AE10" s="48"/>
      <c r="AF10" s="48">
        <v>238.8</v>
      </c>
      <c r="AG10" s="48"/>
      <c r="AH10" s="48">
        <v>238.8</v>
      </c>
      <c r="AI10" s="48"/>
      <c r="AJ10" s="48">
        <v>238.8</v>
      </c>
      <c r="AK10" s="48"/>
      <c r="AL10" s="48"/>
      <c r="AM10" s="48"/>
      <c r="AN10" s="48"/>
      <c r="AO10" s="48"/>
      <c r="AP10" s="48"/>
      <c r="AQ10" s="48"/>
      <c r="AR10" s="52"/>
      <c r="AS10" s="52"/>
      <c r="AT10" s="48">
        <v>41</v>
      </c>
      <c r="AU10" s="52"/>
      <c r="AV10" s="48">
        <v>41</v>
      </c>
      <c r="AW10" s="52"/>
      <c r="AX10" s="48">
        <v>41</v>
      </c>
      <c r="AY10" s="52"/>
      <c r="AZ10" s="48">
        <v>41</v>
      </c>
      <c r="BA10" s="48"/>
      <c r="BB10" s="48"/>
      <c r="BC10" s="48"/>
      <c r="BD10" s="48"/>
      <c r="BE10" s="48"/>
      <c r="BF10" s="48"/>
      <c r="BG10" s="48"/>
      <c r="BH10" s="48"/>
    </row>
    <row r="11" spans="2:60" ht="12.75">
      <c r="B11" s="19" t="s">
        <v>61</v>
      </c>
      <c r="C11" s="19"/>
      <c r="D11" s="19" t="s">
        <v>62</v>
      </c>
      <c r="E11" s="48"/>
      <c r="F11" s="48">
        <v>1.9</v>
      </c>
      <c r="G11" s="48"/>
      <c r="H11" s="48">
        <v>2</v>
      </c>
      <c r="I11" s="48"/>
      <c r="J11" s="48">
        <v>2</v>
      </c>
      <c r="K11" s="48"/>
      <c r="L11" s="53">
        <v>2</v>
      </c>
      <c r="M11" s="50"/>
      <c r="N11" s="49">
        <v>1.2</v>
      </c>
      <c r="O11" s="49"/>
      <c r="P11" s="49">
        <v>1.3</v>
      </c>
      <c r="Q11" s="49"/>
      <c r="R11" s="49">
        <v>1.2</v>
      </c>
      <c r="S11" s="50"/>
      <c r="T11" s="48">
        <v>1.27</v>
      </c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</row>
    <row r="12" spans="2:60" ht="12.75">
      <c r="B12" s="19" t="s">
        <v>57</v>
      </c>
      <c r="C12" s="19"/>
      <c r="D12" s="19" t="s">
        <v>58</v>
      </c>
      <c r="E12" s="48"/>
      <c r="F12" s="29">
        <v>5170</v>
      </c>
      <c r="G12" s="48"/>
      <c r="H12" s="29">
        <v>5320</v>
      </c>
      <c r="I12" s="48"/>
      <c r="J12" s="29">
        <v>5110</v>
      </c>
      <c r="K12" s="48"/>
      <c r="L12" s="20">
        <v>5200</v>
      </c>
      <c r="M12" s="50"/>
      <c r="N12" s="49">
        <v>9310</v>
      </c>
      <c r="O12" s="49"/>
      <c r="P12" s="49">
        <v>9310</v>
      </c>
      <c r="Q12" s="49"/>
      <c r="R12" s="49">
        <v>9310</v>
      </c>
      <c r="S12" s="50"/>
      <c r="T12" s="48">
        <v>9390</v>
      </c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</row>
    <row r="13" spans="2:60" ht="12.75">
      <c r="B13" s="19" t="s">
        <v>74</v>
      </c>
      <c r="C13" s="19"/>
      <c r="D13" s="19" t="s">
        <v>75</v>
      </c>
      <c r="E13" s="48"/>
      <c r="F13" s="29">
        <v>12</v>
      </c>
      <c r="G13" s="48"/>
      <c r="H13" s="29">
        <v>12</v>
      </c>
      <c r="I13" s="48"/>
      <c r="J13" s="29">
        <v>12</v>
      </c>
      <c r="K13" s="48"/>
      <c r="L13" s="20">
        <v>12</v>
      </c>
      <c r="M13" s="50"/>
      <c r="N13" s="49">
        <v>9.2</v>
      </c>
      <c r="O13" s="49"/>
      <c r="P13" s="49">
        <v>9.2</v>
      </c>
      <c r="Q13" s="49"/>
      <c r="R13" s="49">
        <v>9.2</v>
      </c>
      <c r="S13" s="50"/>
      <c r="T13" s="48">
        <v>9.2</v>
      </c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</row>
    <row r="14" spans="2:60" ht="12.75">
      <c r="B14" s="19" t="s">
        <v>59</v>
      </c>
      <c r="C14" s="19"/>
      <c r="D14" s="19" t="s">
        <v>72</v>
      </c>
      <c r="E14" s="50"/>
      <c r="F14" s="49">
        <v>0.022</v>
      </c>
      <c r="G14" s="49"/>
      <c r="H14" s="49">
        <v>0.34</v>
      </c>
      <c r="I14" s="49"/>
      <c r="J14" s="49">
        <v>0.28</v>
      </c>
      <c r="K14" s="50"/>
      <c r="L14" s="20">
        <v>0.214</v>
      </c>
      <c r="M14" s="50"/>
      <c r="N14" s="5">
        <v>0.31</v>
      </c>
      <c r="O14" s="49"/>
      <c r="P14" s="49">
        <v>0.34</v>
      </c>
      <c r="Q14" s="49"/>
      <c r="R14" s="49">
        <v>0.013</v>
      </c>
      <c r="S14" s="50"/>
      <c r="T14" s="20">
        <v>0.221</v>
      </c>
      <c r="U14" s="20"/>
      <c r="V14" s="20"/>
      <c r="W14" s="20"/>
      <c r="X14" s="20"/>
      <c r="Y14" s="20"/>
      <c r="Z14" s="20"/>
      <c r="AA14" s="20"/>
      <c r="AB14" s="20"/>
      <c r="AC14" s="20"/>
      <c r="AD14" s="49"/>
      <c r="AE14" s="20"/>
      <c r="AF14" s="49"/>
      <c r="AG14" s="20"/>
      <c r="AH14" s="49"/>
      <c r="AI14" s="20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>
        <v>1.6</v>
      </c>
      <c r="AU14" s="49"/>
      <c r="AV14" s="49">
        <v>1.6</v>
      </c>
      <c r="AW14" s="49"/>
      <c r="AX14" s="49">
        <v>1.6</v>
      </c>
      <c r="AY14" s="49"/>
      <c r="AZ14" s="49">
        <v>1.6</v>
      </c>
      <c r="BA14" s="49"/>
      <c r="BB14" s="49"/>
      <c r="BC14" s="49"/>
      <c r="BD14" s="49"/>
      <c r="BE14" s="49"/>
      <c r="BF14" s="49"/>
      <c r="BG14" s="49"/>
      <c r="BH14" s="48"/>
    </row>
    <row r="15" spans="2:60" ht="12.75">
      <c r="B15" s="19" t="s">
        <v>60</v>
      </c>
      <c r="C15" s="19"/>
      <c r="D15" s="19" t="s">
        <v>72</v>
      </c>
      <c r="E15" s="50"/>
      <c r="F15" s="49">
        <v>3960</v>
      </c>
      <c r="G15" s="49"/>
      <c r="H15" s="49">
        <v>3980</v>
      </c>
      <c r="I15" s="49"/>
      <c r="J15" s="49">
        <v>3820</v>
      </c>
      <c r="K15" s="50"/>
      <c r="L15" s="21">
        <v>3920</v>
      </c>
      <c r="M15" s="50"/>
      <c r="N15" s="5">
        <v>483</v>
      </c>
      <c r="O15" s="49"/>
      <c r="P15" s="49">
        <v>457</v>
      </c>
      <c r="Q15" s="49"/>
      <c r="R15" s="49">
        <v>482</v>
      </c>
      <c r="S15" s="50"/>
      <c r="T15" s="49">
        <v>474</v>
      </c>
      <c r="U15" s="49"/>
      <c r="V15" s="49"/>
      <c r="W15" s="49"/>
      <c r="X15" s="49"/>
      <c r="Y15" s="49"/>
      <c r="Z15" s="49"/>
      <c r="AA15" s="49"/>
      <c r="AB15" s="49"/>
      <c r="AC15" s="49"/>
      <c r="AD15" s="49">
        <v>57</v>
      </c>
      <c r="AE15" s="49"/>
      <c r="AF15" s="49">
        <v>57</v>
      </c>
      <c r="AG15" s="49"/>
      <c r="AH15" s="49">
        <v>57</v>
      </c>
      <c r="AI15" s="49"/>
      <c r="AJ15" s="49">
        <v>57</v>
      </c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8"/>
    </row>
    <row r="16" spans="2:60" ht="12.75">
      <c r="B16" s="19" t="s">
        <v>157</v>
      </c>
      <c r="C16" s="19"/>
      <c r="D16" s="19" t="s">
        <v>56</v>
      </c>
      <c r="E16" s="50" t="s">
        <v>34</v>
      </c>
      <c r="F16" s="49">
        <v>0.06</v>
      </c>
      <c r="G16" s="49" t="s">
        <v>34</v>
      </c>
      <c r="H16" s="49">
        <v>0.06</v>
      </c>
      <c r="I16" s="50" t="s">
        <v>34</v>
      </c>
      <c r="J16" s="49">
        <v>0.06</v>
      </c>
      <c r="K16" s="50" t="s">
        <v>34</v>
      </c>
      <c r="L16" s="53">
        <v>0.06</v>
      </c>
      <c r="M16" s="50" t="s">
        <v>34</v>
      </c>
      <c r="N16" s="49">
        <v>0.01</v>
      </c>
      <c r="O16" s="50" t="s">
        <v>34</v>
      </c>
      <c r="P16" s="49">
        <v>0.01</v>
      </c>
      <c r="Q16" s="50" t="s">
        <v>34</v>
      </c>
      <c r="R16" s="49">
        <v>0.01</v>
      </c>
      <c r="S16" s="50"/>
      <c r="T16" s="53">
        <v>0.01</v>
      </c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2:60" ht="12.75">
      <c r="B17" s="19" t="s">
        <v>158</v>
      </c>
      <c r="C17" s="19"/>
      <c r="D17" s="19" t="s">
        <v>56</v>
      </c>
      <c r="E17" s="50" t="s">
        <v>34</v>
      </c>
      <c r="F17" s="49">
        <v>0.06</v>
      </c>
      <c r="G17" s="49" t="s">
        <v>34</v>
      </c>
      <c r="H17" s="49">
        <v>0.06</v>
      </c>
      <c r="I17" s="50" t="s">
        <v>34</v>
      </c>
      <c r="J17" s="49">
        <v>0.06</v>
      </c>
      <c r="K17" s="50" t="s">
        <v>34</v>
      </c>
      <c r="L17" s="53">
        <v>0.06</v>
      </c>
      <c r="M17" s="50" t="s">
        <v>34</v>
      </c>
      <c r="N17" s="49">
        <v>0.01</v>
      </c>
      <c r="O17" s="50" t="s">
        <v>34</v>
      </c>
      <c r="P17" s="49">
        <v>0.01</v>
      </c>
      <c r="Q17" s="50" t="s">
        <v>34</v>
      </c>
      <c r="R17" s="49">
        <v>0.01</v>
      </c>
      <c r="S17" s="50"/>
      <c r="T17" s="49">
        <v>0.01</v>
      </c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</row>
    <row r="18" spans="2:60" ht="12.75">
      <c r="B18" s="19" t="s">
        <v>159</v>
      </c>
      <c r="C18" s="19"/>
      <c r="D18" s="19" t="s">
        <v>56</v>
      </c>
      <c r="E18" s="50" t="s">
        <v>34</v>
      </c>
      <c r="F18" s="49">
        <v>0.009</v>
      </c>
      <c r="G18" s="49" t="s">
        <v>34</v>
      </c>
      <c r="H18" s="49">
        <v>0.009</v>
      </c>
      <c r="I18" s="50" t="s">
        <v>34</v>
      </c>
      <c r="J18" s="49">
        <v>0.009</v>
      </c>
      <c r="K18" s="50" t="s">
        <v>34</v>
      </c>
      <c r="L18" s="49">
        <v>0.009</v>
      </c>
      <c r="M18" s="50"/>
      <c r="N18" s="49">
        <v>0.0027</v>
      </c>
      <c r="O18" s="50"/>
      <c r="P18" s="49">
        <v>0.0044</v>
      </c>
      <c r="Q18" s="50" t="s">
        <v>34</v>
      </c>
      <c r="R18" s="49">
        <v>0.002</v>
      </c>
      <c r="S18" s="50"/>
      <c r="T18" s="48">
        <v>0.003</v>
      </c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9"/>
      <c r="AK18" s="49"/>
      <c r="AL18" s="49"/>
      <c r="AM18" s="49"/>
      <c r="AN18" s="49"/>
      <c r="AO18" s="49"/>
      <c r="AP18" s="49"/>
      <c r="AQ18" s="49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</row>
    <row r="19" spans="2:60" ht="12.75">
      <c r="B19" s="19" t="s">
        <v>160</v>
      </c>
      <c r="C19" s="19"/>
      <c r="D19" s="19" t="s">
        <v>56</v>
      </c>
      <c r="E19" s="50" t="s">
        <v>34</v>
      </c>
      <c r="F19" s="49">
        <v>0.007</v>
      </c>
      <c r="G19" s="49" t="s">
        <v>34</v>
      </c>
      <c r="H19" s="49">
        <v>0.007</v>
      </c>
      <c r="I19" s="50" t="s">
        <v>34</v>
      </c>
      <c r="J19" s="49">
        <v>0.007</v>
      </c>
      <c r="K19" s="50" t="s">
        <v>34</v>
      </c>
      <c r="L19" s="49">
        <v>0.007</v>
      </c>
      <c r="M19" s="50" t="s">
        <v>34</v>
      </c>
      <c r="N19" s="49">
        <v>0.001</v>
      </c>
      <c r="O19" s="50" t="s">
        <v>34</v>
      </c>
      <c r="P19" s="49">
        <v>0.001</v>
      </c>
      <c r="Q19" s="50" t="s">
        <v>34</v>
      </c>
      <c r="R19" s="49">
        <v>0.001</v>
      </c>
      <c r="S19" s="50"/>
      <c r="T19" s="49">
        <v>0.001</v>
      </c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2:60" ht="12.75">
      <c r="B20" s="19" t="s">
        <v>161</v>
      </c>
      <c r="C20" s="19"/>
      <c r="D20" s="19" t="s">
        <v>56</v>
      </c>
      <c r="E20" s="50" t="s">
        <v>34</v>
      </c>
      <c r="F20" s="49">
        <v>0.04</v>
      </c>
      <c r="G20" s="49" t="s">
        <v>34</v>
      </c>
      <c r="H20" s="49">
        <v>0.04</v>
      </c>
      <c r="I20" s="50" t="s">
        <v>34</v>
      </c>
      <c r="J20" s="49">
        <v>0.051</v>
      </c>
      <c r="K20" s="50" t="s">
        <v>34</v>
      </c>
      <c r="L20" s="49">
        <v>0.043</v>
      </c>
      <c r="M20" s="50" t="s">
        <v>34</v>
      </c>
      <c r="N20" s="49">
        <v>0.008</v>
      </c>
      <c r="O20" s="50" t="s">
        <v>34</v>
      </c>
      <c r="P20" s="49">
        <v>0.008</v>
      </c>
      <c r="Q20" s="50" t="s">
        <v>34</v>
      </c>
      <c r="R20" s="49">
        <v>0.008</v>
      </c>
      <c r="S20" s="50"/>
      <c r="T20" s="49">
        <v>0.008</v>
      </c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</row>
    <row r="21" spans="2:60" ht="12.75">
      <c r="B21" s="19" t="s">
        <v>184</v>
      </c>
      <c r="C21" s="19"/>
      <c r="D21" s="19" t="s">
        <v>56</v>
      </c>
      <c r="E21" s="50" t="s">
        <v>34</v>
      </c>
      <c r="F21" s="49">
        <v>0.02</v>
      </c>
      <c r="G21" s="49" t="s">
        <v>34</v>
      </c>
      <c r="H21" s="49">
        <v>0.02</v>
      </c>
      <c r="I21" s="50" t="s">
        <v>34</v>
      </c>
      <c r="J21" s="49">
        <v>0.02</v>
      </c>
      <c r="K21" s="50" t="s">
        <v>34</v>
      </c>
      <c r="L21" s="49">
        <v>0.02</v>
      </c>
      <c r="M21" s="50"/>
      <c r="N21" s="49">
        <v>0.0061</v>
      </c>
      <c r="O21" s="50"/>
      <c r="P21" s="49">
        <v>0.0076</v>
      </c>
      <c r="Q21" s="50"/>
      <c r="R21" s="49">
        <v>0.0052</v>
      </c>
      <c r="S21" s="50"/>
      <c r="T21" s="49">
        <v>0.006</v>
      </c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8"/>
      <c r="AS21" s="48"/>
      <c r="AT21" s="52">
        <v>9.82</v>
      </c>
      <c r="AU21" s="48"/>
      <c r="AV21" s="52">
        <v>9.95</v>
      </c>
      <c r="AW21" s="48"/>
      <c r="AX21" s="52">
        <v>9.99</v>
      </c>
      <c r="AY21" s="48"/>
      <c r="AZ21" s="52">
        <v>9.92</v>
      </c>
      <c r="BA21" s="52"/>
      <c r="BB21" s="52"/>
      <c r="BC21" s="52"/>
      <c r="BD21" s="52"/>
      <c r="BE21" s="52"/>
      <c r="BF21" s="52"/>
      <c r="BG21" s="52"/>
      <c r="BH21" s="48"/>
    </row>
    <row r="22" spans="2:60" ht="12.75">
      <c r="B22" s="19" t="s">
        <v>156</v>
      </c>
      <c r="C22" s="19"/>
      <c r="D22" s="19" t="s">
        <v>56</v>
      </c>
      <c r="E22" s="50" t="s">
        <v>34</v>
      </c>
      <c r="F22" s="49">
        <v>0.1</v>
      </c>
      <c r="G22" s="49" t="s">
        <v>34</v>
      </c>
      <c r="H22" s="49">
        <v>0.1</v>
      </c>
      <c r="I22" s="50" t="s">
        <v>34</v>
      </c>
      <c r="J22" s="49">
        <v>0.1</v>
      </c>
      <c r="K22" s="50" t="s">
        <v>34</v>
      </c>
      <c r="L22" s="49">
        <v>0.1</v>
      </c>
      <c r="M22" s="50" t="s">
        <v>34</v>
      </c>
      <c r="N22" s="49">
        <v>0.02</v>
      </c>
      <c r="O22" s="50" t="s">
        <v>34</v>
      </c>
      <c r="P22" s="49">
        <v>0.02</v>
      </c>
      <c r="Q22" s="50" t="s">
        <v>34</v>
      </c>
      <c r="R22" s="49">
        <v>0.02</v>
      </c>
      <c r="S22" s="50"/>
      <c r="T22" s="49">
        <v>0.02</v>
      </c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52">
        <v>39.54</v>
      </c>
      <c r="AU22" s="49"/>
      <c r="AV22" s="52">
        <v>40.21</v>
      </c>
      <c r="AW22" s="49"/>
      <c r="AX22" s="52">
        <v>40.21</v>
      </c>
      <c r="AY22" s="49"/>
      <c r="AZ22" s="52">
        <v>39.987</v>
      </c>
      <c r="BA22" s="52"/>
      <c r="BB22" s="52"/>
      <c r="BC22" s="52"/>
      <c r="BD22" s="52"/>
      <c r="BE22" s="52"/>
      <c r="BF22" s="52"/>
      <c r="BG22" s="52"/>
      <c r="BH22" s="48"/>
    </row>
    <row r="23" spans="2:60" ht="12.75">
      <c r="B23" s="19" t="s">
        <v>162</v>
      </c>
      <c r="C23" s="19"/>
      <c r="D23" s="19" t="s">
        <v>56</v>
      </c>
      <c r="E23" s="50" t="s">
        <v>34</v>
      </c>
      <c r="F23" s="49">
        <v>0.1</v>
      </c>
      <c r="G23" s="49" t="s">
        <v>34</v>
      </c>
      <c r="H23" s="49">
        <v>0.1</v>
      </c>
      <c r="I23" s="50" t="s">
        <v>34</v>
      </c>
      <c r="J23" s="49">
        <v>0.1</v>
      </c>
      <c r="K23" s="50" t="s">
        <v>34</v>
      </c>
      <c r="L23" s="53">
        <v>0.1</v>
      </c>
      <c r="M23" s="50" t="s">
        <v>34</v>
      </c>
      <c r="N23" s="49">
        <v>0.02</v>
      </c>
      <c r="O23" s="50" t="s">
        <v>34</v>
      </c>
      <c r="P23" s="49">
        <v>0.02</v>
      </c>
      <c r="Q23" s="50" t="s">
        <v>34</v>
      </c>
      <c r="R23" s="49">
        <v>0.02</v>
      </c>
      <c r="S23" s="50"/>
      <c r="T23" s="49">
        <v>0.02</v>
      </c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50"/>
      <c r="AK23" s="50"/>
      <c r="AL23" s="50"/>
      <c r="AM23" s="50"/>
      <c r="AN23" s="50"/>
      <c r="AO23" s="50"/>
      <c r="AP23" s="50"/>
      <c r="AQ23" s="50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</row>
    <row r="24" spans="2:60" ht="12.75">
      <c r="B24" s="19" t="s">
        <v>165</v>
      </c>
      <c r="C24" s="19"/>
      <c r="D24" s="19" t="s">
        <v>56</v>
      </c>
      <c r="E24" s="50" t="s">
        <v>34</v>
      </c>
      <c r="F24" s="49">
        <v>0.01</v>
      </c>
      <c r="G24" s="49" t="s">
        <v>34</v>
      </c>
      <c r="H24" s="49">
        <v>0.01</v>
      </c>
      <c r="I24" s="50" t="s">
        <v>34</v>
      </c>
      <c r="J24" s="49">
        <v>0.01</v>
      </c>
      <c r="K24" s="50" t="s">
        <v>34</v>
      </c>
      <c r="L24" s="49">
        <v>0.01</v>
      </c>
      <c r="M24" s="50" t="s">
        <v>34</v>
      </c>
      <c r="N24" s="49">
        <v>0.003</v>
      </c>
      <c r="O24" s="50" t="s">
        <v>34</v>
      </c>
      <c r="P24" s="49">
        <v>0.003</v>
      </c>
      <c r="Q24" s="50" t="s">
        <v>34</v>
      </c>
      <c r="R24" s="49">
        <v>0.003</v>
      </c>
      <c r="S24" s="50"/>
      <c r="T24" s="49">
        <v>0.003</v>
      </c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50"/>
      <c r="AK24" s="50"/>
      <c r="AL24" s="50"/>
      <c r="AM24" s="50"/>
      <c r="AN24" s="50"/>
      <c r="AO24" s="50"/>
      <c r="AP24" s="50"/>
      <c r="AQ24" s="50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</row>
    <row r="25" spans="2:60" ht="12.75">
      <c r="B25" s="19" t="s">
        <v>166</v>
      </c>
      <c r="C25" s="19"/>
      <c r="D25" s="19" t="s">
        <v>56</v>
      </c>
      <c r="E25" s="50" t="s">
        <v>34</v>
      </c>
      <c r="F25" s="49">
        <v>0.09</v>
      </c>
      <c r="G25" s="49" t="s">
        <v>34</v>
      </c>
      <c r="H25" s="49">
        <v>0.09</v>
      </c>
      <c r="I25" s="50" t="s">
        <v>34</v>
      </c>
      <c r="J25" s="49">
        <v>0.09</v>
      </c>
      <c r="K25" s="50" t="s">
        <v>34</v>
      </c>
      <c r="L25" s="49">
        <v>0.09</v>
      </c>
      <c r="M25" s="50" t="s">
        <v>34</v>
      </c>
      <c r="N25" s="49">
        <v>0.02</v>
      </c>
      <c r="O25" s="50" t="s">
        <v>34</v>
      </c>
      <c r="P25" s="49">
        <v>0.02</v>
      </c>
      <c r="Q25" s="50" t="s">
        <v>34</v>
      </c>
      <c r="R25" s="49">
        <v>0.02</v>
      </c>
      <c r="S25" s="50"/>
      <c r="T25" s="49">
        <v>0.02</v>
      </c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50"/>
      <c r="AK25" s="50"/>
      <c r="AL25" s="50"/>
      <c r="AM25" s="50"/>
      <c r="AN25" s="50"/>
      <c r="AO25" s="50"/>
      <c r="AP25" s="50"/>
      <c r="AQ25" s="50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</row>
    <row r="26" spans="2:60" ht="12.75">
      <c r="B26" s="19"/>
      <c r="C26" s="19"/>
      <c r="D26" s="19"/>
      <c r="E26" s="50"/>
      <c r="F26" s="50"/>
      <c r="G26" s="50"/>
      <c r="H26" s="50"/>
      <c r="I26" s="50"/>
      <c r="J26" s="50"/>
      <c r="K26" s="50"/>
      <c r="L26" s="49"/>
      <c r="M26" s="50"/>
      <c r="N26" s="50"/>
      <c r="O26" s="50"/>
      <c r="P26" s="50"/>
      <c r="Q26" s="50"/>
      <c r="R26" s="50"/>
      <c r="S26" s="50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50"/>
      <c r="AK26" s="50"/>
      <c r="AL26" s="50"/>
      <c r="AM26" s="50"/>
      <c r="AN26" s="50"/>
      <c r="AO26" s="50"/>
      <c r="AP26" s="50"/>
      <c r="AQ26" s="50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</row>
    <row r="27" spans="2:60" ht="12.75">
      <c r="B27" s="19" t="s">
        <v>112</v>
      </c>
      <c r="C27" s="19"/>
      <c r="D27" s="19" t="s">
        <v>22</v>
      </c>
      <c r="E27" s="50"/>
      <c r="F27" s="49">
        <f>emiss!G27</f>
        <v>13700</v>
      </c>
      <c r="G27" s="50"/>
      <c r="H27" s="49">
        <f>emiss!I27</f>
        <v>14300</v>
      </c>
      <c r="I27" s="50"/>
      <c r="J27" s="49">
        <f>emiss!K27</f>
        <v>14000</v>
      </c>
      <c r="K27" s="50"/>
      <c r="L27" s="21">
        <f>emiss!M27</f>
        <v>14000</v>
      </c>
      <c r="M27" s="50"/>
      <c r="N27" s="50"/>
      <c r="O27" s="50"/>
      <c r="P27" s="50"/>
      <c r="Q27" s="50"/>
      <c r="R27" s="50"/>
      <c r="S27" s="50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50"/>
      <c r="AK27" s="50"/>
      <c r="AL27" s="50"/>
      <c r="AM27" s="50"/>
      <c r="AN27" s="50"/>
      <c r="AO27" s="50"/>
      <c r="AP27" s="50"/>
      <c r="AQ27" s="50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</row>
    <row r="28" spans="2:60" ht="12.75">
      <c r="B28" s="19" t="s">
        <v>113</v>
      </c>
      <c r="C28" s="19"/>
      <c r="D28" s="19" t="s">
        <v>23</v>
      </c>
      <c r="E28" s="50"/>
      <c r="F28" s="49">
        <f>emiss!G28</f>
        <v>9.4</v>
      </c>
      <c r="G28" s="50"/>
      <c r="H28" s="49">
        <f>emiss!I28</f>
        <v>9.4</v>
      </c>
      <c r="I28" s="50"/>
      <c r="J28" s="49">
        <f>emiss!K28</f>
        <v>9.4</v>
      </c>
      <c r="K28" s="50"/>
      <c r="L28" s="49">
        <f>emiss!M28</f>
        <v>9.4</v>
      </c>
      <c r="M28" s="50"/>
      <c r="N28" s="50"/>
      <c r="O28" s="50"/>
      <c r="P28" s="50"/>
      <c r="Q28" s="50"/>
      <c r="R28" s="50"/>
      <c r="S28" s="50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50"/>
      <c r="AK28" s="50"/>
      <c r="AL28" s="50"/>
      <c r="AM28" s="50"/>
      <c r="AN28" s="50"/>
      <c r="AO28" s="50"/>
      <c r="AP28" s="50"/>
      <c r="AQ28" s="50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</row>
    <row r="29" spans="2:60" ht="12.75">
      <c r="B29" s="19"/>
      <c r="C29" s="19"/>
      <c r="D29" s="19"/>
      <c r="E29" s="50"/>
      <c r="F29" s="50"/>
      <c r="G29" s="50"/>
      <c r="H29" s="50"/>
      <c r="I29" s="50"/>
      <c r="J29" s="50"/>
      <c r="K29" s="50"/>
      <c r="L29" s="49"/>
      <c r="M29" s="50"/>
      <c r="N29" s="50"/>
      <c r="O29" s="50"/>
      <c r="P29" s="50"/>
      <c r="Q29" s="50"/>
      <c r="R29" s="50"/>
      <c r="S29" s="50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50"/>
      <c r="AK29" s="50"/>
      <c r="AL29" s="50"/>
      <c r="AM29" s="50"/>
      <c r="AN29" s="50"/>
      <c r="AO29" s="50"/>
      <c r="AP29" s="50"/>
      <c r="AQ29" s="50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</row>
    <row r="30" spans="2:60" ht="12.75">
      <c r="B30" s="19" t="s">
        <v>194</v>
      </c>
      <c r="C30" s="19"/>
      <c r="D30" s="19" t="s">
        <v>100</v>
      </c>
      <c r="E30" s="50"/>
      <c r="F30" s="20">
        <f>(F10*F12)/1000000</f>
        <v>28.952</v>
      </c>
      <c r="G30" s="50"/>
      <c r="H30" s="20">
        <f>(H10*H12)/1000000</f>
        <v>29.78668</v>
      </c>
      <c r="I30" s="50"/>
      <c r="J30" s="20">
        <f>(J10*J12)/1000000</f>
        <v>28.63644</v>
      </c>
      <c r="K30" s="50"/>
      <c r="L30" s="20">
        <f>(L10*L12)/1000000</f>
        <v>29.1148</v>
      </c>
      <c r="M30" s="22"/>
      <c r="N30" s="20">
        <f>(N10*N12)/1000000</f>
        <v>10.1479</v>
      </c>
      <c r="O30" s="22"/>
      <c r="P30" s="20">
        <f>(P10*P12)/1000000</f>
        <v>10.17583</v>
      </c>
      <c r="Q30" s="22"/>
      <c r="R30" s="20">
        <f>(R10*R12)/1000000</f>
        <v>10.12928</v>
      </c>
      <c r="S30" s="22"/>
      <c r="T30" s="20">
        <f>(T10*T12)/1000000</f>
        <v>10.22571</v>
      </c>
      <c r="U30" s="20"/>
      <c r="V30" s="20">
        <f>F30+N30</f>
        <v>39.099900000000005</v>
      </c>
      <c r="W30" s="20"/>
      <c r="X30" s="20">
        <f>H30+P30</f>
        <v>39.96251</v>
      </c>
      <c r="Y30" s="20"/>
      <c r="Z30" s="20">
        <f>J30+R30</f>
        <v>38.76572</v>
      </c>
      <c r="AA30" s="20"/>
      <c r="AB30" s="20">
        <f>L30+T30</f>
        <v>39.340509999999995</v>
      </c>
      <c r="AC30" s="20"/>
      <c r="AD30" s="20"/>
      <c r="AE30" s="20"/>
      <c r="AF30" s="20"/>
      <c r="AG30" s="20"/>
      <c r="AH30" s="20"/>
      <c r="AI30" s="20"/>
      <c r="AJ30" s="50"/>
      <c r="AK30" s="50"/>
      <c r="AL30" s="48">
        <v>5.3</v>
      </c>
      <c r="AM30" s="50"/>
      <c r="AN30" s="48">
        <v>5.3</v>
      </c>
      <c r="AO30" s="50"/>
      <c r="AP30" s="48">
        <v>5.3</v>
      </c>
      <c r="AQ30" s="50"/>
      <c r="AR30" s="48">
        <v>5.3</v>
      </c>
      <c r="AS30" s="48"/>
      <c r="AT30" s="48"/>
      <c r="AU30" s="48"/>
      <c r="AV30" s="48"/>
      <c r="AW30" s="48"/>
      <c r="AX30" s="48"/>
      <c r="AY30" s="48"/>
      <c r="AZ30" s="48"/>
      <c r="BA30" s="48"/>
      <c r="BB30" s="52">
        <f>F30+N30+AL30</f>
        <v>44.3999</v>
      </c>
      <c r="BC30" s="48"/>
      <c r="BD30" s="52">
        <f>H30+P30+AN30</f>
        <v>45.26251</v>
      </c>
      <c r="BE30" s="48"/>
      <c r="BF30" s="52">
        <f>J30+R30+AP30</f>
        <v>44.06572</v>
      </c>
      <c r="BG30" s="48"/>
      <c r="BH30" s="52">
        <f>L30+T30+AR30</f>
        <v>44.64050999999999</v>
      </c>
    </row>
    <row r="31" spans="2:60" ht="12.75">
      <c r="B31" s="19" t="s">
        <v>235</v>
      </c>
      <c r="C31" s="19"/>
      <c r="D31" s="19" t="s">
        <v>100</v>
      </c>
      <c r="E31" s="50"/>
      <c r="G31" s="50"/>
      <c r="I31" s="50"/>
      <c r="K31" s="50"/>
      <c r="L31" s="3"/>
      <c r="M31" s="22"/>
      <c r="N31" s="20"/>
      <c r="O31" s="22"/>
      <c r="P31" s="20"/>
      <c r="Q31" s="22"/>
      <c r="R31" s="20"/>
      <c r="S31" s="22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50"/>
      <c r="AK31" s="50"/>
      <c r="AL31" s="50"/>
      <c r="AM31" s="50"/>
      <c r="AN31" s="50"/>
      <c r="AO31" s="50"/>
      <c r="AP31" s="50"/>
      <c r="AQ31" s="50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20">
        <f>(F27/9000)*((21-F28)/21)*60</f>
        <v>50.45079365079365</v>
      </c>
      <c r="BC31" s="48"/>
      <c r="BD31" s="20">
        <f>(H27/9000)*((21-H28)/21)*60</f>
        <v>52.660317460317465</v>
      </c>
      <c r="BE31" s="48"/>
      <c r="BF31" s="20">
        <f>(J27/9000)*((21-J28)/21)*60</f>
        <v>51.55555555555556</v>
      </c>
      <c r="BG31" s="48"/>
      <c r="BH31" s="20">
        <f>(L27/9000)*((21-L28)/21)*60</f>
        <v>51.55555555555556</v>
      </c>
    </row>
    <row r="32" spans="2:60" ht="12.75">
      <c r="B32" s="19"/>
      <c r="C32" s="19"/>
      <c r="D32" s="19"/>
      <c r="E32" s="50"/>
      <c r="G32" s="50"/>
      <c r="I32" s="50"/>
      <c r="K32" s="50"/>
      <c r="L32" s="3"/>
      <c r="M32" s="22"/>
      <c r="N32" s="20"/>
      <c r="O32" s="22"/>
      <c r="P32" s="20"/>
      <c r="Q32" s="22"/>
      <c r="R32" s="20"/>
      <c r="S32" s="22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50"/>
      <c r="AK32" s="50"/>
      <c r="AL32" s="50"/>
      <c r="AM32" s="50"/>
      <c r="AN32" s="50"/>
      <c r="AO32" s="50"/>
      <c r="AP32" s="50"/>
      <c r="AQ32" s="50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20"/>
    </row>
    <row r="33" spans="2:60" ht="12.75">
      <c r="B33" s="72" t="s">
        <v>146</v>
      </c>
      <c r="C33" s="72"/>
      <c r="D33" s="19"/>
      <c r="E33" s="50"/>
      <c r="G33" s="50"/>
      <c r="I33" s="50"/>
      <c r="K33" s="50"/>
      <c r="L33" s="3"/>
      <c r="M33" s="22"/>
      <c r="N33" s="20"/>
      <c r="O33" s="22"/>
      <c r="P33" s="20"/>
      <c r="Q33" s="22"/>
      <c r="R33" s="20"/>
      <c r="S33" s="22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50"/>
      <c r="AK33" s="50"/>
      <c r="AL33" s="50"/>
      <c r="AM33" s="50"/>
      <c r="AN33" s="50"/>
      <c r="AO33" s="50"/>
      <c r="AP33" s="50"/>
      <c r="AQ33" s="50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52"/>
      <c r="BC33" s="48"/>
      <c r="BD33" s="52"/>
      <c r="BE33" s="48"/>
      <c r="BF33" s="52"/>
      <c r="BG33" s="48"/>
      <c r="BH33" s="52"/>
    </row>
    <row r="34" spans="2:60" ht="12.75">
      <c r="B34" s="19" t="s">
        <v>59</v>
      </c>
      <c r="C34" s="19"/>
      <c r="D34" s="19" t="s">
        <v>114</v>
      </c>
      <c r="E34" s="50"/>
      <c r="F34" s="20">
        <f>(F14*454/(F27*60*0.0283))*((21-7)/(21-F28))*1000</f>
        <v>0.5181915503263044</v>
      </c>
      <c r="G34" s="50"/>
      <c r="H34" s="20">
        <f>(H14*454/(H27*60*0.0283))*((21-7)/(21-H28))*1000</f>
        <v>7.672397461601801</v>
      </c>
      <c r="I34" s="50"/>
      <c r="J34" s="20">
        <f>(J14*454/(J27*60*0.0283))*((21-7)/(21-J28))*1000</f>
        <v>6.453840217700337</v>
      </c>
      <c r="K34" s="50"/>
      <c r="L34" s="20">
        <f>(L14*454/(L27*60*0.0283))*((21-7)/(21-L28))*1000</f>
        <v>4.932577880670971</v>
      </c>
      <c r="M34" s="22"/>
      <c r="N34" s="20">
        <f>(N14*454/(F27*60*0.0283))*((21-7)/(21-F28))*1000</f>
        <v>7.3017900273252</v>
      </c>
      <c r="O34" s="22"/>
      <c r="P34" s="20">
        <f>(P14*454/(H27*60*0.0283))*((21-7)/(21-H28))*1000</f>
        <v>7.672397461601801</v>
      </c>
      <c r="Q34" s="22"/>
      <c r="R34" s="20">
        <f>(R14*454/(J27*60*0.0283))*((21-7)/(21-J28))*1000</f>
        <v>0.2996425815360871</v>
      </c>
      <c r="S34" s="22"/>
      <c r="T34" s="20">
        <f>(T14*454/(L27*60*0.0283))*((21-7)/(21-L28))*1000</f>
        <v>5.09392388611348</v>
      </c>
      <c r="U34" s="20"/>
      <c r="V34" s="20">
        <f>F34+N34</f>
        <v>7.819981577651505</v>
      </c>
      <c r="W34" s="20"/>
      <c r="X34" s="20">
        <f>H34+P34</f>
        <v>15.344794923203603</v>
      </c>
      <c r="Y34" s="20"/>
      <c r="Z34" s="20">
        <f>J34+R34</f>
        <v>6.753482799236425</v>
      </c>
      <c r="AA34" s="20"/>
      <c r="AB34" s="20">
        <f aca="true" t="shared" si="0" ref="AB34:AB45">L34+T34</f>
        <v>10.02650176678445</v>
      </c>
      <c r="AC34" s="20"/>
      <c r="AD34" s="20"/>
      <c r="AE34" s="20"/>
      <c r="AF34" s="20"/>
      <c r="AG34" s="20"/>
      <c r="AH34" s="20"/>
      <c r="AI34" s="20"/>
      <c r="AJ34" s="50"/>
      <c r="AK34" s="50"/>
      <c r="AL34" s="50"/>
      <c r="AM34" s="50"/>
      <c r="AN34" s="50"/>
      <c r="AO34" s="50"/>
      <c r="AP34" s="50"/>
      <c r="AQ34" s="50"/>
      <c r="AR34" s="48"/>
      <c r="AS34" s="48"/>
      <c r="AT34" s="20">
        <f>(AT14*454/(F27*60*0.0283))*((21-7)/(21-F28))*1000</f>
        <v>37.68665820554942</v>
      </c>
      <c r="AU34" s="48"/>
      <c r="AV34" s="20">
        <f>(AV14*454/(H27*60*0.0283))*((21-7)/(21-H28))*1000</f>
        <v>36.1053998193026</v>
      </c>
      <c r="AW34" s="48"/>
      <c r="AX34" s="20">
        <f>(AX14*454/(J27*60*0.0283))*((21-7)/(21-J28))*1000</f>
        <v>36.879086958287644</v>
      </c>
      <c r="AY34" s="48"/>
      <c r="AZ34" s="20">
        <f>(AZ14*454/(L27*60*0.0283))*((21-7)/(21-L28))*1000</f>
        <v>36.879086958287644</v>
      </c>
      <c r="BA34" s="20"/>
      <c r="BB34" s="52">
        <f>V34+AD34+AL34+AT34</f>
        <v>45.506639783200924</v>
      </c>
      <c r="BC34" s="48"/>
      <c r="BD34" s="52">
        <f>X34+AF34+AN34+AV34</f>
        <v>51.4501947425062</v>
      </c>
      <c r="BE34" s="48"/>
      <c r="BF34" s="52">
        <f>Z34+AH34+AP34+AX34</f>
        <v>43.63256975752407</v>
      </c>
      <c r="BG34" s="48"/>
      <c r="BH34" s="52">
        <f>AB34+AJ34+AR34+AZ34</f>
        <v>46.90558872507209</v>
      </c>
    </row>
    <row r="35" spans="2:60" ht="12.75">
      <c r="B35" s="19" t="s">
        <v>60</v>
      </c>
      <c r="C35" s="19"/>
      <c r="D35" s="19" t="s">
        <v>106</v>
      </c>
      <c r="E35" s="50"/>
      <c r="F35" s="21">
        <f>(F15*454/(F$27*60*0.0283))*(14/(21-F$28))*1000000</f>
        <v>93274479.05873482</v>
      </c>
      <c r="G35" s="50"/>
      <c r="H35" s="21">
        <f>(H15*454/(H$27*60*0.0283))*(14/(21-H$28))*1000000</f>
        <v>89812182.05051519</v>
      </c>
      <c r="I35" s="50"/>
      <c r="J35" s="21">
        <f>(J15*454/(J$27*60*0.0283))*(14/(21-J$28))*1000000</f>
        <v>88048820.11291175</v>
      </c>
      <c r="K35" s="50"/>
      <c r="L35" s="21">
        <f>AVERAGE(J35,H35,F35)</f>
        <v>90378493.74072058</v>
      </c>
      <c r="M35" s="23"/>
      <c r="N35" s="21">
        <f>(N15*454/(F$27*60*0.0283))*(14/(21-F$28))*1000000</f>
        <v>11376659.945800232</v>
      </c>
      <c r="O35" s="23"/>
      <c r="P35" s="21">
        <f>(P15*454/(H$27*60*0.0283))*(14/(21-H$28))*1000000</f>
        <v>10312604.823388303</v>
      </c>
      <c r="Q35" s="23"/>
      <c r="R35" s="21">
        <f>(R15*454/(J$27*60*0.0283))*(14/(21-J$28))*1000000</f>
        <v>11109824.94618415</v>
      </c>
      <c r="S35" s="23"/>
      <c r="T35" s="21">
        <f>AVERAGE(R35,P35,N35)</f>
        <v>10933029.905124227</v>
      </c>
      <c r="U35" s="21"/>
      <c r="V35" s="21">
        <f>F35+N35</f>
        <v>104651139.00453505</v>
      </c>
      <c r="W35" s="21"/>
      <c r="X35" s="21">
        <f>H35+P35</f>
        <v>100124786.8739035</v>
      </c>
      <c r="Y35" s="21"/>
      <c r="Z35" s="21">
        <f>J35+R35</f>
        <v>99158645.05909589</v>
      </c>
      <c r="AA35" s="20"/>
      <c r="AB35" s="20">
        <f t="shared" si="0"/>
        <v>101311523.64584482</v>
      </c>
      <c r="AC35" s="21"/>
      <c r="AD35" s="21">
        <f>(AD15*454/(F$27*60*0.0283))*(14/(21-F$28))*1000000</f>
        <v>1342587.198572698</v>
      </c>
      <c r="AE35" s="21"/>
      <c r="AF35" s="21">
        <f>(AF15*454/(H$27*60*0.0283))*(14/(21-H$28))*1000000</f>
        <v>1286254.8685626544</v>
      </c>
      <c r="AG35" s="21"/>
      <c r="AH35" s="21">
        <f>(AH15*454/(J$27*60*0.0283))*(14/(21-J$28))*1000000</f>
        <v>1313817.472888997</v>
      </c>
      <c r="AI35" s="21"/>
      <c r="AJ35" s="21">
        <f>AVERAGE(AH35,AF35,AD35)</f>
        <v>1314219.8466747832</v>
      </c>
      <c r="AK35" s="21"/>
      <c r="AL35" s="21"/>
      <c r="AM35" s="21"/>
      <c r="AN35" s="21"/>
      <c r="AO35" s="21"/>
      <c r="AP35" s="21"/>
      <c r="AQ35" s="21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52">
        <f aca="true" t="shared" si="1" ref="BB35:BB45">V35+AD35+AL35+AT35</f>
        <v>105993726.20310774</v>
      </c>
      <c r="BC35" s="48"/>
      <c r="BD35" s="52">
        <f aca="true" t="shared" si="2" ref="BD35:BD45">X35+AF35+AN35+AV35</f>
        <v>101411041.74246615</v>
      </c>
      <c r="BE35" s="48"/>
      <c r="BF35" s="52">
        <f aca="true" t="shared" si="3" ref="BF35:BF45">Z35+AH35+AP35+AX35</f>
        <v>100472462.53198488</v>
      </c>
      <c r="BG35" s="48"/>
      <c r="BH35" s="52">
        <f aca="true" t="shared" si="4" ref="BH35:BH45">AB35+AJ35+AR35+AZ35</f>
        <v>102625743.4925196</v>
      </c>
    </row>
    <row r="36" spans="2:60" ht="12.75">
      <c r="B36" s="19" t="s">
        <v>157</v>
      </c>
      <c r="C36" s="19"/>
      <c r="D36" s="19" t="s">
        <v>106</v>
      </c>
      <c r="E36" s="50">
        <v>100</v>
      </c>
      <c r="F36" s="20">
        <f>(F16/(F$27*60*0.0283))*(14/(21-F$28))*1000000</f>
        <v>3.1128847636742356</v>
      </c>
      <c r="G36" s="50">
        <v>100</v>
      </c>
      <c r="H36" s="20">
        <f>(H16/(H$27*60*0.0283))*(14/(21-H$28))*1000000</f>
        <v>2.982274214149443</v>
      </c>
      <c r="I36" s="50">
        <v>100</v>
      </c>
      <c r="J36" s="20">
        <f aca="true" t="shared" si="5" ref="J36:J45">(J16/(J$27*60*0.0283))*(14/(21-J$28))*1000000</f>
        <v>3.0461800901669305</v>
      </c>
      <c r="K36" s="50"/>
      <c r="L36" s="20">
        <f>(L16/(L$27*60*0.0283))*(14/(21-L$28))*1000000</f>
        <v>3.0461800901669305</v>
      </c>
      <c r="M36" s="50">
        <v>100</v>
      </c>
      <c r="N36" s="20">
        <f>(N16/(F$27*60*0.0283))*(14/(21-F$28))*1000000</f>
        <v>0.5188141272790393</v>
      </c>
      <c r="O36" s="50">
        <v>100</v>
      </c>
      <c r="P36" s="20">
        <f>(P16/(H$27*60*0.0283))*(14/(21-H$28))*1000000</f>
        <v>0.4970457023582406</v>
      </c>
      <c r="Q36" s="50">
        <v>100</v>
      </c>
      <c r="R36" s="20">
        <f>(R16/(J$27*60*0.0283))*(14/(21-J$28))*1000000</f>
        <v>0.5076966816944886</v>
      </c>
      <c r="S36" s="50"/>
      <c r="T36" s="20">
        <f>(T16/(L$27*60*0.0283))*(14/(21-L$28))*1000000</f>
        <v>0.5076966816944886</v>
      </c>
      <c r="U36" s="21">
        <v>100</v>
      </c>
      <c r="V36" s="20">
        <f>F36+N36</f>
        <v>3.631698890953275</v>
      </c>
      <c r="W36" s="21">
        <v>100</v>
      </c>
      <c r="X36" s="20">
        <f>H36+P36</f>
        <v>3.4793199165076834</v>
      </c>
      <c r="Y36" s="21">
        <v>100</v>
      </c>
      <c r="Z36" s="20">
        <f>J36+R36</f>
        <v>3.553876771861419</v>
      </c>
      <c r="AA36" s="21">
        <v>100</v>
      </c>
      <c r="AB36" s="20">
        <f t="shared" si="0"/>
        <v>3.553876771861419</v>
      </c>
      <c r="AC36" s="20"/>
      <c r="AD36" s="20"/>
      <c r="AE36" s="20"/>
      <c r="AF36" s="20"/>
      <c r="AG36" s="20"/>
      <c r="AH36" s="20"/>
      <c r="AI36" s="20"/>
      <c r="AJ36" s="50"/>
      <c r="AK36" s="50"/>
      <c r="AL36" s="50"/>
      <c r="AM36" s="50"/>
      <c r="AN36" s="50"/>
      <c r="AO36" s="50"/>
      <c r="AP36" s="50"/>
      <c r="AQ36" s="50"/>
      <c r="AR36" s="48"/>
      <c r="AS36" s="48"/>
      <c r="AT36" s="48"/>
      <c r="AU36" s="48"/>
      <c r="AV36" s="48"/>
      <c r="AW36" s="48"/>
      <c r="AX36" s="48"/>
      <c r="AY36" s="48"/>
      <c r="AZ36" s="48"/>
      <c r="BA36" s="48">
        <f aca="true" t="shared" si="6" ref="BA36:BA45">U36*V36/BB36</f>
        <v>100</v>
      </c>
      <c r="BB36" s="52">
        <f t="shared" si="1"/>
        <v>3.631698890953275</v>
      </c>
      <c r="BC36" s="48">
        <f aca="true" t="shared" si="7" ref="BC36:BC45">W36*X36/BD36</f>
        <v>100</v>
      </c>
      <c r="BD36" s="52">
        <f t="shared" si="2"/>
        <v>3.4793199165076834</v>
      </c>
      <c r="BE36" s="48">
        <f aca="true" t="shared" si="8" ref="BE36:BE45">Y36*Z36/BF36</f>
        <v>100</v>
      </c>
      <c r="BF36" s="52">
        <f t="shared" si="3"/>
        <v>3.553876771861419</v>
      </c>
      <c r="BG36" s="48">
        <f aca="true" t="shared" si="9" ref="BG36:BG45">AA36*AB36/BH36</f>
        <v>100</v>
      </c>
      <c r="BH36" s="52">
        <f t="shared" si="4"/>
        <v>3.553876771861419</v>
      </c>
    </row>
    <row r="37" spans="2:60" ht="12.75">
      <c r="B37" s="19" t="s">
        <v>158</v>
      </c>
      <c r="C37" s="19"/>
      <c r="D37" s="19" t="s">
        <v>106</v>
      </c>
      <c r="E37" s="50">
        <v>100</v>
      </c>
      <c r="F37" s="20">
        <f aca="true" t="shared" si="10" ref="F37:H45">(F17/(F$27*60*0.0283))*(14/(21-F$28))*1000000</f>
        <v>3.1128847636742356</v>
      </c>
      <c r="G37" s="50">
        <v>100</v>
      </c>
      <c r="H37" s="20">
        <f t="shared" si="10"/>
        <v>2.982274214149443</v>
      </c>
      <c r="I37" s="50">
        <v>100</v>
      </c>
      <c r="J37" s="20">
        <f t="shared" si="5"/>
        <v>3.0461800901669305</v>
      </c>
      <c r="K37" s="50"/>
      <c r="L37" s="20">
        <f aca="true" t="shared" si="11" ref="L37:L45">(L17/(L$27*60*0.0283))*(14/(21-L$28))*1000000</f>
        <v>3.0461800901669305</v>
      </c>
      <c r="M37" s="50">
        <v>100</v>
      </c>
      <c r="N37" s="20">
        <f aca="true" t="shared" si="12" ref="N37:N45">(N17/(F$27*60*0.0283))*(14/(21-F$28))*1000000</f>
        <v>0.5188141272790393</v>
      </c>
      <c r="O37" s="50">
        <v>100</v>
      </c>
      <c r="P37" s="20">
        <f aca="true" t="shared" si="13" ref="P37:P45">(P17/(H$27*60*0.0283))*(14/(21-H$28))*1000000</f>
        <v>0.4970457023582406</v>
      </c>
      <c r="Q37" s="50">
        <v>100</v>
      </c>
      <c r="R37" s="20">
        <f aca="true" t="shared" si="14" ref="R37:R45">(R17/(J$27*60*0.0283))*(14/(21-J$28))*1000000</f>
        <v>0.5076966816944886</v>
      </c>
      <c r="S37" s="50"/>
      <c r="T37" s="20">
        <f aca="true" t="shared" si="15" ref="T37:T45">(T17/(L$27*60*0.0283))*(14/(21-L$28))*1000000</f>
        <v>0.5076966816944886</v>
      </c>
      <c r="U37" s="21">
        <v>100</v>
      </c>
      <c r="V37" s="20">
        <f aca="true" t="shared" si="16" ref="V37:V45">F37+N37</f>
        <v>3.631698890953275</v>
      </c>
      <c r="W37" s="21">
        <v>100</v>
      </c>
      <c r="X37" s="20">
        <f aca="true" t="shared" si="17" ref="X37:X45">H37+P37</f>
        <v>3.4793199165076834</v>
      </c>
      <c r="Y37" s="21">
        <v>100</v>
      </c>
      <c r="Z37" s="20">
        <f aca="true" t="shared" si="18" ref="Z37:Z45">J37+R37</f>
        <v>3.553876771861419</v>
      </c>
      <c r="AA37" s="21">
        <v>100</v>
      </c>
      <c r="AB37" s="20">
        <f t="shared" si="0"/>
        <v>3.553876771861419</v>
      </c>
      <c r="AC37" s="20"/>
      <c r="AD37" s="20"/>
      <c r="AE37" s="20"/>
      <c r="AF37" s="20"/>
      <c r="AG37" s="20"/>
      <c r="AH37" s="20"/>
      <c r="AI37" s="20"/>
      <c r="AJ37" s="50"/>
      <c r="AK37" s="50"/>
      <c r="AL37" s="50"/>
      <c r="AM37" s="50"/>
      <c r="AN37" s="50"/>
      <c r="AO37" s="50"/>
      <c r="AP37" s="50"/>
      <c r="AQ37" s="50"/>
      <c r="AR37" s="48"/>
      <c r="AS37" s="48"/>
      <c r="AT37" s="48"/>
      <c r="AU37" s="48"/>
      <c r="AV37" s="48"/>
      <c r="AW37" s="48"/>
      <c r="AX37" s="48"/>
      <c r="AY37" s="48"/>
      <c r="AZ37" s="48"/>
      <c r="BA37" s="48">
        <f t="shared" si="6"/>
        <v>100</v>
      </c>
      <c r="BB37" s="52">
        <f t="shared" si="1"/>
        <v>3.631698890953275</v>
      </c>
      <c r="BC37" s="48">
        <f t="shared" si="7"/>
        <v>100</v>
      </c>
      <c r="BD37" s="52">
        <f t="shared" si="2"/>
        <v>3.4793199165076834</v>
      </c>
      <c r="BE37" s="48">
        <f t="shared" si="8"/>
        <v>100</v>
      </c>
      <c r="BF37" s="52">
        <f t="shared" si="3"/>
        <v>3.553876771861419</v>
      </c>
      <c r="BG37" s="48">
        <f t="shared" si="9"/>
        <v>100</v>
      </c>
      <c r="BH37" s="52">
        <f t="shared" si="4"/>
        <v>3.553876771861419</v>
      </c>
    </row>
    <row r="38" spans="2:60" ht="12.75">
      <c r="B38" s="19" t="s">
        <v>159</v>
      </c>
      <c r="C38" s="19"/>
      <c r="D38" s="19" t="s">
        <v>106</v>
      </c>
      <c r="E38" s="50">
        <v>100</v>
      </c>
      <c r="F38" s="20">
        <f t="shared" si="10"/>
        <v>0.4669327145511354</v>
      </c>
      <c r="G38" s="50">
        <v>100</v>
      </c>
      <c r="H38" s="20">
        <f t="shared" si="10"/>
        <v>0.44734113212241633</v>
      </c>
      <c r="I38" s="50">
        <v>100</v>
      </c>
      <c r="J38" s="20">
        <f t="shared" si="5"/>
        <v>0.45692701352503956</v>
      </c>
      <c r="K38" s="50"/>
      <c r="L38" s="20">
        <f t="shared" si="11"/>
        <v>0.45692701352503956</v>
      </c>
      <c r="M38" s="50"/>
      <c r="N38" s="20">
        <f t="shared" si="12"/>
        <v>0.14007981436534062</v>
      </c>
      <c r="O38" s="50"/>
      <c r="P38" s="20">
        <f t="shared" si="13"/>
        <v>0.2187001090376258</v>
      </c>
      <c r="Q38" s="50"/>
      <c r="R38" s="20">
        <f t="shared" si="14"/>
        <v>0.1015393363388977</v>
      </c>
      <c r="S38" s="50"/>
      <c r="T38" s="20">
        <f t="shared" si="15"/>
        <v>0.15230900450834653</v>
      </c>
      <c r="U38" s="21">
        <f>(E38*F38+M38*N38)/V38</f>
        <v>76.92307692307692</v>
      </c>
      <c r="V38" s="20">
        <f t="shared" si="16"/>
        <v>0.6070125289164761</v>
      </c>
      <c r="W38" s="21">
        <f>(G38*H38+O38*P38)/X38</f>
        <v>67.1641791044776</v>
      </c>
      <c r="X38" s="20">
        <f t="shared" si="17"/>
        <v>0.6660412411600422</v>
      </c>
      <c r="Y38" s="21">
        <f>(I38*J38+Q38*R38)/Z38</f>
        <v>81.8181818181818</v>
      </c>
      <c r="Z38" s="20">
        <f t="shared" si="18"/>
        <v>0.5584663498639373</v>
      </c>
      <c r="AA38" s="21">
        <f>(U38*V38+W38*X38+Y38*Z38)/SUM(V38,X38,Z38)</f>
        <v>74.8668193851548</v>
      </c>
      <c r="AB38" s="20">
        <f t="shared" si="0"/>
        <v>0.6092360180333861</v>
      </c>
      <c r="AC38" s="20"/>
      <c r="AD38" s="20"/>
      <c r="AE38" s="20"/>
      <c r="AF38" s="20"/>
      <c r="AG38" s="20"/>
      <c r="AH38" s="20"/>
      <c r="AI38" s="20"/>
      <c r="AJ38" s="50"/>
      <c r="AK38" s="50"/>
      <c r="AL38" s="50"/>
      <c r="AM38" s="50"/>
      <c r="AN38" s="50"/>
      <c r="AO38" s="50"/>
      <c r="AP38" s="50"/>
      <c r="AQ38" s="50"/>
      <c r="AR38" s="48"/>
      <c r="AS38" s="48"/>
      <c r="AT38" s="48"/>
      <c r="AU38" s="48"/>
      <c r="AV38" s="48"/>
      <c r="AW38" s="48"/>
      <c r="AX38" s="48"/>
      <c r="AY38" s="48"/>
      <c r="AZ38" s="48"/>
      <c r="BA38" s="48">
        <f t="shared" si="6"/>
        <v>76.92307692307692</v>
      </c>
      <c r="BB38" s="52">
        <f t="shared" si="1"/>
        <v>0.6070125289164761</v>
      </c>
      <c r="BC38" s="48">
        <f t="shared" si="7"/>
        <v>67.1641791044776</v>
      </c>
      <c r="BD38" s="52">
        <f t="shared" si="2"/>
        <v>0.6660412411600422</v>
      </c>
      <c r="BE38" s="48">
        <f t="shared" si="8"/>
        <v>81.8181818181818</v>
      </c>
      <c r="BF38" s="52">
        <f t="shared" si="3"/>
        <v>0.5584663498639373</v>
      </c>
      <c r="BG38" s="48">
        <f t="shared" si="9"/>
        <v>74.8668193851548</v>
      </c>
      <c r="BH38" s="52">
        <f t="shared" si="4"/>
        <v>0.6092360180333861</v>
      </c>
    </row>
    <row r="39" spans="2:60" ht="12.75">
      <c r="B39" s="19" t="s">
        <v>160</v>
      </c>
      <c r="C39" s="19"/>
      <c r="D39" s="19" t="s">
        <v>106</v>
      </c>
      <c r="E39" s="50">
        <v>100</v>
      </c>
      <c r="F39" s="20">
        <f t="shared" si="10"/>
        <v>0.3631698890953275</v>
      </c>
      <c r="G39" s="50">
        <v>100</v>
      </c>
      <c r="H39" s="20">
        <f t="shared" si="10"/>
        <v>0.3479319916507683</v>
      </c>
      <c r="I39" s="50">
        <v>100</v>
      </c>
      <c r="J39" s="20">
        <f t="shared" si="5"/>
        <v>0.35538767718614195</v>
      </c>
      <c r="K39" s="50"/>
      <c r="L39" s="20">
        <f t="shared" si="11"/>
        <v>0.35538767718614195</v>
      </c>
      <c r="M39" s="50">
        <v>100</v>
      </c>
      <c r="N39" s="20">
        <f t="shared" si="12"/>
        <v>0.05188141272790393</v>
      </c>
      <c r="O39" s="50">
        <v>100</v>
      </c>
      <c r="P39" s="20">
        <f t="shared" si="13"/>
        <v>0.049704570235824044</v>
      </c>
      <c r="Q39" s="50">
        <v>100</v>
      </c>
      <c r="R39" s="20">
        <f t="shared" si="14"/>
        <v>0.05076966816944885</v>
      </c>
      <c r="S39" s="50"/>
      <c r="T39" s="20">
        <f t="shared" si="15"/>
        <v>0.05076966816944885</v>
      </c>
      <c r="U39" s="21">
        <v>100</v>
      </c>
      <c r="V39" s="20">
        <f t="shared" si="16"/>
        <v>0.4150513018232314</v>
      </c>
      <c r="W39" s="21">
        <v>100</v>
      </c>
      <c r="X39" s="20">
        <f t="shared" si="17"/>
        <v>0.39763656188659235</v>
      </c>
      <c r="Y39" s="21">
        <v>100</v>
      </c>
      <c r="Z39" s="20">
        <f t="shared" si="18"/>
        <v>0.4061573453555908</v>
      </c>
      <c r="AA39" s="21">
        <v>100</v>
      </c>
      <c r="AB39" s="20">
        <f t="shared" si="0"/>
        <v>0.4061573453555908</v>
      </c>
      <c r="AC39" s="20"/>
      <c r="AD39" s="20"/>
      <c r="AE39" s="20"/>
      <c r="AF39" s="20"/>
      <c r="AG39" s="20"/>
      <c r="AH39" s="20"/>
      <c r="AI39" s="20"/>
      <c r="AJ39" s="50"/>
      <c r="AK39" s="50"/>
      <c r="AL39" s="50"/>
      <c r="AM39" s="50"/>
      <c r="AN39" s="50"/>
      <c r="AO39" s="50"/>
      <c r="AP39" s="50"/>
      <c r="AQ39" s="50"/>
      <c r="AR39" s="48"/>
      <c r="AS39" s="48"/>
      <c r="AT39" s="48"/>
      <c r="AU39" s="48"/>
      <c r="AV39" s="48"/>
      <c r="AW39" s="48"/>
      <c r="AX39" s="48"/>
      <c r="AY39" s="48"/>
      <c r="AZ39" s="48"/>
      <c r="BA39" s="48">
        <f t="shared" si="6"/>
        <v>100</v>
      </c>
      <c r="BB39" s="52">
        <f t="shared" si="1"/>
        <v>0.4150513018232314</v>
      </c>
      <c r="BC39" s="48">
        <f t="shared" si="7"/>
        <v>100</v>
      </c>
      <c r="BD39" s="52">
        <f t="shared" si="2"/>
        <v>0.39763656188659235</v>
      </c>
      <c r="BE39" s="48">
        <f t="shared" si="8"/>
        <v>100</v>
      </c>
      <c r="BF39" s="52">
        <f t="shared" si="3"/>
        <v>0.4061573453555908</v>
      </c>
      <c r="BG39" s="48">
        <f t="shared" si="9"/>
        <v>100</v>
      </c>
      <c r="BH39" s="52">
        <f t="shared" si="4"/>
        <v>0.4061573453555908</v>
      </c>
    </row>
    <row r="40" spans="2:60" ht="12.75">
      <c r="B40" s="19" t="s">
        <v>161</v>
      </c>
      <c r="C40" s="19"/>
      <c r="D40" s="19" t="s">
        <v>106</v>
      </c>
      <c r="E40" s="50">
        <v>100</v>
      </c>
      <c r="F40" s="20">
        <f t="shared" si="10"/>
        <v>2.075256509116157</v>
      </c>
      <c r="G40" s="50">
        <v>100</v>
      </c>
      <c r="H40" s="20">
        <f t="shared" si="10"/>
        <v>1.9881828094329623</v>
      </c>
      <c r="I40" s="50">
        <v>100</v>
      </c>
      <c r="J40" s="20">
        <f t="shared" si="5"/>
        <v>2.589253076641891</v>
      </c>
      <c r="K40" s="50"/>
      <c r="L40" s="20">
        <f t="shared" si="11"/>
        <v>2.1830957312863</v>
      </c>
      <c r="M40" s="50">
        <v>100</v>
      </c>
      <c r="N40" s="20">
        <f t="shared" si="12"/>
        <v>0.41505130182323147</v>
      </c>
      <c r="O40" s="50">
        <v>100</v>
      </c>
      <c r="P40" s="20">
        <f t="shared" si="13"/>
        <v>0.39763656188659235</v>
      </c>
      <c r="Q40" s="50">
        <v>100</v>
      </c>
      <c r="R40" s="20">
        <f t="shared" si="14"/>
        <v>0.4061573453555908</v>
      </c>
      <c r="S40" s="50"/>
      <c r="T40" s="20">
        <f t="shared" si="15"/>
        <v>0.4061573453555908</v>
      </c>
      <c r="U40" s="21">
        <v>100</v>
      </c>
      <c r="V40" s="20">
        <f t="shared" si="16"/>
        <v>2.4903078109393886</v>
      </c>
      <c r="W40" s="21">
        <v>100</v>
      </c>
      <c r="X40" s="20">
        <f t="shared" si="17"/>
        <v>2.385819371319555</v>
      </c>
      <c r="Y40" s="21">
        <v>100</v>
      </c>
      <c r="Z40" s="20">
        <f t="shared" si="18"/>
        <v>2.9954104219974815</v>
      </c>
      <c r="AA40" s="21">
        <v>100</v>
      </c>
      <c r="AB40" s="20">
        <f t="shared" si="0"/>
        <v>2.589253076641891</v>
      </c>
      <c r="AC40" s="20"/>
      <c r="AD40" s="20"/>
      <c r="AE40" s="20"/>
      <c r="AF40" s="20"/>
      <c r="AG40" s="20"/>
      <c r="AH40" s="20"/>
      <c r="AI40" s="20"/>
      <c r="AJ40" s="50"/>
      <c r="AK40" s="50"/>
      <c r="AL40" s="50"/>
      <c r="AM40" s="50"/>
      <c r="AN40" s="50"/>
      <c r="AO40" s="50"/>
      <c r="AP40" s="50"/>
      <c r="AQ40" s="50"/>
      <c r="AR40" s="48"/>
      <c r="AS40" s="48"/>
      <c r="AT40" s="48"/>
      <c r="AU40" s="48"/>
      <c r="AV40" s="48"/>
      <c r="AW40" s="48"/>
      <c r="AX40" s="48"/>
      <c r="AY40" s="48"/>
      <c r="AZ40" s="48"/>
      <c r="BA40" s="48">
        <f t="shared" si="6"/>
        <v>100</v>
      </c>
      <c r="BB40" s="52">
        <f t="shared" si="1"/>
        <v>2.4903078109393886</v>
      </c>
      <c r="BC40" s="48">
        <f t="shared" si="7"/>
        <v>100</v>
      </c>
      <c r="BD40" s="52">
        <f t="shared" si="2"/>
        <v>2.385819371319555</v>
      </c>
      <c r="BE40" s="48">
        <f t="shared" si="8"/>
        <v>100.00000000000001</v>
      </c>
      <c r="BF40" s="52">
        <f t="shared" si="3"/>
        <v>2.9954104219974815</v>
      </c>
      <c r="BG40" s="48">
        <f t="shared" si="9"/>
        <v>99.99999999999999</v>
      </c>
      <c r="BH40" s="52">
        <f t="shared" si="4"/>
        <v>2.589253076641891</v>
      </c>
    </row>
    <row r="41" spans="2:60" ht="12.75">
      <c r="B41" s="19" t="s">
        <v>184</v>
      </c>
      <c r="C41" s="19"/>
      <c r="D41" s="19" t="s">
        <v>106</v>
      </c>
      <c r="E41" s="50">
        <v>100</v>
      </c>
      <c r="F41" s="20">
        <f t="shared" si="10"/>
        <v>1.0376282545580786</v>
      </c>
      <c r="G41" s="50">
        <v>100</v>
      </c>
      <c r="H41" s="20">
        <f t="shared" si="10"/>
        <v>0.9940914047164812</v>
      </c>
      <c r="I41" s="50">
        <v>100</v>
      </c>
      <c r="J41" s="20">
        <f t="shared" si="5"/>
        <v>1.0153933633889771</v>
      </c>
      <c r="K41" s="50"/>
      <c r="L41" s="20">
        <f t="shared" si="11"/>
        <v>1.0153933633889771</v>
      </c>
      <c r="M41" s="50"/>
      <c r="N41" s="20">
        <f t="shared" si="12"/>
        <v>0.316476617640214</v>
      </c>
      <c r="O41" s="50"/>
      <c r="P41" s="20">
        <f t="shared" si="13"/>
        <v>0.37775473379226276</v>
      </c>
      <c r="Q41" s="50"/>
      <c r="R41" s="20">
        <f t="shared" si="14"/>
        <v>0.26400227448113395</v>
      </c>
      <c r="S41" s="50"/>
      <c r="T41" s="20">
        <f t="shared" si="15"/>
        <v>0.30461800901669306</v>
      </c>
      <c r="U41" s="21">
        <f>(E41*F41+M41*N41)/V41</f>
        <v>76.62835249042145</v>
      </c>
      <c r="V41" s="20">
        <f t="shared" si="16"/>
        <v>1.3541048721982927</v>
      </c>
      <c r="W41" s="21">
        <f>(G41*H41+O41*P41)/X41</f>
        <v>72.46376811594203</v>
      </c>
      <c r="X41" s="20">
        <f t="shared" si="17"/>
        <v>1.371846138508744</v>
      </c>
      <c r="Y41" s="21">
        <f>(I41*J41+Q41*R41)/Z41</f>
        <v>79.36507936507938</v>
      </c>
      <c r="Z41" s="20">
        <f t="shared" si="18"/>
        <v>1.279395637870111</v>
      </c>
      <c r="AA41" s="21">
        <f>(U41*V41+W41*X41+Y41*Z41)/SUM(V41,X41,Z41)</f>
        <v>76.07613747354398</v>
      </c>
      <c r="AB41" s="20">
        <f t="shared" si="0"/>
        <v>1.3200113724056701</v>
      </c>
      <c r="AC41" s="20"/>
      <c r="AD41" s="20"/>
      <c r="AE41" s="20"/>
      <c r="AF41" s="20"/>
      <c r="AG41" s="20"/>
      <c r="AH41" s="20"/>
      <c r="AI41" s="20"/>
      <c r="AJ41" s="50"/>
      <c r="AK41" s="50"/>
      <c r="AL41" s="50"/>
      <c r="AM41" s="50"/>
      <c r="AN41" s="50"/>
      <c r="AO41" s="50"/>
      <c r="AP41" s="50"/>
      <c r="AQ41" s="50"/>
      <c r="AR41" s="48"/>
      <c r="AS41" s="48"/>
      <c r="AT41" s="20">
        <f>(AT21/(F$27*60*0.0283))*(14/(21-F$28))*1000000</f>
        <v>509.4754729880166</v>
      </c>
      <c r="AU41" s="48"/>
      <c r="AV41" s="20">
        <f>(AV21/(H$27*60*0.0283))*(14/(21-H$28))*1000000</f>
        <v>494.56047384644927</v>
      </c>
      <c r="AW41" s="48"/>
      <c r="AX41" s="20">
        <f>(AX21/(J$27*60*0.0283))*(14/(21-J$28))*1000000</f>
        <v>507.188985012794</v>
      </c>
      <c r="AY41" s="48"/>
      <c r="AZ41" s="20">
        <f>(AZ21/(L$27*60*0.0283))*(14/(21-L$28))*1000000</f>
        <v>503.6351082409325</v>
      </c>
      <c r="BA41" s="48">
        <f t="shared" si="6"/>
        <v>0.20312611084591867</v>
      </c>
      <c r="BB41" s="52">
        <f t="shared" si="1"/>
        <v>510.8295778602149</v>
      </c>
      <c r="BC41" s="48">
        <f t="shared" si="7"/>
        <v>0.2004490057729314</v>
      </c>
      <c r="BD41" s="52">
        <f t="shared" si="2"/>
        <v>495.93231998495804</v>
      </c>
      <c r="BE41" s="48">
        <f t="shared" si="8"/>
        <v>0.19969646137870445</v>
      </c>
      <c r="BF41" s="52">
        <f t="shared" si="3"/>
        <v>508.4683806506641</v>
      </c>
      <c r="BG41" s="48">
        <f t="shared" si="9"/>
        <v>0.1988718655049411</v>
      </c>
      <c r="BH41" s="52">
        <f t="shared" si="4"/>
        <v>504.9551196133381</v>
      </c>
    </row>
    <row r="42" spans="2:60" ht="12.75">
      <c r="B42" s="19" t="s">
        <v>156</v>
      </c>
      <c r="C42" s="19"/>
      <c r="D42" s="19" t="s">
        <v>106</v>
      </c>
      <c r="E42" s="50">
        <v>100</v>
      </c>
      <c r="F42" s="20">
        <f t="shared" si="10"/>
        <v>5.188141272790393</v>
      </c>
      <c r="G42" s="50">
        <v>100</v>
      </c>
      <c r="H42" s="20">
        <f t="shared" si="10"/>
        <v>4.970457023582405</v>
      </c>
      <c r="I42" s="50">
        <v>100</v>
      </c>
      <c r="J42" s="20">
        <f t="shared" si="5"/>
        <v>5.076966816944885</v>
      </c>
      <c r="K42" s="50"/>
      <c r="L42" s="20">
        <f t="shared" si="11"/>
        <v>5.076966816944885</v>
      </c>
      <c r="M42" s="50">
        <v>100</v>
      </c>
      <c r="N42" s="20">
        <f t="shared" si="12"/>
        <v>1.0376282545580786</v>
      </c>
      <c r="O42" s="50">
        <v>100</v>
      </c>
      <c r="P42" s="20">
        <f t="shared" si="13"/>
        <v>0.9940914047164812</v>
      </c>
      <c r="Q42" s="50">
        <v>100</v>
      </c>
      <c r="R42" s="20">
        <f t="shared" si="14"/>
        <v>1.0153933633889771</v>
      </c>
      <c r="S42" s="50"/>
      <c r="T42" s="20">
        <f t="shared" si="15"/>
        <v>1.0153933633889771</v>
      </c>
      <c r="U42" s="21">
        <v>100</v>
      </c>
      <c r="V42" s="20">
        <f t="shared" si="16"/>
        <v>6.225769527348471</v>
      </c>
      <c r="W42" s="21">
        <v>100</v>
      </c>
      <c r="X42" s="20">
        <f t="shared" si="17"/>
        <v>5.964548428298886</v>
      </c>
      <c r="Y42" s="21">
        <v>100</v>
      </c>
      <c r="Z42" s="20">
        <f t="shared" si="18"/>
        <v>6.092360180333862</v>
      </c>
      <c r="AA42" s="21">
        <v>100</v>
      </c>
      <c r="AB42" s="20">
        <f t="shared" si="0"/>
        <v>6.092360180333862</v>
      </c>
      <c r="AC42" s="20"/>
      <c r="AD42" s="20"/>
      <c r="AE42" s="20"/>
      <c r="AF42" s="20"/>
      <c r="AG42" s="20"/>
      <c r="AH42" s="20"/>
      <c r="AI42" s="20"/>
      <c r="AJ42" s="50"/>
      <c r="AK42" s="50"/>
      <c r="AL42" s="50"/>
      <c r="AM42" s="50"/>
      <c r="AN42" s="50"/>
      <c r="AO42" s="50"/>
      <c r="AP42" s="50"/>
      <c r="AQ42" s="50"/>
      <c r="AR42" s="48"/>
      <c r="AS42" s="48"/>
      <c r="AT42" s="20">
        <f>(AT22/(F$27*60*0.0283))*(14/(21-F$28))*1000000</f>
        <v>2051.391059261321</v>
      </c>
      <c r="AU42" s="48"/>
      <c r="AV42" s="20">
        <f>(AV22/(H$27*60*0.0283))*(14/(21-H$28))*1000000</f>
        <v>1998.620769182485</v>
      </c>
      <c r="AW42" s="48"/>
      <c r="AX42" s="20">
        <f>(AX22/(J$27*60*0.0283))*(14/(21-J$28))*1000000</f>
        <v>2041.4483570935379</v>
      </c>
      <c r="AY42" s="48"/>
      <c r="AZ42" s="20">
        <f>(AZ22/(L$27*60*0.0283))*(14/(21-L$28))*1000000</f>
        <v>2030.126721091751</v>
      </c>
      <c r="BA42" s="48">
        <f t="shared" si="6"/>
        <v>0.3025718608169441</v>
      </c>
      <c r="BB42" s="52">
        <f t="shared" si="1"/>
        <v>2057.6168287886694</v>
      </c>
      <c r="BC42" s="48">
        <f t="shared" si="7"/>
        <v>0.297545251673692</v>
      </c>
      <c r="BD42" s="52">
        <f t="shared" si="2"/>
        <v>2004.585317610784</v>
      </c>
      <c r="BE42" s="48">
        <f t="shared" si="8"/>
        <v>0.29754525167369206</v>
      </c>
      <c r="BF42" s="52">
        <f t="shared" si="3"/>
        <v>2047.5407172738717</v>
      </c>
      <c r="BG42" s="48">
        <f t="shared" si="9"/>
        <v>0.29919964096043083</v>
      </c>
      <c r="BH42" s="52">
        <f t="shared" si="4"/>
        <v>2036.2190812720848</v>
      </c>
    </row>
    <row r="43" spans="2:60" ht="12.75">
      <c r="B43" s="19" t="s">
        <v>165</v>
      </c>
      <c r="C43" s="19"/>
      <c r="D43" s="19" t="s">
        <v>106</v>
      </c>
      <c r="E43" s="50">
        <v>100</v>
      </c>
      <c r="F43" s="20">
        <f t="shared" si="10"/>
        <v>5.188141272790393</v>
      </c>
      <c r="G43" s="50">
        <v>100</v>
      </c>
      <c r="H43" s="20">
        <f t="shared" si="10"/>
        <v>4.970457023582405</v>
      </c>
      <c r="I43" s="50">
        <v>100</v>
      </c>
      <c r="J43" s="20">
        <f t="shared" si="5"/>
        <v>5.076966816944885</v>
      </c>
      <c r="K43" s="50"/>
      <c r="L43" s="20">
        <f t="shared" si="11"/>
        <v>5.076966816944885</v>
      </c>
      <c r="M43" s="50">
        <v>100</v>
      </c>
      <c r="N43" s="20">
        <f t="shared" si="12"/>
        <v>1.0376282545580786</v>
      </c>
      <c r="O43" s="50">
        <v>100</v>
      </c>
      <c r="P43" s="20">
        <f t="shared" si="13"/>
        <v>0.9940914047164812</v>
      </c>
      <c r="Q43" s="50">
        <v>100</v>
      </c>
      <c r="R43" s="20">
        <f t="shared" si="14"/>
        <v>1.0153933633889771</v>
      </c>
      <c r="S43" s="50"/>
      <c r="T43" s="20">
        <f t="shared" si="15"/>
        <v>1.0153933633889771</v>
      </c>
      <c r="U43" s="21">
        <v>100</v>
      </c>
      <c r="V43" s="20">
        <f t="shared" si="16"/>
        <v>6.225769527348471</v>
      </c>
      <c r="W43" s="21">
        <v>100</v>
      </c>
      <c r="X43" s="20">
        <f t="shared" si="17"/>
        <v>5.964548428298886</v>
      </c>
      <c r="Y43" s="21">
        <v>100</v>
      </c>
      <c r="Z43" s="20">
        <f t="shared" si="18"/>
        <v>6.092360180333862</v>
      </c>
      <c r="AA43" s="21">
        <v>100</v>
      </c>
      <c r="AB43" s="20">
        <f t="shared" si="0"/>
        <v>6.092360180333862</v>
      </c>
      <c r="AC43" s="20"/>
      <c r="AD43" s="20"/>
      <c r="AE43" s="20"/>
      <c r="AF43" s="20"/>
      <c r="AG43" s="20"/>
      <c r="AH43" s="20"/>
      <c r="AI43" s="20"/>
      <c r="AJ43" s="50"/>
      <c r="AK43" s="50"/>
      <c r="AL43" s="50"/>
      <c r="AM43" s="50"/>
      <c r="AN43" s="50"/>
      <c r="AO43" s="50"/>
      <c r="AP43" s="50"/>
      <c r="AQ43" s="50"/>
      <c r="AR43" s="48"/>
      <c r="AS43" s="48"/>
      <c r="AT43" s="48"/>
      <c r="AU43" s="48"/>
      <c r="AV43" s="48"/>
      <c r="AW43" s="48"/>
      <c r="AX43" s="48"/>
      <c r="AY43" s="48"/>
      <c r="AZ43" s="48"/>
      <c r="BA43" s="48">
        <f t="shared" si="6"/>
        <v>100.00000000000001</v>
      </c>
      <c r="BB43" s="52">
        <f t="shared" si="1"/>
        <v>6.225769527348471</v>
      </c>
      <c r="BC43" s="48">
        <f t="shared" si="7"/>
        <v>100</v>
      </c>
      <c r="BD43" s="52">
        <f t="shared" si="2"/>
        <v>5.964548428298886</v>
      </c>
      <c r="BE43" s="48">
        <f t="shared" si="8"/>
        <v>99.99999999999999</v>
      </c>
      <c r="BF43" s="52">
        <f t="shared" si="3"/>
        <v>6.092360180333862</v>
      </c>
      <c r="BG43" s="48">
        <f t="shared" si="9"/>
        <v>99.99999999999999</v>
      </c>
      <c r="BH43" s="52">
        <f t="shared" si="4"/>
        <v>6.092360180333862</v>
      </c>
    </row>
    <row r="44" spans="2:60" ht="12.75">
      <c r="B44" s="19" t="s">
        <v>162</v>
      </c>
      <c r="C44" s="19"/>
      <c r="D44" s="19" t="s">
        <v>106</v>
      </c>
      <c r="E44" s="50">
        <v>100</v>
      </c>
      <c r="F44" s="20">
        <f t="shared" si="10"/>
        <v>0.5188141272790393</v>
      </c>
      <c r="G44" s="50">
        <v>100</v>
      </c>
      <c r="H44" s="20">
        <f t="shared" si="10"/>
        <v>0.4970457023582406</v>
      </c>
      <c r="I44" s="50">
        <v>100</v>
      </c>
      <c r="J44" s="20">
        <f t="shared" si="5"/>
        <v>0.5076966816944886</v>
      </c>
      <c r="K44" s="50"/>
      <c r="L44" s="20">
        <f t="shared" si="11"/>
        <v>0.5076966816944886</v>
      </c>
      <c r="M44" s="50">
        <v>100</v>
      </c>
      <c r="N44" s="20">
        <f t="shared" si="12"/>
        <v>0.15564423818371179</v>
      </c>
      <c r="O44" s="50">
        <v>100</v>
      </c>
      <c r="P44" s="20">
        <f t="shared" si="13"/>
        <v>0.14911371070747215</v>
      </c>
      <c r="Q44" s="50">
        <v>100</v>
      </c>
      <c r="R44" s="20">
        <f t="shared" si="14"/>
        <v>0.15230900450834653</v>
      </c>
      <c r="S44" s="50"/>
      <c r="T44" s="20">
        <f t="shared" si="15"/>
        <v>0.15230900450834653</v>
      </c>
      <c r="U44" s="21">
        <v>100</v>
      </c>
      <c r="V44" s="20">
        <f t="shared" si="16"/>
        <v>0.6744583654627511</v>
      </c>
      <c r="W44" s="21">
        <v>100</v>
      </c>
      <c r="X44" s="20">
        <f t="shared" si="17"/>
        <v>0.6461594130657127</v>
      </c>
      <c r="Y44" s="21">
        <v>100</v>
      </c>
      <c r="Z44" s="20">
        <f t="shared" si="18"/>
        <v>0.6600056862028351</v>
      </c>
      <c r="AA44" s="21">
        <v>100</v>
      </c>
      <c r="AB44" s="20">
        <f t="shared" si="0"/>
        <v>0.6600056862028351</v>
      </c>
      <c r="AC44" s="20"/>
      <c r="AD44" s="20"/>
      <c r="AE44" s="20"/>
      <c r="AF44" s="20"/>
      <c r="AG44" s="20"/>
      <c r="AH44" s="20"/>
      <c r="AI44" s="20"/>
      <c r="AJ44" s="50"/>
      <c r="AK44" s="50"/>
      <c r="AL44" s="50"/>
      <c r="AM44" s="50"/>
      <c r="AN44" s="50"/>
      <c r="AO44" s="50"/>
      <c r="AP44" s="50"/>
      <c r="AQ44" s="50"/>
      <c r="AR44" s="48"/>
      <c r="AS44" s="48"/>
      <c r="AT44" s="48"/>
      <c r="AU44" s="48"/>
      <c r="AV44" s="48"/>
      <c r="AW44" s="48"/>
      <c r="AX44" s="48"/>
      <c r="AY44" s="48"/>
      <c r="AZ44" s="48"/>
      <c r="BA44" s="48">
        <f t="shared" si="6"/>
        <v>100</v>
      </c>
      <c r="BB44" s="52">
        <f t="shared" si="1"/>
        <v>0.6744583654627511</v>
      </c>
      <c r="BC44" s="48">
        <f t="shared" si="7"/>
        <v>100.00000000000001</v>
      </c>
      <c r="BD44" s="52">
        <f t="shared" si="2"/>
        <v>0.6461594130657127</v>
      </c>
      <c r="BE44" s="48">
        <f t="shared" si="8"/>
        <v>100</v>
      </c>
      <c r="BF44" s="52">
        <f t="shared" si="3"/>
        <v>0.6600056862028351</v>
      </c>
      <c r="BG44" s="48">
        <f t="shared" si="9"/>
        <v>100</v>
      </c>
      <c r="BH44" s="52">
        <f t="shared" si="4"/>
        <v>0.6600056862028351</v>
      </c>
    </row>
    <row r="45" spans="2:60" ht="12.75">
      <c r="B45" s="19" t="s">
        <v>166</v>
      </c>
      <c r="C45" s="19"/>
      <c r="D45" s="19" t="s">
        <v>106</v>
      </c>
      <c r="E45" s="50">
        <v>100</v>
      </c>
      <c r="F45" s="20">
        <f t="shared" si="10"/>
        <v>4.669327145511353</v>
      </c>
      <c r="G45" s="50">
        <v>100</v>
      </c>
      <c r="H45" s="20">
        <f t="shared" si="10"/>
        <v>4.473411321224164</v>
      </c>
      <c r="I45" s="50">
        <v>100</v>
      </c>
      <c r="J45" s="20">
        <f t="shared" si="5"/>
        <v>4.569270135250396</v>
      </c>
      <c r="K45" s="50"/>
      <c r="L45" s="20">
        <f t="shared" si="11"/>
        <v>4.569270135250396</v>
      </c>
      <c r="M45" s="50">
        <v>100</v>
      </c>
      <c r="N45" s="20">
        <f t="shared" si="12"/>
        <v>1.0376282545580786</v>
      </c>
      <c r="O45" s="50">
        <v>100</v>
      </c>
      <c r="P45" s="20">
        <f t="shared" si="13"/>
        <v>0.9940914047164812</v>
      </c>
      <c r="Q45" s="50">
        <v>100</v>
      </c>
      <c r="R45" s="20">
        <f t="shared" si="14"/>
        <v>1.0153933633889771</v>
      </c>
      <c r="S45" s="50"/>
      <c r="T45" s="20">
        <f t="shared" si="15"/>
        <v>1.0153933633889771</v>
      </c>
      <c r="U45" s="21">
        <v>100</v>
      </c>
      <c r="V45" s="20">
        <f t="shared" si="16"/>
        <v>5.706955400069432</v>
      </c>
      <c r="W45" s="21">
        <v>100</v>
      </c>
      <c r="X45" s="20">
        <f t="shared" si="17"/>
        <v>5.467502725940645</v>
      </c>
      <c r="Y45" s="21">
        <v>100</v>
      </c>
      <c r="Z45" s="20">
        <f t="shared" si="18"/>
        <v>5.584663498639373</v>
      </c>
      <c r="AA45" s="21">
        <v>100</v>
      </c>
      <c r="AB45" s="20">
        <f t="shared" si="0"/>
        <v>5.584663498639373</v>
      </c>
      <c r="AC45" s="20"/>
      <c r="AD45" s="20"/>
      <c r="AE45" s="20"/>
      <c r="AF45" s="20"/>
      <c r="AG45" s="20"/>
      <c r="AH45" s="20"/>
      <c r="AI45" s="20"/>
      <c r="AJ45" s="50"/>
      <c r="AK45" s="50"/>
      <c r="AL45" s="50"/>
      <c r="AM45" s="50"/>
      <c r="AN45" s="50"/>
      <c r="AO45" s="50"/>
      <c r="AP45" s="50"/>
      <c r="AQ45" s="50"/>
      <c r="AR45" s="48"/>
      <c r="AS45" s="48"/>
      <c r="AT45" s="48"/>
      <c r="AU45" s="48"/>
      <c r="AV45" s="48"/>
      <c r="AW45" s="48"/>
      <c r="AX45" s="48"/>
      <c r="AY45" s="48"/>
      <c r="AZ45" s="48"/>
      <c r="BA45" s="48">
        <f t="shared" si="6"/>
        <v>100</v>
      </c>
      <c r="BB45" s="52">
        <f t="shared" si="1"/>
        <v>5.706955400069432</v>
      </c>
      <c r="BC45" s="48">
        <f t="shared" si="7"/>
        <v>100.00000000000001</v>
      </c>
      <c r="BD45" s="52">
        <f t="shared" si="2"/>
        <v>5.467502725940645</v>
      </c>
      <c r="BE45" s="48">
        <f t="shared" si="8"/>
        <v>100</v>
      </c>
      <c r="BF45" s="52">
        <f t="shared" si="3"/>
        <v>5.584663498639373</v>
      </c>
      <c r="BG45" s="48">
        <f t="shared" si="9"/>
        <v>100</v>
      </c>
      <c r="BH45" s="52">
        <f t="shared" si="4"/>
        <v>5.584663498639373</v>
      </c>
    </row>
    <row r="46" spans="2:60" ht="12.75">
      <c r="B46" s="19"/>
      <c r="C46" s="19"/>
      <c r="D46" s="19"/>
      <c r="E46" s="50"/>
      <c r="F46" s="20"/>
      <c r="G46" s="50"/>
      <c r="H46" s="20"/>
      <c r="I46" s="50"/>
      <c r="J46" s="20"/>
      <c r="K46" s="50"/>
      <c r="L46" s="20"/>
      <c r="M46" s="50"/>
      <c r="N46" s="20"/>
      <c r="O46" s="50"/>
      <c r="P46" s="20"/>
      <c r="Q46" s="50"/>
      <c r="R46" s="20"/>
      <c r="S46" s="50"/>
      <c r="T46" s="20"/>
      <c r="U46" s="21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50"/>
      <c r="AK46" s="50"/>
      <c r="AL46" s="50"/>
      <c r="AM46" s="50"/>
      <c r="AN46" s="50"/>
      <c r="AO46" s="50"/>
      <c r="AP46" s="50"/>
      <c r="AQ46" s="50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52"/>
      <c r="BC46" s="48"/>
      <c r="BD46" s="52"/>
      <c r="BE46" s="48"/>
      <c r="BF46" s="52"/>
      <c r="BG46" s="48"/>
      <c r="BH46" s="52"/>
    </row>
    <row r="47" spans="2:60" ht="12.75">
      <c r="B47" s="19" t="s">
        <v>107</v>
      </c>
      <c r="C47" s="19"/>
      <c r="D47" s="19" t="s">
        <v>106</v>
      </c>
      <c r="E47" s="50"/>
      <c r="F47" s="20">
        <f>(F40+F42)</f>
        <v>7.26339778190655</v>
      </c>
      <c r="G47" s="50"/>
      <c r="H47" s="20">
        <f>(H40+H42)</f>
        <v>6.958639833015368</v>
      </c>
      <c r="I47" s="50"/>
      <c r="J47" s="20">
        <f>(J40+J42)</f>
        <v>7.666219893586776</v>
      </c>
      <c r="K47" s="50"/>
      <c r="L47" s="20">
        <f>AVERAGE(J47,H47,F47)</f>
        <v>7.296085836169564</v>
      </c>
      <c r="M47" s="22"/>
      <c r="N47" s="20">
        <f>(N40+N42)</f>
        <v>1.4526795563813102</v>
      </c>
      <c r="O47" s="22"/>
      <c r="P47" s="20">
        <f>(P40+P42)</f>
        <v>1.3917279666030735</v>
      </c>
      <c r="Q47" s="22"/>
      <c r="R47" s="20">
        <f>(R40+R42)</f>
        <v>1.4215507087445678</v>
      </c>
      <c r="S47" s="22"/>
      <c r="T47" s="20">
        <f>AVERAGE(R47,P47,N47)</f>
        <v>1.421986077242984</v>
      </c>
      <c r="U47" s="21">
        <f>(U40*V40+U42*V42)/V47</f>
        <v>100</v>
      </c>
      <c r="V47" s="20">
        <f>(V40+V42)</f>
        <v>8.71607733828786</v>
      </c>
      <c r="W47" s="21">
        <f>(W40*X40+W42*X42)/X47</f>
        <v>99.99999999999999</v>
      </c>
      <c r="X47" s="20">
        <f>(X40+X42)</f>
        <v>8.350367799618441</v>
      </c>
      <c r="Y47" s="21">
        <f>(Y40*Z40+Y42*Z42)/Z47</f>
        <v>100</v>
      </c>
      <c r="Z47" s="20">
        <f>(Z40+Z42)</f>
        <v>9.087770602331343</v>
      </c>
      <c r="AA47" s="21">
        <f>(AA40*AB40+AA42*AB42)/AB47</f>
        <v>99.58180367403594</v>
      </c>
      <c r="AB47" s="20">
        <f>L47+T47</f>
        <v>8.718071913412548</v>
      </c>
      <c r="AC47" s="20"/>
      <c r="AD47" s="20"/>
      <c r="AE47" s="20"/>
      <c r="AF47" s="20"/>
      <c r="AG47" s="20"/>
      <c r="AH47" s="20"/>
      <c r="AI47" s="20"/>
      <c r="AJ47" s="50"/>
      <c r="AK47" s="50"/>
      <c r="AL47" s="50"/>
      <c r="AM47" s="50"/>
      <c r="AN47" s="50"/>
      <c r="AO47" s="50"/>
      <c r="AP47" s="50"/>
      <c r="AQ47" s="50"/>
      <c r="AR47" s="48"/>
      <c r="AS47" s="48"/>
      <c r="AT47" s="20">
        <f>(AT40+AT42)</f>
        <v>2051.391059261321</v>
      </c>
      <c r="AU47" s="48"/>
      <c r="AV47" s="20">
        <f>(AV40+AV42)</f>
        <v>1998.620769182485</v>
      </c>
      <c r="AW47" s="48"/>
      <c r="AX47" s="20">
        <f>(AX40+AX42)</f>
        <v>2041.4483570935379</v>
      </c>
      <c r="AY47" s="48"/>
      <c r="AZ47" s="20">
        <f>(AZ40+AZ42)</f>
        <v>2030.126721091751</v>
      </c>
      <c r="BA47" s="21">
        <f>(BA40*BB40+BA42*BB42)/BB47</f>
        <v>0.4230885463886372</v>
      </c>
      <c r="BB47" s="52">
        <f>SUM(AT47,AL47,AD47,N47,F47)</f>
        <v>2060.1071365996086</v>
      </c>
      <c r="BC47" s="21">
        <f>(BC40*BD40+BC42*BD42)/BD47</f>
        <v>0.41606815592649454</v>
      </c>
      <c r="BD47" s="52">
        <f>SUM(AV47,AN47,AF47,P47,H47)</f>
        <v>2006.9711369821036</v>
      </c>
      <c r="BE47" s="21">
        <f>(BE40*BF40+BE42*BF42)/BF47</f>
        <v>0.4431899774691129</v>
      </c>
      <c r="BF47" s="52">
        <f>SUM(AX47,AP47,AH47,R47,J47)</f>
        <v>2050.5361276958693</v>
      </c>
      <c r="BG47" s="21">
        <f>(BG40*BH40+BG42*BH42)/BH47</f>
        <v>0.4257352304762481</v>
      </c>
      <c r="BH47" s="52">
        <f>AVERAGE(BF47,BD47,BB47)</f>
        <v>2039.2048004258604</v>
      </c>
    </row>
    <row r="48" spans="2:60" ht="12.75">
      <c r="B48" s="19" t="s">
        <v>108</v>
      </c>
      <c r="C48" s="19"/>
      <c r="D48" s="19" t="s">
        <v>106</v>
      </c>
      <c r="E48" s="50"/>
      <c r="F48" s="20">
        <f>(F37+F39+F41)</f>
        <v>4.513682907327642</v>
      </c>
      <c r="G48" s="50"/>
      <c r="H48" s="20">
        <f>(H37+H39+H41)</f>
        <v>4.324297610516692</v>
      </c>
      <c r="I48" s="50"/>
      <c r="J48" s="20">
        <f>(J37+J39+J41)</f>
        <v>4.41696113074205</v>
      </c>
      <c r="K48" s="50"/>
      <c r="L48" s="20">
        <f>AVERAGE(J48,H48,F48)</f>
        <v>4.418313882862128</v>
      </c>
      <c r="M48" s="22"/>
      <c r="N48" s="20">
        <f>(N37+N39+N41)</f>
        <v>0.8871721576471572</v>
      </c>
      <c r="O48" s="22"/>
      <c r="P48" s="20">
        <f>(P37+P39+P41)</f>
        <v>0.9245050063863274</v>
      </c>
      <c r="Q48" s="22"/>
      <c r="R48" s="20">
        <f>(R37+R39+R41)</f>
        <v>0.8224686243450714</v>
      </c>
      <c r="S48" s="22"/>
      <c r="T48" s="20">
        <f>AVERAGE(R48,P48,N48)</f>
        <v>0.8780485961261854</v>
      </c>
      <c r="U48" s="21">
        <f>(U37*V37+U39*V39+U41*V41)/V48</f>
        <v>94.14024975984631</v>
      </c>
      <c r="V48" s="20">
        <f>(V37+V39+V41)</f>
        <v>5.400855064974799</v>
      </c>
      <c r="W48" s="21">
        <f>(W37*X37+W39*X39+W41*X41)/X48</f>
        <v>92.80303030303031</v>
      </c>
      <c r="X48" s="20">
        <f>(X37+X39+X41)</f>
        <v>5.24880261690302</v>
      </c>
      <c r="Y48" s="21">
        <f>(Y37*Z37+Y39*Z39+Y41*Z41)/Z48</f>
        <v>94.96124031007751</v>
      </c>
      <c r="Z48" s="20">
        <f>(Z37+Z39+Z41)</f>
        <v>5.239429755087121</v>
      </c>
      <c r="AA48" s="21">
        <f>(AA37*AB37+AA39*AB39+AA41*AB41)/AB48</f>
        <v>93.72938131120908</v>
      </c>
      <c r="AB48" s="20">
        <f>L48+T48</f>
        <v>5.296362478988313</v>
      </c>
      <c r="AC48" s="20"/>
      <c r="AD48" s="20"/>
      <c r="AE48" s="20"/>
      <c r="AF48" s="20"/>
      <c r="AG48" s="20"/>
      <c r="AH48" s="20"/>
      <c r="AI48" s="20"/>
      <c r="AJ48" s="50"/>
      <c r="AK48" s="50"/>
      <c r="AL48" s="50"/>
      <c r="AM48" s="50"/>
      <c r="AN48" s="50"/>
      <c r="AO48" s="50"/>
      <c r="AP48" s="50"/>
      <c r="AQ48" s="50"/>
      <c r="AR48" s="48"/>
      <c r="AS48" s="48"/>
      <c r="AT48" s="20">
        <f>(AT37+AT39+AT41)</f>
        <v>509.4754729880166</v>
      </c>
      <c r="AU48" s="48"/>
      <c r="AV48" s="20">
        <f>(AV37+AV39+AV41)</f>
        <v>494.56047384644927</v>
      </c>
      <c r="AW48" s="48"/>
      <c r="AX48" s="20">
        <f>(AX37+AX39+AX41)</f>
        <v>507.188985012794</v>
      </c>
      <c r="AY48" s="48"/>
      <c r="AZ48" s="20">
        <f>(AZ37+AZ39+AZ41)</f>
        <v>503.6351082409325</v>
      </c>
      <c r="BA48" s="21">
        <f>(BA37*BB37+BA39*BB39+BA41*BB41)/BB48</f>
        <v>0.9874950877157626</v>
      </c>
      <c r="BB48" s="52">
        <f>SUM(AT48,AL48,AD48,N48,F48)</f>
        <v>514.8763280529914</v>
      </c>
      <c r="BC48" s="21">
        <f>(BC37*BD37+BC39*BD39+BC41*BD41)/BD48</f>
        <v>0.9745813278173358</v>
      </c>
      <c r="BD48" s="52">
        <f>SUM(AV48,AN48,AF48,P48,H48)</f>
        <v>499.80927646335226</v>
      </c>
      <c r="BE48" s="21">
        <f>(BE37*BF37+BE39*BF39+BE41*BF41)/BF48</f>
        <v>0.9709507391114809</v>
      </c>
      <c r="BF48" s="52">
        <f>SUM(AX48,AP48,AH48,R48,J48)</f>
        <v>512.4284147678811</v>
      </c>
      <c r="BG48" s="21">
        <f>(BG37*BH37+BG39*BH39+BG41*BH41)/BH48</f>
        <v>0.9752214413986374</v>
      </c>
      <c r="BH48" s="52">
        <f>AVERAGE(BF48,BD48,BB48)</f>
        <v>509.038006428075</v>
      </c>
    </row>
    <row r="49" spans="2:60" ht="12.75">
      <c r="B49" s="19"/>
      <c r="C49" s="19"/>
      <c r="D49" s="19"/>
      <c r="E49" s="50"/>
      <c r="F49" s="50"/>
      <c r="G49" s="50"/>
      <c r="H49" s="50"/>
      <c r="I49" s="50"/>
      <c r="J49" s="50"/>
      <c r="K49" s="50"/>
      <c r="L49" s="49"/>
      <c r="M49" s="50"/>
      <c r="N49" s="50"/>
      <c r="O49" s="50"/>
      <c r="P49" s="50"/>
      <c r="Q49" s="50"/>
      <c r="R49" s="50"/>
      <c r="S49" s="50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50"/>
      <c r="AK49" s="50"/>
      <c r="AL49" s="50"/>
      <c r="AM49" s="50"/>
      <c r="AN49" s="50"/>
      <c r="AO49" s="50"/>
      <c r="AP49" s="50"/>
      <c r="AQ49" s="50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</row>
    <row r="50" spans="2:60" ht="12.75">
      <c r="B50" s="19"/>
      <c r="C50" s="19"/>
      <c r="D50" s="19"/>
      <c r="E50" s="50"/>
      <c r="F50" s="50"/>
      <c r="G50" s="50"/>
      <c r="H50" s="50"/>
      <c r="I50" s="50"/>
      <c r="J50" s="50"/>
      <c r="K50" s="50"/>
      <c r="L50" s="49"/>
      <c r="M50" s="50"/>
      <c r="N50" s="50"/>
      <c r="O50" s="50"/>
      <c r="P50" s="50"/>
      <c r="Q50" s="50"/>
      <c r="R50" s="50"/>
      <c r="S50" s="50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50"/>
      <c r="AK50" s="50"/>
      <c r="AL50" s="50"/>
      <c r="AM50" s="50"/>
      <c r="AN50" s="50"/>
      <c r="AO50" s="50"/>
      <c r="AP50" s="50"/>
      <c r="AQ50" s="50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</row>
    <row r="51" spans="2:60" ht="12.75">
      <c r="B51" s="19"/>
      <c r="C51" s="19"/>
      <c r="D51" s="19"/>
      <c r="E51" s="50"/>
      <c r="F51" s="50"/>
      <c r="G51" s="50"/>
      <c r="H51" s="50"/>
      <c r="I51" s="50"/>
      <c r="J51" s="50"/>
      <c r="K51" s="50"/>
      <c r="L51" s="49"/>
      <c r="M51" s="50"/>
      <c r="N51" s="50"/>
      <c r="O51" s="50"/>
      <c r="P51" s="50"/>
      <c r="Q51" s="50"/>
      <c r="R51" s="50"/>
      <c r="S51" s="50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50"/>
      <c r="AK51" s="50"/>
      <c r="AL51" s="50"/>
      <c r="AM51" s="50"/>
      <c r="AN51" s="50"/>
      <c r="AO51" s="50"/>
      <c r="AP51" s="50"/>
      <c r="AQ51" s="50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</row>
    <row r="52" spans="1:60" ht="12.75">
      <c r="A52" s="3" t="s">
        <v>193</v>
      </c>
      <c r="B52" s="47" t="s">
        <v>190</v>
      </c>
      <c r="C52" s="47" t="s">
        <v>189</v>
      </c>
      <c r="D52" s="19"/>
      <c r="E52" s="48"/>
      <c r="F52" s="50" t="s">
        <v>208</v>
      </c>
      <c r="G52" s="50"/>
      <c r="H52" s="50" t="s">
        <v>209</v>
      </c>
      <c r="I52" s="50"/>
      <c r="J52" s="50" t="s">
        <v>210</v>
      </c>
      <c r="K52" s="50"/>
      <c r="L52" s="4" t="s">
        <v>54</v>
      </c>
      <c r="M52" s="50"/>
      <c r="N52" s="50" t="s">
        <v>208</v>
      </c>
      <c r="O52" s="50"/>
      <c r="P52" s="50" t="s">
        <v>209</v>
      </c>
      <c r="Q52" s="50"/>
      <c r="R52" s="50" t="s">
        <v>210</v>
      </c>
      <c r="S52" s="50"/>
      <c r="T52" s="4" t="s">
        <v>54</v>
      </c>
      <c r="U52" s="49"/>
      <c r="V52" s="50" t="s">
        <v>208</v>
      </c>
      <c r="W52" s="50"/>
      <c r="X52" s="50" t="s">
        <v>209</v>
      </c>
      <c r="Y52" s="50"/>
      <c r="Z52" s="50" t="s">
        <v>210</v>
      </c>
      <c r="AA52" s="50"/>
      <c r="AB52" s="4" t="s">
        <v>54</v>
      </c>
      <c r="AC52" s="48"/>
      <c r="AD52" s="50" t="s">
        <v>208</v>
      </c>
      <c r="AE52" s="50"/>
      <c r="AF52" s="50" t="s">
        <v>209</v>
      </c>
      <c r="AG52" s="50"/>
      <c r="AH52" s="50" t="s">
        <v>210</v>
      </c>
      <c r="AI52" s="50"/>
      <c r="AJ52" s="4" t="s">
        <v>54</v>
      </c>
      <c r="AK52" s="48"/>
      <c r="AL52" s="50" t="s">
        <v>208</v>
      </c>
      <c r="AM52" s="50"/>
      <c r="AN52" s="50" t="s">
        <v>209</v>
      </c>
      <c r="AO52" s="50"/>
      <c r="AP52" s="50" t="s">
        <v>210</v>
      </c>
      <c r="AQ52" s="50"/>
      <c r="AR52" s="4" t="s">
        <v>54</v>
      </c>
      <c r="BA52" s="48"/>
      <c r="BB52" s="48"/>
      <c r="BC52" s="48"/>
      <c r="BD52" s="48"/>
      <c r="BE52" s="48"/>
      <c r="BF52" s="48"/>
      <c r="BG52" s="48"/>
      <c r="BH52" s="48"/>
    </row>
    <row r="53" spans="2:60" ht="12.75">
      <c r="B53" s="47"/>
      <c r="C53" s="47"/>
      <c r="D53" s="19"/>
      <c r="E53" s="48"/>
      <c r="F53" s="50"/>
      <c r="G53" s="50"/>
      <c r="H53" s="50"/>
      <c r="I53" s="50"/>
      <c r="J53" s="50"/>
      <c r="K53" s="50"/>
      <c r="L53" s="4"/>
      <c r="M53" s="50"/>
      <c r="N53" s="50"/>
      <c r="O53" s="50"/>
      <c r="P53" s="50"/>
      <c r="Q53" s="50"/>
      <c r="R53" s="50"/>
      <c r="S53" s="50"/>
      <c r="T53" s="4"/>
      <c r="U53" s="49"/>
      <c r="V53" s="50"/>
      <c r="W53" s="50"/>
      <c r="X53" s="50"/>
      <c r="Y53" s="50"/>
      <c r="Z53" s="50"/>
      <c r="AA53" s="50"/>
      <c r="AB53" s="4"/>
      <c r="AC53" s="48"/>
      <c r="AD53" s="50"/>
      <c r="AE53" s="50"/>
      <c r="AF53" s="50"/>
      <c r="AG53" s="50"/>
      <c r="AH53" s="50"/>
      <c r="AI53" s="50"/>
      <c r="AJ53" s="4"/>
      <c r="AK53" s="48"/>
      <c r="AL53" s="50"/>
      <c r="AM53" s="50"/>
      <c r="AN53" s="50"/>
      <c r="AO53" s="50"/>
      <c r="AP53" s="50"/>
      <c r="AQ53" s="50"/>
      <c r="AR53" s="4"/>
      <c r="BA53" s="48"/>
      <c r="BB53" s="48"/>
      <c r="BC53" s="48"/>
      <c r="BD53" s="48"/>
      <c r="BE53" s="48"/>
      <c r="BF53" s="48"/>
      <c r="BG53" s="48"/>
      <c r="BH53" s="48"/>
    </row>
    <row r="54" spans="2:60" ht="12.75">
      <c r="B54" s="19" t="s">
        <v>222</v>
      </c>
      <c r="C54" s="19"/>
      <c r="D54" s="19"/>
      <c r="E54" s="48"/>
      <c r="F54" s="50" t="s">
        <v>224</v>
      </c>
      <c r="G54" s="50"/>
      <c r="H54" s="50" t="s">
        <v>224</v>
      </c>
      <c r="I54" s="50"/>
      <c r="J54" s="50" t="s">
        <v>224</v>
      </c>
      <c r="K54" s="50"/>
      <c r="L54" s="50" t="s">
        <v>224</v>
      </c>
      <c r="M54" s="50"/>
      <c r="N54" s="50" t="s">
        <v>225</v>
      </c>
      <c r="O54" s="50"/>
      <c r="P54" s="50" t="s">
        <v>225</v>
      </c>
      <c r="Q54" s="50"/>
      <c r="R54" s="50" t="s">
        <v>225</v>
      </c>
      <c r="S54" s="50"/>
      <c r="T54" s="50" t="s">
        <v>225</v>
      </c>
      <c r="U54" s="49"/>
      <c r="V54" s="50" t="s">
        <v>226</v>
      </c>
      <c r="W54" s="50"/>
      <c r="X54" s="50" t="s">
        <v>226</v>
      </c>
      <c r="Y54" s="50"/>
      <c r="Z54" s="50" t="s">
        <v>226</v>
      </c>
      <c r="AA54" s="50"/>
      <c r="AB54" s="50" t="s">
        <v>226</v>
      </c>
      <c r="AC54" s="48"/>
      <c r="AD54" s="50" t="s">
        <v>227</v>
      </c>
      <c r="AE54" s="50"/>
      <c r="AF54" s="50" t="s">
        <v>227</v>
      </c>
      <c r="AG54" s="50"/>
      <c r="AH54" s="50" t="s">
        <v>227</v>
      </c>
      <c r="AI54" s="50"/>
      <c r="AJ54" s="50" t="s">
        <v>227</v>
      </c>
      <c r="AK54" s="48"/>
      <c r="AL54" s="50" t="s">
        <v>228</v>
      </c>
      <c r="AM54" s="50"/>
      <c r="AN54" s="50" t="s">
        <v>228</v>
      </c>
      <c r="AO54" s="50"/>
      <c r="AP54" s="50" t="s">
        <v>228</v>
      </c>
      <c r="AQ54" s="50"/>
      <c r="AR54" s="50" t="s">
        <v>228</v>
      </c>
      <c r="BA54" s="48"/>
      <c r="BB54" s="48"/>
      <c r="BC54" s="48"/>
      <c r="BD54" s="48"/>
      <c r="BE54" s="48"/>
      <c r="BF54" s="48"/>
      <c r="BG54" s="48"/>
      <c r="BH54" s="48"/>
    </row>
    <row r="55" spans="2:60" ht="12.75">
      <c r="B55" s="19" t="s">
        <v>223</v>
      </c>
      <c r="C55" s="19"/>
      <c r="D55" s="19"/>
      <c r="E55" s="48"/>
      <c r="F55" s="50" t="s">
        <v>230</v>
      </c>
      <c r="G55" s="50"/>
      <c r="H55" s="50" t="s">
        <v>230</v>
      </c>
      <c r="I55" s="50"/>
      <c r="J55" s="50" t="s">
        <v>230</v>
      </c>
      <c r="K55" s="50"/>
      <c r="L55" s="50" t="s">
        <v>230</v>
      </c>
      <c r="M55" s="50"/>
      <c r="N55" s="50" t="s">
        <v>231</v>
      </c>
      <c r="O55" s="50"/>
      <c r="P55" s="50" t="s">
        <v>231</v>
      </c>
      <c r="Q55" s="50"/>
      <c r="R55" s="50" t="s">
        <v>231</v>
      </c>
      <c r="S55" s="50"/>
      <c r="T55" s="50" t="s">
        <v>231</v>
      </c>
      <c r="U55" s="48"/>
      <c r="V55" s="50" t="s">
        <v>232</v>
      </c>
      <c r="W55" s="48"/>
      <c r="X55" s="50" t="s">
        <v>232</v>
      </c>
      <c r="Y55" s="48"/>
      <c r="Z55" s="50" t="s">
        <v>232</v>
      </c>
      <c r="AA55" s="48"/>
      <c r="AB55" s="50" t="s">
        <v>232</v>
      </c>
      <c r="AC55" s="48"/>
      <c r="AD55" s="50" t="s">
        <v>101</v>
      </c>
      <c r="AE55" s="48"/>
      <c r="AF55" s="50" t="s">
        <v>101</v>
      </c>
      <c r="AG55" s="48"/>
      <c r="AH55" s="50" t="s">
        <v>101</v>
      </c>
      <c r="AI55" s="48"/>
      <c r="AJ55" s="50" t="s">
        <v>101</v>
      </c>
      <c r="AK55" s="48"/>
      <c r="AL55" s="50" t="s">
        <v>30</v>
      </c>
      <c r="AM55" s="48"/>
      <c r="AN55" s="50" t="s">
        <v>30</v>
      </c>
      <c r="AO55" s="48"/>
      <c r="AP55" s="50" t="s">
        <v>30</v>
      </c>
      <c r="AQ55" s="48"/>
      <c r="AR55" s="50" t="s">
        <v>30</v>
      </c>
      <c r="BA55" s="48"/>
      <c r="BB55" s="48"/>
      <c r="BC55" s="48"/>
      <c r="BD55" s="48"/>
      <c r="BE55" s="48"/>
      <c r="BF55" s="48"/>
      <c r="BG55" s="48"/>
      <c r="BH55" s="48"/>
    </row>
    <row r="56" spans="2:60" ht="12.75">
      <c r="B56" s="19" t="s">
        <v>234</v>
      </c>
      <c r="C56" s="19"/>
      <c r="D56" s="19"/>
      <c r="E56" s="48"/>
      <c r="F56" s="50" t="s">
        <v>117</v>
      </c>
      <c r="G56" s="50"/>
      <c r="H56" s="50" t="s">
        <v>117</v>
      </c>
      <c r="I56" s="50"/>
      <c r="J56" s="50" t="s">
        <v>117</v>
      </c>
      <c r="K56" s="50"/>
      <c r="L56" s="50" t="s">
        <v>117</v>
      </c>
      <c r="M56" s="50"/>
      <c r="N56" s="50" t="s">
        <v>233</v>
      </c>
      <c r="O56" s="50"/>
      <c r="P56" s="50" t="s">
        <v>233</v>
      </c>
      <c r="Q56" s="50"/>
      <c r="R56" s="50" t="s">
        <v>233</v>
      </c>
      <c r="S56" s="50"/>
      <c r="T56" s="50" t="s">
        <v>233</v>
      </c>
      <c r="U56" s="48"/>
      <c r="V56" s="50"/>
      <c r="W56" s="48"/>
      <c r="X56" s="50"/>
      <c r="Y56" s="48"/>
      <c r="Z56" s="50"/>
      <c r="AA56" s="48"/>
      <c r="AB56" s="50"/>
      <c r="AC56" s="48"/>
      <c r="AD56" s="50" t="s">
        <v>101</v>
      </c>
      <c r="AE56" s="48"/>
      <c r="AF56" s="50" t="s">
        <v>101</v>
      </c>
      <c r="AG56" s="48"/>
      <c r="AH56" s="50" t="s">
        <v>101</v>
      </c>
      <c r="AI56" s="48"/>
      <c r="AJ56" s="50" t="s">
        <v>101</v>
      </c>
      <c r="AK56" s="48"/>
      <c r="AL56" s="50" t="s">
        <v>30</v>
      </c>
      <c r="AM56" s="48"/>
      <c r="AN56" s="50" t="s">
        <v>30</v>
      </c>
      <c r="AO56" s="48"/>
      <c r="AP56" s="50" t="s">
        <v>30</v>
      </c>
      <c r="AQ56" s="48"/>
      <c r="AR56" s="50" t="s">
        <v>30</v>
      </c>
      <c r="BA56" s="48"/>
      <c r="BB56" s="48"/>
      <c r="BC56" s="48"/>
      <c r="BD56" s="48"/>
      <c r="BE56" s="48"/>
      <c r="BF56" s="48"/>
      <c r="BG56" s="48"/>
      <c r="BH56" s="48"/>
    </row>
    <row r="57" spans="2:60" ht="12.75">
      <c r="B57" s="19" t="s">
        <v>55</v>
      </c>
      <c r="C57" s="19"/>
      <c r="D57" s="19"/>
      <c r="E57" s="48"/>
      <c r="F57" s="49" t="s">
        <v>96</v>
      </c>
      <c r="G57" s="48"/>
      <c r="H57" s="49" t="s">
        <v>96</v>
      </c>
      <c r="I57" s="48"/>
      <c r="J57" s="49" t="s">
        <v>96</v>
      </c>
      <c r="K57" s="48"/>
      <c r="L57" s="49" t="s">
        <v>96</v>
      </c>
      <c r="M57" s="49"/>
      <c r="N57" s="49" t="s">
        <v>82</v>
      </c>
      <c r="O57" s="49"/>
      <c r="P57" s="49" t="s">
        <v>82</v>
      </c>
      <c r="Q57" s="49"/>
      <c r="R57" s="49" t="s">
        <v>82</v>
      </c>
      <c r="S57" s="49"/>
      <c r="T57" s="49" t="s">
        <v>82</v>
      </c>
      <c r="U57" s="49"/>
      <c r="V57" s="49" t="s">
        <v>148</v>
      </c>
      <c r="W57" s="49"/>
      <c r="X57" s="49" t="s">
        <v>148</v>
      </c>
      <c r="Y57" s="49"/>
      <c r="Z57" s="49" t="s">
        <v>148</v>
      </c>
      <c r="AA57" s="49"/>
      <c r="AB57" s="49" t="s">
        <v>148</v>
      </c>
      <c r="AC57" s="49"/>
      <c r="AD57" s="49" t="s">
        <v>101</v>
      </c>
      <c r="AE57" s="49"/>
      <c r="AF57" s="49" t="s">
        <v>101</v>
      </c>
      <c r="AG57" s="49"/>
      <c r="AH57" s="49" t="s">
        <v>101</v>
      </c>
      <c r="AI57" s="49"/>
      <c r="AJ57" s="49" t="s">
        <v>101</v>
      </c>
      <c r="AK57" s="49"/>
      <c r="AL57" s="49" t="s">
        <v>30</v>
      </c>
      <c r="AM57" s="49"/>
      <c r="AN57" s="49" t="s">
        <v>30</v>
      </c>
      <c r="AO57" s="49"/>
      <c r="AP57" s="49" t="s">
        <v>30</v>
      </c>
      <c r="AQ57" s="49"/>
      <c r="AR57" s="49" t="s">
        <v>30</v>
      </c>
      <c r="BA57" s="49"/>
      <c r="BB57" s="49"/>
      <c r="BC57" s="49"/>
      <c r="BD57" s="49"/>
      <c r="BE57" s="49"/>
      <c r="BF57" s="49"/>
      <c r="BG57" s="49"/>
      <c r="BH57" s="48"/>
    </row>
    <row r="58" spans="2:60" ht="12.75">
      <c r="B58" s="19" t="s">
        <v>195</v>
      </c>
      <c r="C58" s="19"/>
      <c r="D58" s="19" t="s">
        <v>72</v>
      </c>
      <c r="E58" s="48"/>
      <c r="F58" s="48">
        <v>5989</v>
      </c>
      <c r="G58" s="48"/>
      <c r="H58" s="48">
        <v>5989</v>
      </c>
      <c r="I58" s="48"/>
      <c r="J58" s="48">
        <v>5962</v>
      </c>
      <c r="K58" s="48"/>
      <c r="L58" s="20">
        <v>5980</v>
      </c>
      <c r="M58" s="50"/>
      <c r="N58" s="52">
        <v>232.9</v>
      </c>
      <c r="O58" s="50"/>
      <c r="P58" s="52">
        <v>232.9</v>
      </c>
      <c r="Q58" s="50"/>
      <c r="R58" s="52">
        <v>232.9</v>
      </c>
      <c r="S58" s="50"/>
      <c r="T58" s="52">
        <v>232.9</v>
      </c>
      <c r="U58" s="52"/>
      <c r="V58" s="48"/>
      <c r="W58" s="52"/>
      <c r="X58" s="48"/>
      <c r="Y58" s="52"/>
      <c r="Z58" s="48"/>
      <c r="AA58" s="52"/>
      <c r="AB58" s="48"/>
      <c r="AC58" s="48"/>
      <c r="AD58" s="48">
        <v>45</v>
      </c>
      <c r="AE58" s="48"/>
      <c r="AF58" s="48">
        <v>45</v>
      </c>
      <c r="AG58" s="48"/>
      <c r="AH58" s="48">
        <v>45</v>
      </c>
      <c r="AI58" s="48"/>
      <c r="AJ58" s="48">
        <v>45</v>
      </c>
      <c r="AK58" s="48"/>
      <c r="AL58" s="48"/>
      <c r="AM58" s="48"/>
      <c r="AN58" s="48"/>
      <c r="AO58" s="48"/>
      <c r="AP58" s="48"/>
      <c r="AQ58" s="48"/>
      <c r="AR58" s="48"/>
      <c r="BA58" s="48"/>
      <c r="BB58" s="48"/>
      <c r="BC58" s="48"/>
      <c r="BD58" s="48"/>
      <c r="BE58" s="48"/>
      <c r="BF58" s="48"/>
      <c r="BG58" s="48"/>
      <c r="BH58" s="48"/>
    </row>
    <row r="59" spans="2:60" ht="12.75">
      <c r="B59" s="19" t="s">
        <v>61</v>
      </c>
      <c r="C59" s="19"/>
      <c r="D59" s="19" t="s">
        <v>62</v>
      </c>
      <c r="E59" s="48"/>
      <c r="F59" s="48">
        <v>2.2</v>
      </c>
      <c r="G59" s="48"/>
      <c r="H59" s="48">
        <v>2</v>
      </c>
      <c r="I59" s="48"/>
      <c r="J59" s="48">
        <v>2.1</v>
      </c>
      <c r="K59" s="48"/>
      <c r="L59" s="49">
        <v>2.1</v>
      </c>
      <c r="M59" s="50"/>
      <c r="N59" s="48"/>
      <c r="O59" s="50"/>
      <c r="P59" s="48"/>
      <c r="Q59" s="50"/>
      <c r="R59" s="48"/>
      <c r="S59" s="50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BA59" s="48"/>
      <c r="BB59" s="48"/>
      <c r="BC59" s="48"/>
      <c r="BD59" s="48"/>
      <c r="BE59" s="48"/>
      <c r="BF59" s="48"/>
      <c r="BG59" s="48"/>
      <c r="BH59" s="48"/>
    </row>
    <row r="60" spans="2:60" ht="12.75">
      <c r="B60" s="19" t="s">
        <v>57</v>
      </c>
      <c r="C60" s="19"/>
      <c r="D60" s="19" t="s">
        <v>58</v>
      </c>
      <c r="E60" s="48"/>
      <c r="F60" s="29">
        <v>6200</v>
      </c>
      <c r="G60" s="48"/>
      <c r="H60" s="29">
        <v>6100</v>
      </c>
      <c r="I60" s="48"/>
      <c r="J60" s="29">
        <v>6400</v>
      </c>
      <c r="K60" s="48"/>
      <c r="L60" s="20">
        <v>6233</v>
      </c>
      <c r="M60" s="50"/>
      <c r="N60" s="48"/>
      <c r="O60" s="50"/>
      <c r="P60" s="48"/>
      <c r="Q60" s="50"/>
      <c r="R60" s="48"/>
      <c r="S60" s="50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BA60" s="48"/>
      <c r="BB60" s="48"/>
      <c r="BC60" s="48"/>
      <c r="BD60" s="48"/>
      <c r="BE60" s="48"/>
      <c r="BF60" s="48"/>
      <c r="BG60" s="48"/>
      <c r="BH60" s="48"/>
    </row>
    <row r="61" spans="2:60" ht="12.75">
      <c r="B61" s="19" t="s">
        <v>74</v>
      </c>
      <c r="C61" s="19"/>
      <c r="D61" s="19" t="s">
        <v>75</v>
      </c>
      <c r="E61" s="50"/>
      <c r="F61" s="49">
        <v>11</v>
      </c>
      <c r="G61" s="49"/>
      <c r="H61" s="49">
        <v>11</v>
      </c>
      <c r="I61" s="49"/>
      <c r="J61" s="49">
        <v>11</v>
      </c>
      <c r="K61" s="50"/>
      <c r="L61" s="49">
        <v>11</v>
      </c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48"/>
      <c r="AE61" s="50"/>
      <c r="AF61" s="48"/>
      <c r="AG61" s="50"/>
      <c r="AH61" s="48"/>
      <c r="AI61" s="50"/>
      <c r="AJ61" s="48"/>
      <c r="AK61" s="48"/>
      <c r="AL61" s="48"/>
      <c r="AM61" s="48"/>
      <c r="AN61" s="48"/>
      <c r="AO61" s="48"/>
      <c r="AP61" s="48"/>
      <c r="AQ61" s="48"/>
      <c r="AR61" s="48"/>
      <c r="BA61" s="48"/>
      <c r="BB61" s="48"/>
      <c r="BC61" s="48"/>
      <c r="BD61" s="48"/>
      <c r="BE61" s="48"/>
      <c r="BF61" s="48"/>
      <c r="BG61" s="48"/>
      <c r="BH61" s="48"/>
    </row>
    <row r="62" spans="2:60" ht="12.75">
      <c r="B62" s="19" t="s">
        <v>59</v>
      </c>
      <c r="C62" s="19"/>
      <c r="D62" s="19" t="s">
        <v>72</v>
      </c>
      <c r="E62" s="50"/>
      <c r="F62" s="49">
        <v>0.1</v>
      </c>
      <c r="G62" s="49"/>
      <c r="H62" s="49">
        <v>0.093</v>
      </c>
      <c r="I62" s="49"/>
      <c r="J62" s="49">
        <v>0.11</v>
      </c>
      <c r="K62" s="50"/>
      <c r="L62" s="20">
        <v>0.101</v>
      </c>
      <c r="M62" s="50"/>
      <c r="N62" s="49"/>
      <c r="O62" s="50"/>
      <c r="P62" s="49"/>
      <c r="Q62" s="50"/>
      <c r="R62" s="49"/>
      <c r="S62" s="50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8"/>
      <c r="AE62" s="49"/>
      <c r="AF62" s="48"/>
      <c r="AG62" s="49"/>
      <c r="AH62" s="48"/>
      <c r="AI62" s="49"/>
      <c r="AJ62" s="48"/>
      <c r="AK62" s="48"/>
      <c r="AL62" s="48"/>
      <c r="AM62" s="48"/>
      <c r="AN62" s="48"/>
      <c r="AO62" s="48"/>
      <c r="AP62" s="48"/>
      <c r="AQ62" s="48"/>
      <c r="AR62" s="48"/>
      <c r="BA62" s="48"/>
      <c r="BB62" s="48"/>
      <c r="BC62" s="48"/>
      <c r="BD62" s="48"/>
      <c r="BE62" s="48"/>
      <c r="BF62" s="48"/>
      <c r="BG62" s="48"/>
      <c r="BH62" s="48"/>
    </row>
    <row r="63" spans="2:60" ht="12.75">
      <c r="B63" s="19" t="s">
        <v>60</v>
      </c>
      <c r="C63" s="19"/>
      <c r="D63" s="19" t="s">
        <v>72</v>
      </c>
      <c r="E63" s="50"/>
      <c r="F63" s="49">
        <v>3670</v>
      </c>
      <c r="G63" s="49"/>
      <c r="H63" s="49">
        <v>3650</v>
      </c>
      <c r="I63" s="49"/>
      <c r="J63" s="49">
        <v>3640</v>
      </c>
      <c r="K63" s="50"/>
      <c r="L63" s="20">
        <v>3653.3</v>
      </c>
      <c r="M63" s="50"/>
      <c r="N63" s="49">
        <v>56</v>
      </c>
      <c r="O63" s="50"/>
      <c r="P63" s="49">
        <v>56</v>
      </c>
      <c r="Q63" s="50"/>
      <c r="R63" s="49">
        <v>56</v>
      </c>
      <c r="S63" s="50"/>
      <c r="T63" s="49">
        <v>56</v>
      </c>
      <c r="U63" s="49"/>
      <c r="V63" s="49"/>
      <c r="W63" s="49"/>
      <c r="X63" s="49"/>
      <c r="Y63" s="49"/>
      <c r="Z63" s="49"/>
      <c r="AA63" s="49"/>
      <c r="AB63" s="49"/>
      <c r="AC63" s="49"/>
      <c r="AD63" s="48">
        <v>14.2</v>
      </c>
      <c r="AE63" s="49"/>
      <c r="AF63" s="48">
        <v>14.2</v>
      </c>
      <c r="AG63" s="49"/>
      <c r="AH63" s="48">
        <v>14.2</v>
      </c>
      <c r="AI63" s="49"/>
      <c r="AJ63" s="48">
        <v>14.2</v>
      </c>
      <c r="AK63" s="48"/>
      <c r="AL63" s="48"/>
      <c r="AM63" s="48"/>
      <c r="AN63" s="48"/>
      <c r="AO63" s="48"/>
      <c r="AP63" s="48"/>
      <c r="AQ63" s="48"/>
      <c r="AR63" s="48"/>
      <c r="BA63" s="48"/>
      <c r="BB63" s="48"/>
      <c r="BC63" s="48"/>
      <c r="BD63" s="48"/>
      <c r="BE63" s="48"/>
      <c r="BF63" s="48"/>
      <c r="BG63" s="48"/>
      <c r="BH63" s="48"/>
    </row>
    <row r="64" spans="2:60" ht="12.75">
      <c r="B64" s="19"/>
      <c r="C64" s="19"/>
      <c r="D64" s="19"/>
      <c r="E64" s="50"/>
      <c r="F64" s="50"/>
      <c r="G64" s="50"/>
      <c r="H64" s="50"/>
      <c r="I64" s="50"/>
      <c r="J64" s="50"/>
      <c r="K64" s="50"/>
      <c r="L64" s="49"/>
      <c r="M64" s="50"/>
      <c r="N64" s="50"/>
      <c r="O64" s="50"/>
      <c r="P64" s="50"/>
      <c r="Q64" s="50"/>
      <c r="R64" s="50"/>
      <c r="S64" s="50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8"/>
      <c r="AK64" s="48"/>
      <c r="AL64" s="48"/>
      <c r="AM64" s="48"/>
      <c r="AN64" s="48"/>
      <c r="AO64" s="48"/>
      <c r="AP64" s="48"/>
      <c r="AQ64" s="48"/>
      <c r="AR64" s="48"/>
      <c r="BA64" s="48"/>
      <c r="BB64" s="48"/>
      <c r="BC64" s="48"/>
      <c r="BD64" s="48"/>
      <c r="BE64" s="48"/>
      <c r="BF64" s="48"/>
      <c r="BG64" s="48"/>
      <c r="BH64" s="48"/>
    </row>
    <row r="65" spans="2:60" ht="12.75">
      <c r="B65" s="19" t="s">
        <v>112</v>
      </c>
      <c r="C65" s="19"/>
      <c r="D65" s="19" t="s">
        <v>22</v>
      </c>
      <c r="E65" s="50"/>
      <c r="F65" s="49">
        <f>emiss!G55</f>
        <v>16334</v>
      </c>
      <c r="G65" s="50"/>
      <c r="H65" s="49">
        <f>emiss!I55</f>
        <v>16439</v>
      </c>
      <c r="I65" s="50"/>
      <c r="J65" s="49">
        <f>emiss!K55</f>
        <v>16311</v>
      </c>
      <c r="K65" s="50"/>
      <c r="L65" s="20">
        <f>emiss!M55</f>
        <v>16361.333333333334</v>
      </c>
      <c r="M65" s="50"/>
      <c r="N65" s="50"/>
      <c r="O65" s="50"/>
      <c r="P65" s="50"/>
      <c r="Q65" s="50"/>
      <c r="R65" s="50"/>
      <c r="S65" s="50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8"/>
      <c r="AK65" s="48"/>
      <c r="AL65" s="48"/>
      <c r="AM65" s="48"/>
      <c r="AN65" s="48"/>
      <c r="AO65" s="48"/>
      <c r="AP65" s="48"/>
      <c r="AQ65" s="48"/>
      <c r="AR65" s="48"/>
      <c r="BA65" s="48"/>
      <c r="BB65" s="48"/>
      <c r="BC65" s="48"/>
      <c r="BD65" s="48"/>
      <c r="BE65" s="48"/>
      <c r="BF65" s="48"/>
      <c r="BG65" s="48"/>
      <c r="BH65" s="48"/>
    </row>
    <row r="66" spans="2:60" ht="12.75">
      <c r="B66" s="19" t="s">
        <v>113</v>
      </c>
      <c r="C66" s="19"/>
      <c r="D66" s="19" t="s">
        <v>23</v>
      </c>
      <c r="E66" s="50"/>
      <c r="F66" s="49">
        <f>emiss!G56</f>
        <v>6</v>
      </c>
      <c r="G66" s="50"/>
      <c r="H66" s="49">
        <f>emiss!I56</f>
        <v>5.9</v>
      </c>
      <c r="I66" s="50"/>
      <c r="J66" s="49">
        <f>emiss!K56</f>
        <v>5.9</v>
      </c>
      <c r="K66" s="50"/>
      <c r="L66" s="20">
        <f>emiss!M56</f>
        <v>5.933333333333334</v>
      </c>
      <c r="M66" s="50"/>
      <c r="N66" s="50"/>
      <c r="O66" s="50"/>
      <c r="P66" s="50"/>
      <c r="Q66" s="50"/>
      <c r="R66" s="50"/>
      <c r="S66" s="50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8"/>
      <c r="AK66" s="48"/>
      <c r="AL66" s="48"/>
      <c r="AM66" s="48"/>
      <c r="AN66" s="48"/>
      <c r="AO66" s="48"/>
      <c r="AP66" s="48"/>
      <c r="AQ66" s="48"/>
      <c r="AR66" s="48"/>
      <c r="BA66" s="48"/>
      <c r="BB66" s="48"/>
      <c r="BC66" s="48"/>
      <c r="BD66" s="48"/>
      <c r="BE66" s="48"/>
      <c r="BF66" s="48"/>
      <c r="BG66" s="48"/>
      <c r="BH66" s="48"/>
    </row>
    <row r="67" spans="2:60" ht="12.75">
      <c r="B67" s="19"/>
      <c r="C67" s="19"/>
      <c r="D67" s="19"/>
      <c r="E67" s="50"/>
      <c r="F67" s="50"/>
      <c r="G67" s="50"/>
      <c r="H67" s="50"/>
      <c r="I67" s="50"/>
      <c r="J67" s="50"/>
      <c r="K67" s="50"/>
      <c r="L67" s="49"/>
      <c r="M67" s="50"/>
      <c r="N67" s="50"/>
      <c r="O67" s="50"/>
      <c r="P67" s="50"/>
      <c r="Q67" s="50"/>
      <c r="R67" s="50"/>
      <c r="S67" s="50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8"/>
      <c r="AK67" s="48"/>
      <c r="AL67" s="48"/>
      <c r="AM67" s="48"/>
      <c r="AN67" s="48"/>
      <c r="AO67" s="48"/>
      <c r="AP67" s="48"/>
      <c r="AQ67" s="48"/>
      <c r="AR67" s="48"/>
      <c r="BA67" s="48"/>
      <c r="BB67" s="48"/>
      <c r="BC67" s="48"/>
      <c r="BD67" s="48"/>
      <c r="BE67" s="48"/>
      <c r="BF67" s="48"/>
      <c r="BG67" s="48"/>
      <c r="BH67" s="48"/>
    </row>
    <row r="68" spans="2:60" ht="12.75">
      <c r="B68" s="19" t="s">
        <v>194</v>
      </c>
      <c r="C68" s="19"/>
      <c r="D68" s="19" t="s">
        <v>100</v>
      </c>
      <c r="E68" s="50"/>
      <c r="F68" s="20">
        <f>(F58*F60)/1000000</f>
        <v>37.1318</v>
      </c>
      <c r="G68" s="50"/>
      <c r="H68" s="20">
        <f>(H58*H60)/1000000</f>
        <v>36.5329</v>
      </c>
      <c r="I68" s="50"/>
      <c r="J68" s="20">
        <f>(J58*J60)/1000000</f>
        <v>38.1568</v>
      </c>
      <c r="K68" s="50"/>
      <c r="L68" s="20">
        <f>(L58*L60)/1000000</f>
        <v>37.27334</v>
      </c>
      <c r="M68" s="50"/>
      <c r="N68" s="50"/>
      <c r="O68" s="50"/>
      <c r="P68" s="50"/>
      <c r="Q68" s="50"/>
      <c r="R68" s="50"/>
      <c r="S68" s="50"/>
      <c r="T68" s="49"/>
      <c r="U68" s="49"/>
      <c r="V68" s="49">
        <v>3.2</v>
      </c>
      <c r="W68" s="49"/>
      <c r="X68" s="49">
        <v>3.2</v>
      </c>
      <c r="Y68" s="49"/>
      <c r="Z68" s="49">
        <v>3.2</v>
      </c>
      <c r="AA68" s="49"/>
      <c r="AB68" s="49">
        <v>3.2</v>
      </c>
      <c r="AC68" s="49"/>
      <c r="AD68" s="49"/>
      <c r="AE68" s="49"/>
      <c r="AF68" s="49"/>
      <c r="AG68" s="49"/>
      <c r="AH68" s="49"/>
      <c r="AI68" s="49"/>
      <c r="AJ68" s="48"/>
      <c r="AK68" s="48"/>
      <c r="AL68" s="52">
        <f>SUM(V68,F68)</f>
        <v>40.3318</v>
      </c>
      <c r="AM68" s="48"/>
      <c r="AN68" s="52">
        <f>SUM(X68,H68)</f>
        <v>39.7329</v>
      </c>
      <c r="AO68" s="48"/>
      <c r="AP68" s="52">
        <f>SUM(Z68,J68)</f>
        <v>41.3568</v>
      </c>
      <c r="AQ68" s="48"/>
      <c r="AR68" s="52">
        <f>SUM(AB68,L68)</f>
        <v>40.47334</v>
      </c>
      <c r="BA68" s="52"/>
      <c r="BB68" s="52"/>
      <c r="BC68" s="52"/>
      <c r="BD68" s="52"/>
      <c r="BE68" s="52"/>
      <c r="BF68" s="52"/>
      <c r="BG68" s="52"/>
      <c r="BH68" s="48"/>
    </row>
    <row r="69" spans="2:60" ht="12.75">
      <c r="B69" s="19" t="s">
        <v>235</v>
      </c>
      <c r="C69" s="19"/>
      <c r="D69" s="19" t="s">
        <v>100</v>
      </c>
      <c r="E69" s="50"/>
      <c r="G69" s="50"/>
      <c r="I69" s="50"/>
      <c r="K69" s="50"/>
      <c r="L69" s="3"/>
      <c r="M69" s="50"/>
      <c r="N69" s="50"/>
      <c r="O69" s="50"/>
      <c r="P69" s="50"/>
      <c r="Q69" s="50"/>
      <c r="R69" s="50"/>
      <c r="S69" s="50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8"/>
      <c r="AK69" s="48"/>
      <c r="AL69" s="20">
        <f>(F65/9000)*((21-F66)/21)*60</f>
        <v>77.78095238095239</v>
      </c>
      <c r="AM69" s="48"/>
      <c r="AN69" s="20">
        <f>(H65/9000)*((21-H66)/21)*60</f>
        <v>78.80282539682538</v>
      </c>
      <c r="AO69" s="48"/>
      <c r="AP69" s="20">
        <f>(J65/9000)*((21-J66)/21)*60</f>
        <v>78.1892380952381</v>
      </c>
      <c r="AQ69" s="48"/>
      <c r="AR69" s="20">
        <f>(L65/9000)*((21-L66)/21)*60</f>
        <v>78.25738271604938</v>
      </c>
      <c r="BA69" s="20"/>
      <c r="BB69" s="20"/>
      <c r="BC69" s="20"/>
      <c r="BD69" s="20"/>
      <c r="BE69" s="20"/>
      <c r="BF69" s="20"/>
      <c r="BG69" s="20"/>
      <c r="BH69" s="48"/>
    </row>
    <row r="70" spans="2:60" ht="12.75">
      <c r="B70" s="19"/>
      <c r="C70" s="19"/>
      <c r="D70" s="19"/>
      <c r="E70" s="50"/>
      <c r="G70" s="50"/>
      <c r="I70" s="50"/>
      <c r="K70" s="50"/>
      <c r="L70" s="3"/>
      <c r="M70" s="50"/>
      <c r="N70" s="50"/>
      <c r="O70" s="50"/>
      <c r="P70" s="50"/>
      <c r="Q70" s="50"/>
      <c r="R70" s="50"/>
      <c r="S70" s="50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8"/>
      <c r="AK70" s="48"/>
      <c r="AL70" s="48"/>
      <c r="AM70" s="48"/>
      <c r="AN70" s="48"/>
      <c r="AO70" s="48"/>
      <c r="AP70" s="48"/>
      <c r="AQ70" s="48"/>
      <c r="AR70" s="20"/>
      <c r="BA70" s="20"/>
      <c r="BB70" s="20"/>
      <c r="BC70" s="20"/>
      <c r="BD70" s="20"/>
      <c r="BE70" s="20"/>
      <c r="BF70" s="20"/>
      <c r="BG70" s="20"/>
      <c r="BH70" s="48"/>
    </row>
    <row r="71" spans="2:60" ht="12.75">
      <c r="B71" s="72" t="s">
        <v>146</v>
      </c>
      <c r="C71" s="72"/>
      <c r="D71" s="19"/>
      <c r="E71" s="50"/>
      <c r="G71" s="50"/>
      <c r="I71" s="50"/>
      <c r="K71" s="50"/>
      <c r="L71" s="3"/>
      <c r="M71" s="50"/>
      <c r="N71" s="50"/>
      <c r="O71" s="50"/>
      <c r="P71" s="50"/>
      <c r="Q71" s="50"/>
      <c r="R71" s="50"/>
      <c r="S71" s="50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8"/>
      <c r="AK71" s="48"/>
      <c r="AL71" s="48"/>
      <c r="AM71" s="48"/>
      <c r="AN71" s="48"/>
      <c r="AO71" s="48"/>
      <c r="AP71" s="48"/>
      <c r="AQ71" s="48"/>
      <c r="AR71" s="20"/>
      <c r="BA71" s="20"/>
      <c r="BB71" s="20"/>
      <c r="BC71" s="20"/>
      <c r="BD71" s="20"/>
      <c r="BE71" s="20"/>
      <c r="BF71" s="20"/>
      <c r="BG71" s="20"/>
      <c r="BH71" s="48"/>
    </row>
    <row r="72" spans="2:60" ht="12.75">
      <c r="B72" s="19" t="s">
        <v>59</v>
      </c>
      <c r="C72" s="19"/>
      <c r="D72" s="19" t="s">
        <v>114</v>
      </c>
      <c r="E72" s="50"/>
      <c r="F72" s="20">
        <f>(F62*454/(F65*60*0.0283))*(14/(21-F66))*1000</f>
        <v>1.527785529678869</v>
      </c>
      <c r="G72" s="50"/>
      <c r="H72" s="20">
        <f>(H62*454/(H65*60*0.0283))*(14/(21-H66))*1000</f>
        <v>1.4024158401489764</v>
      </c>
      <c r="I72" s="50"/>
      <c r="J72" s="20">
        <f>(J62*454/(J65*60*0.0283))*(14/(21-J66))*1000</f>
        <v>1.6717885743594054</v>
      </c>
      <c r="K72" s="50"/>
      <c r="L72" s="20">
        <f>(L62*454/(L65*60*0.0283))*(14/(21-L66))*1000</f>
        <v>1.5336692271331016</v>
      </c>
      <c r="M72" s="50"/>
      <c r="N72" s="50"/>
      <c r="O72" s="50"/>
      <c r="P72" s="50"/>
      <c r="Q72" s="50"/>
      <c r="R72" s="50"/>
      <c r="S72" s="50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8"/>
      <c r="AK72" s="48"/>
      <c r="AL72" s="52">
        <f>SUM(AD72,N72,F72)</f>
        <v>1.527785529678869</v>
      </c>
      <c r="AM72" s="48"/>
      <c r="AN72" s="52">
        <f>SUM(AF72,P72,H72)</f>
        <v>1.4024158401489764</v>
      </c>
      <c r="AO72" s="48"/>
      <c r="AP72" s="52">
        <f>SUM(AH72,R72,J72)</f>
        <v>1.6717885743594054</v>
      </c>
      <c r="AQ72" s="48"/>
      <c r="AR72" s="52">
        <f>SUM(AJ72,T72,L72)</f>
        <v>1.5336692271331016</v>
      </c>
      <c r="BA72" s="48"/>
      <c r="BB72" s="48"/>
      <c r="BC72" s="48"/>
      <c r="BD72" s="48"/>
      <c r="BE72" s="48"/>
      <c r="BF72" s="48"/>
      <c r="BG72" s="48"/>
      <c r="BH72" s="48"/>
    </row>
    <row r="73" spans="2:60" ht="12.75">
      <c r="B73" s="19" t="s">
        <v>60</v>
      </c>
      <c r="C73" s="19"/>
      <c r="D73" s="19" t="s">
        <v>106</v>
      </c>
      <c r="E73" s="50"/>
      <c r="F73" s="21">
        <f>(F63*454/(F65*60*0.0283))*(14/(21-F66))*1000000</f>
        <v>56069728.939214475</v>
      </c>
      <c r="G73" s="50"/>
      <c r="H73" s="21">
        <f>(H63*454/(H65*60*0.0283))*(14/(21-H66))*1000000</f>
        <v>55041051.790793166</v>
      </c>
      <c r="I73" s="50"/>
      <c r="J73" s="21">
        <f>(J63*454/(J65*60*0.0283))*(14/(21-J66))*1000000</f>
        <v>55321003.7333476</v>
      </c>
      <c r="K73" s="50"/>
      <c r="L73" s="21">
        <f>(L63*454/(L65*60*0.0283))*(14/(21-L66))*1000000</f>
        <v>55474789.97510257</v>
      </c>
      <c r="M73" s="50"/>
      <c r="N73" s="21">
        <f>(N63*454/(F65*60*0.0283))*(14/(21-F66))*1000000</f>
        <v>855559.8966201664</v>
      </c>
      <c r="O73" s="50"/>
      <c r="P73" s="21">
        <f>(P63*454/(H65*60*0.0283))*(14/(21-H66))*1000000</f>
        <v>844465.452132717</v>
      </c>
      <c r="Q73" s="50"/>
      <c r="R73" s="21">
        <f>(R63*454/(J65*60*0.0283))*(14/(21-J66))*1000000</f>
        <v>851092.3651284247</v>
      </c>
      <c r="S73" s="50"/>
      <c r="T73" s="21">
        <f>(T63*454/(L65*60*0.0283))*(14/(21-L66))*1000000</f>
        <v>850351.2546480561</v>
      </c>
      <c r="U73" s="21"/>
      <c r="V73" s="21"/>
      <c r="W73" s="21"/>
      <c r="X73" s="21"/>
      <c r="Y73" s="21"/>
      <c r="Z73" s="21"/>
      <c r="AA73" s="21"/>
      <c r="AB73" s="49"/>
      <c r="AC73" s="49"/>
      <c r="AD73" s="21">
        <f>(AD63*454/(F65*60*0.0283))*(14/(21-F66))*1000000</f>
        <v>216945.5452143993</v>
      </c>
      <c r="AE73" s="49"/>
      <c r="AF73" s="21">
        <f>(AF63*454/(H65*60*0.0283))*(14/(21-H66))*1000000</f>
        <v>214132.31107651032</v>
      </c>
      <c r="AG73" s="49"/>
      <c r="AH73" s="21">
        <f>(AH63*454/(J65*60*0.0283))*(14/(21-J66))*1000000</f>
        <v>215812.7068718505</v>
      </c>
      <c r="AI73" s="49"/>
      <c r="AJ73" s="21">
        <f>(AJ63*454/(L65*60*0.0283))*(14/(21-L66))*1000000</f>
        <v>215624.78242861424</v>
      </c>
      <c r="AK73" s="21"/>
      <c r="AL73" s="52">
        <f>SUM(AD73,N73,F73)</f>
        <v>57142234.381049044</v>
      </c>
      <c r="AM73" s="21"/>
      <c r="AN73" s="52">
        <f>SUM(AF73,P73,H73)</f>
        <v>56099649.55400239</v>
      </c>
      <c r="AO73" s="21"/>
      <c r="AP73" s="52">
        <f>SUM(AH73,R73,J73)</f>
        <v>56387908.805347875</v>
      </c>
      <c r="AQ73" s="21"/>
      <c r="AR73" s="52">
        <f>SUM(AJ73,T73,L73)</f>
        <v>56540766.01217924</v>
      </c>
      <c r="BA73" s="48"/>
      <c r="BB73" s="48"/>
      <c r="BC73" s="48"/>
      <c r="BD73" s="48"/>
      <c r="BE73" s="48"/>
      <c r="BF73" s="48"/>
      <c r="BG73" s="48"/>
      <c r="BH73" s="48"/>
    </row>
    <row r="74" spans="2:60" ht="12.75">
      <c r="B74" s="19"/>
      <c r="C74" s="19"/>
      <c r="D74" s="19"/>
      <c r="E74" s="50"/>
      <c r="F74" s="50"/>
      <c r="G74" s="50"/>
      <c r="H74" s="50"/>
      <c r="I74" s="50"/>
      <c r="J74" s="50"/>
      <c r="K74" s="50"/>
      <c r="L74" s="49"/>
      <c r="M74" s="50"/>
      <c r="N74" s="50"/>
      <c r="O74" s="50"/>
      <c r="P74" s="50"/>
      <c r="Q74" s="50"/>
      <c r="R74" s="50"/>
      <c r="S74" s="50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8"/>
      <c r="AK74" s="48"/>
      <c r="AL74" s="48"/>
      <c r="AM74" s="48"/>
      <c r="AN74" s="48"/>
      <c r="AO74" s="48"/>
      <c r="AP74" s="48"/>
      <c r="AQ74" s="48"/>
      <c r="AR74" s="48"/>
      <c r="BA74" s="48"/>
      <c r="BB74" s="48"/>
      <c r="BC74" s="48"/>
      <c r="BD74" s="48"/>
      <c r="BE74" s="48"/>
      <c r="BF74" s="48"/>
      <c r="BG74" s="48"/>
      <c r="BH74" s="48"/>
    </row>
    <row r="75" spans="2:60" ht="12.75">
      <c r="B75" s="19"/>
      <c r="C75" s="19"/>
      <c r="D75" s="19"/>
      <c r="E75" s="50"/>
      <c r="F75" s="50"/>
      <c r="G75" s="50"/>
      <c r="H75" s="50"/>
      <c r="I75" s="50"/>
      <c r="J75" s="50"/>
      <c r="K75" s="50"/>
      <c r="L75" s="49"/>
      <c r="M75" s="50"/>
      <c r="N75" s="50"/>
      <c r="O75" s="50"/>
      <c r="P75" s="50"/>
      <c r="Q75" s="50"/>
      <c r="R75" s="50"/>
      <c r="S75" s="50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8"/>
      <c r="AK75" s="48"/>
      <c r="AL75" s="48"/>
      <c r="AM75" s="48"/>
      <c r="AN75" s="48"/>
      <c r="AO75" s="48"/>
      <c r="AP75" s="48"/>
      <c r="AQ75" s="48"/>
      <c r="AR75" s="48"/>
      <c r="BA75" s="48"/>
      <c r="BB75" s="48"/>
      <c r="BC75" s="48"/>
      <c r="BD75" s="48"/>
      <c r="BE75" s="48"/>
      <c r="BF75" s="48"/>
      <c r="BG75" s="48"/>
      <c r="BH75" s="48"/>
    </row>
    <row r="76" spans="2:60" ht="12.75">
      <c r="B76" s="19"/>
      <c r="C76" s="19"/>
      <c r="D76" s="19"/>
      <c r="E76" s="50"/>
      <c r="F76" s="50"/>
      <c r="G76" s="50"/>
      <c r="H76" s="50"/>
      <c r="I76" s="50"/>
      <c r="J76" s="50"/>
      <c r="K76" s="50"/>
      <c r="L76" s="49"/>
      <c r="M76" s="50"/>
      <c r="N76" s="50"/>
      <c r="O76" s="50"/>
      <c r="P76" s="50"/>
      <c r="Q76" s="50"/>
      <c r="R76" s="50"/>
      <c r="S76" s="50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</row>
    <row r="77" spans="1:60" ht="12.75">
      <c r="A77" s="3" t="s">
        <v>193</v>
      </c>
      <c r="B77" s="47" t="s">
        <v>191</v>
      </c>
      <c r="C77" s="47" t="s">
        <v>192</v>
      </c>
      <c r="D77" s="19"/>
      <c r="E77" s="50"/>
      <c r="F77" s="50" t="s">
        <v>208</v>
      </c>
      <c r="G77" s="50"/>
      <c r="H77" s="50" t="s">
        <v>209</v>
      </c>
      <c r="I77" s="50"/>
      <c r="J77" s="50" t="s">
        <v>210</v>
      </c>
      <c r="K77" s="50"/>
      <c r="L77" s="4" t="s">
        <v>54</v>
      </c>
      <c r="M77" s="50"/>
      <c r="N77" s="50" t="s">
        <v>208</v>
      </c>
      <c r="O77" s="50"/>
      <c r="P77" s="50" t="s">
        <v>209</v>
      </c>
      <c r="Q77" s="50"/>
      <c r="R77" s="50" t="s">
        <v>210</v>
      </c>
      <c r="S77" s="50"/>
      <c r="T77" s="4" t="s">
        <v>54</v>
      </c>
      <c r="U77" s="49"/>
      <c r="V77" s="50" t="s">
        <v>208</v>
      </c>
      <c r="W77" s="50"/>
      <c r="X77" s="50" t="s">
        <v>209</v>
      </c>
      <c r="Y77" s="50"/>
      <c r="Z77" s="50" t="s">
        <v>210</v>
      </c>
      <c r="AA77" s="50"/>
      <c r="AB77" s="4" t="s">
        <v>54</v>
      </c>
      <c r="AC77" s="49"/>
      <c r="AD77" s="50" t="s">
        <v>208</v>
      </c>
      <c r="AE77" s="50"/>
      <c r="AF77" s="50" t="s">
        <v>209</v>
      </c>
      <c r="AG77" s="50"/>
      <c r="AH77" s="50" t="s">
        <v>210</v>
      </c>
      <c r="AI77" s="50"/>
      <c r="AJ77" s="4" t="s">
        <v>54</v>
      </c>
      <c r="AK77" s="50"/>
      <c r="AL77" s="50" t="s">
        <v>208</v>
      </c>
      <c r="AM77" s="50"/>
      <c r="AN77" s="50" t="s">
        <v>209</v>
      </c>
      <c r="AO77" s="50"/>
      <c r="AP77" s="50" t="s">
        <v>210</v>
      </c>
      <c r="AQ77" s="50"/>
      <c r="AR77" s="4" t="s">
        <v>54</v>
      </c>
      <c r="AS77" s="48"/>
      <c r="AT77" s="50" t="s">
        <v>208</v>
      </c>
      <c r="AU77" s="50"/>
      <c r="AV77" s="50" t="s">
        <v>209</v>
      </c>
      <c r="AW77" s="50"/>
      <c r="AX77" s="50" t="s">
        <v>210</v>
      </c>
      <c r="AY77" s="50"/>
      <c r="AZ77" s="4" t="s">
        <v>54</v>
      </c>
      <c r="BA77" s="48"/>
      <c r="BB77" s="48"/>
      <c r="BC77" s="48"/>
      <c r="BD77" s="48"/>
      <c r="BE77" s="48"/>
      <c r="BF77" s="48"/>
      <c r="BG77" s="48"/>
      <c r="BH77" s="48"/>
    </row>
    <row r="78" spans="2:60" ht="12.75">
      <c r="B78" s="47"/>
      <c r="C78" s="47"/>
      <c r="D78" s="19"/>
      <c r="E78" s="50"/>
      <c r="F78" s="50"/>
      <c r="G78" s="50"/>
      <c r="H78" s="50"/>
      <c r="I78" s="50"/>
      <c r="J78" s="50"/>
      <c r="K78" s="50"/>
      <c r="L78" s="4"/>
      <c r="M78" s="50"/>
      <c r="N78" s="50"/>
      <c r="O78" s="50"/>
      <c r="P78" s="50"/>
      <c r="Q78" s="50"/>
      <c r="R78" s="50"/>
      <c r="S78" s="50"/>
      <c r="T78" s="4"/>
      <c r="U78" s="49"/>
      <c r="V78" s="49"/>
      <c r="W78" s="49"/>
      <c r="X78" s="49"/>
      <c r="Y78" s="49"/>
      <c r="Z78" s="49"/>
      <c r="AA78" s="49"/>
      <c r="AB78" s="49"/>
      <c r="AC78" s="49"/>
      <c r="AD78" s="50"/>
      <c r="AE78" s="50"/>
      <c r="AF78" s="50"/>
      <c r="AG78" s="50"/>
      <c r="AH78" s="50"/>
      <c r="AI78" s="50"/>
      <c r="AJ78" s="4"/>
      <c r="AK78" s="50"/>
      <c r="AL78" s="50"/>
      <c r="AM78" s="50"/>
      <c r="AN78" s="50"/>
      <c r="AO78" s="50"/>
      <c r="AP78" s="50"/>
      <c r="AQ78" s="50"/>
      <c r="AR78" s="4"/>
      <c r="AS78" s="48"/>
      <c r="AT78" s="50"/>
      <c r="AU78" s="50"/>
      <c r="AV78" s="50"/>
      <c r="AW78" s="50"/>
      <c r="AX78" s="50"/>
      <c r="AY78" s="50"/>
      <c r="AZ78" s="4"/>
      <c r="BA78" s="48"/>
      <c r="BB78" s="48"/>
      <c r="BC78" s="48"/>
      <c r="BD78" s="48"/>
      <c r="BE78" s="48"/>
      <c r="BF78" s="48"/>
      <c r="BG78" s="48"/>
      <c r="BH78" s="48"/>
    </row>
    <row r="79" spans="2:60" ht="12.75">
      <c r="B79" s="19" t="s">
        <v>222</v>
      </c>
      <c r="C79" s="19"/>
      <c r="D79" s="19"/>
      <c r="E79" s="48"/>
      <c r="F79" s="50" t="s">
        <v>224</v>
      </c>
      <c r="G79" s="50"/>
      <c r="H79" s="50" t="s">
        <v>224</v>
      </c>
      <c r="I79" s="50"/>
      <c r="J79" s="50" t="s">
        <v>224</v>
      </c>
      <c r="K79" s="50"/>
      <c r="L79" s="50" t="s">
        <v>224</v>
      </c>
      <c r="M79" s="50"/>
      <c r="N79" s="50" t="s">
        <v>225</v>
      </c>
      <c r="O79" s="50"/>
      <c r="P79" s="50" t="s">
        <v>225</v>
      </c>
      <c r="Q79" s="50"/>
      <c r="R79" s="50" t="s">
        <v>225</v>
      </c>
      <c r="S79" s="50"/>
      <c r="T79" s="50" t="s">
        <v>225</v>
      </c>
      <c r="U79" s="49"/>
      <c r="V79" s="49"/>
      <c r="W79" s="49"/>
      <c r="X79" s="49"/>
      <c r="Y79" s="49"/>
      <c r="Z79" s="49"/>
      <c r="AA79" s="49"/>
      <c r="AB79" s="49"/>
      <c r="AC79" s="49"/>
      <c r="AD79" s="50" t="s">
        <v>226</v>
      </c>
      <c r="AE79" s="50"/>
      <c r="AF79" s="50" t="s">
        <v>226</v>
      </c>
      <c r="AG79" s="50"/>
      <c r="AH79" s="50" t="s">
        <v>226</v>
      </c>
      <c r="AI79" s="50"/>
      <c r="AJ79" s="50" t="s">
        <v>226</v>
      </c>
      <c r="AK79" s="48"/>
      <c r="AL79" s="50" t="s">
        <v>227</v>
      </c>
      <c r="AM79" s="50"/>
      <c r="AN79" s="50" t="s">
        <v>227</v>
      </c>
      <c r="AO79" s="50"/>
      <c r="AP79" s="50" t="s">
        <v>227</v>
      </c>
      <c r="AQ79" s="50"/>
      <c r="AR79" s="50" t="s">
        <v>227</v>
      </c>
      <c r="AS79" s="48"/>
      <c r="AT79" s="50" t="s">
        <v>228</v>
      </c>
      <c r="AU79" s="50"/>
      <c r="AV79" s="50" t="s">
        <v>228</v>
      </c>
      <c r="AW79" s="50"/>
      <c r="AX79" s="50" t="s">
        <v>228</v>
      </c>
      <c r="AY79" s="50"/>
      <c r="AZ79" s="50" t="s">
        <v>228</v>
      </c>
      <c r="BA79" s="48"/>
      <c r="BB79" s="48"/>
      <c r="BC79" s="48"/>
      <c r="BD79" s="48"/>
      <c r="BE79" s="48"/>
      <c r="BF79" s="48"/>
      <c r="BG79" s="48"/>
      <c r="BH79" s="48"/>
    </row>
    <row r="80" spans="2:60" ht="12.75">
      <c r="B80" s="19" t="s">
        <v>223</v>
      </c>
      <c r="C80" s="19"/>
      <c r="D80" s="19"/>
      <c r="E80" s="50"/>
      <c r="F80" s="50" t="s">
        <v>230</v>
      </c>
      <c r="G80" s="50"/>
      <c r="H80" s="50" t="s">
        <v>230</v>
      </c>
      <c r="I80" s="50"/>
      <c r="J80" s="50" t="s">
        <v>230</v>
      </c>
      <c r="K80" s="50"/>
      <c r="L80" s="50" t="s">
        <v>230</v>
      </c>
      <c r="M80" s="50"/>
      <c r="N80" s="50" t="s">
        <v>230</v>
      </c>
      <c r="O80" s="50"/>
      <c r="P80" s="50" t="s">
        <v>230</v>
      </c>
      <c r="Q80" s="50"/>
      <c r="R80" s="50" t="s">
        <v>230</v>
      </c>
      <c r="S80" s="50"/>
      <c r="T80" s="50" t="s">
        <v>230</v>
      </c>
      <c r="U80" s="49"/>
      <c r="V80" s="49"/>
      <c r="W80" s="49"/>
      <c r="X80" s="49"/>
      <c r="Y80" s="49"/>
      <c r="Z80" s="49"/>
      <c r="AA80" s="49"/>
      <c r="AB80" s="49"/>
      <c r="AC80" s="49"/>
      <c r="AD80" s="49" t="s">
        <v>231</v>
      </c>
      <c r="AE80" s="49"/>
      <c r="AF80" s="49" t="s">
        <v>231</v>
      </c>
      <c r="AG80" s="49"/>
      <c r="AH80" s="49" t="s">
        <v>231</v>
      </c>
      <c r="AI80" s="49"/>
      <c r="AJ80" s="49" t="s">
        <v>231</v>
      </c>
      <c r="AK80" s="50"/>
      <c r="AL80" s="50" t="s">
        <v>232</v>
      </c>
      <c r="AM80" s="50"/>
      <c r="AN80" s="50" t="s">
        <v>232</v>
      </c>
      <c r="AO80" s="50"/>
      <c r="AP80" s="50" t="s">
        <v>232</v>
      </c>
      <c r="AQ80" s="50"/>
      <c r="AR80" s="50" t="s">
        <v>232</v>
      </c>
      <c r="AS80" s="48"/>
      <c r="AT80" s="50" t="s">
        <v>30</v>
      </c>
      <c r="AU80" s="48"/>
      <c r="AV80" s="50" t="s">
        <v>30</v>
      </c>
      <c r="AW80" s="48"/>
      <c r="AX80" s="50" t="s">
        <v>30</v>
      </c>
      <c r="AY80" s="48"/>
      <c r="AZ80" s="50" t="s">
        <v>30</v>
      </c>
      <c r="BA80" s="48"/>
      <c r="BB80" s="48"/>
      <c r="BC80" s="48"/>
      <c r="BD80" s="48"/>
      <c r="BE80" s="48"/>
      <c r="BF80" s="48"/>
      <c r="BG80" s="48"/>
      <c r="BH80" s="48"/>
    </row>
    <row r="81" spans="2:60" ht="12.75">
      <c r="B81" s="19" t="s">
        <v>234</v>
      </c>
      <c r="C81" s="19"/>
      <c r="D81" s="19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49"/>
      <c r="V81" s="49" t="s">
        <v>117</v>
      </c>
      <c r="W81" s="49"/>
      <c r="X81" s="49" t="s">
        <v>117</v>
      </c>
      <c r="Y81" s="49"/>
      <c r="Z81" s="49" t="s">
        <v>117</v>
      </c>
      <c r="AA81" s="49"/>
      <c r="AB81" s="49" t="s">
        <v>117</v>
      </c>
      <c r="AC81" s="49"/>
      <c r="AD81" s="49" t="s">
        <v>233</v>
      </c>
      <c r="AE81" s="49"/>
      <c r="AF81" s="49" t="s">
        <v>233</v>
      </c>
      <c r="AG81" s="49"/>
      <c r="AH81" s="49" t="s">
        <v>233</v>
      </c>
      <c r="AI81" s="49"/>
      <c r="AJ81" s="49" t="s">
        <v>233</v>
      </c>
      <c r="AK81" s="50"/>
      <c r="AL81" s="50"/>
      <c r="AM81" s="50"/>
      <c r="AN81" s="50"/>
      <c r="AO81" s="50"/>
      <c r="AP81" s="50"/>
      <c r="AQ81" s="50"/>
      <c r="AR81" s="50"/>
      <c r="AS81" s="48"/>
      <c r="AT81" s="50" t="s">
        <v>30</v>
      </c>
      <c r="AU81" s="48"/>
      <c r="AV81" s="50" t="s">
        <v>30</v>
      </c>
      <c r="AW81" s="48"/>
      <c r="AX81" s="50" t="s">
        <v>30</v>
      </c>
      <c r="AY81" s="48"/>
      <c r="AZ81" s="50" t="s">
        <v>30</v>
      </c>
      <c r="BA81" s="48"/>
      <c r="BB81" s="48"/>
      <c r="BC81" s="48"/>
      <c r="BD81" s="48"/>
      <c r="BE81" s="48"/>
      <c r="BF81" s="48"/>
      <c r="BG81" s="48"/>
      <c r="BH81" s="48"/>
    </row>
    <row r="82" spans="2:60" ht="12.75">
      <c r="B82" s="19" t="s">
        <v>55</v>
      </c>
      <c r="C82" s="19"/>
      <c r="D82" s="19"/>
      <c r="E82" s="48"/>
      <c r="F82" s="49" t="s">
        <v>99</v>
      </c>
      <c r="G82" s="48"/>
      <c r="H82" s="49" t="s">
        <v>99</v>
      </c>
      <c r="I82" s="48"/>
      <c r="J82" s="49" t="s">
        <v>99</v>
      </c>
      <c r="K82" s="48"/>
      <c r="L82" s="49" t="s">
        <v>99</v>
      </c>
      <c r="M82" s="50"/>
      <c r="N82" s="49" t="s">
        <v>96</v>
      </c>
      <c r="O82" s="50"/>
      <c r="P82" s="49" t="s">
        <v>96</v>
      </c>
      <c r="Q82" s="50"/>
      <c r="R82" s="49" t="s">
        <v>96</v>
      </c>
      <c r="S82" s="50"/>
      <c r="T82" s="49" t="s">
        <v>96</v>
      </c>
      <c r="U82" s="49"/>
      <c r="V82" s="49"/>
      <c r="W82" s="49"/>
      <c r="X82" s="49"/>
      <c r="Y82" s="49"/>
      <c r="Z82" s="49"/>
      <c r="AA82" s="49"/>
      <c r="AB82" s="49"/>
      <c r="AC82" s="49"/>
      <c r="AD82" s="49" t="s">
        <v>82</v>
      </c>
      <c r="AE82" s="49"/>
      <c r="AF82" s="49" t="s">
        <v>82</v>
      </c>
      <c r="AG82" s="49"/>
      <c r="AH82" s="49" t="s">
        <v>82</v>
      </c>
      <c r="AI82" s="49"/>
      <c r="AJ82" s="49" t="s">
        <v>82</v>
      </c>
      <c r="AK82" s="49"/>
      <c r="AL82" s="49" t="s">
        <v>145</v>
      </c>
      <c r="AM82" s="49"/>
      <c r="AN82" s="49" t="s">
        <v>145</v>
      </c>
      <c r="AO82" s="49"/>
      <c r="AP82" s="49" t="s">
        <v>145</v>
      </c>
      <c r="AQ82" s="49"/>
      <c r="AR82" s="49" t="s">
        <v>145</v>
      </c>
      <c r="AS82" s="49"/>
      <c r="AT82" s="49" t="s">
        <v>30</v>
      </c>
      <c r="AU82" s="49"/>
      <c r="AV82" s="49" t="s">
        <v>30</v>
      </c>
      <c r="AW82" s="49"/>
      <c r="AX82" s="49" t="s">
        <v>30</v>
      </c>
      <c r="AY82" s="49"/>
      <c r="AZ82" s="49" t="s">
        <v>30</v>
      </c>
      <c r="BA82" s="49"/>
      <c r="BB82" s="49"/>
      <c r="BC82" s="49"/>
      <c r="BD82" s="49"/>
      <c r="BE82" s="49"/>
      <c r="BF82" s="49"/>
      <c r="BG82" s="49"/>
      <c r="BH82" s="48"/>
    </row>
    <row r="83" spans="2:60" ht="12.75">
      <c r="B83" s="19" t="s">
        <v>195</v>
      </c>
      <c r="C83" s="19"/>
      <c r="D83" s="19" t="s">
        <v>72</v>
      </c>
      <c r="E83" s="48"/>
      <c r="F83" s="48">
        <v>2476</v>
      </c>
      <c r="G83" s="48"/>
      <c r="H83" s="48">
        <v>2477</v>
      </c>
      <c r="I83" s="48"/>
      <c r="J83" s="48">
        <v>2475</v>
      </c>
      <c r="K83" s="48"/>
      <c r="L83" s="20">
        <v>2476</v>
      </c>
      <c r="M83" s="50"/>
      <c r="N83" s="49">
        <v>2806</v>
      </c>
      <c r="O83" s="49"/>
      <c r="P83" s="49">
        <v>2804</v>
      </c>
      <c r="Q83" s="49"/>
      <c r="R83" s="49">
        <v>2805</v>
      </c>
      <c r="S83" s="50"/>
      <c r="T83" s="52">
        <v>2805</v>
      </c>
      <c r="U83" s="52"/>
      <c r="V83" s="52"/>
      <c r="W83" s="52"/>
      <c r="X83" s="52"/>
      <c r="Y83" s="52"/>
      <c r="Z83" s="52"/>
      <c r="AA83" s="52"/>
      <c r="AB83" s="52"/>
      <c r="AC83" s="52"/>
      <c r="AD83" s="48">
        <v>215.4</v>
      </c>
      <c r="AE83" s="52"/>
      <c r="AF83" s="48">
        <v>215.4</v>
      </c>
      <c r="AG83" s="52"/>
      <c r="AH83" s="48">
        <v>215.4</v>
      </c>
      <c r="AI83" s="52"/>
      <c r="AJ83" s="48">
        <v>215.4</v>
      </c>
      <c r="AK83" s="48"/>
      <c r="AL83" s="52"/>
      <c r="AM83" s="48"/>
      <c r="AN83" s="52"/>
      <c r="AO83" s="48"/>
      <c r="AP83" s="52"/>
      <c r="AQ83" s="48"/>
      <c r="AR83" s="52"/>
      <c r="AS83" s="52"/>
      <c r="AT83" s="52"/>
      <c r="AU83" s="52"/>
      <c r="AV83" s="52"/>
      <c r="AW83" s="52"/>
      <c r="AX83" s="52"/>
      <c r="AY83" s="52"/>
      <c r="AZ83" s="48"/>
      <c r="BA83" s="48"/>
      <c r="BB83" s="48"/>
      <c r="BC83" s="48"/>
      <c r="BD83" s="48"/>
      <c r="BE83" s="48"/>
      <c r="BF83" s="48"/>
      <c r="BG83" s="48"/>
      <c r="BH83" s="48"/>
    </row>
    <row r="84" spans="2:60" ht="12.75">
      <c r="B84" s="19" t="s">
        <v>61</v>
      </c>
      <c r="C84" s="19"/>
      <c r="D84" s="19" t="s">
        <v>62</v>
      </c>
      <c r="E84" s="48"/>
      <c r="F84" s="48">
        <v>1.7</v>
      </c>
      <c r="G84" s="48"/>
      <c r="H84" s="48">
        <v>1.8</v>
      </c>
      <c r="I84" s="48"/>
      <c r="J84" s="48">
        <v>1.6</v>
      </c>
      <c r="K84" s="48"/>
      <c r="L84" s="49">
        <v>1.7</v>
      </c>
      <c r="M84" s="50"/>
      <c r="N84" s="49">
        <v>2</v>
      </c>
      <c r="O84" s="49"/>
      <c r="P84" s="49">
        <v>2.1</v>
      </c>
      <c r="Q84" s="49"/>
      <c r="R84" s="49">
        <v>2.1</v>
      </c>
      <c r="S84" s="50"/>
      <c r="T84" s="48">
        <v>2.07</v>
      </c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</row>
    <row r="85" spans="2:60" ht="12.75">
      <c r="B85" s="19" t="s">
        <v>57</v>
      </c>
      <c r="C85" s="19"/>
      <c r="D85" s="19" t="s">
        <v>58</v>
      </c>
      <c r="E85" s="48"/>
      <c r="F85" s="48">
        <v>7050</v>
      </c>
      <c r="G85" s="48"/>
      <c r="H85" s="48">
        <v>6970</v>
      </c>
      <c r="I85" s="48"/>
      <c r="J85" s="48">
        <v>7140</v>
      </c>
      <c r="K85" s="48"/>
      <c r="L85" s="49">
        <v>7053.3</v>
      </c>
      <c r="M85" s="50"/>
      <c r="N85" s="49">
        <v>6320</v>
      </c>
      <c r="O85" s="49"/>
      <c r="P85" s="49">
        <v>6270</v>
      </c>
      <c r="Q85" s="49"/>
      <c r="R85" s="49">
        <v>6360</v>
      </c>
      <c r="S85" s="50"/>
      <c r="T85" s="48">
        <v>6316.7</v>
      </c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</row>
    <row r="86" spans="2:60" ht="12.75">
      <c r="B86" s="19" t="s">
        <v>74</v>
      </c>
      <c r="C86" s="19"/>
      <c r="D86" s="19" t="s">
        <v>75</v>
      </c>
      <c r="E86" s="48"/>
      <c r="F86" s="29">
        <v>10.8</v>
      </c>
      <c r="G86" s="48"/>
      <c r="H86" s="29">
        <v>10.8</v>
      </c>
      <c r="I86" s="48"/>
      <c r="J86" s="29">
        <v>10.8</v>
      </c>
      <c r="K86" s="48"/>
      <c r="L86" s="49">
        <v>10.8</v>
      </c>
      <c r="M86" s="50"/>
      <c r="N86" s="49">
        <v>11</v>
      </c>
      <c r="O86" s="49"/>
      <c r="P86" s="49">
        <v>11</v>
      </c>
      <c r="Q86" s="49"/>
      <c r="R86" s="49">
        <v>11</v>
      </c>
      <c r="S86" s="50"/>
      <c r="T86" s="48">
        <v>11</v>
      </c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</row>
    <row r="87" spans="2:60" ht="12.75">
      <c r="B87" s="19" t="s">
        <v>59</v>
      </c>
      <c r="C87" s="19"/>
      <c r="D87" s="19" t="s">
        <v>72</v>
      </c>
      <c r="E87" s="48"/>
      <c r="F87" s="29">
        <v>1.14</v>
      </c>
      <c r="G87" s="48"/>
      <c r="H87" s="29">
        <v>0.357</v>
      </c>
      <c r="I87" s="48"/>
      <c r="J87" s="29">
        <v>0.252</v>
      </c>
      <c r="K87" s="48"/>
      <c r="L87" s="53">
        <v>0.583</v>
      </c>
      <c r="M87" s="50"/>
      <c r="N87" s="49">
        <v>0.528</v>
      </c>
      <c r="O87" s="49"/>
      <c r="P87" s="49">
        <v>0.0729</v>
      </c>
      <c r="Q87" s="49"/>
      <c r="R87" s="49">
        <v>0.861</v>
      </c>
      <c r="S87" s="50"/>
      <c r="T87" s="49">
        <v>0.487</v>
      </c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</row>
    <row r="88" spans="2:60" ht="12.75">
      <c r="B88" s="19" t="s">
        <v>60</v>
      </c>
      <c r="C88" s="19"/>
      <c r="D88" s="19" t="s">
        <v>72</v>
      </c>
      <c r="E88" s="48"/>
      <c r="F88" s="29">
        <v>1500</v>
      </c>
      <c r="G88" s="48"/>
      <c r="H88" s="29">
        <v>1530</v>
      </c>
      <c r="I88" s="48"/>
      <c r="J88" s="29">
        <v>1520</v>
      </c>
      <c r="K88" s="48"/>
      <c r="L88" s="20">
        <v>1516.7</v>
      </c>
      <c r="M88" s="50"/>
      <c r="N88" s="49">
        <v>1700</v>
      </c>
      <c r="O88" s="49"/>
      <c r="P88" s="49">
        <v>1690</v>
      </c>
      <c r="Q88" s="49"/>
      <c r="R88" s="49">
        <v>1670</v>
      </c>
      <c r="S88" s="50"/>
      <c r="T88" s="52">
        <v>1686.7</v>
      </c>
      <c r="U88" s="52"/>
      <c r="V88" s="52"/>
      <c r="W88" s="52"/>
      <c r="X88" s="52"/>
      <c r="Y88" s="52"/>
      <c r="Z88" s="52"/>
      <c r="AA88" s="52"/>
      <c r="AB88" s="52"/>
      <c r="AC88" s="52"/>
      <c r="AD88" s="48">
        <v>51.7</v>
      </c>
      <c r="AE88" s="52"/>
      <c r="AF88" s="48">
        <v>51.7</v>
      </c>
      <c r="AG88" s="52"/>
      <c r="AH88" s="48">
        <v>51.7</v>
      </c>
      <c r="AI88" s="52"/>
      <c r="AJ88" s="48">
        <v>51.7</v>
      </c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</row>
    <row r="89" spans="2:60" ht="12.75">
      <c r="B89" s="19" t="s">
        <v>157</v>
      </c>
      <c r="C89" s="19"/>
      <c r="D89" s="19" t="s">
        <v>56</v>
      </c>
      <c r="E89" s="48"/>
      <c r="F89" s="29">
        <v>0.0978</v>
      </c>
      <c r="G89" s="48"/>
      <c r="H89" s="29">
        <v>0.111</v>
      </c>
      <c r="I89" s="48" t="s">
        <v>34</v>
      </c>
      <c r="J89" s="29">
        <v>0.027</v>
      </c>
      <c r="K89" s="48"/>
      <c r="L89" s="53">
        <v>0.079</v>
      </c>
      <c r="M89" s="50" t="s">
        <v>34</v>
      </c>
      <c r="N89" s="49">
        <v>0.03</v>
      </c>
      <c r="O89" s="50" t="s">
        <v>34</v>
      </c>
      <c r="P89" s="49">
        <v>0.03</v>
      </c>
      <c r="Q89" s="50" t="s">
        <v>34</v>
      </c>
      <c r="R89" s="49">
        <v>0.03</v>
      </c>
      <c r="S89" s="50"/>
      <c r="T89" s="48">
        <v>0.03</v>
      </c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</row>
    <row r="90" spans="2:60" ht="12.75">
      <c r="B90" s="19" t="s">
        <v>158</v>
      </c>
      <c r="C90" s="19"/>
      <c r="D90" s="19" t="s">
        <v>56</v>
      </c>
      <c r="E90" s="48"/>
      <c r="F90" s="29">
        <v>2.25</v>
      </c>
      <c r="G90" s="48" t="s">
        <v>34</v>
      </c>
      <c r="H90" s="29">
        <v>0.22</v>
      </c>
      <c r="I90" s="48" t="s">
        <v>34</v>
      </c>
      <c r="J90" s="29">
        <v>0.22</v>
      </c>
      <c r="K90" s="48"/>
      <c r="L90" s="53">
        <v>0.897</v>
      </c>
      <c r="M90" s="50" t="s">
        <v>34</v>
      </c>
      <c r="N90" s="49">
        <v>0.051</v>
      </c>
      <c r="O90" s="50" t="s">
        <v>34</v>
      </c>
      <c r="P90" s="49">
        <v>0.057</v>
      </c>
      <c r="Q90" s="50" t="s">
        <v>34</v>
      </c>
      <c r="R90" s="49">
        <v>0.076</v>
      </c>
      <c r="S90" s="50"/>
      <c r="T90" s="48">
        <v>0.059</v>
      </c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</row>
    <row r="91" spans="2:60" ht="12.75">
      <c r="B91" s="19" t="s">
        <v>159</v>
      </c>
      <c r="C91" s="19"/>
      <c r="D91" s="19" t="s">
        <v>56</v>
      </c>
      <c r="E91" s="50"/>
      <c r="F91" s="49">
        <v>0.022</v>
      </c>
      <c r="G91" s="50"/>
      <c r="H91" s="49">
        <v>0.00574</v>
      </c>
      <c r="I91" s="50"/>
      <c r="J91" s="49">
        <v>0.0059</v>
      </c>
      <c r="K91" s="50"/>
      <c r="L91" s="53">
        <v>0.011</v>
      </c>
      <c r="M91" s="50"/>
      <c r="N91" s="49">
        <v>0.00614</v>
      </c>
      <c r="O91" s="50" t="s">
        <v>34</v>
      </c>
      <c r="P91" s="49">
        <v>0.0043</v>
      </c>
      <c r="Q91" s="50"/>
      <c r="R91" s="49">
        <v>0.00455</v>
      </c>
      <c r="S91" s="50"/>
      <c r="T91" s="54">
        <v>0.005</v>
      </c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</row>
    <row r="92" spans="2:60" ht="12.75">
      <c r="B92" s="19" t="s">
        <v>160</v>
      </c>
      <c r="C92" s="19"/>
      <c r="D92" s="19" t="s">
        <v>56</v>
      </c>
      <c r="E92" s="50" t="s">
        <v>34</v>
      </c>
      <c r="F92" s="49">
        <v>0.0032</v>
      </c>
      <c r="G92" s="50" t="s">
        <v>34</v>
      </c>
      <c r="H92" s="49">
        <v>0.0032</v>
      </c>
      <c r="I92" s="50" t="s">
        <v>34</v>
      </c>
      <c r="J92" s="49">
        <v>0.0032</v>
      </c>
      <c r="K92" s="50"/>
      <c r="L92" s="55">
        <v>0.0032</v>
      </c>
      <c r="M92" s="50" t="s">
        <v>34</v>
      </c>
      <c r="N92" s="49">
        <v>0.0037</v>
      </c>
      <c r="O92" s="50" t="s">
        <v>34</v>
      </c>
      <c r="P92" s="49">
        <v>0.0037</v>
      </c>
      <c r="Q92" s="50" t="s">
        <v>34</v>
      </c>
      <c r="R92" s="49">
        <v>0.00037</v>
      </c>
      <c r="S92" s="50"/>
      <c r="T92" s="49">
        <v>0.0037</v>
      </c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</row>
    <row r="93" spans="2:60" ht="12.75">
      <c r="B93" s="19" t="s">
        <v>161</v>
      </c>
      <c r="C93" s="19"/>
      <c r="D93" s="19" t="s">
        <v>56</v>
      </c>
      <c r="E93" s="50"/>
      <c r="F93" s="49">
        <v>0.033</v>
      </c>
      <c r="G93" s="50"/>
      <c r="H93" s="49">
        <v>0.0289</v>
      </c>
      <c r="I93" s="50"/>
      <c r="J93" s="49">
        <v>0.027</v>
      </c>
      <c r="K93" s="50"/>
      <c r="L93" s="54">
        <v>0.03</v>
      </c>
      <c r="M93" s="50" t="s">
        <v>34</v>
      </c>
      <c r="N93" s="49">
        <v>0.02</v>
      </c>
      <c r="O93" s="50" t="s">
        <v>34</v>
      </c>
      <c r="P93" s="49">
        <v>0.02</v>
      </c>
      <c r="Q93" s="50" t="s">
        <v>34</v>
      </c>
      <c r="R93" s="49">
        <v>0.02</v>
      </c>
      <c r="S93" s="50"/>
      <c r="T93" s="54">
        <v>0.02</v>
      </c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49"/>
      <c r="AK93" s="49"/>
      <c r="AL93" s="49"/>
      <c r="AM93" s="49"/>
      <c r="AN93" s="49"/>
      <c r="AO93" s="49"/>
      <c r="AP93" s="49"/>
      <c r="AQ93" s="49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</row>
    <row r="94" spans="2:60" ht="12.75">
      <c r="B94" s="19" t="s">
        <v>184</v>
      </c>
      <c r="C94" s="19"/>
      <c r="D94" s="19" t="s">
        <v>56</v>
      </c>
      <c r="E94" s="48"/>
      <c r="F94" s="37">
        <v>1.26</v>
      </c>
      <c r="G94" s="48"/>
      <c r="H94" s="37">
        <v>0.252</v>
      </c>
      <c r="I94" s="48"/>
      <c r="J94" s="37">
        <v>0.184</v>
      </c>
      <c r="K94" s="48"/>
      <c r="L94" s="53">
        <v>0.565</v>
      </c>
      <c r="M94" s="50"/>
      <c r="N94" s="49">
        <v>0.0103</v>
      </c>
      <c r="O94" s="50"/>
      <c r="P94" s="49">
        <v>0.0113</v>
      </c>
      <c r="Q94" s="50" t="s">
        <v>34</v>
      </c>
      <c r="R94" s="49">
        <v>0.0078</v>
      </c>
      <c r="S94" s="50"/>
      <c r="T94" s="54">
        <v>0.01</v>
      </c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</row>
    <row r="95" spans="2:60" ht="12.75">
      <c r="B95" s="19" t="s">
        <v>156</v>
      </c>
      <c r="C95" s="19"/>
      <c r="D95" s="19" t="s">
        <v>56</v>
      </c>
      <c r="E95" s="48"/>
      <c r="F95" s="37">
        <v>0.0765</v>
      </c>
      <c r="G95" s="48"/>
      <c r="H95" s="37">
        <v>0.058</v>
      </c>
      <c r="I95" s="48" t="s">
        <v>34</v>
      </c>
      <c r="J95" s="37">
        <v>0.044</v>
      </c>
      <c r="K95" s="48"/>
      <c r="L95" s="53">
        <v>0.06</v>
      </c>
      <c r="M95" s="50" t="s">
        <v>34</v>
      </c>
      <c r="N95" s="49">
        <v>0.049</v>
      </c>
      <c r="O95" s="50" t="s">
        <v>34</v>
      </c>
      <c r="P95" s="49">
        <v>0.049</v>
      </c>
      <c r="Q95" s="50" t="s">
        <v>34</v>
      </c>
      <c r="R95" s="49">
        <v>0.049</v>
      </c>
      <c r="S95" s="50"/>
      <c r="T95" s="49">
        <v>0.049</v>
      </c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</row>
    <row r="96" spans="2:60" ht="12.75">
      <c r="B96" s="19" t="s">
        <v>162</v>
      </c>
      <c r="C96" s="19"/>
      <c r="D96" s="19" t="s">
        <v>56</v>
      </c>
      <c r="E96" s="48" t="s">
        <v>34</v>
      </c>
      <c r="F96" s="37">
        <v>0.45</v>
      </c>
      <c r="G96" s="48" t="s">
        <v>34</v>
      </c>
      <c r="H96" s="37">
        <v>0.45</v>
      </c>
      <c r="I96" s="48" t="s">
        <v>34</v>
      </c>
      <c r="J96" s="37">
        <v>0.45</v>
      </c>
      <c r="K96" s="48"/>
      <c r="L96" s="53">
        <v>0.45</v>
      </c>
      <c r="M96" s="50" t="s">
        <v>34</v>
      </c>
      <c r="N96" s="49">
        <v>0.076</v>
      </c>
      <c r="O96" s="50" t="s">
        <v>34</v>
      </c>
      <c r="P96" s="49">
        <v>0.076</v>
      </c>
      <c r="Q96" s="50" t="s">
        <v>34</v>
      </c>
      <c r="R96" s="49">
        <v>0.076</v>
      </c>
      <c r="S96" s="50"/>
      <c r="T96" s="48">
        <v>0.076</v>
      </c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</row>
    <row r="97" spans="2:60" ht="12.75">
      <c r="B97" s="19" t="s">
        <v>163</v>
      </c>
      <c r="C97" s="19"/>
      <c r="D97" s="19" t="s">
        <v>56</v>
      </c>
      <c r="E97" s="48"/>
      <c r="F97" s="37">
        <v>10</v>
      </c>
      <c r="G97" s="48"/>
      <c r="H97" s="37">
        <v>0.528</v>
      </c>
      <c r="I97" s="48"/>
      <c r="J97" s="37">
        <v>0.923</v>
      </c>
      <c r="K97" s="48"/>
      <c r="L97" s="53">
        <v>3.817</v>
      </c>
      <c r="M97" s="50" t="s">
        <v>34</v>
      </c>
      <c r="N97" s="49">
        <v>0.12</v>
      </c>
      <c r="O97" s="50" t="s">
        <v>34</v>
      </c>
      <c r="P97" s="49">
        <v>0.12</v>
      </c>
      <c r="Q97" s="50" t="s">
        <v>34</v>
      </c>
      <c r="R97" s="49">
        <v>0.12</v>
      </c>
      <c r="S97" s="50"/>
      <c r="T97" s="56">
        <v>0.012</v>
      </c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</row>
    <row r="98" spans="2:60" ht="12.75">
      <c r="B98" s="19" t="s">
        <v>164</v>
      </c>
      <c r="C98" s="19"/>
      <c r="D98" s="19" t="s">
        <v>56</v>
      </c>
      <c r="E98" s="48" t="s">
        <v>34</v>
      </c>
      <c r="F98" s="37">
        <v>0.047</v>
      </c>
      <c r="G98" s="48" t="s">
        <v>34</v>
      </c>
      <c r="H98" s="37">
        <v>0.047</v>
      </c>
      <c r="I98" s="48" t="s">
        <v>34</v>
      </c>
      <c r="J98" s="37">
        <v>0.047</v>
      </c>
      <c r="K98" s="48"/>
      <c r="L98" s="54">
        <v>0.047</v>
      </c>
      <c r="M98" s="50"/>
      <c r="N98" s="49">
        <v>0.144</v>
      </c>
      <c r="O98" s="50"/>
      <c r="P98" s="49">
        <v>0.13</v>
      </c>
      <c r="Q98" s="50"/>
      <c r="R98" s="49">
        <v>0.147</v>
      </c>
      <c r="S98" s="50"/>
      <c r="T98" s="57">
        <v>0.14</v>
      </c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</row>
    <row r="99" spans="2:60" ht="12.75">
      <c r="B99" s="19" t="s">
        <v>165</v>
      </c>
      <c r="C99" s="19"/>
      <c r="D99" s="19" t="s">
        <v>56</v>
      </c>
      <c r="E99" s="48" t="s">
        <v>34</v>
      </c>
      <c r="F99" s="37">
        <v>0.0063</v>
      </c>
      <c r="G99" s="48" t="s">
        <v>34</v>
      </c>
      <c r="H99" s="37">
        <v>0.0063</v>
      </c>
      <c r="I99" s="48" t="s">
        <v>34</v>
      </c>
      <c r="J99" s="37">
        <v>0.0063</v>
      </c>
      <c r="K99" s="48"/>
      <c r="L99" s="55">
        <v>0.0063</v>
      </c>
      <c r="M99" s="50" t="s">
        <v>34</v>
      </c>
      <c r="N99" s="49">
        <v>0.0071</v>
      </c>
      <c r="O99" s="50" t="s">
        <v>34</v>
      </c>
      <c r="P99" s="49">
        <v>0.0071</v>
      </c>
      <c r="Q99" s="50" t="s">
        <v>34</v>
      </c>
      <c r="R99" s="49">
        <v>0.0071</v>
      </c>
      <c r="S99" s="50"/>
      <c r="T99" s="48">
        <v>0.0071</v>
      </c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</row>
    <row r="100" spans="2:60" ht="12.75">
      <c r="B100" s="19" t="s">
        <v>166</v>
      </c>
      <c r="C100" s="19"/>
      <c r="D100" s="19" t="s">
        <v>56</v>
      </c>
      <c r="E100" s="48" t="s">
        <v>34</v>
      </c>
      <c r="F100" s="37">
        <v>0.041</v>
      </c>
      <c r="G100" s="48" t="s">
        <v>34</v>
      </c>
      <c r="H100" s="37">
        <v>0.041</v>
      </c>
      <c r="I100" s="48" t="s">
        <v>34</v>
      </c>
      <c r="J100" s="37">
        <v>0.0591</v>
      </c>
      <c r="K100" s="48"/>
      <c r="L100" s="54">
        <v>0.041</v>
      </c>
      <c r="M100" s="50" t="s">
        <v>34</v>
      </c>
      <c r="N100" s="49">
        <v>0.046</v>
      </c>
      <c r="O100" s="50" t="s">
        <v>34</v>
      </c>
      <c r="P100" s="49">
        <v>0.046</v>
      </c>
      <c r="Q100" s="50" t="s">
        <v>34</v>
      </c>
      <c r="R100" s="49">
        <v>0.046</v>
      </c>
      <c r="S100" s="50"/>
      <c r="T100" s="48">
        <v>0.046</v>
      </c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</row>
    <row r="101" spans="2:60" ht="12.75">
      <c r="B101" s="19" t="s">
        <v>187</v>
      </c>
      <c r="C101" s="19"/>
      <c r="D101" s="19" t="s">
        <v>56</v>
      </c>
      <c r="E101" s="48"/>
      <c r="F101" s="37">
        <v>2.86</v>
      </c>
      <c r="G101" s="49"/>
      <c r="H101" s="37">
        <v>2.46</v>
      </c>
      <c r="I101" s="49"/>
      <c r="J101" s="37">
        <v>0.986</v>
      </c>
      <c r="K101" s="48"/>
      <c r="L101" s="53">
        <v>2.102</v>
      </c>
      <c r="M101" s="50"/>
      <c r="N101" s="49">
        <v>0.452</v>
      </c>
      <c r="O101" s="49"/>
      <c r="P101" s="49">
        <v>0.175</v>
      </c>
      <c r="Q101" s="49"/>
      <c r="R101" s="49">
        <v>1.07</v>
      </c>
      <c r="S101" s="50"/>
      <c r="T101" s="53">
        <v>0.566</v>
      </c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49"/>
      <c r="AK101" s="49"/>
      <c r="AL101" s="49"/>
      <c r="AM101" s="49"/>
      <c r="AN101" s="49"/>
      <c r="AO101" s="49"/>
      <c r="AP101" s="49"/>
      <c r="AQ101" s="49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</row>
    <row r="102" spans="2:60" ht="12.75">
      <c r="B102" s="19"/>
      <c r="C102" s="19"/>
      <c r="D102" s="19"/>
      <c r="E102" s="48"/>
      <c r="F102" s="48"/>
      <c r="G102" s="48"/>
      <c r="H102" s="48"/>
      <c r="I102" s="48"/>
      <c r="J102" s="48"/>
      <c r="K102" s="48"/>
      <c r="L102" s="53"/>
      <c r="M102" s="50"/>
      <c r="N102" s="50"/>
      <c r="O102" s="50"/>
      <c r="P102" s="50"/>
      <c r="Q102" s="50"/>
      <c r="R102" s="50"/>
      <c r="S102" s="50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49"/>
      <c r="AK102" s="49"/>
      <c r="AL102" s="49"/>
      <c r="AM102" s="49"/>
      <c r="AN102" s="49"/>
      <c r="AO102" s="49"/>
      <c r="AP102" s="49"/>
      <c r="AQ102" s="49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</row>
    <row r="103" spans="2:60" ht="12.75">
      <c r="B103" s="19" t="s">
        <v>112</v>
      </c>
      <c r="C103" s="19"/>
      <c r="D103" s="19" t="s">
        <v>22</v>
      </c>
      <c r="E103" s="48"/>
      <c r="F103" s="48">
        <f>emiss!G109</f>
        <v>14580</v>
      </c>
      <c r="G103" s="48"/>
      <c r="H103" s="48">
        <f>emiss!I109</f>
        <v>13550</v>
      </c>
      <c r="I103" s="48"/>
      <c r="J103" s="48">
        <f>emiss!K109</f>
        <v>14100</v>
      </c>
      <c r="K103" s="48"/>
      <c r="L103" s="52">
        <f>emiss!M109</f>
        <v>14076.666666666666</v>
      </c>
      <c r="M103" s="50"/>
      <c r="N103" s="50"/>
      <c r="O103" s="50"/>
      <c r="P103" s="50"/>
      <c r="Q103" s="50"/>
      <c r="R103" s="50"/>
      <c r="S103" s="50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49"/>
      <c r="AK103" s="49"/>
      <c r="AL103" s="49"/>
      <c r="AM103" s="49"/>
      <c r="AN103" s="49"/>
      <c r="AO103" s="49"/>
      <c r="AP103" s="49"/>
      <c r="AQ103" s="49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</row>
    <row r="104" spans="2:60" ht="12.75">
      <c r="B104" s="19" t="s">
        <v>113</v>
      </c>
      <c r="C104" s="19"/>
      <c r="D104" s="19" t="s">
        <v>23</v>
      </c>
      <c r="E104" s="48"/>
      <c r="F104" s="48">
        <f>emiss!G110</f>
        <v>11.9</v>
      </c>
      <c r="G104" s="48"/>
      <c r="H104" s="48">
        <f>emiss!I110</f>
        <v>11.8</v>
      </c>
      <c r="I104" s="48"/>
      <c r="J104" s="48">
        <f>emiss!K110</f>
        <v>11.6</v>
      </c>
      <c r="K104" s="48"/>
      <c r="L104" s="52">
        <f>emiss!M110</f>
        <v>11.766666666666667</v>
      </c>
      <c r="M104" s="50"/>
      <c r="N104" s="50"/>
      <c r="O104" s="50"/>
      <c r="P104" s="50"/>
      <c r="Q104" s="50"/>
      <c r="R104" s="50"/>
      <c r="S104" s="50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49"/>
      <c r="AK104" s="49"/>
      <c r="AL104" s="49"/>
      <c r="AM104" s="49"/>
      <c r="AN104" s="49"/>
      <c r="AO104" s="49"/>
      <c r="AP104" s="49"/>
      <c r="AQ104" s="49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</row>
    <row r="105" spans="2:60" ht="12.75">
      <c r="B105" s="19"/>
      <c r="C105" s="19"/>
      <c r="D105" s="19"/>
      <c r="E105" s="48"/>
      <c r="F105" s="48"/>
      <c r="G105" s="48"/>
      <c r="H105" s="48"/>
      <c r="I105" s="48"/>
      <c r="J105" s="48"/>
      <c r="K105" s="48"/>
      <c r="L105" s="49"/>
      <c r="M105" s="50"/>
      <c r="N105" s="50"/>
      <c r="O105" s="50"/>
      <c r="P105" s="50"/>
      <c r="Q105" s="50"/>
      <c r="R105" s="50"/>
      <c r="S105" s="50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</row>
    <row r="106" spans="2:60" ht="12.75">
      <c r="B106" s="19" t="s">
        <v>194</v>
      </c>
      <c r="C106" s="19"/>
      <c r="D106" s="19" t="s">
        <v>100</v>
      </c>
      <c r="E106" s="48"/>
      <c r="F106" s="20">
        <f>(F83*F85)/1000000</f>
        <v>17.4558</v>
      </c>
      <c r="G106" s="48"/>
      <c r="H106" s="20">
        <f>(H83*H85)/1000000</f>
        <v>17.26469</v>
      </c>
      <c r="I106" s="48"/>
      <c r="J106" s="20">
        <f>(J83*J85)/1000000</f>
        <v>17.6715</v>
      </c>
      <c r="K106" s="48"/>
      <c r="L106" s="20">
        <f>(L83*L85)/1000000</f>
        <v>17.463970800000002</v>
      </c>
      <c r="M106" s="22"/>
      <c r="N106" s="20">
        <f>(N83*N85)/1000000</f>
        <v>17.73392</v>
      </c>
      <c r="O106" s="22"/>
      <c r="P106" s="20">
        <f>(P83*P85)/1000000</f>
        <v>17.58108</v>
      </c>
      <c r="Q106" s="22"/>
      <c r="R106" s="20">
        <f>(R83*R85)/1000000</f>
        <v>17.8398</v>
      </c>
      <c r="S106" s="22"/>
      <c r="T106" s="20">
        <f>(T83*T85)/1000000</f>
        <v>17.7183435</v>
      </c>
      <c r="U106" s="20"/>
      <c r="V106" s="20">
        <f>F106+N106</f>
        <v>35.18972</v>
      </c>
      <c r="W106" s="20"/>
      <c r="X106" s="20">
        <f>H106+P106</f>
        <v>34.84577</v>
      </c>
      <c r="Y106" s="20"/>
      <c r="Z106" s="20">
        <f>J106+R106</f>
        <v>35.511300000000006</v>
      </c>
      <c r="AA106" s="20"/>
      <c r="AB106" s="20">
        <f>L106+T106</f>
        <v>35.1823143</v>
      </c>
      <c r="AC106" s="20"/>
      <c r="AD106" s="20"/>
      <c r="AE106" s="20"/>
      <c r="AF106" s="20"/>
      <c r="AG106" s="20"/>
      <c r="AH106" s="20"/>
      <c r="AI106" s="20"/>
      <c r="AJ106" s="48"/>
      <c r="AK106" s="48"/>
      <c r="AL106" s="48"/>
      <c r="AM106" s="48"/>
      <c r="AN106" s="48"/>
      <c r="AO106" s="48"/>
      <c r="AP106" s="48"/>
      <c r="AQ106" s="48"/>
      <c r="AR106" s="52"/>
      <c r="AS106" s="52"/>
      <c r="AT106" s="52">
        <f>F106+N106+AL106</f>
        <v>35.18972</v>
      </c>
      <c r="AU106" s="52"/>
      <c r="AV106" s="52">
        <f>H106+P106+AN106</f>
        <v>34.84577</v>
      </c>
      <c r="AW106" s="52"/>
      <c r="AX106" s="52">
        <f>J106+R106+AP106</f>
        <v>35.511300000000006</v>
      </c>
      <c r="AY106" s="52"/>
      <c r="AZ106" s="52">
        <f>L106+T106+AR106</f>
        <v>35.1823143</v>
      </c>
      <c r="BA106" s="52"/>
      <c r="BB106" s="52"/>
      <c r="BC106" s="52"/>
      <c r="BD106" s="52"/>
      <c r="BE106" s="52"/>
      <c r="BF106" s="52"/>
      <c r="BG106" s="52"/>
      <c r="BH106" s="48"/>
    </row>
    <row r="107" spans="2:60" ht="12.75">
      <c r="B107" s="19" t="s">
        <v>235</v>
      </c>
      <c r="C107" s="19"/>
      <c r="D107" s="19" t="s">
        <v>100</v>
      </c>
      <c r="E107" s="48"/>
      <c r="G107" s="48"/>
      <c r="H107" s="48"/>
      <c r="I107" s="48"/>
      <c r="J107" s="48"/>
      <c r="K107" s="48"/>
      <c r="L107" s="20"/>
      <c r="M107" s="22"/>
      <c r="N107" s="3"/>
      <c r="O107" s="22"/>
      <c r="P107" s="3"/>
      <c r="Q107" s="22"/>
      <c r="R107" s="3"/>
      <c r="S107" s="22"/>
      <c r="V107" s="52">
        <f>F103/9000*60*(21-F104)/21</f>
        <v>42.12</v>
      </c>
      <c r="W107" s="7"/>
      <c r="X107" s="52">
        <f>H103/9000*60*(21-H104)/21</f>
        <v>39.57460317460317</v>
      </c>
      <c r="Y107" s="7"/>
      <c r="Z107" s="52">
        <f>J103/9000*60*(21-J104)/21</f>
        <v>42.076190476190476</v>
      </c>
      <c r="AA107" s="7"/>
      <c r="AB107" s="52">
        <f>L103/9000*60*(21-L104)/21</f>
        <v>41.261763668430326</v>
      </c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20">
        <f>(L103/9000)*((21-L104)/21)*60</f>
        <v>41.261763668430326</v>
      </c>
      <c r="BA107" s="20"/>
      <c r="BB107" s="20"/>
      <c r="BC107" s="20"/>
      <c r="BD107" s="20"/>
      <c r="BE107" s="20"/>
      <c r="BF107" s="20"/>
      <c r="BG107" s="20"/>
      <c r="BH107" s="48"/>
    </row>
    <row r="108" spans="2:60" ht="12.75">
      <c r="B108" s="19"/>
      <c r="C108" s="19"/>
      <c r="D108" s="19"/>
      <c r="E108" s="48"/>
      <c r="F108" s="48"/>
      <c r="G108" s="48"/>
      <c r="H108" s="48"/>
      <c r="I108" s="48"/>
      <c r="J108" s="48"/>
      <c r="K108" s="48"/>
      <c r="L108" s="20"/>
      <c r="M108" s="22"/>
      <c r="N108" s="3"/>
      <c r="O108" s="22"/>
      <c r="P108" s="3"/>
      <c r="Q108" s="22"/>
      <c r="R108" s="3"/>
      <c r="S108" s="22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20"/>
      <c r="BA108" s="20"/>
      <c r="BB108" s="20"/>
      <c r="BC108" s="20"/>
      <c r="BD108" s="20"/>
      <c r="BE108" s="20"/>
      <c r="BF108" s="20"/>
      <c r="BG108" s="20"/>
      <c r="BH108" s="48"/>
    </row>
    <row r="109" spans="2:60" ht="12.75">
      <c r="B109" s="72" t="s">
        <v>146</v>
      </c>
      <c r="C109" s="72"/>
      <c r="D109" s="19"/>
      <c r="E109" s="48"/>
      <c r="F109" s="48"/>
      <c r="G109" s="48"/>
      <c r="H109" s="48"/>
      <c r="I109" s="48"/>
      <c r="J109" s="48"/>
      <c r="K109" s="48"/>
      <c r="L109" s="20"/>
      <c r="M109" s="22"/>
      <c r="N109" s="3"/>
      <c r="O109" s="22"/>
      <c r="P109" s="3"/>
      <c r="Q109" s="22"/>
      <c r="R109" s="3"/>
      <c r="S109" s="22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20"/>
      <c r="BA109" s="20"/>
      <c r="BB109" s="20"/>
      <c r="BC109" s="20"/>
      <c r="BD109" s="20"/>
      <c r="BE109" s="20"/>
      <c r="BF109" s="20"/>
      <c r="BG109" s="20"/>
      <c r="BH109" s="48"/>
    </row>
    <row r="110" spans="2:60" ht="12.75">
      <c r="B110" s="19" t="s">
        <v>59</v>
      </c>
      <c r="C110" s="19"/>
      <c r="D110" s="19" t="s">
        <v>114</v>
      </c>
      <c r="E110" s="48"/>
      <c r="F110" s="20">
        <f>(F87*454/(F103*60*0.0283))*((21-7)/(21-F104))*1000</f>
        <v>32.162673178247054</v>
      </c>
      <c r="G110" s="48"/>
      <c r="H110" s="20">
        <f>(H87*454/(H103*60*0.0283))*((21-7)/(21-H104))*1000</f>
        <v>10.719815140999774</v>
      </c>
      <c r="I110" s="48"/>
      <c r="J110" s="20">
        <f>(J87*454/(J103*60*0.0283))*((21-7)/(21-J104))*1000</f>
        <v>7.1170460707641565</v>
      </c>
      <c r="K110" s="48"/>
      <c r="L110" s="20">
        <f>AVERAGE(F110,H110,J110)</f>
        <v>16.666511463336995</v>
      </c>
      <c r="M110" s="22"/>
      <c r="N110" s="20">
        <f>(N87*454/(F103*60*0.0283))*((21-7)/(21-F104))*1000</f>
        <v>14.896395998346009</v>
      </c>
      <c r="O110" s="22"/>
      <c r="P110" s="20">
        <f>(P87*454/(H103*60*0.0283))*((21-7)/(21-H104))*1000</f>
        <v>2.1890042682881896</v>
      </c>
      <c r="Q110" s="22"/>
      <c r="R110" s="20">
        <f>(R87*454/(J103*60*0.0283))*((21-7)/(21-J104))*1000</f>
        <v>24.316574075110864</v>
      </c>
      <c r="S110" s="22"/>
      <c r="T110" s="20">
        <f>AVERAGE(N110,P110,R110)</f>
        <v>13.80065811391502</v>
      </c>
      <c r="U110" s="21">
        <f aca="true" t="shared" si="19" ref="U110:U124">(E110*F110+M110*N110)/V110</f>
        <v>0</v>
      </c>
      <c r="V110" s="20">
        <f aca="true" t="shared" si="20" ref="V110:V124">F110+N110</f>
        <v>47.05906917659306</v>
      </c>
      <c r="W110" s="21">
        <f aca="true" t="shared" si="21" ref="W110:W124">(G110*H110+O110*P110)/X110</f>
        <v>0</v>
      </c>
      <c r="X110" s="20">
        <f aca="true" t="shared" si="22" ref="X110:X124">H110+P110</f>
        <v>12.908819409287965</v>
      </c>
      <c r="Y110" s="21">
        <f aca="true" t="shared" si="23" ref="Y110:Y124">(I110*J110+Q110*R110)/Z110</f>
        <v>0</v>
      </c>
      <c r="Z110" s="20">
        <f aca="true" t="shared" si="24" ref="Z110:Z124">J110+R110</f>
        <v>31.43362014587502</v>
      </c>
      <c r="AA110" s="21">
        <f aca="true" t="shared" si="25" ref="AA110:AA124">(U110*V110+W110*X110+Y110*Z110)/(AB110*3)</f>
        <v>0</v>
      </c>
      <c r="AB110" s="20">
        <f aca="true" t="shared" si="26" ref="AB110:AB124">L110+T110</f>
        <v>30.467169577252015</v>
      </c>
      <c r="AC110" s="20"/>
      <c r="AD110" s="20"/>
      <c r="AE110" s="20"/>
      <c r="AF110" s="20"/>
      <c r="AG110" s="20"/>
      <c r="AH110" s="20"/>
      <c r="AI110" s="20"/>
      <c r="AJ110" s="48"/>
      <c r="AK110" s="48"/>
      <c r="AS110" s="48"/>
      <c r="AT110" s="52">
        <f>SUM(AD110,V110)</f>
        <v>47.05906917659306</v>
      </c>
      <c r="AU110" s="48"/>
      <c r="AV110" s="52">
        <f>SUM(AF110,X110)</f>
        <v>12.908819409287965</v>
      </c>
      <c r="AW110" s="48"/>
      <c r="AX110" s="52">
        <f>SUM(AH110,Z110)</f>
        <v>31.43362014587502</v>
      </c>
      <c r="AY110" s="48"/>
      <c r="AZ110" s="52">
        <f aca="true" t="shared" si="27" ref="AZ110:AZ124">AVERAGE(AT110,AV110,AX110)</f>
        <v>30.46716957725202</v>
      </c>
      <c r="BA110" s="48"/>
      <c r="BB110" s="48"/>
      <c r="BC110" s="48"/>
      <c r="BD110" s="48"/>
      <c r="BE110" s="48"/>
      <c r="BF110" s="48"/>
      <c r="BG110" s="48"/>
      <c r="BH110" s="48"/>
    </row>
    <row r="111" spans="2:60" ht="12.75">
      <c r="B111" s="19" t="s">
        <v>60</v>
      </c>
      <c r="C111" s="19"/>
      <c r="D111" s="19" t="s">
        <v>106</v>
      </c>
      <c r="E111" s="48"/>
      <c r="F111" s="21">
        <f>(F88*454/(F$103*60*0.0283))*(14/(21-F$104))*1000000</f>
        <v>42319306.81348298</v>
      </c>
      <c r="G111" s="48"/>
      <c r="H111" s="21">
        <f>(H88*454/(H$103*60*0.0283))*(14/(21-H$104))*1000000</f>
        <v>45942064.88999904</v>
      </c>
      <c r="I111" s="48"/>
      <c r="J111" s="21">
        <f>(J88*454/(J$103*60*0.0283))*(14/(21-J$104))*1000000</f>
        <v>42928214.395085394</v>
      </c>
      <c r="K111" s="48"/>
      <c r="L111" s="21">
        <f>AVERAGE(F111,H111,J111)</f>
        <v>43729862.0328558</v>
      </c>
      <c r="M111" s="23"/>
      <c r="N111" s="21">
        <f>(N88*454/(F$103*60*0.0283))*(14/(21-F$104))*1000000</f>
        <v>47961881.0552807</v>
      </c>
      <c r="O111" s="23"/>
      <c r="P111" s="21">
        <f>(P88*454/(H$103*60*0.0283))*(14/(21-H$104))*1000000</f>
        <v>50746463.83274403</v>
      </c>
      <c r="Q111" s="23"/>
      <c r="R111" s="21">
        <f>(R88*454/(J$103*60*0.0283))*(14/(21-J$104))*1000000</f>
        <v>47164551.34196881</v>
      </c>
      <c r="S111" s="23"/>
      <c r="T111" s="21">
        <f>AVERAGE(N111,P111,R111)</f>
        <v>48624298.74333119</v>
      </c>
      <c r="U111" s="21">
        <f t="shared" si="19"/>
        <v>0</v>
      </c>
      <c r="V111" s="21">
        <f t="shared" si="20"/>
        <v>90281187.86876369</v>
      </c>
      <c r="W111" s="21">
        <f t="shared" si="21"/>
        <v>0</v>
      </c>
      <c r="X111" s="21">
        <f t="shared" si="22"/>
        <v>96688528.72274306</v>
      </c>
      <c r="Y111" s="21">
        <f t="shared" si="23"/>
        <v>0</v>
      </c>
      <c r="Z111" s="21">
        <f t="shared" si="24"/>
        <v>90092765.7370542</v>
      </c>
      <c r="AA111" s="21">
        <f t="shared" si="25"/>
        <v>0</v>
      </c>
      <c r="AB111" s="20">
        <f t="shared" si="26"/>
        <v>92354160.77618699</v>
      </c>
      <c r="AC111" s="21"/>
      <c r="AD111" s="21">
        <f>(AD88*454/(F$103*60*0.0283))*(14/(21-F$104))*1000000</f>
        <v>1458605.4415047131</v>
      </c>
      <c r="AE111" s="21"/>
      <c r="AF111" s="21">
        <f>(AF88*454/(H$103*60*0.0283))*(14/(21-H$104))*1000000</f>
        <v>1552421.4083744774</v>
      </c>
      <c r="AG111" s="21"/>
      <c r="AH111" s="21">
        <f>(AH88*454/(J$103*60*0.0283))*(14/(21-J$104))*1000000</f>
        <v>1460124.1343591544</v>
      </c>
      <c r="AI111" s="21"/>
      <c r="AJ111" s="21">
        <f>(AJ88*454/(L$103*60*0.0283))*(14/(21-L$104))*1000000</f>
        <v>1488944.1394184516</v>
      </c>
      <c r="AK111" s="21"/>
      <c r="AS111" s="48"/>
      <c r="AT111" s="66">
        <f aca="true" t="shared" si="28" ref="AT111:AT124">SUM(AD111,V111)</f>
        <v>91739793.3102684</v>
      </c>
      <c r="AU111" s="66"/>
      <c r="AV111" s="66">
        <f aca="true" t="shared" si="29" ref="AV111:AV124">SUM(AF111,X111)</f>
        <v>98240950.13111754</v>
      </c>
      <c r="AW111" s="66"/>
      <c r="AX111" s="66">
        <f aca="true" t="shared" si="30" ref="AX111:AX124">SUM(AH111,Z111)</f>
        <v>91552889.87141335</v>
      </c>
      <c r="AY111" s="21"/>
      <c r="AZ111" s="52">
        <f t="shared" si="27"/>
        <v>93844544.43759976</v>
      </c>
      <c r="BA111" s="48"/>
      <c r="BB111" s="48"/>
      <c r="BC111" s="48"/>
      <c r="BD111" s="48"/>
      <c r="BE111" s="48"/>
      <c r="BF111" s="48"/>
      <c r="BG111" s="48"/>
      <c r="BH111" s="48"/>
    </row>
    <row r="112" spans="2:60" ht="12.75">
      <c r="B112" s="19" t="s">
        <v>157</v>
      </c>
      <c r="C112" s="19"/>
      <c r="D112" s="19" t="s">
        <v>106</v>
      </c>
      <c r="E112" s="48"/>
      <c r="F112" s="20">
        <f>(F89/(F$103*60*0.0283))*(14/(21-F$104))*1000000</f>
        <v>6.077574458676409</v>
      </c>
      <c r="G112" s="48"/>
      <c r="H112" s="20">
        <f>(H89/(H$103*60*0.0283))*(14/(21-H$104))*1000000</f>
        <v>7.341523714822339</v>
      </c>
      <c r="I112" s="48"/>
      <c r="J112" s="20">
        <f aca="true" t="shared" si="31" ref="J112:J124">(J89/(J$103*60*0.0283))*(14/(21-J$104))*1000000</f>
        <v>1.6796049569141336</v>
      </c>
      <c r="K112" s="48"/>
      <c r="L112" s="20">
        <f aca="true" t="shared" si="32" ref="L112:L127">AVERAGE(F112,H112,J112)</f>
        <v>5.03290104347096</v>
      </c>
      <c r="M112" s="50">
        <v>100</v>
      </c>
      <c r="N112" s="20">
        <f aca="true" t="shared" si="33" ref="N112:N124">(N89/(F$103*60*0.0283))*(14/(21-F$104))*1000000</f>
        <v>1.8642866437657697</v>
      </c>
      <c r="O112" s="50">
        <v>100</v>
      </c>
      <c r="P112" s="20">
        <f aca="true" t="shared" si="34" ref="P112:P124">(P89/(H$103*60*0.0283))*(14/(21-H$104))*1000000</f>
        <v>1.9841955986006319</v>
      </c>
      <c r="Q112" s="50">
        <v>100</v>
      </c>
      <c r="R112" s="20">
        <f aca="true" t="shared" si="35" ref="R112:R124">(R89/(J$103*60*0.0283))*(14/(21-J$104))*1000000</f>
        <v>1.866227729904593</v>
      </c>
      <c r="S112" s="50"/>
      <c r="T112" s="20">
        <f aca="true" t="shared" si="36" ref="T112:T127">AVERAGE(N112,P112,R112)</f>
        <v>1.9049033240903315</v>
      </c>
      <c r="U112" s="21">
        <f t="shared" si="19"/>
        <v>23.474178403755868</v>
      </c>
      <c r="V112" s="20">
        <f t="shared" si="20"/>
        <v>7.941861102442179</v>
      </c>
      <c r="W112" s="21">
        <f t="shared" si="21"/>
        <v>21.27659574468085</v>
      </c>
      <c r="X112" s="20">
        <f t="shared" si="22"/>
        <v>9.32571931342297</v>
      </c>
      <c r="Y112" s="21">
        <f t="shared" si="23"/>
        <v>52.631578947368425</v>
      </c>
      <c r="Z112" s="20">
        <f t="shared" si="24"/>
        <v>3.5458326868187267</v>
      </c>
      <c r="AA112" s="21">
        <f t="shared" si="25"/>
        <v>27.45686132340345</v>
      </c>
      <c r="AB112" s="20">
        <f t="shared" si="26"/>
        <v>6.9378043675612915</v>
      </c>
      <c r="AC112" s="20"/>
      <c r="AD112" s="20"/>
      <c r="AE112" s="20"/>
      <c r="AF112" s="20"/>
      <c r="AG112" s="20"/>
      <c r="AH112" s="20"/>
      <c r="AI112" s="20"/>
      <c r="AJ112" s="48"/>
      <c r="AK112" s="48"/>
      <c r="AL112" s="48"/>
      <c r="AM112" s="48"/>
      <c r="AN112" s="48"/>
      <c r="AO112" s="48"/>
      <c r="AP112" s="48"/>
      <c r="AQ112" s="48"/>
      <c r="AR112" s="48"/>
      <c r="AS112" s="66">
        <f>U112</f>
        <v>23.474178403755868</v>
      </c>
      <c r="AT112" s="52">
        <f t="shared" si="28"/>
        <v>7.941861102442179</v>
      </c>
      <c r="AU112" s="66">
        <f>W112</f>
        <v>21.27659574468085</v>
      </c>
      <c r="AV112" s="52">
        <f t="shared" si="29"/>
        <v>9.32571931342297</v>
      </c>
      <c r="AW112" s="66">
        <f>Y112</f>
        <v>52.631578947368425</v>
      </c>
      <c r="AX112" s="52">
        <f t="shared" si="30"/>
        <v>3.5458326868187267</v>
      </c>
      <c r="AY112" s="66">
        <f>AA112</f>
        <v>27.45686132340345</v>
      </c>
      <c r="AZ112" s="52">
        <f t="shared" si="27"/>
        <v>6.9378043675612915</v>
      </c>
      <c r="BA112" s="48"/>
      <c r="BB112" s="48"/>
      <c r="BC112" s="48"/>
      <c r="BD112" s="48"/>
      <c r="BE112" s="48"/>
      <c r="BF112" s="48"/>
      <c r="BG112" s="48"/>
      <c r="BH112" s="48"/>
    </row>
    <row r="113" spans="2:60" ht="12.75">
      <c r="B113" s="19" t="s">
        <v>158</v>
      </c>
      <c r="C113" s="19"/>
      <c r="D113" s="19" t="s">
        <v>106</v>
      </c>
      <c r="E113" s="48"/>
      <c r="F113" s="20">
        <f aca="true" t="shared" si="37" ref="F113:H124">(F90/(F$103*60*0.0283))*(14/(21-F$104))*1000000</f>
        <v>139.8214982824327</v>
      </c>
      <c r="G113" s="50">
        <v>100</v>
      </c>
      <c r="H113" s="20">
        <f t="shared" si="37"/>
        <v>14.550767723071303</v>
      </c>
      <c r="I113" s="50">
        <v>100</v>
      </c>
      <c r="J113" s="20">
        <f t="shared" si="31"/>
        <v>13.68567001930035</v>
      </c>
      <c r="K113" s="48"/>
      <c r="L113" s="20">
        <f t="shared" si="32"/>
        <v>56.019312008268116</v>
      </c>
      <c r="M113" s="50">
        <v>100</v>
      </c>
      <c r="N113" s="20">
        <f t="shared" si="33"/>
        <v>3.169287294401808</v>
      </c>
      <c r="O113" s="50">
        <v>100</v>
      </c>
      <c r="P113" s="20">
        <f t="shared" si="34"/>
        <v>3.7699716373412016</v>
      </c>
      <c r="Q113" s="50">
        <v>100</v>
      </c>
      <c r="R113" s="20">
        <f t="shared" si="35"/>
        <v>4.7277769157583025</v>
      </c>
      <c r="S113" s="50"/>
      <c r="T113" s="20">
        <f t="shared" si="36"/>
        <v>3.889011949167104</v>
      </c>
      <c r="U113" s="21">
        <f t="shared" si="19"/>
        <v>2.2164276401564535</v>
      </c>
      <c r="V113" s="20">
        <f t="shared" si="20"/>
        <v>142.99078557683453</v>
      </c>
      <c r="W113" s="21">
        <f t="shared" si="21"/>
        <v>100</v>
      </c>
      <c r="X113" s="20">
        <f t="shared" si="22"/>
        <v>18.320739360412503</v>
      </c>
      <c r="Y113" s="21">
        <f t="shared" si="23"/>
        <v>100.00000000000001</v>
      </c>
      <c r="Z113" s="20">
        <f t="shared" si="24"/>
        <v>18.41344693505865</v>
      </c>
      <c r="AA113" s="21">
        <f t="shared" si="25"/>
        <v>22.202520425611375</v>
      </c>
      <c r="AB113" s="20">
        <f t="shared" si="26"/>
        <v>59.90832395743522</v>
      </c>
      <c r="AC113" s="20"/>
      <c r="AD113" s="20"/>
      <c r="AE113" s="20"/>
      <c r="AF113" s="20"/>
      <c r="AG113" s="20"/>
      <c r="AH113" s="20"/>
      <c r="AI113" s="20"/>
      <c r="AJ113" s="48"/>
      <c r="AK113" s="48"/>
      <c r="AL113" s="48"/>
      <c r="AM113" s="48"/>
      <c r="AN113" s="48"/>
      <c r="AO113" s="48"/>
      <c r="AP113" s="48"/>
      <c r="AQ113" s="48"/>
      <c r="AR113" s="48"/>
      <c r="AS113" s="66">
        <f aca="true" t="shared" si="38" ref="AS113:AY127">U113</f>
        <v>2.2164276401564535</v>
      </c>
      <c r="AT113" s="52">
        <f t="shared" si="28"/>
        <v>142.99078557683453</v>
      </c>
      <c r="AU113" s="66">
        <f t="shared" si="38"/>
        <v>100</v>
      </c>
      <c r="AV113" s="52">
        <f t="shared" si="29"/>
        <v>18.320739360412503</v>
      </c>
      <c r="AW113" s="66">
        <f t="shared" si="38"/>
        <v>100.00000000000001</v>
      </c>
      <c r="AX113" s="52">
        <f t="shared" si="30"/>
        <v>18.41344693505865</v>
      </c>
      <c r="AY113" s="66">
        <f t="shared" si="38"/>
        <v>22.202520425611375</v>
      </c>
      <c r="AZ113" s="52">
        <f t="shared" si="27"/>
        <v>59.908323957435236</v>
      </c>
      <c r="BA113" s="48"/>
      <c r="BB113" s="48"/>
      <c r="BC113" s="48"/>
      <c r="BD113" s="48"/>
      <c r="BE113" s="48"/>
      <c r="BF113" s="48"/>
      <c r="BG113" s="48"/>
      <c r="BH113" s="48"/>
    </row>
    <row r="114" spans="2:60" ht="12.75">
      <c r="B114" s="19" t="s">
        <v>159</v>
      </c>
      <c r="C114" s="19"/>
      <c r="D114" s="19" t="s">
        <v>106</v>
      </c>
      <c r="E114" s="50"/>
      <c r="F114" s="20">
        <f>(F91/(F$103*60*0.0283))*(14/(21-F$104))*1000000</f>
        <v>1.3671435387615642</v>
      </c>
      <c r="G114" s="50"/>
      <c r="H114" s="20">
        <f t="shared" si="37"/>
        <v>0.37964275786558765</v>
      </c>
      <c r="I114" s="50"/>
      <c r="J114" s="20">
        <f t="shared" si="31"/>
        <v>0.36702478688123663</v>
      </c>
      <c r="K114" s="50"/>
      <c r="L114" s="20">
        <f t="shared" si="32"/>
        <v>0.7046036945027963</v>
      </c>
      <c r="M114" s="50"/>
      <c r="N114" s="20">
        <f t="shared" si="33"/>
        <v>0.3815573330907275</v>
      </c>
      <c r="O114" s="50"/>
      <c r="P114" s="20">
        <f t="shared" si="34"/>
        <v>0.2844013691327573</v>
      </c>
      <c r="Q114" s="50"/>
      <c r="R114" s="20">
        <f t="shared" si="35"/>
        <v>0.28304453903553</v>
      </c>
      <c r="S114" s="50"/>
      <c r="T114" s="20">
        <f t="shared" si="36"/>
        <v>0.3163344137530049</v>
      </c>
      <c r="U114" s="21">
        <f t="shared" si="19"/>
        <v>0</v>
      </c>
      <c r="V114" s="20">
        <f t="shared" si="20"/>
        <v>1.7487008718522916</v>
      </c>
      <c r="W114" s="21">
        <f t="shared" si="21"/>
        <v>0</v>
      </c>
      <c r="X114" s="20">
        <f t="shared" si="22"/>
        <v>0.664044126998345</v>
      </c>
      <c r="Y114" s="21">
        <f t="shared" si="23"/>
        <v>0</v>
      </c>
      <c r="Z114" s="20">
        <f t="shared" si="24"/>
        <v>0.6500693259167667</v>
      </c>
      <c r="AA114" s="21">
        <f t="shared" si="25"/>
        <v>0</v>
      </c>
      <c r="AB114" s="20">
        <f t="shared" si="26"/>
        <v>1.0209381082558011</v>
      </c>
      <c r="AC114" s="20"/>
      <c r="AD114" s="20"/>
      <c r="AE114" s="20"/>
      <c r="AF114" s="20"/>
      <c r="AG114" s="20"/>
      <c r="AH114" s="20"/>
      <c r="AI114" s="20"/>
      <c r="AJ114" s="48"/>
      <c r="AK114" s="48"/>
      <c r="AL114" s="48"/>
      <c r="AM114" s="48"/>
      <c r="AN114" s="48"/>
      <c r="AO114" s="48"/>
      <c r="AP114" s="48"/>
      <c r="AQ114" s="48"/>
      <c r="AR114" s="48"/>
      <c r="AS114" s="66">
        <f t="shared" si="38"/>
        <v>0</v>
      </c>
      <c r="AT114" s="52">
        <f t="shared" si="28"/>
        <v>1.7487008718522916</v>
      </c>
      <c r="AU114" s="66">
        <f t="shared" si="38"/>
        <v>0</v>
      </c>
      <c r="AV114" s="52">
        <f t="shared" si="29"/>
        <v>0.664044126998345</v>
      </c>
      <c r="AW114" s="66">
        <f t="shared" si="38"/>
        <v>0</v>
      </c>
      <c r="AX114" s="52">
        <f t="shared" si="30"/>
        <v>0.6500693259167667</v>
      </c>
      <c r="AY114" s="66">
        <f t="shared" si="38"/>
        <v>0</v>
      </c>
      <c r="AZ114" s="52">
        <f t="shared" si="27"/>
        <v>1.0209381082558011</v>
      </c>
      <c r="BA114" s="48"/>
      <c r="BB114" s="48"/>
      <c r="BC114" s="48"/>
      <c r="BD114" s="48"/>
      <c r="BE114" s="48"/>
      <c r="BF114" s="48"/>
      <c r="BG114" s="48"/>
      <c r="BH114" s="48"/>
    </row>
    <row r="115" spans="2:60" ht="12.75">
      <c r="B115" s="19" t="s">
        <v>160</v>
      </c>
      <c r="C115" s="19"/>
      <c r="D115" s="19" t="s">
        <v>106</v>
      </c>
      <c r="E115" s="50">
        <v>100</v>
      </c>
      <c r="F115" s="20">
        <f t="shared" si="37"/>
        <v>0.1988572420016821</v>
      </c>
      <c r="G115" s="50">
        <v>100</v>
      </c>
      <c r="H115" s="20">
        <f t="shared" si="37"/>
        <v>0.2116475305174008</v>
      </c>
      <c r="I115" s="50">
        <v>100</v>
      </c>
      <c r="J115" s="20">
        <f t="shared" si="31"/>
        <v>0.19906429118982327</v>
      </c>
      <c r="K115" s="50"/>
      <c r="L115" s="20">
        <f t="shared" si="32"/>
        <v>0.20318968790296874</v>
      </c>
      <c r="M115" s="50">
        <v>100</v>
      </c>
      <c r="N115" s="20">
        <f t="shared" si="33"/>
        <v>0.22992868606444494</v>
      </c>
      <c r="O115" s="50">
        <v>100</v>
      </c>
      <c r="P115" s="20">
        <f t="shared" si="34"/>
        <v>0.24471745716074464</v>
      </c>
      <c r="Q115" s="50">
        <v>100</v>
      </c>
      <c r="R115" s="20">
        <f t="shared" si="35"/>
        <v>0.023016808668823316</v>
      </c>
      <c r="S115" s="50"/>
      <c r="T115" s="20">
        <f t="shared" si="36"/>
        <v>0.16588765063133765</v>
      </c>
      <c r="U115" s="21">
        <f t="shared" si="19"/>
        <v>100</v>
      </c>
      <c r="V115" s="20">
        <f t="shared" si="20"/>
        <v>0.42878592806612703</v>
      </c>
      <c r="W115" s="21">
        <f t="shared" si="21"/>
        <v>100</v>
      </c>
      <c r="X115" s="20">
        <f t="shared" si="22"/>
        <v>0.45636498767814543</v>
      </c>
      <c r="Y115" s="21">
        <f t="shared" si="23"/>
        <v>100</v>
      </c>
      <c r="Z115" s="20">
        <f t="shared" si="24"/>
        <v>0.2220810998586466</v>
      </c>
      <c r="AA115" s="21">
        <f t="shared" si="25"/>
        <v>99.99999999999999</v>
      </c>
      <c r="AB115" s="20">
        <f t="shared" si="26"/>
        <v>0.36907733853430635</v>
      </c>
      <c r="AC115" s="20"/>
      <c r="AD115" s="20"/>
      <c r="AE115" s="20"/>
      <c r="AF115" s="20"/>
      <c r="AG115" s="20"/>
      <c r="AH115" s="20"/>
      <c r="AI115" s="20"/>
      <c r="AJ115" s="48"/>
      <c r="AK115" s="48"/>
      <c r="AL115" s="48"/>
      <c r="AM115" s="48"/>
      <c r="AN115" s="48"/>
      <c r="AO115" s="48"/>
      <c r="AP115" s="48"/>
      <c r="AQ115" s="48"/>
      <c r="AR115" s="48"/>
      <c r="AS115" s="66">
        <f t="shared" si="38"/>
        <v>100</v>
      </c>
      <c r="AT115" s="52">
        <f t="shared" si="28"/>
        <v>0.42878592806612703</v>
      </c>
      <c r="AU115" s="66">
        <f t="shared" si="38"/>
        <v>100</v>
      </c>
      <c r="AV115" s="52">
        <f t="shared" si="29"/>
        <v>0.45636498767814543</v>
      </c>
      <c r="AW115" s="66">
        <f t="shared" si="38"/>
        <v>100</v>
      </c>
      <c r="AX115" s="52">
        <f t="shared" si="30"/>
        <v>0.2220810998586466</v>
      </c>
      <c r="AY115" s="66">
        <f t="shared" si="38"/>
        <v>99.99999999999999</v>
      </c>
      <c r="AZ115" s="52">
        <f t="shared" si="27"/>
        <v>0.3690773385343064</v>
      </c>
      <c r="BA115" s="48"/>
      <c r="BB115" s="48"/>
      <c r="BC115" s="48"/>
      <c r="BD115" s="48"/>
      <c r="BE115" s="48"/>
      <c r="BF115" s="48"/>
      <c r="BG115" s="48"/>
      <c r="BH115" s="48"/>
    </row>
    <row r="116" spans="2:60" ht="12.75">
      <c r="B116" s="19" t="s">
        <v>161</v>
      </c>
      <c r="C116" s="19"/>
      <c r="D116" s="19" t="s">
        <v>106</v>
      </c>
      <c r="E116" s="50"/>
      <c r="F116" s="20">
        <f t="shared" si="37"/>
        <v>2.0507153081423466</v>
      </c>
      <c r="G116" s="50"/>
      <c r="H116" s="20">
        <f t="shared" si="37"/>
        <v>1.9114417599852755</v>
      </c>
      <c r="I116" s="50"/>
      <c r="J116" s="20">
        <f t="shared" si="31"/>
        <v>1.6796049569141336</v>
      </c>
      <c r="K116" s="50"/>
      <c r="L116" s="20">
        <f t="shared" si="32"/>
        <v>1.8805873416805852</v>
      </c>
      <c r="M116" s="50">
        <v>100</v>
      </c>
      <c r="N116" s="20">
        <f t="shared" si="33"/>
        <v>1.2428577625105133</v>
      </c>
      <c r="O116" s="50">
        <v>100</v>
      </c>
      <c r="P116" s="20">
        <f t="shared" si="34"/>
        <v>1.3227970657337549</v>
      </c>
      <c r="Q116" s="50">
        <v>100</v>
      </c>
      <c r="R116" s="20">
        <f t="shared" si="35"/>
        <v>1.2441518199363955</v>
      </c>
      <c r="S116" s="50"/>
      <c r="T116" s="20">
        <f t="shared" si="36"/>
        <v>1.2699355493935547</v>
      </c>
      <c r="U116" s="21">
        <f t="shared" si="19"/>
        <v>37.735849056603776</v>
      </c>
      <c r="V116" s="20">
        <f t="shared" si="20"/>
        <v>3.29357307065286</v>
      </c>
      <c r="W116" s="21">
        <f t="shared" si="21"/>
        <v>40.899795501022496</v>
      </c>
      <c r="X116" s="20">
        <f t="shared" si="22"/>
        <v>3.2342388257190304</v>
      </c>
      <c r="Y116" s="21">
        <f t="shared" si="23"/>
        <v>42.55319148936171</v>
      </c>
      <c r="Z116" s="20">
        <f t="shared" si="24"/>
        <v>2.923756776850529</v>
      </c>
      <c r="AA116" s="21">
        <f t="shared" si="25"/>
        <v>40.30872313264108</v>
      </c>
      <c r="AB116" s="20">
        <f t="shared" si="26"/>
        <v>3.15052289107414</v>
      </c>
      <c r="AC116" s="20"/>
      <c r="AD116" s="20"/>
      <c r="AE116" s="20"/>
      <c r="AF116" s="20"/>
      <c r="AG116" s="20"/>
      <c r="AH116" s="20"/>
      <c r="AI116" s="20"/>
      <c r="AJ116" s="48"/>
      <c r="AK116" s="48"/>
      <c r="AL116" s="48"/>
      <c r="AM116" s="48"/>
      <c r="AN116" s="48"/>
      <c r="AO116" s="48"/>
      <c r="AP116" s="48"/>
      <c r="AQ116" s="48"/>
      <c r="AR116" s="48"/>
      <c r="AS116" s="66">
        <f t="shared" si="38"/>
        <v>37.735849056603776</v>
      </c>
      <c r="AT116" s="52">
        <f t="shared" si="28"/>
        <v>3.29357307065286</v>
      </c>
      <c r="AU116" s="66">
        <f t="shared" si="38"/>
        <v>40.899795501022496</v>
      </c>
      <c r="AV116" s="52">
        <f t="shared" si="29"/>
        <v>3.2342388257190304</v>
      </c>
      <c r="AW116" s="66">
        <f t="shared" si="38"/>
        <v>42.55319148936171</v>
      </c>
      <c r="AX116" s="52">
        <f t="shared" si="30"/>
        <v>2.923756776850529</v>
      </c>
      <c r="AY116" s="66">
        <f t="shared" si="38"/>
        <v>40.30872313264108</v>
      </c>
      <c r="AZ116" s="52">
        <f t="shared" si="27"/>
        <v>3.1505228910741394</v>
      </c>
      <c r="BA116" s="48"/>
      <c r="BB116" s="48"/>
      <c r="BC116" s="48"/>
      <c r="BD116" s="48"/>
      <c r="BE116" s="48"/>
      <c r="BF116" s="48"/>
      <c r="BG116" s="48"/>
      <c r="BH116" s="48"/>
    </row>
    <row r="117" spans="2:60" ht="12.75">
      <c r="B117" s="19" t="s">
        <v>184</v>
      </c>
      <c r="C117" s="19"/>
      <c r="D117" s="19" t="s">
        <v>106</v>
      </c>
      <c r="E117" s="48"/>
      <c r="F117" s="20">
        <f t="shared" si="37"/>
        <v>78.30003903816232</v>
      </c>
      <c r="G117" s="48"/>
      <c r="H117" s="20">
        <f t="shared" si="37"/>
        <v>16.66724302824531</v>
      </c>
      <c r="I117" s="48"/>
      <c r="J117" s="20">
        <f t="shared" si="31"/>
        <v>11.446196743414838</v>
      </c>
      <c r="K117" s="48"/>
      <c r="L117" s="20">
        <f t="shared" si="32"/>
        <v>35.47115960327415</v>
      </c>
      <c r="M117" s="50"/>
      <c r="N117" s="20">
        <f t="shared" si="33"/>
        <v>0.6400717476929143</v>
      </c>
      <c r="O117" s="50"/>
      <c r="P117" s="20">
        <f t="shared" si="34"/>
        <v>0.7473803421395714</v>
      </c>
      <c r="Q117" s="50">
        <v>100</v>
      </c>
      <c r="R117" s="20">
        <f t="shared" si="35"/>
        <v>0.4852192097751941</v>
      </c>
      <c r="S117" s="50"/>
      <c r="T117" s="20">
        <f t="shared" si="36"/>
        <v>0.6242237665358933</v>
      </c>
      <c r="U117" s="21">
        <f t="shared" si="19"/>
        <v>0</v>
      </c>
      <c r="V117" s="20">
        <f t="shared" si="20"/>
        <v>78.94011078585524</v>
      </c>
      <c r="W117" s="21">
        <f t="shared" si="21"/>
        <v>0</v>
      </c>
      <c r="X117" s="20">
        <f t="shared" si="22"/>
        <v>17.41462337038488</v>
      </c>
      <c r="Y117" s="21">
        <f t="shared" si="23"/>
        <v>4.066736183524505</v>
      </c>
      <c r="Z117" s="20">
        <f t="shared" si="24"/>
        <v>11.931415953190031</v>
      </c>
      <c r="AA117" s="21">
        <f t="shared" si="25"/>
        <v>0.44808981507316387</v>
      </c>
      <c r="AB117" s="20">
        <f t="shared" si="26"/>
        <v>36.095383369810044</v>
      </c>
      <c r="AC117" s="20"/>
      <c r="AD117" s="20"/>
      <c r="AE117" s="20"/>
      <c r="AF117" s="20"/>
      <c r="AG117" s="20"/>
      <c r="AH117" s="20"/>
      <c r="AI117" s="20"/>
      <c r="AJ117" s="48"/>
      <c r="AK117" s="48"/>
      <c r="AL117" s="48"/>
      <c r="AM117" s="48"/>
      <c r="AN117" s="48"/>
      <c r="AO117" s="48"/>
      <c r="AP117" s="48"/>
      <c r="AQ117" s="48"/>
      <c r="AR117" s="48"/>
      <c r="AS117" s="66">
        <f t="shared" si="38"/>
        <v>0</v>
      </c>
      <c r="AT117" s="52">
        <f t="shared" si="28"/>
        <v>78.94011078585524</v>
      </c>
      <c r="AU117" s="66">
        <f t="shared" si="38"/>
        <v>0</v>
      </c>
      <c r="AV117" s="52">
        <f t="shared" si="29"/>
        <v>17.41462337038488</v>
      </c>
      <c r="AW117" s="66">
        <f t="shared" si="38"/>
        <v>4.066736183524505</v>
      </c>
      <c r="AX117" s="52">
        <f t="shared" si="30"/>
        <v>11.931415953190031</v>
      </c>
      <c r="AY117" s="66">
        <f t="shared" si="38"/>
        <v>0.44808981507316387</v>
      </c>
      <c r="AZ117" s="52">
        <f t="shared" si="27"/>
        <v>36.095383369810044</v>
      </c>
      <c r="BA117" s="48"/>
      <c r="BB117" s="48"/>
      <c r="BC117" s="48"/>
      <c r="BD117" s="48"/>
      <c r="BE117" s="48"/>
      <c r="BF117" s="48"/>
      <c r="BG117" s="48"/>
      <c r="BH117" s="48"/>
    </row>
    <row r="118" spans="2:60" ht="12.75">
      <c r="B118" s="19" t="s">
        <v>156</v>
      </c>
      <c r="C118" s="19"/>
      <c r="D118" s="19" t="s">
        <v>106</v>
      </c>
      <c r="E118" s="48"/>
      <c r="F118" s="20">
        <f t="shared" si="37"/>
        <v>4.753930941602713</v>
      </c>
      <c r="G118" s="48"/>
      <c r="H118" s="20">
        <f t="shared" si="37"/>
        <v>3.836111490627889</v>
      </c>
      <c r="I118" s="50">
        <v>100</v>
      </c>
      <c r="J118" s="20">
        <f t="shared" si="31"/>
        <v>2.7371340038600698</v>
      </c>
      <c r="K118" s="48"/>
      <c r="L118" s="20">
        <f t="shared" si="32"/>
        <v>3.77572547869689</v>
      </c>
      <c r="M118" s="50">
        <v>100</v>
      </c>
      <c r="N118" s="20">
        <f t="shared" si="33"/>
        <v>3.045001518150757</v>
      </c>
      <c r="O118" s="50">
        <v>100</v>
      </c>
      <c r="P118" s="20">
        <f t="shared" si="34"/>
        <v>3.2408528110476995</v>
      </c>
      <c r="Q118" s="50">
        <v>100</v>
      </c>
      <c r="R118" s="20">
        <f t="shared" si="35"/>
        <v>3.0481719588441694</v>
      </c>
      <c r="S118" s="50"/>
      <c r="T118" s="20">
        <f t="shared" si="36"/>
        <v>3.1113420960142086</v>
      </c>
      <c r="U118" s="21">
        <f t="shared" si="19"/>
        <v>39.04382470119522</v>
      </c>
      <c r="V118" s="20">
        <f t="shared" si="20"/>
        <v>7.79893245975347</v>
      </c>
      <c r="W118" s="21">
        <f t="shared" si="21"/>
        <v>45.794392523364486</v>
      </c>
      <c r="X118" s="20">
        <f t="shared" si="22"/>
        <v>7.076964301675588</v>
      </c>
      <c r="Y118" s="21">
        <f t="shared" si="23"/>
        <v>100.00000000000001</v>
      </c>
      <c r="Z118" s="20">
        <f t="shared" si="24"/>
        <v>5.785305962704239</v>
      </c>
      <c r="AA118" s="21">
        <f t="shared" si="25"/>
        <v>58.4242865871646</v>
      </c>
      <c r="AB118" s="20">
        <f t="shared" si="26"/>
        <v>6.887067574711098</v>
      </c>
      <c r="AC118" s="20"/>
      <c r="AD118" s="20"/>
      <c r="AE118" s="20"/>
      <c r="AF118" s="20"/>
      <c r="AG118" s="20"/>
      <c r="AH118" s="20"/>
      <c r="AI118" s="20"/>
      <c r="AJ118" s="48"/>
      <c r="AK118" s="48"/>
      <c r="AL118" s="48"/>
      <c r="AM118" s="48"/>
      <c r="AN118" s="48"/>
      <c r="AO118" s="48"/>
      <c r="AP118" s="48"/>
      <c r="AQ118" s="48"/>
      <c r="AR118" s="48"/>
      <c r="AS118" s="66">
        <f t="shared" si="38"/>
        <v>39.04382470119522</v>
      </c>
      <c r="AT118" s="52">
        <f t="shared" si="28"/>
        <v>7.79893245975347</v>
      </c>
      <c r="AU118" s="66">
        <f t="shared" si="38"/>
        <v>45.794392523364486</v>
      </c>
      <c r="AV118" s="52">
        <f t="shared" si="29"/>
        <v>7.076964301675588</v>
      </c>
      <c r="AW118" s="66">
        <f t="shared" si="38"/>
        <v>100.00000000000001</v>
      </c>
      <c r="AX118" s="52">
        <f t="shared" si="30"/>
        <v>5.785305962704239</v>
      </c>
      <c r="AY118" s="66">
        <f t="shared" si="38"/>
        <v>58.4242865871646</v>
      </c>
      <c r="AZ118" s="52">
        <f t="shared" si="27"/>
        <v>6.887067574711099</v>
      </c>
      <c r="BA118" s="48"/>
      <c r="BB118" s="48"/>
      <c r="BC118" s="48"/>
      <c r="BD118" s="48"/>
      <c r="BE118" s="48"/>
      <c r="BF118" s="48"/>
      <c r="BG118" s="48"/>
      <c r="BH118" s="48"/>
    </row>
    <row r="119" spans="2:60" ht="12.75">
      <c r="B119" s="19" t="s">
        <v>162</v>
      </c>
      <c r="C119" s="19"/>
      <c r="D119" s="19" t="s">
        <v>106</v>
      </c>
      <c r="E119" s="50">
        <v>100</v>
      </c>
      <c r="F119" s="20">
        <f t="shared" si="37"/>
        <v>27.964299656486542</v>
      </c>
      <c r="G119" s="50">
        <v>100</v>
      </c>
      <c r="H119" s="20">
        <f t="shared" si="37"/>
        <v>29.762933979009482</v>
      </c>
      <c r="I119" s="50">
        <v>100</v>
      </c>
      <c r="J119" s="20">
        <f t="shared" si="31"/>
        <v>27.9934159485689</v>
      </c>
      <c r="K119" s="48"/>
      <c r="L119" s="20">
        <f t="shared" si="32"/>
        <v>28.573549861354973</v>
      </c>
      <c r="M119" s="50">
        <v>100</v>
      </c>
      <c r="N119" s="20">
        <f t="shared" si="33"/>
        <v>4.722859497539949</v>
      </c>
      <c r="O119" s="50">
        <v>100</v>
      </c>
      <c r="P119" s="20">
        <f t="shared" si="34"/>
        <v>5.026628849788268</v>
      </c>
      <c r="Q119" s="50">
        <v>100</v>
      </c>
      <c r="R119" s="20">
        <f t="shared" si="35"/>
        <v>4.7277769157583025</v>
      </c>
      <c r="S119" s="50"/>
      <c r="T119" s="20">
        <f t="shared" si="36"/>
        <v>4.825755087695506</v>
      </c>
      <c r="U119" s="21">
        <f t="shared" si="19"/>
        <v>100</v>
      </c>
      <c r="V119" s="20">
        <f t="shared" si="20"/>
        <v>32.68715915402649</v>
      </c>
      <c r="W119" s="21">
        <f t="shared" si="21"/>
        <v>100</v>
      </c>
      <c r="X119" s="20">
        <f t="shared" si="22"/>
        <v>34.78956282879775</v>
      </c>
      <c r="Y119" s="21">
        <f t="shared" si="23"/>
        <v>100.00000000000001</v>
      </c>
      <c r="Z119" s="20">
        <f t="shared" si="24"/>
        <v>32.7211928643272</v>
      </c>
      <c r="AA119" s="21">
        <f t="shared" si="25"/>
        <v>99.99999999999999</v>
      </c>
      <c r="AB119" s="20">
        <f t="shared" si="26"/>
        <v>33.39930494905048</v>
      </c>
      <c r="AC119" s="20"/>
      <c r="AD119" s="20"/>
      <c r="AE119" s="20"/>
      <c r="AF119" s="20"/>
      <c r="AG119" s="20"/>
      <c r="AH119" s="20"/>
      <c r="AI119" s="20"/>
      <c r="AJ119" s="48"/>
      <c r="AK119" s="48"/>
      <c r="AS119" s="66">
        <f t="shared" si="38"/>
        <v>100</v>
      </c>
      <c r="AT119" s="52">
        <f t="shared" si="28"/>
        <v>32.68715915402649</v>
      </c>
      <c r="AU119" s="66">
        <f t="shared" si="38"/>
        <v>100</v>
      </c>
      <c r="AV119" s="52">
        <f t="shared" si="29"/>
        <v>34.78956282879775</v>
      </c>
      <c r="AW119" s="66">
        <f t="shared" si="38"/>
        <v>100.00000000000001</v>
      </c>
      <c r="AX119" s="52">
        <f t="shared" si="30"/>
        <v>32.7211928643272</v>
      </c>
      <c r="AY119" s="66">
        <f t="shared" si="38"/>
        <v>99.99999999999999</v>
      </c>
      <c r="AZ119" s="52">
        <f t="shared" si="27"/>
        <v>33.39930494905048</v>
      </c>
      <c r="BA119" s="48"/>
      <c r="BB119" s="48"/>
      <c r="BC119" s="48"/>
      <c r="BD119" s="48"/>
      <c r="BE119" s="48"/>
      <c r="BF119" s="48"/>
      <c r="BG119" s="48"/>
      <c r="BH119" s="48"/>
    </row>
    <row r="120" spans="2:60" ht="12.75">
      <c r="B120" s="19" t="s">
        <v>163</v>
      </c>
      <c r="C120" s="19"/>
      <c r="D120" s="19" t="s">
        <v>106</v>
      </c>
      <c r="E120" s="48"/>
      <c r="F120" s="20">
        <f t="shared" si="37"/>
        <v>621.4288812552566</v>
      </c>
      <c r="G120" s="48"/>
      <c r="H120" s="20">
        <f t="shared" si="37"/>
        <v>34.92184253537113</v>
      </c>
      <c r="I120" s="48"/>
      <c r="J120" s="20">
        <f t="shared" si="31"/>
        <v>57.41760649006465</v>
      </c>
      <c r="K120" s="48"/>
      <c r="L120" s="20">
        <f t="shared" si="32"/>
        <v>237.92277676023073</v>
      </c>
      <c r="M120" s="50">
        <v>100</v>
      </c>
      <c r="N120" s="20">
        <f t="shared" si="33"/>
        <v>7.457146575063079</v>
      </c>
      <c r="O120" s="50">
        <v>100</v>
      </c>
      <c r="P120" s="20">
        <f t="shared" si="34"/>
        <v>7.9367823944025275</v>
      </c>
      <c r="Q120" s="50">
        <v>100</v>
      </c>
      <c r="R120" s="20">
        <f t="shared" si="35"/>
        <v>7.464910919618372</v>
      </c>
      <c r="S120" s="50"/>
      <c r="T120" s="20">
        <f t="shared" si="36"/>
        <v>7.619613296361326</v>
      </c>
      <c r="U120" s="21">
        <f t="shared" si="19"/>
        <v>1.185770750988142</v>
      </c>
      <c r="V120" s="20">
        <f t="shared" si="20"/>
        <v>628.8860278303197</v>
      </c>
      <c r="W120" s="21">
        <f t="shared" si="21"/>
        <v>18.51851851851852</v>
      </c>
      <c r="X120" s="20">
        <f t="shared" si="22"/>
        <v>42.858624929773654</v>
      </c>
      <c r="Y120" s="21">
        <f t="shared" si="23"/>
        <v>11.505273250239693</v>
      </c>
      <c r="Z120" s="20">
        <f t="shared" si="24"/>
        <v>64.88251740968302</v>
      </c>
      <c r="AA120" s="21">
        <f t="shared" si="25"/>
        <v>3.1031763169712465</v>
      </c>
      <c r="AB120" s="20">
        <f t="shared" si="26"/>
        <v>245.54239005659207</v>
      </c>
      <c r="AC120" s="20"/>
      <c r="AD120" s="20"/>
      <c r="AE120" s="20"/>
      <c r="AF120" s="20"/>
      <c r="AG120" s="20"/>
      <c r="AH120" s="20"/>
      <c r="AI120" s="20"/>
      <c r="AJ120" s="48"/>
      <c r="AK120" s="48"/>
      <c r="AS120" s="66">
        <f t="shared" si="38"/>
        <v>1.185770750988142</v>
      </c>
      <c r="AT120" s="52">
        <f t="shared" si="28"/>
        <v>628.8860278303197</v>
      </c>
      <c r="AU120" s="66">
        <f t="shared" si="38"/>
        <v>18.51851851851852</v>
      </c>
      <c r="AV120" s="52">
        <f t="shared" si="29"/>
        <v>42.858624929773654</v>
      </c>
      <c r="AW120" s="66">
        <f t="shared" si="38"/>
        <v>11.505273250239693</v>
      </c>
      <c r="AX120" s="52">
        <f t="shared" si="30"/>
        <v>64.88251740968302</v>
      </c>
      <c r="AY120" s="66">
        <f t="shared" si="38"/>
        <v>3.1031763169712465</v>
      </c>
      <c r="AZ120" s="52">
        <f t="shared" si="27"/>
        <v>245.54239005659213</v>
      </c>
      <c r="BA120" s="48"/>
      <c r="BB120" s="48"/>
      <c r="BC120" s="48"/>
      <c r="BD120" s="48"/>
      <c r="BE120" s="48"/>
      <c r="BF120" s="48"/>
      <c r="BG120" s="48"/>
      <c r="BH120" s="48"/>
    </row>
    <row r="121" spans="2:60" ht="12.75">
      <c r="B121" s="19" t="s">
        <v>164</v>
      </c>
      <c r="C121" s="19"/>
      <c r="D121" s="19" t="s">
        <v>106</v>
      </c>
      <c r="E121" s="50">
        <v>100</v>
      </c>
      <c r="F121" s="20">
        <f t="shared" si="37"/>
        <v>2.9207157418997056</v>
      </c>
      <c r="G121" s="50">
        <v>100</v>
      </c>
      <c r="H121" s="20">
        <f t="shared" si="37"/>
        <v>3.1085731044743237</v>
      </c>
      <c r="I121" s="50">
        <v>100</v>
      </c>
      <c r="J121" s="20">
        <f t="shared" si="31"/>
        <v>2.9237567768505293</v>
      </c>
      <c r="K121" s="48"/>
      <c r="L121" s="20">
        <f t="shared" si="32"/>
        <v>2.984348541074853</v>
      </c>
      <c r="M121" s="50"/>
      <c r="N121" s="20">
        <f t="shared" si="33"/>
        <v>8.948575890075693</v>
      </c>
      <c r="O121" s="50"/>
      <c r="P121" s="20">
        <f t="shared" si="34"/>
        <v>8.598180927269407</v>
      </c>
      <c r="Q121" s="50"/>
      <c r="R121" s="20">
        <f t="shared" si="35"/>
        <v>9.144515876532505</v>
      </c>
      <c r="S121" s="50"/>
      <c r="T121" s="20">
        <f t="shared" si="36"/>
        <v>8.8970908979592</v>
      </c>
      <c r="U121" s="21">
        <f t="shared" si="19"/>
        <v>24.607329842931936</v>
      </c>
      <c r="V121" s="20">
        <f t="shared" si="20"/>
        <v>11.869291631975399</v>
      </c>
      <c r="W121" s="21">
        <f t="shared" si="21"/>
        <v>26.55367231638418</v>
      </c>
      <c r="X121" s="20">
        <f t="shared" si="22"/>
        <v>11.706754031743731</v>
      </c>
      <c r="Y121" s="21">
        <f t="shared" si="23"/>
        <v>24.226804123711343</v>
      </c>
      <c r="Z121" s="20">
        <f t="shared" si="24"/>
        <v>12.068272653383035</v>
      </c>
      <c r="AA121" s="21">
        <f t="shared" si="25"/>
        <v>25.117735577310462</v>
      </c>
      <c r="AB121" s="20">
        <f t="shared" si="26"/>
        <v>11.881439439034054</v>
      </c>
      <c r="AC121" s="20"/>
      <c r="AD121" s="20"/>
      <c r="AE121" s="20"/>
      <c r="AF121" s="20"/>
      <c r="AG121" s="20"/>
      <c r="AH121" s="20"/>
      <c r="AI121" s="20"/>
      <c r="AJ121" s="48"/>
      <c r="AK121" s="48"/>
      <c r="AS121" s="66">
        <f t="shared" si="38"/>
        <v>24.607329842931936</v>
      </c>
      <c r="AT121" s="52">
        <f t="shared" si="28"/>
        <v>11.869291631975399</v>
      </c>
      <c r="AU121" s="66">
        <f t="shared" si="38"/>
        <v>26.55367231638418</v>
      </c>
      <c r="AV121" s="52">
        <f t="shared" si="29"/>
        <v>11.706754031743731</v>
      </c>
      <c r="AW121" s="66">
        <f t="shared" si="38"/>
        <v>24.226804123711343</v>
      </c>
      <c r="AX121" s="52">
        <f t="shared" si="30"/>
        <v>12.068272653383035</v>
      </c>
      <c r="AY121" s="66">
        <f t="shared" si="38"/>
        <v>25.117735577310462</v>
      </c>
      <c r="AZ121" s="52">
        <f t="shared" si="27"/>
        <v>11.881439439034054</v>
      </c>
      <c r="BA121" s="48"/>
      <c r="BB121" s="48"/>
      <c r="BC121" s="48"/>
      <c r="BD121" s="48"/>
      <c r="BE121" s="48"/>
      <c r="BF121" s="48"/>
      <c r="BG121" s="48"/>
      <c r="BH121" s="48"/>
    </row>
    <row r="122" spans="2:60" ht="12.75">
      <c r="B122" s="19" t="s">
        <v>165</v>
      </c>
      <c r="C122" s="19"/>
      <c r="D122" s="19" t="s">
        <v>106</v>
      </c>
      <c r="E122" s="50">
        <v>100</v>
      </c>
      <c r="F122" s="20">
        <f t="shared" si="37"/>
        <v>0.39150019519081164</v>
      </c>
      <c r="G122" s="50">
        <v>100</v>
      </c>
      <c r="H122" s="20">
        <f t="shared" si="37"/>
        <v>0.41668107570613283</v>
      </c>
      <c r="I122" s="50">
        <v>100</v>
      </c>
      <c r="J122" s="20">
        <f t="shared" si="31"/>
        <v>0.3919078232799646</v>
      </c>
      <c r="K122" s="48"/>
      <c r="L122" s="20">
        <f t="shared" si="32"/>
        <v>0.4000296980589697</v>
      </c>
      <c r="M122" s="50">
        <v>100</v>
      </c>
      <c r="N122" s="20">
        <f t="shared" si="33"/>
        <v>0.4412145056912322</v>
      </c>
      <c r="O122" s="50">
        <v>100</v>
      </c>
      <c r="P122" s="20">
        <f t="shared" si="34"/>
        <v>0.46959295833548304</v>
      </c>
      <c r="Q122" s="50">
        <v>100</v>
      </c>
      <c r="R122" s="20">
        <f t="shared" si="35"/>
        <v>0.44167389607742036</v>
      </c>
      <c r="S122" s="50"/>
      <c r="T122" s="20">
        <f t="shared" si="36"/>
        <v>0.4508271200347118</v>
      </c>
      <c r="U122" s="21">
        <f t="shared" si="19"/>
        <v>99.99999999999999</v>
      </c>
      <c r="V122" s="20">
        <f t="shared" si="20"/>
        <v>0.8327147008820439</v>
      </c>
      <c r="W122" s="21">
        <f t="shared" si="21"/>
        <v>100</v>
      </c>
      <c r="X122" s="20">
        <f t="shared" si="22"/>
        <v>0.8862740340416159</v>
      </c>
      <c r="Y122" s="21">
        <f t="shared" si="23"/>
        <v>100.00000000000001</v>
      </c>
      <c r="Z122" s="20">
        <f t="shared" si="24"/>
        <v>0.8335817193573849</v>
      </c>
      <c r="AA122" s="21">
        <f t="shared" si="25"/>
        <v>100</v>
      </c>
      <c r="AB122" s="20">
        <f t="shared" si="26"/>
        <v>0.8508568180936815</v>
      </c>
      <c r="AC122" s="20"/>
      <c r="AD122" s="20"/>
      <c r="AE122" s="20"/>
      <c r="AF122" s="20"/>
      <c r="AG122" s="20"/>
      <c r="AH122" s="20"/>
      <c r="AI122" s="20"/>
      <c r="AJ122" s="48"/>
      <c r="AK122" s="48"/>
      <c r="AS122" s="66">
        <f t="shared" si="38"/>
        <v>99.99999999999999</v>
      </c>
      <c r="AT122" s="52">
        <f t="shared" si="28"/>
        <v>0.8327147008820439</v>
      </c>
      <c r="AU122" s="66">
        <f t="shared" si="38"/>
        <v>100</v>
      </c>
      <c r="AV122" s="52">
        <f t="shared" si="29"/>
        <v>0.8862740340416159</v>
      </c>
      <c r="AW122" s="66">
        <f t="shared" si="38"/>
        <v>100.00000000000001</v>
      </c>
      <c r="AX122" s="52">
        <f t="shared" si="30"/>
        <v>0.8335817193573849</v>
      </c>
      <c r="AY122" s="66">
        <f t="shared" si="38"/>
        <v>100</v>
      </c>
      <c r="AZ122" s="52">
        <f t="shared" si="27"/>
        <v>0.8508568180936815</v>
      </c>
      <c r="BA122" s="48"/>
      <c r="BB122" s="48"/>
      <c r="BC122" s="48"/>
      <c r="BD122" s="48"/>
      <c r="BE122" s="48"/>
      <c r="BF122" s="48"/>
      <c r="BG122" s="48"/>
      <c r="BH122" s="48"/>
    </row>
    <row r="123" spans="2:60" ht="12.75">
      <c r="B123" s="19" t="s">
        <v>166</v>
      </c>
      <c r="C123" s="19"/>
      <c r="D123" s="19" t="s">
        <v>106</v>
      </c>
      <c r="E123" s="50">
        <v>100</v>
      </c>
      <c r="F123" s="20">
        <f t="shared" si="37"/>
        <v>2.547858413146552</v>
      </c>
      <c r="G123" s="50">
        <v>100</v>
      </c>
      <c r="H123" s="20">
        <f t="shared" si="37"/>
        <v>2.7117339847541975</v>
      </c>
      <c r="I123" s="50">
        <v>100</v>
      </c>
      <c r="J123" s="20">
        <f t="shared" si="31"/>
        <v>3.676468627912049</v>
      </c>
      <c r="K123" s="48"/>
      <c r="L123" s="20">
        <f t="shared" si="32"/>
        <v>2.978687008604266</v>
      </c>
      <c r="M123" s="50">
        <v>100</v>
      </c>
      <c r="N123" s="20">
        <f t="shared" si="33"/>
        <v>2.8585728537741804</v>
      </c>
      <c r="O123" s="50">
        <v>100</v>
      </c>
      <c r="P123" s="20">
        <f t="shared" si="34"/>
        <v>3.042433251187636</v>
      </c>
      <c r="Q123" s="50">
        <v>100</v>
      </c>
      <c r="R123" s="20">
        <f t="shared" si="35"/>
        <v>2.8615491858537094</v>
      </c>
      <c r="S123" s="50"/>
      <c r="T123" s="20">
        <f t="shared" si="36"/>
        <v>2.920851763605175</v>
      </c>
      <c r="U123" s="21">
        <f t="shared" si="19"/>
        <v>100</v>
      </c>
      <c r="V123" s="20">
        <f t="shared" si="20"/>
        <v>5.406431266920732</v>
      </c>
      <c r="W123" s="21">
        <f t="shared" si="21"/>
        <v>100</v>
      </c>
      <c r="X123" s="20">
        <f t="shared" si="22"/>
        <v>5.754167235941834</v>
      </c>
      <c r="Y123" s="21">
        <f t="shared" si="23"/>
        <v>100</v>
      </c>
      <c r="Z123" s="20">
        <f t="shared" si="24"/>
        <v>6.538017813765759</v>
      </c>
      <c r="AA123" s="21">
        <f t="shared" si="25"/>
        <v>100.00000000000001</v>
      </c>
      <c r="AB123" s="20">
        <f t="shared" si="26"/>
        <v>5.899538772209441</v>
      </c>
      <c r="AC123" s="20"/>
      <c r="AD123" s="20"/>
      <c r="AE123" s="20"/>
      <c r="AF123" s="20"/>
      <c r="AG123" s="20"/>
      <c r="AH123" s="20"/>
      <c r="AI123" s="20"/>
      <c r="AJ123" s="48"/>
      <c r="AK123" s="48"/>
      <c r="AS123" s="66">
        <f t="shared" si="38"/>
        <v>100</v>
      </c>
      <c r="AT123" s="52">
        <f t="shared" si="28"/>
        <v>5.406431266920732</v>
      </c>
      <c r="AU123" s="66">
        <f t="shared" si="38"/>
        <v>100</v>
      </c>
      <c r="AV123" s="52">
        <f t="shared" si="29"/>
        <v>5.754167235941834</v>
      </c>
      <c r="AW123" s="66">
        <f t="shared" si="38"/>
        <v>100</v>
      </c>
      <c r="AX123" s="52">
        <f t="shared" si="30"/>
        <v>6.538017813765759</v>
      </c>
      <c r="AY123" s="66">
        <f t="shared" si="38"/>
        <v>100.00000000000001</v>
      </c>
      <c r="AZ123" s="52">
        <f t="shared" si="27"/>
        <v>5.899538772209442</v>
      </c>
      <c r="BA123" s="48"/>
      <c r="BB123" s="48"/>
      <c r="BC123" s="48"/>
      <c r="BD123" s="48"/>
      <c r="BE123" s="48"/>
      <c r="BF123" s="48"/>
      <c r="BG123" s="48"/>
      <c r="BH123" s="48"/>
    </row>
    <row r="124" spans="2:60" ht="12.75">
      <c r="B124" s="19" t="s">
        <v>187</v>
      </c>
      <c r="C124" s="19"/>
      <c r="D124" s="19" t="s">
        <v>106</v>
      </c>
      <c r="E124" s="48"/>
      <c r="F124" s="20">
        <f t="shared" si="37"/>
        <v>177.72866003900336</v>
      </c>
      <c r="G124" s="48"/>
      <c r="H124" s="20">
        <f t="shared" si="37"/>
        <v>162.70403908525182</v>
      </c>
      <c r="I124" s="48"/>
      <c r="J124" s="20">
        <f t="shared" si="31"/>
        <v>61.33668472286429</v>
      </c>
      <c r="K124" s="48"/>
      <c r="L124" s="20">
        <f t="shared" si="32"/>
        <v>133.9231279490398</v>
      </c>
      <c r="M124" s="50"/>
      <c r="N124" s="20">
        <f t="shared" si="33"/>
        <v>28.088585432737595</v>
      </c>
      <c r="O124" s="50"/>
      <c r="P124" s="20">
        <f t="shared" si="34"/>
        <v>11.574474325170355</v>
      </c>
      <c r="Q124" s="50"/>
      <c r="R124" s="20">
        <f t="shared" si="35"/>
        <v>66.56212236659717</v>
      </c>
      <c r="S124" s="50"/>
      <c r="T124" s="20">
        <f t="shared" si="36"/>
        <v>35.40839404150171</v>
      </c>
      <c r="U124" s="21">
        <f t="shared" si="19"/>
        <v>0</v>
      </c>
      <c r="V124" s="20">
        <f t="shared" si="20"/>
        <v>205.81724547174096</v>
      </c>
      <c r="W124" s="21">
        <f t="shared" si="21"/>
        <v>0</v>
      </c>
      <c r="X124" s="20">
        <f t="shared" si="22"/>
        <v>174.27851341042216</v>
      </c>
      <c r="Y124" s="21">
        <f t="shared" si="23"/>
        <v>0</v>
      </c>
      <c r="Z124" s="20">
        <f t="shared" si="24"/>
        <v>127.89880708946146</v>
      </c>
      <c r="AA124" s="21">
        <f t="shared" si="25"/>
        <v>0</v>
      </c>
      <c r="AB124" s="20">
        <f t="shared" si="26"/>
        <v>169.33152199054152</v>
      </c>
      <c r="AC124" s="20"/>
      <c r="AD124" s="20"/>
      <c r="AE124" s="20"/>
      <c r="AF124" s="20"/>
      <c r="AG124" s="20"/>
      <c r="AH124" s="20"/>
      <c r="AI124" s="20"/>
      <c r="AJ124" s="48"/>
      <c r="AK124" s="48"/>
      <c r="AS124" s="66">
        <f t="shared" si="38"/>
        <v>0</v>
      </c>
      <c r="AT124" s="52">
        <f t="shared" si="28"/>
        <v>205.81724547174096</v>
      </c>
      <c r="AU124" s="66">
        <f t="shared" si="38"/>
        <v>0</v>
      </c>
      <c r="AV124" s="52">
        <f t="shared" si="29"/>
        <v>174.27851341042216</v>
      </c>
      <c r="AW124" s="66">
        <f t="shared" si="38"/>
        <v>0</v>
      </c>
      <c r="AX124" s="52">
        <f t="shared" si="30"/>
        <v>127.89880708946146</v>
      </c>
      <c r="AY124" s="66">
        <f t="shared" si="38"/>
        <v>0</v>
      </c>
      <c r="AZ124" s="52">
        <f t="shared" si="27"/>
        <v>169.33152199054152</v>
      </c>
      <c r="BA124" s="48"/>
      <c r="BB124" s="48"/>
      <c r="BC124" s="48"/>
      <c r="BD124" s="48"/>
      <c r="BE124" s="48"/>
      <c r="BF124" s="48"/>
      <c r="BG124" s="48"/>
      <c r="BH124" s="48"/>
    </row>
    <row r="125" spans="2:60" ht="12.75">
      <c r="B125" s="19"/>
      <c r="C125" s="19"/>
      <c r="D125" s="19"/>
      <c r="E125" s="48"/>
      <c r="F125" s="20"/>
      <c r="G125" s="48"/>
      <c r="H125" s="20"/>
      <c r="I125" s="48"/>
      <c r="J125" s="20"/>
      <c r="K125" s="48"/>
      <c r="L125" s="20"/>
      <c r="M125" s="50"/>
      <c r="N125" s="20"/>
      <c r="O125" s="50"/>
      <c r="P125" s="20"/>
      <c r="Q125" s="50"/>
      <c r="R125" s="20"/>
      <c r="S125" s="50"/>
      <c r="T125" s="20"/>
      <c r="U125" s="20"/>
      <c r="V125" s="20"/>
      <c r="W125" s="20"/>
      <c r="X125" s="20"/>
      <c r="Y125" s="20"/>
      <c r="Z125" s="20"/>
      <c r="AA125" s="21"/>
      <c r="AB125" s="20"/>
      <c r="AC125" s="20"/>
      <c r="AD125" s="20"/>
      <c r="AE125" s="20"/>
      <c r="AF125" s="20"/>
      <c r="AG125" s="20"/>
      <c r="AH125" s="20"/>
      <c r="AI125" s="20"/>
      <c r="AJ125" s="48"/>
      <c r="AK125" s="48"/>
      <c r="AS125" s="66"/>
      <c r="AT125" s="52"/>
      <c r="AU125" s="66"/>
      <c r="AV125" s="52"/>
      <c r="AW125" s="66"/>
      <c r="AX125" s="52"/>
      <c r="AY125" s="66"/>
      <c r="AZ125" s="52"/>
      <c r="BA125" s="48"/>
      <c r="BB125" s="48"/>
      <c r="BC125" s="48"/>
      <c r="BD125" s="48"/>
      <c r="BE125" s="48"/>
      <c r="BF125" s="48"/>
      <c r="BG125" s="48"/>
      <c r="BH125" s="48"/>
    </row>
    <row r="126" spans="2:60" ht="12.75">
      <c r="B126" s="19" t="s">
        <v>107</v>
      </c>
      <c r="C126" s="19"/>
      <c r="D126" s="19" t="s">
        <v>106</v>
      </c>
      <c r="E126" s="48"/>
      <c r="F126" s="20">
        <f>(F116+F118)</f>
        <v>6.804646249745059</v>
      </c>
      <c r="G126" s="48"/>
      <c r="H126" s="20">
        <f>(H116+H118)</f>
        <v>5.747553250613164</v>
      </c>
      <c r="I126" s="48"/>
      <c r="J126" s="20">
        <f>(J116+J118)</f>
        <v>4.416738960774204</v>
      </c>
      <c r="K126" s="48"/>
      <c r="L126" s="20">
        <f t="shared" si="32"/>
        <v>5.656312820377476</v>
      </c>
      <c r="M126" s="20"/>
      <c r="N126" s="20">
        <f>(N116+N118)</f>
        <v>4.28785928066127</v>
      </c>
      <c r="O126" s="20"/>
      <c r="P126" s="20">
        <f>(P116+P118)</f>
        <v>4.563649876781454</v>
      </c>
      <c r="Q126" s="20"/>
      <c r="R126" s="20">
        <f>(R116+R118)</f>
        <v>4.292323778780565</v>
      </c>
      <c r="S126" s="20"/>
      <c r="T126" s="20">
        <f t="shared" si="36"/>
        <v>4.381277645407763</v>
      </c>
      <c r="U126" s="21">
        <f>(U116*V116+U118*V118)/V126</f>
        <v>38.65546218487395</v>
      </c>
      <c r="V126" s="20">
        <f>F126+N126</f>
        <v>11.09250553040633</v>
      </c>
      <c r="W126" s="21">
        <f>(W116*X116+W118*X118)/X126</f>
        <v>44.25914047466325</v>
      </c>
      <c r="X126" s="20">
        <f>H126+P126</f>
        <v>10.311203127394618</v>
      </c>
      <c r="Y126" s="21">
        <f>(Y116*Z116+Y118*Z118)/Z126</f>
        <v>80.71428571428572</v>
      </c>
      <c r="Z126" s="20">
        <f>J126+R126</f>
        <v>8.709062739554769</v>
      </c>
      <c r="AA126" s="21">
        <f>(AA116*AB116+AA118*AB118)/AB126</f>
        <v>52.7383107005485</v>
      </c>
      <c r="AB126" s="20">
        <f>L126+T126</f>
        <v>10.03759046578524</v>
      </c>
      <c r="AC126" s="20"/>
      <c r="AD126" s="20"/>
      <c r="AE126" s="20"/>
      <c r="AF126" s="20"/>
      <c r="AG126" s="20"/>
      <c r="AH126" s="20"/>
      <c r="AI126" s="20"/>
      <c r="AJ126" s="48"/>
      <c r="AK126" s="48"/>
      <c r="AS126" s="66">
        <f t="shared" si="38"/>
        <v>38.65546218487395</v>
      </c>
      <c r="AT126" s="52">
        <f>SUM(AD126,N126,F126)</f>
        <v>11.09250553040633</v>
      </c>
      <c r="AU126" s="66">
        <f t="shared" si="38"/>
        <v>44.25914047466325</v>
      </c>
      <c r="AV126" s="52">
        <f>SUM(AF126,P126,H126)</f>
        <v>10.311203127394618</v>
      </c>
      <c r="AW126" s="66">
        <f t="shared" si="38"/>
        <v>80.71428571428572</v>
      </c>
      <c r="AX126" s="52">
        <f>SUM(AH126,R126,J126)</f>
        <v>8.709062739554769</v>
      </c>
      <c r="AY126" s="66">
        <f t="shared" si="38"/>
        <v>52.7383107005485</v>
      </c>
      <c r="AZ126" s="52">
        <f>SUM(AJ126,T126,L126)</f>
        <v>10.03759046578524</v>
      </c>
      <c r="BA126" s="48"/>
      <c r="BB126" s="48"/>
      <c r="BC126" s="48"/>
      <c r="BD126" s="48"/>
      <c r="BE126" s="48"/>
      <c r="BF126" s="48"/>
      <c r="BG126" s="48"/>
      <c r="BH126" s="48"/>
    </row>
    <row r="127" spans="2:60" ht="12.75">
      <c r="B127" s="19" t="s">
        <v>108</v>
      </c>
      <c r="C127" s="19"/>
      <c r="D127" s="19" t="s">
        <v>106</v>
      </c>
      <c r="E127" s="48"/>
      <c r="F127" s="20">
        <f>(F113+F115+F117)</f>
        <v>218.32039456259673</v>
      </c>
      <c r="G127" s="48"/>
      <c r="H127" s="20">
        <f>(H113+H115+H117)</f>
        <v>31.429658281834012</v>
      </c>
      <c r="I127" s="48"/>
      <c r="J127" s="20">
        <f>(J113+J115+J117)</f>
        <v>25.33093105390501</v>
      </c>
      <c r="K127" s="48"/>
      <c r="L127" s="20">
        <f t="shared" si="32"/>
        <v>91.69366129944525</v>
      </c>
      <c r="M127" s="20"/>
      <c r="N127" s="20">
        <f>(N113+N115+N117)</f>
        <v>4.0392877281591675</v>
      </c>
      <c r="O127" s="20"/>
      <c r="P127" s="20">
        <f>(P113+P115+P117)</f>
        <v>4.762069436641518</v>
      </c>
      <c r="Q127" s="20"/>
      <c r="R127" s="20">
        <f>(R113+R115+R117)</f>
        <v>5.2360129342023205</v>
      </c>
      <c r="S127" s="20"/>
      <c r="T127" s="20">
        <f t="shared" si="36"/>
        <v>4.679123366334335</v>
      </c>
      <c r="U127" s="21">
        <f>(U113*V113+U115*V115+U117*V117)/V127</f>
        <v>1.6181320216868815</v>
      </c>
      <c r="V127" s="20">
        <f>F127+N127</f>
        <v>222.3596822907559</v>
      </c>
      <c r="W127" s="21">
        <f>(W113*X113+W115*X114+W117*X117)/X127</f>
        <v>52.456140350877185</v>
      </c>
      <c r="X127" s="20">
        <f>H127+P127</f>
        <v>36.19172771847553</v>
      </c>
      <c r="Y127" s="21">
        <f>(Y113*Z113+Y115*Z114+Y117*Z117)/Z127</f>
        <v>63.953843335978995</v>
      </c>
      <c r="Z127" s="20">
        <f>J127+R127</f>
        <v>30.566943988107333</v>
      </c>
      <c r="AA127" s="21">
        <f>(AA113*AB113+AA115*AB114+AA117*AB117)/AB127</f>
        <v>15.028968767861592</v>
      </c>
      <c r="AB127" s="20">
        <f>L127+T127</f>
        <v>96.37278466577959</v>
      </c>
      <c r="AC127" s="20"/>
      <c r="AD127" s="20"/>
      <c r="AE127" s="20"/>
      <c r="AF127" s="20"/>
      <c r="AG127" s="20"/>
      <c r="AH127" s="20"/>
      <c r="AI127" s="20"/>
      <c r="AJ127" s="48"/>
      <c r="AK127" s="48"/>
      <c r="AS127" s="66">
        <f t="shared" si="38"/>
        <v>1.6181320216868815</v>
      </c>
      <c r="AT127" s="52">
        <f>SUM(AD127,N127,F127)</f>
        <v>222.3596822907559</v>
      </c>
      <c r="AU127" s="66">
        <f t="shared" si="38"/>
        <v>52.456140350877185</v>
      </c>
      <c r="AV127" s="52">
        <f>SUM(AF127,P127,H127)</f>
        <v>36.19172771847553</v>
      </c>
      <c r="AW127" s="66">
        <f t="shared" si="38"/>
        <v>63.953843335978995</v>
      </c>
      <c r="AX127" s="52">
        <f>SUM(AH127,R127,J127)</f>
        <v>30.566943988107333</v>
      </c>
      <c r="AY127" s="66">
        <f t="shared" si="38"/>
        <v>15.028968767861592</v>
      </c>
      <c r="AZ127" s="52">
        <f>SUM(AJ127,T127,L127)</f>
        <v>96.37278466577959</v>
      </c>
      <c r="BA127" s="48"/>
      <c r="BB127" s="48"/>
      <c r="BC127" s="48"/>
      <c r="BD127" s="48"/>
      <c r="BE127" s="48"/>
      <c r="BF127" s="48"/>
      <c r="BG127" s="48"/>
      <c r="BH127" s="48"/>
    </row>
    <row r="128" spans="2:60" ht="12.75">
      <c r="B128" s="19"/>
      <c r="C128" s="19"/>
      <c r="D128" s="19"/>
      <c r="E128" s="48"/>
      <c r="F128" s="48"/>
      <c r="G128" s="48"/>
      <c r="H128" s="48"/>
      <c r="I128" s="48"/>
      <c r="J128" s="48"/>
      <c r="K128" s="48"/>
      <c r="L128" s="49"/>
      <c r="M128" s="50"/>
      <c r="N128" s="50"/>
      <c r="O128" s="50"/>
      <c r="P128" s="50"/>
      <c r="Q128" s="50"/>
      <c r="R128" s="50"/>
      <c r="S128" s="50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</row>
    <row r="129" spans="2:60" ht="12.75">
      <c r="B129" s="47" t="s">
        <v>147</v>
      </c>
      <c r="C129" s="47"/>
      <c r="D129" s="19"/>
      <c r="E129" s="48"/>
      <c r="F129" s="48"/>
      <c r="G129" s="48"/>
      <c r="H129" s="48"/>
      <c r="I129" s="48"/>
      <c r="J129" s="48"/>
      <c r="K129" s="48"/>
      <c r="L129" s="49"/>
      <c r="M129" s="50"/>
      <c r="N129" s="50"/>
      <c r="O129" s="50"/>
      <c r="P129" s="50"/>
      <c r="Q129" s="50"/>
      <c r="R129" s="50"/>
      <c r="S129" s="50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</row>
    <row r="130" spans="2:60" ht="12.75">
      <c r="B130" s="19" t="s">
        <v>157</v>
      </c>
      <c r="C130" s="19"/>
      <c r="D130" s="19" t="s">
        <v>56</v>
      </c>
      <c r="E130" s="48"/>
      <c r="F130" s="48"/>
      <c r="G130" s="48"/>
      <c r="H130" s="48"/>
      <c r="I130" s="48"/>
      <c r="J130" s="48"/>
      <c r="K130" s="48"/>
      <c r="L130" s="49">
        <v>150</v>
      </c>
      <c r="M130" s="50"/>
      <c r="N130" s="50"/>
      <c r="O130" s="50"/>
      <c r="P130" s="50"/>
      <c r="Q130" s="50"/>
      <c r="R130" s="50"/>
      <c r="S130" s="50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</row>
    <row r="131" spans="2:60" ht="12.75">
      <c r="B131" s="19" t="s">
        <v>158</v>
      </c>
      <c r="C131" s="19"/>
      <c r="D131" s="19" t="s">
        <v>56</v>
      </c>
      <c r="E131" s="48"/>
      <c r="F131" s="48"/>
      <c r="G131" s="48"/>
      <c r="H131" s="48"/>
      <c r="I131" s="48"/>
      <c r="J131" s="48"/>
      <c r="K131" s="48"/>
      <c r="L131" s="49">
        <v>0.55</v>
      </c>
      <c r="M131" s="50"/>
      <c r="N131" s="50"/>
      <c r="O131" s="50"/>
      <c r="P131" s="50"/>
      <c r="Q131" s="50"/>
      <c r="R131" s="50"/>
      <c r="S131" s="50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</row>
    <row r="132" spans="2:60" ht="12.75">
      <c r="B132" s="19" t="s">
        <v>159</v>
      </c>
      <c r="C132" s="19"/>
      <c r="D132" s="19" t="s">
        <v>56</v>
      </c>
      <c r="E132" s="48"/>
      <c r="F132" s="48"/>
      <c r="G132" s="48"/>
      <c r="H132" s="48"/>
      <c r="I132" s="48"/>
      <c r="J132" s="48"/>
      <c r="K132" s="48"/>
      <c r="L132" s="49">
        <v>25000</v>
      </c>
      <c r="M132" s="50"/>
      <c r="N132" s="50"/>
      <c r="O132" s="50"/>
      <c r="P132" s="50"/>
      <c r="Q132" s="50"/>
      <c r="R132" s="50"/>
      <c r="S132" s="50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</row>
    <row r="133" spans="2:60" ht="12.75">
      <c r="B133" s="19" t="s">
        <v>160</v>
      </c>
      <c r="C133" s="19"/>
      <c r="D133" s="19" t="s">
        <v>56</v>
      </c>
      <c r="E133" s="48"/>
      <c r="F133" s="48"/>
      <c r="G133" s="48"/>
      <c r="H133" s="48"/>
      <c r="I133" s="48"/>
      <c r="J133" s="48"/>
      <c r="K133" s="48"/>
      <c r="L133" s="49">
        <v>1</v>
      </c>
      <c r="M133" s="50"/>
      <c r="N133" s="50"/>
      <c r="O133" s="50"/>
      <c r="P133" s="50"/>
      <c r="Q133" s="50"/>
      <c r="R133" s="50"/>
      <c r="S133" s="50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</row>
    <row r="134" spans="2:60" ht="12.75">
      <c r="B134" s="19" t="s">
        <v>161</v>
      </c>
      <c r="C134" s="19"/>
      <c r="D134" s="19" t="s">
        <v>56</v>
      </c>
      <c r="E134" s="48"/>
      <c r="F134" s="48"/>
      <c r="G134" s="48"/>
      <c r="H134" s="48"/>
      <c r="I134" s="48"/>
      <c r="J134" s="48"/>
      <c r="K134" s="48"/>
      <c r="L134" s="49">
        <v>1.3</v>
      </c>
      <c r="M134" s="50"/>
      <c r="N134" s="50"/>
      <c r="O134" s="50"/>
      <c r="P134" s="50"/>
      <c r="Q134" s="50"/>
      <c r="R134" s="50"/>
      <c r="S134" s="50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</row>
    <row r="135" spans="2:60" ht="12.75">
      <c r="B135" s="19" t="s">
        <v>156</v>
      </c>
      <c r="C135" s="19"/>
      <c r="D135" s="19" t="s">
        <v>56</v>
      </c>
      <c r="E135" s="48"/>
      <c r="F135" s="48"/>
      <c r="G135" s="48"/>
      <c r="H135" s="48"/>
      <c r="I135" s="48"/>
      <c r="J135" s="48"/>
      <c r="K135" s="48"/>
      <c r="L135" s="49">
        <v>45</v>
      </c>
      <c r="M135" s="50"/>
      <c r="N135" s="50"/>
      <c r="O135" s="50"/>
      <c r="P135" s="50"/>
      <c r="Q135" s="50"/>
      <c r="R135" s="50"/>
      <c r="S135" s="50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</row>
    <row r="136" spans="2:60" ht="12.75">
      <c r="B136" s="19" t="s">
        <v>162</v>
      </c>
      <c r="C136" s="19"/>
      <c r="D136" s="19" t="s">
        <v>56</v>
      </c>
      <c r="E136" s="48"/>
      <c r="F136" s="48"/>
      <c r="G136" s="48"/>
      <c r="H136" s="48"/>
      <c r="I136" s="48"/>
      <c r="J136" s="48"/>
      <c r="K136" s="48"/>
      <c r="L136" s="49">
        <v>150</v>
      </c>
      <c r="M136" s="50"/>
      <c r="N136" s="50"/>
      <c r="O136" s="50"/>
      <c r="P136" s="50"/>
      <c r="Q136" s="50"/>
      <c r="R136" s="50"/>
      <c r="S136" s="50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</row>
    <row r="137" spans="2:60" ht="12.75">
      <c r="B137" s="19" t="s">
        <v>165</v>
      </c>
      <c r="C137" s="19"/>
      <c r="D137" s="19" t="s">
        <v>56</v>
      </c>
      <c r="E137" s="48"/>
      <c r="F137" s="48"/>
      <c r="G137" s="48"/>
      <c r="H137" s="48"/>
      <c r="I137" s="48"/>
      <c r="J137" s="48"/>
      <c r="K137" s="48"/>
      <c r="L137" s="49">
        <v>1500</v>
      </c>
      <c r="M137" s="50"/>
      <c r="N137" s="50"/>
      <c r="O137" s="50"/>
      <c r="P137" s="50"/>
      <c r="Q137" s="50"/>
      <c r="R137" s="50"/>
      <c r="S137" s="50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</row>
    <row r="138" spans="2:60" ht="12.75">
      <c r="B138" s="19" t="s">
        <v>166</v>
      </c>
      <c r="C138" s="19"/>
      <c r="D138" s="19" t="s">
        <v>56</v>
      </c>
      <c r="E138" s="48"/>
      <c r="F138" s="48"/>
      <c r="G138" s="48"/>
      <c r="H138" s="48"/>
      <c r="I138" s="48"/>
      <c r="J138" s="48"/>
      <c r="K138" s="48"/>
      <c r="L138" s="49">
        <v>250</v>
      </c>
      <c r="M138" s="50"/>
      <c r="N138" s="50"/>
      <c r="O138" s="50"/>
      <c r="P138" s="50"/>
      <c r="Q138" s="50"/>
      <c r="R138" s="50"/>
      <c r="S138" s="50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2" sqref="A2"/>
    </sheetView>
  </sheetViews>
  <sheetFormatPr defaultColWidth="9.140625" defaultRowHeight="12.75"/>
  <cols>
    <col min="1" max="1" width="25.8515625" style="0" customWidth="1"/>
    <col min="3" max="3" width="12.28125" style="0" customWidth="1"/>
    <col min="4" max="4" width="12.421875" style="0" customWidth="1"/>
  </cols>
  <sheetData>
    <row r="1" spans="1:4" ht="12.75">
      <c r="A1" s="11" t="s">
        <v>122</v>
      </c>
      <c r="B1" s="24"/>
      <c r="C1" s="24"/>
      <c r="D1" s="24"/>
    </row>
    <row r="2" spans="1:4" ht="12.75">
      <c r="A2" s="24"/>
      <c r="B2" s="24"/>
      <c r="C2" s="24"/>
      <c r="D2" s="24"/>
    </row>
    <row r="3" spans="1:4" ht="12.75">
      <c r="A3" s="11" t="s">
        <v>138</v>
      </c>
      <c r="B3" s="24" t="s">
        <v>189</v>
      </c>
      <c r="C3" s="73" t="s">
        <v>54</v>
      </c>
      <c r="D3" s="24"/>
    </row>
    <row r="4" spans="1:4" ht="12.75">
      <c r="A4" s="24"/>
      <c r="B4" s="24"/>
      <c r="C4" s="24" t="s">
        <v>73</v>
      </c>
      <c r="D4" s="24"/>
    </row>
    <row r="5" spans="1:4" ht="14.25">
      <c r="A5" s="24" t="s">
        <v>136</v>
      </c>
      <c r="B5" s="12" t="s">
        <v>89</v>
      </c>
      <c r="C5" s="24">
        <v>2591.6</v>
      </c>
      <c r="D5" s="24"/>
    </row>
    <row r="6" spans="1:4" ht="12.75">
      <c r="A6" s="24" t="s">
        <v>137</v>
      </c>
      <c r="B6" s="24" t="s">
        <v>98</v>
      </c>
      <c r="C6" s="24">
        <v>37.97</v>
      </c>
      <c r="D6" s="24"/>
    </row>
    <row r="7" spans="1:4" ht="12.75">
      <c r="A7" s="24" t="s">
        <v>85</v>
      </c>
      <c r="B7" s="24" t="s">
        <v>90</v>
      </c>
      <c r="C7" s="24">
        <v>8.56</v>
      </c>
      <c r="D7" s="24"/>
    </row>
    <row r="8" spans="1:4" ht="12.75">
      <c r="A8" s="24" t="s">
        <v>86</v>
      </c>
      <c r="B8" s="24" t="s">
        <v>91</v>
      </c>
      <c r="C8" s="24">
        <v>54.2</v>
      </c>
      <c r="D8" s="24"/>
    </row>
    <row r="9" spans="1:4" ht="12.75">
      <c r="A9" s="24" t="s">
        <v>87</v>
      </c>
      <c r="B9" s="24" t="s">
        <v>92</v>
      </c>
      <c r="C9" s="24">
        <v>25.95</v>
      </c>
      <c r="D9" s="24"/>
    </row>
    <row r="10" spans="1:4" ht="12.75">
      <c r="A10" s="24" t="s">
        <v>88</v>
      </c>
      <c r="B10" s="24" t="s">
        <v>93</v>
      </c>
      <c r="C10" s="24">
        <v>21.5</v>
      </c>
      <c r="D10" s="24"/>
    </row>
    <row r="11" spans="1:4" ht="12.75">
      <c r="A11" s="24"/>
      <c r="B11" s="24"/>
      <c r="C11" s="24"/>
      <c r="D11" s="24"/>
    </row>
    <row r="12" spans="1:4" ht="12.75">
      <c r="A12" s="11" t="s">
        <v>139</v>
      </c>
      <c r="B12" s="24" t="s">
        <v>189</v>
      </c>
      <c r="C12" s="73" t="s">
        <v>54</v>
      </c>
      <c r="D12" s="24"/>
    </row>
    <row r="13" spans="1:4" ht="12.75">
      <c r="A13" s="24"/>
      <c r="B13" s="24"/>
      <c r="C13" s="24"/>
      <c r="D13" s="24"/>
    </row>
    <row r="14" spans="1:4" ht="14.25">
      <c r="A14" s="24" t="s">
        <v>136</v>
      </c>
      <c r="B14" s="12" t="s">
        <v>89</v>
      </c>
      <c r="C14" s="58">
        <v>1973.6</v>
      </c>
      <c r="D14" s="24"/>
    </row>
    <row r="15" spans="1:4" ht="12.75">
      <c r="A15" s="24" t="s">
        <v>137</v>
      </c>
      <c r="B15" s="24" t="s">
        <v>98</v>
      </c>
      <c r="C15" s="58">
        <v>30.1</v>
      </c>
      <c r="D15" s="24"/>
    </row>
    <row r="16" spans="1:4" ht="12.75">
      <c r="A16" s="24" t="s">
        <v>85</v>
      </c>
      <c r="B16" s="24" t="s">
        <v>90</v>
      </c>
      <c r="C16" s="59">
        <v>9.54</v>
      </c>
      <c r="D16" s="24"/>
    </row>
    <row r="17" spans="1:4" ht="12.75">
      <c r="A17" s="24" t="s">
        <v>86</v>
      </c>
      <c r="B17" s="24" t="s">
        <v>91</v>
      </c>
      <c r="C17" s="58">
        <v>68.4</v>
      </c>
      <c r="D17" s="24"/>
    </row>
    <row r="18" spans="1:4" ht="12.75">
      <c r="A18" s="24" t="s">
        <v>87</v>
      </c>
      <c r="B18" s="24" t="s">
        <v>92</v>
      </c>
      <c r="C18" s="59">
        <v>25.95</v>
      </c>
      <c r="D18" s="24"/>
    </row>
    <row r="19" spans="1:4" ht="12.75">
      <c r="A19" s="24" t="s">
        <v>88</v>
      </c>
      <c r="B19" s="24" t="s">
        <v>93</v>
      </c>
      <c r="C19" s="58">
        <v>24.91</v>
      </c>
      <c r="D19" s="24"/>
    </row>
    <row r="20" spans="1:4" ht="12.75">
      <c r="A20" s="24"/>
      <c r="B20" s="24"/>
      <c r="C20" s="24"/>
      <c r="D20" s="24"/>
    </row>
    <row r="21" spans="1:4" ht="12.75">
      <c r="A21" s="11" t="s">
        <v>140</v>
      </c>
      <c r="B21" s="24" t="s">
        <v>192</v>
      </c>
      <c r="C21" s="73" t="s">
        <v>54</v>
      </c>
      <c r="D21" s="24"/>
    </row>
    <row r="22" spans="1:4" ht="12.75">
      <c r="A22" s="24"/>
      <c r="B22" s="24"/>
      <c r="C22" s="24"/>
      <c r="D22" s="24"/>
    </row>
    <row r="23" spans="1:4" ht="14.25">
      <c r="A23" s="24" t="s">
        <v>136</v>
      </c>
      <c r="B23" s="12" t="s">
        <v>89</v>
      </c>
      <c r="C23" s="24">
        <v>2357.6</v>
      </c>
      <c r="D23" s="24"/>
    </row>
    <row r="24" spans="1:4" ht="12.75">
      <c r="A24" s="24" t="s">
        <v>137</v>
      </c>
      <c r="B24" s="24" t="s">
        <v>98</v>
      </c>
      <c r="C24" s="24">
        <v>31.2</v>
      </c>
      <c r="D24" s="24"/>
    </row>
    <row r="25" spans="1:4" ht="12.75">
      <c r="A25" s="24" t="s">
        <v>85</v>
      </c>
      <c r="B25" s="24" t="s">
        <v>90</v>
      </c>
      <c r="C25" s="24">
        <v>9.52</v>
      </c>
      <c r="D25" s="24"/>
    </row>
    <row r="26" spans="1:4" ht="12.75">
      <c r="A26" s="24" t="s">
        <v>86</v>
      </c>
      <c r="B26" s="24" t="s">
        <v>91</v>
      </c>
      <c r="C26" s="24">
        <v>71.05</v>
      </c>
      <c r="D26" s="24"/>
    </row>
    <row r="27" spans="1:4" ht="12.75">
      <c r="A27" s="24" t="s">
        <v>87</v>
      </c>
      <c r="B27" s="24" t="s">
        <v>92</v>
      </c>
      <c r="C27" s="24">
        <v>29.88</v>
      </c>
      <c r="D27" s="24"/>
    </row>
    <row r="28" spans="1:4" ht="12.75">
      <c r="A28" s="24" t="s">
        <v>88</v>
      </c>
      <c r="B28" s="24" t="s">
        <v>93</v>
      </c>
      <c r="C28" s="24">
        <v>24.91</v>
      </c>
      <c r="D28" s="24"/>
    </row>
    <row r="29" spans="1:4" ht="12.75">
      <c r="A29" s="24"/>
      <c r="B29" s="24"/>
      <c r="C29" s="24"/>
      <c r="D29" s="24"/>
    </row>
    <row r="30" spans="1:4" ht="12.75">
      <c r="A30" s="24"/>
      <c r="B30" s="24"/>
      <c r="C30" s="24"/>
      <c r="D30" s="24"/>
    </row>
    <row r="31" spans="1:4" ht="12.75">
      <c r="A31" s="24"/>
      <c r="B31" s="24"/>
      <c r="C31" s="24"/>
      <c r="D31" s="24"/>
    </row>
    <row r="32" spans="1:4" ht="12.75">
      <c r="A32" s="24"/>
      <c r="B32" s="24"/>
      <c r="C32" s="24"/>
      <c r="D32" s="24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20">
      <selection activeCell="A2" sqref="A2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8.8515625" style="0" customWidth="1"/>
    <col min="4" max="4" width="5.8515625" style="0" customWidth="1"/>
    <col min="5" max="5" width="9.421875" style="0" customWidth="1"/>
    <col min="6" max="6" width="9.8515625" style="0" customWidth="1"/>
    <col min="8" max="8" width="9.8515625" style="0" customWidth="1"/>
    <col min="9" max="9" width="3.421875" style="0" customWidth="1"/>
    <col min="11" max="11" width="9.28125" style="0" customWidth="1"/>
    <col min="13" max="13" width="9.28125" style="0" customWidth="1"/>
    <col min="14" max="14" width="5.00390625" style="0" customWidth="1"/>
    <col min="16" max="16" width="9.00390625" style="0" customWidth="1"/>
    <col min="18" max="18" width="9.00390625" style="0" customWidth="1"/>
  </cols>
  <sheetData>
    <row r="1" spans="1:18" ht="12.75">
      <c r="A1" s="68" t="s">
        <v>125</v>
      </c>
      <c r="B1" s="48"/>
      <c r="C1" s="48"/>
      <c r="D1" s="48"/>
      <c r="E1" s="60"/>
      <c r="F1" s="61"/>
      <c r="G1" s="60"/>
      <c r="H1" s="61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12.75">
      <c r="A2" s="48" t="s">
        <v>240</v>
      </c>
      <c r="B2" s="48"/>
      <c r="C2" s="48"/>
      <c r="D2" s="48"/>
      <c r="E2" s="60"/>
      <c r="F2" s="61"/>
      <c r="G2" s="60"/>
      <c r="H2" s="61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12.75">
      <c r="A3" s="48" t="s">
        <v>25</v>
      </c>
      <c r="B3" s="48"/>
      <c r="C3" s="19" t="s">
        <v>123</v>
      </c>
      <c r="D3" s="19"/>
      <c r="E3" s="60"/>
      <c r="F3" s="61"/>
      <c r="G3" s="60"/>
      <c r="H3" s="61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ht="12.75">
      <c r="A4" s="48" t="s">
        <v>26</v>
      </c>
      <c r="B4" s="48"/>
      <c r="C4" s="19" t="s">
        <v>140</v>
      </c>
      <c r="D4" s="19"/>
      <c r="E4" s="62"/>
      <c r="F4" s="63"/>
      <c r="G4" s="62"/>
      <c r="H4" s="63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18" ht="12.75">
      <c r="A5" s="48" t="s">
        <v>27</v>
      </c>
      <c r="B5" s="48"/>
      <c r="C5" s="24" t="s">
        <v>103</v>
      </c>
      <c r="D5" s="24"/>
      <c r="E5" s="24"/>
      <c r="F5" s="24"/>
      <c r="G5" s="24"/>
      <c r="H5" s="24"/>
      <c r="I5" s="24"/>
      <c r="J5" s="24"/>
      <c r="K5" s="60"/>
      <c r="L5" s="24"/>
      <c r="M5" s="60"/>
      <c r="N5" s="60"/>
      <c r="O5" s="60"/>
      <c r="P5" s="60"/>
      <c r="Q5" s="60"/>
      <c r="R5" s="60"/>
    </row>
    <row r="6" spans="1:18" ht="12.75">
      <c r="A6" s="48"/>
      <c r="B6" s="48"/>
      <c r="C6" s="50"/>
      <c r="D6" s="50"/>
      <c r="E6" s="64"/>
      <c r="F6" s="61"/>
      <c r="G6" s="64"/>
      <c r="H6" s="61"/>
      <c r="I6" s="60"/>
      <c r="J6" s="64"/>
      <c r="K6" s="60"/>
      <c r="L6" s="64"/>
      <c r="M6" s="60"/>
      <c r="N6" s="60"/>
      <c r="O6" s="64"/>
      <c r="P6" s="60"/>
      <c r="Q6" s="64"/>
      <c r="R6" s="60"/>
    </row>
    <row r="7" spans="1:18" ht="12.75">
      <c r="A7" s="48"/>
      <c r="B7" s="48"/>
      <c r="C7" s="50" t="s">
        <v>28</v>
      </c>
      <c r="D7" s="50"/>
      <c r="E7" s="65" t="s">
        <v>78</v>
      </c>
      <c r="F7" s="65"/>
      <c r="G7" s="65"/>
      <c r="H7" s="65"/>
      <c r="I7" s="23"/>
      <c r="J7" s="65" t="s">
        <v>79</v>
      </c>
      <c r="K7" s="65"/>
      <c r="L7" s="65"/>
      <c r="M7" s="65"/>
      <c r="N7" s="23"/>
      <c r="O7" s="65" t="s">
        <v>80</v>
      </c>
      <c r="P7" s="65"/>
      <c r="Q7" s="65"/>
      <c r="R7" s="65"/>
    </row>
    <row r="8" spans="1:18" ht="12.75">
      <c r="A8" s="48"/>
      <c r="B8" s="48"/>
      <c r="C8" s="50" t="s">
        <v>29</v>
      </c>
      <c r="D8" s="48"/>
      <c r="E8" s="64" t="s">
        <v>30</v>
      </c>
      <c r="F8" s="63" t="s">
        <v>31</v>
      </c>
      <c r="G8" s="64" t="s">
        <v>30</v>
      </c>
      <c r="H8" s="63" t="s">
        <v>31</v>
      </c>
      <c r="I8" s="60"/>
      <c r="J8" s="64" t="s">
        <v>30</v>
      </c>
      <c r="K8" s="64" t="s">
        <v>32</v>
      </c>
      <c r="L8" s="64" t="s">
        <v>30</v>
      </c>
      <c r="M8" s="64" t="s">
        <v>32</v>
      </c>
      <c r="N8" s="60"/>
      <c r="O8" s="64" t="s">
        <v>30</v>
      </c>
      <c r="P8" s="64" t="s">
        <v>32</v>
      </c>
      <c r="Q8" s="64" t="s">
        <v>30</v>
      </c>
      <c r="R8" s="64" t="s">
        <v>32</v>
      </c>
    </row>
    <row r="9" spans="1:18" s="82" customFormat="1" ht="12.75">
      <c r="A9" s="48"/>
      <c r="B9" s="48"/>
      <c r="C9" s="50"/>
      <c r="D9" s="48"/>
      <c r="E9" s="64" t="s">
        <v>239</v>
      </c>
      <c r="F9" s="64" t="s">
        <v>239</v>
      </c>
      <c r="G9" s="64" t="s">
        <v>124</v>
      </c>
      <c r="H9" s="63" t="s">
        <v>124</v>
      </c>
      <c r="I9" s="60"/>
      <c r="J9" s="64" t="s">
        <v>239</v>
      </c>
      <c r="K9" s="64" t="s">
        <v>239</v>
      </c>
      <c r="L9" s="64" t="s">
        <v>124</v>
      </c>
      <c r="M9" s="63" t="s">
        <v>124</v>
      </c>
      <c r="N9" s="60"/>
      <c r="O9" s="64" t="s">
        <v>239</v>
      </c>
      <c r="P9" s="64" t="s">
        <v>239</v>
      </c>
      <c r="Q9" s="64" t="s">
        <v>124</v>
      </c>
      <c r="R9" s="63" t="s">
        <v>124</v>
      </c>
    </row>
    <row r="10" spans="1:18" ht="12.75">
      <c r="A10" s="48" t="s">
        <v>76</v>
      </c>
      <c r="B10" s="48"/>
      <c r="C10" s="48"/>
      <c r="D10" s="48"/>
      <c r="E10" s="60"/>
      <c r="F10" s="61"/>
      <c r="G10" s="60"/>
      <c r="H10" s="61"/>
      <c r="I10" s="60"/>
      <c r="J10" s="60"/>
      <c r="K10" s="60"/>
      <c r="L10" s="60"/>
      <c r="M10" s="60"/>
      <c r="N10" s="60"/>
      <c r="O10" s="52"/>
      <c r="P10" s="60"/>
      <c r="Q10" s="60"/>
      <c r="R10" s="60"/>
    </row>
    <row r="11" spans="1:18" ht="12.75">
      <c r="A11" s="48"/>
      <c r="B11" s="48" t="s">
        <v>33</v>
      </c>
      <c r="C11" s="50">
        <v>1</v>
      </c>
      <c r="D11" s="50"/>
      <c r="E11" s="66">
        <v>7</v>
      </c>
      <c r="F11" s="66">
        <f aca="true" t="shared" si="0" ref="F11:H35">IF(E11="","",E11*$C11)</f>
        <v>7</v>
      </c>
      <c r="G11" s="66">
        <f aca="true" t="shared" si="1" ref="G11:G35">IF(E11=0,"",IF(D11="nd",E11/2,E11))</f>
        <v>7</v>
      </c>
      <c r="H11" s="66">
        <f t="shared" si="0"/>
        <v>7</v>
      </c>
      <c r="I11" s="61" t="s">
        <v>34</v>
      </c>
      <c r="J11" s="24">
        <v>5</v>
      </c>
      <c r="K11" s="66">
        <f aca="true" t="shared" si="2" ref="K11:M35">IF(J11="","",J11*$C11)</f>
        <v>5</v>
      </c>
      <c r="L11" s="66">
        <f>IF(J11=0,"",IF(I11="nd",J11/2,J11))</f>
        <v>2.5</v>
      </c>
      <c r="M11" s="66">
        <f t="shared" si="2"/>
        <v>2.5</v>
      </c>
      <c r="N11" s="61" t="s">
        <v>34</v>
      </c>
      <c r="O11" s="66">
        <v>5</v>
      </c>
      <c r="P11" s="66">
        <f aca="true" t="shared" si="3" ref="P11:R35">IF(O11="","",O11*$C11)</f>
        <v>5</v>
      </c>
      <c r="Q11" s="66">
        <f>IF(O11=0,"",IF(N11="nd",O11/2,O11))</f>
        <v>2.5</v>
      </c>
      <c r="R11" s="66">
        <f t="shared" si="3"/>
        <v>2.5</v>
      </c>
    </row>
    <row r="12" spans="1:18" ht="12.75">
      <c r="A12" s="48"/>
      <c r="B12" s="48" t="s">
        <v>241</v>
      </c>
      <c r="C12" s="50">
        <v>0</v>
      </c>
      <c r="D12" s="50"/>
      <c r="E12" s="66">
        <v>110</v>
      </c>
      <c r="F12" s="66">
        <f t="shared" si="0"/>
        <v>0</v>
      </c>
      <c r="G12" s="66">
        <f t="shared" si="1"/>
        <v>110</v>
      </c>
      <c r="H12" s="66">
        <f t="shared" si="0"/>
        <v>0</v>
      </c>
      <c r="I12" s="61"/>
      <c r="J12" s="39">
        <v>23</v>
      </c>
      <c r="K12" s="66">
        <f t="shared" si="2"/>
        <v>0</v>
      </c>
      <c r="L12" s="66">
        <f aca="true" t="shared" si="4" ref="L12:L35">IF(J12=0,"",IF(I12="nd",J12/2,J12))</f>
        <v>23</v>
      </c>
      <c r="M12" s="66">
        <f t="shared" si="2"/>
        <v>0</v>
      </c>
      <c r="N12" s="61"/>
      <c r="O12" s="66">
        <v>23</v>
      </c>
      <c r="P12" s="66">
        <f t="shared" si="3"/>
        <v>0</v>
      </c>
      <c r="Q12" s="66">
        <f aca="true" t="shared" si="5" ref="Q12:Q35">IF(O12=0,"",IF(N12="nd",O12/2,O12))</f>
        <v>23</v>
      </c>
      <c r="R12" s="66">
        <f t="shared" si="3"/>
        <v>0</v>
      </c>
    </row>
    <row r="13" spans="1:18" ht="12.75">
      <c r="A13" s="48"/>
      <c r="B13" s="48" t="s">
        <v>35</v>
      </c>
      <c r="C13" s="50">
        <v>0.5</v>
      </c>
      <c r="D13" s="50"/>
      <c r="E13" s="66">
        <v>20</v>
      </c>
      <c r="F13" s="66">
        <f t="shared" si="0"/>
        <v>10</v>
      </c>
      <c r="G13" s="66">
        <f t="shared" si="1"/>
        <v>20</v>
      </c>
      <c r="H13" s="66">
        <f t="shared" si="0"/>
        <v>10</v>
      </c>
      <c r="I13" s="61"/>
      <c r="J13" s="24">
        <v>11</v>
      </c>
      <c r="K13" s="66">
        <f t="shared" si="2"/>
        <v>5.5</v>
      </c>
      <c r="L13" s="66">
        <f t="shared" si="4"/>
        <v>11</v>
      </c>
      <c r="M13" s="66">
        <f t="shared" si="2"/>
        <v>5.5</v>
      </c>
      <c r="N13" s="61"/>
      <c r="O13" s="67">
        <v>13</v>
      </c>
      <c r="P13" s="66">
        <f t="shared" si="3"/>
        <v>6.5</v>
      </c>
      <c r="Q13" s="66">
        <f t="shared" si="5"/>
        <v>13</v>
      </c>
      <c r="R13" s="66">
        <f t="shared" si="3"/>
        <v>6.5</v>
      </c>
    </row>
    <row r="14" spans="1:18" ht="12.75">
      <c r="A14" s="48"/>
      <c r="B14" s="48" t="s">
        <v>242</v>
      </c>
      <c r="C14" s="50">
        <v>0</v>
      </c>
      <c r="D14" s="50"/>
      <c r="E14" s="66">
        <v>170</v>
      </c>
      <c r="F14" s="66">
        <f t="shared" si="0"/>
        <v>0</v>
      </c>
      <c r="G14" s="66">
        <f t="shared" si="1"/>
        <v>170</v>
      </c>
      <c r="H14" s="66">
        <f t="shared" si="0"/>
        <v>0</v>
      </c>
      <c r="I14" s="61"/>
      <c r="J14" s="24">
        <v>73</v>
      </c>
      <c r="K14" s="66">
        <f t="shared" si="2"/>
        <v>0</v>
      </c>
      <c r="L14" s="66">
        <f t="shared" si="4"/>
        <v>73</v>
      </c>
      <c r="M14" s="66">
        <f t="shared" si="2"/>
        <v>0</v>
      </c>
      <c r="N14" s="61"/>
      <c r="O14" s="67">
        <v>81</v>
      </c>
      <c r="P14" s="66">
        <f t="shared" si="3"/>
        <v>0</v>
      </c>
      <c r="Q14" s="66">
        <f t="shared" si="5"/>
        <v>81</v>
      </c>
      <c r="R14" s="66">
        <f t="shared" si="3"/>
        <v>0</v>
      </c>
    </row>
    <row r="15" spans="1:18" ht="12.75">
      <c r="A15" s="48"/>
      <c r="B15" s="48" t="s">
        <v>36</v>
      </c>
      <c r="C15" s="50">
        <v>0.1</v>
      </c>
      <c r="D15" s="50"/>
      <c r="E15" s="66">
        <v>74</v>
      </c>
      <c r="F15" s="66">
        <f t="shared" si="0"/>
        <v>7.4</v>
      </c>
      <c r="G15" s="66">
        <f t="shared" si="1"/>
        <v>74</v>
      </c>
      <c r="H15" s="66">
        <f t="shared" si="0"/>
        <v>7.4</v>
      </c>
      <c r="I15" s="61"/>
      <c r="J15" s="24">
        <v>41</v>
      </c>
      <c r="K15" s="66">
        <f t="shared" si="2"/>
        <v>4.1000000000000005</v>
      </c>
      <c r="L15" s="66">
        <f t="shared" si="4"/>
        <v>41</v>
      </c>
      <c r="M15" s="66">
        <f t="shared" si="2"/>
        <v>4.1000000000000005</v>
      </c>
      <c r="N15" s="61"/>
      <c r="O15" s="67">
        <v>43</v>
      </c>
      <c r="P15" s="66">
        <f t="shared" si="3"/>
        <v>4.3</v>
      </c>
      <c r="Q15" s="66">
        <f t="shared" si="5"/>
        <v>43</v>
      </c>
      <c r="R15" s="66">
        <f t="shared" si="3"/>
        <v>4.3</v>
      </c>
    </row>
    <row r="16" spans="1:18" ht="12.75">
      <c r="A16" s="48"/>
      <c r="B16" s="48" t="s">
        <v>37</v>
      </c>
      <c r="C16" s="50">
        <v>0.1</v>
      </c>
      <c r="D16" s="50"/>
      <c r="E16" s="66">
        <v>50</v>
      </c>
      <c r="F16" s="66">
        <f t="shared" si="0"/>
        <v>5</v>
      </c>
      <c r="G16" s="66">
        <f t="shared" si="1"/>
        <v>50</v>
      </c>
      <c r="H16" s="66">
        <f t="shared" si="0"/>
        <v>5</v>
      </c>
      <c r="I16" s="61"/>
      <c r="J16" s="24">
        <v>31</v>
      </c>
      <c r="K16" s="66">
        <f t="shared" si="2"/>
        <v>3.1</v>
      </c>
      <c r="L16" s="66">
        <f t="shared" si="4"/>
        <v>31</v>
      </c>
      <c r="M16" s="66">
        <f t="shared" si="2"/>
        <v>3.1</v>
      </c>
      <c r="N16" s="61"/>
      <c r="O16" s="67">
        <v>37</v>
      </c>
      <c r="P16" s="66">
        <f t="shared" si="3"/>
        <v>3.7</v>
      </c>
      <c r="Q16" s="66">
        <f t="shared" si="5"/>
        <v>37</v>
      </c>
      <c r="R16" s="66">
        <f t="shared" si="3"/>
        <v>3.7</v>
      </c>
    </row>
    <row r="17" spans="1:18" ht="12.75">
      <c r="A17" s="48"/>
      <c r="B17" s="48" t="s">
        <v>38</v>
      </c>
      <c r="C17" s="50">
        <v>0.1</v>
      </c>
      <c r="D17" s="50"/>
      <c r="E17" s="66">
        <v>19</v>
      </c>
      <c r="F17" s="66">
        <f t="shared" si="0"/>
        <v>1.9000000000000001</v>
      </c>
      <c r="G17" s="66">
        <f t="shared" si="1"/>
        <v>19</v>
      </c>
      <c r="H17" s="66">
        <f t="shared" si="0"/>
        <v>1.9000000000000001</v>
      </c>
      <c r="I17" s="61"/>
      <c r="J17" s="24">
        <v>15</v>
      </c>
      <c r="K17" s="66">
        <f t="shared" si="2"/>
        <v>1.5</v>
      </c>
      <c r="L17" s="66">
        <f t="shared" si="4"/>
        <v>15</v>
      </c>
      <c r="M17" s="66">
        <f t="shared" si="2"/>
        <v>1.5</v>
      </c>
      <c r="N17" s="61"/>
      <c r="O17" s="67">
        <v>15</v>
      </c>
      <c r="P17" s="66">
        <f t="shared" si="3"/>
        <v>1.5</v>
      </c>
      <c r="Q17" s="66">
        <f t="shared" si="5"/>
        <v>15</v>
      </c>
      <c r="R17" s="66">
        <f t="shared" si="3"/>
        <v>1.5</v>
      </c>
    </row>
    <row r="18" spans="1:18" ht="12.75">
      <c r="A18" s="48"/>
      <c r="B18" s="48" t="s">
        <v>243</v>
      </c>
      <c r="C18" s="50">
        <v>0</v>
      </c>
      <c r="D18" s="50"/>
      <c r="E18" s="66">
        <v>440</v>
      </c>
      <c r="F18" s="66">
        <f t="shared" si="0"/>
        <v>0</v>
      </c>
      <c r="G18" s="66">
        <f t="shared" si="1"/>
        <v>440</v>
      </c>
      <c r="H18" s="66">
        <f t="shared" si="0"/>
        <v>0</v>
      </c>
      <c r="I18" s="61"/>
      <c r="J18" s="24">
        <v>280</v>
      </c>
      <c r="K18" s="66">
        <f t="shared" si="2"/>
        <v>0</v>
      </c>
      <c r="L18" s="66">
        <f t="shared" si="4"/>
        <v>280</v>
      </c>
      <c r="M18" s="66">
        <f t="shared" si="2"/>
        <v>0</v>
      </c>
      <c r="N18" s="61"/>
      <c r="O18" s="67">
        <v>280</v>
      </c>
      <c r="P18" s="66">
        <f t="shared" si="3"/>
        <v>0</v>
      </c>
      <c r="Q18" s="66">
        <f t="shared" si="5"/>
        <v>280</v>
      </c>
      <c r="R18" s="66">
        <f t="shared" si="3"/>
        <v>0</v>
      </c>
    </row>
    <row r="19" spans="1:18" ht="12.75">
      <c r="A19" s="48"/>
      <c r="B19" s="48" t="s">
        <v>39</v>
      </c>
      <c r="C19" s="50">
        <v>0.01</v>
      </c>
      <c r="D19" s="50"/>
      <c r="E19" s="66">
        <v>640</v>
      </c>
      <c r="F19" s="66">
        <f t="shared" si="0"/>
        <v>6.4</v>
      </c>
      <c r="G19" s="66">
        <f t="shared" si="1"/>
        <v>640</v>
      </c>
      <c r="H19" s="66">
        <f t="shared" si="0"/>
        <v>6.4</v>
      </c>
      <c r="I19" s="61"/>
      <c r="J19" s="24">
        <v>450</v>
      </c>
      <c r="K19" s="66">
        <f t="shared" si="2"/>
        <v>4.5</v>
      </c>
      <c r="L19" s="66">
        <f t="shared" si="4"/>
        <v>450</v>
      </c>
      <c r="M19" s="66">
        <f t="shared" si="2"/>
        <v>4.5</v>
      </c>
      <c r="N19" s="61"/>
      <c r="O19" s="67">
        <v>440</v>
      </c>
      <c r="P19" s="66">
        <f t="shared" si="3"/>
        <v>4.4</v>
      </c>
      <c r="Q19" s="66">
        <f t="shared" si="5"/>
        <v>440</v>
      </c>
      <c r="R19" s="66">
        <f t="shared" si="3"/>
        <v>4.4</v>
      </c>
    </row>
    <row r="20" spans="1:18" ht="12.75">
      <c r="A20" s="48"/>
      <c r="B20" s="48" t="s">
        <v>244</v>
      </c>
      <c r="C20" s="50">
        <v>0</v>
      </c>
      <c r="D20" s="50"/>
      <c r="E20" s="66">
        <v>1100</v>
      </c>
      <c r="F20" s="66">
        <f t="shared" si="0"/>
        <v>0</v>
      </c>
      <c r="G20" s="66">
        <f t="shared" si="1"/>
        <v>1100</v>
      </c>
      <c r="H20" s="66">
        <f t="shared" si="0"/>
        <v>0</v>
      </c>
      <c r="I20" s="61"/>
      <c r="J20" s="24">
        <v>820</v>
      </c>
      <c r="K20" s="66">
        <f t="shared" si="2"/>
        <v>0</v>
      </c>
      <c r="L20" s="66">
        <f t="shared" si="4"/>
        <v>820</v>
      </c>
      <c r="M20" s="66">
        <f t="shared" si="2"/>
        <v>0</v>
      </c>
      <c r="N20" s="61"/>
      <c r="O20" s="67">
        <v>800</v>
      </c>
      <c r="P20" s="66">
        <f t="shared" si="3"/>
        <v>0</v>
      </c>
      <c r="Q20" s="66">
        <f t="shared" si="5"/>
        <v>800</v>
      </c>
      <c r="R20" s="66">
        <f t="shared" si="3"/>
        <v>0</v>
      </c>
    </row>
    <row r="21" spans="1:18" ht="12.75">
      <c r="A21" s="48"/>
      <c r="B21" s="48" t="s">
        <v>40</v>
      </c>
      <c r="C21" s="50">
        <v>0.001</v>
      </c>
      <c r="D21" s="50"/>
      <c r="E21" s="66">
        <v>8600</v>
      </c>
      <c r="F21" s="66">
        <f t="shared" si="0"/>
        <v>8.6</v>
      </c>
      <c r="G21" s="66">
        <f t="shared" si="1"/>
        <v>8600</v>
      </c>
      <c r="H21" s="66">
        <f t="shared" si="0"/>
        <v>8.6</v>
      </c>
      <c r="I21" s="61"/>
      <c r="J21" s="24">
        <v>6300</v>
      </c>
      <c r="K21" s="66">
        <f t="shared" si="2"/>
        <v>6.3</v>
      </c>
      <c r="L21" s="66">
        <f t="shared" si="4"/>
        <v>6300</v>
      </c>
      <c r="M21" s="66">
        <f t="shared" si="2"/>
        <v>6.3</v>
      </c>
      <c r="N21" s="61"/>
      <c r="O21" s="67">
        <v>4000</v>
      </c>
      <c r="P21" s="66">
        <f t="shared" si="3"/>
        <v>4</v>
      </c>
      <c r="Q21" s="66">
        <f t="shared" si="5"/>
        <v>4000</v>
      </c>
      <c r="R21" s="66">
        <f t="shared" si="3"/>
        <v>4</v>
      </c>
    </row>
    <row r="22" spans="1:18" ht="12.75">
      <c r="A22" s="48"/>
      <c r="B22" s="48" t="s">
        <v>41</v>
      </c>
      <c r="C22" s="50">
        <v>0.1</v>
      </c>
      <c r="D22" s="50"/>
      <c r="E22" s="66">
        <v>330</v>
      </c>
      <c r="F22" s="66">
        <f t="shared" si="0"/>
        <v>33</v>
      </c>
      <c r="G22" s="66">
        <f t="shared" si="1"/>
        <v>330</v>
      </c>
      <c r="H22" s="66">
        <f t="shared" si="0"/>
        <v>33</v>
      </c>
      <c r="I22" s="61"/>
      <c r="J22" s="24">
        <v>230</v>
      </c>
      <c r="K22" s="66">
        <f t="shared" si="2"/>
        <v>23</v>
      </c>
      <c r="L22" s="66">
        <f t="shared" si="4"/>
        <v>230</v>
      </c>
      <c r="M22" s="66">
        <f t="shared" si="2"/>
        <v>23</v>
      </c>
      <c r="N22" s="61"/>
      <c r="O22" s="67">
        <v>320</v>
      </c>
      <c r="P22" s="66">
        <f t="shared" si="3"/>
        <v>32</v>
      </c>
      <c r="Q22" s="66">
        <f t="shared" si="5"/>
        <v>320</v>
      </c>
      <c r="R22" s="66">
        <f t="shared" si="3"/>
        <v>32</v>
      </c>
    </row>
    <row r="23" spans="1:18" ht="12.75">
      <c r="A23" s="48"/>
      <c r="B23" s="48" t="s">
        <v>245</v>
      </c>
      <c r="C23" s="50">
        <v>0</v>
      </c>
      <c r="D23" s="50"/>
      <c r="E23" s="66">
        <v>1700</v>
      </c>
      <c r="F23" s="66">
        <f t="shared" si="0"/>
        <v>0</v>
      </c>
      <c r="G23" s="66">
        <f t="shared" si="1"/>
        <v>1700</v>
      </c>
      <c r="H23" s="66">
        <f t="shared" si="0"/>
        <v>0</v>
      </c>
      <c r="I23" s="61"/>
      <c r="J23" s="24">
        <v>1100</v>
      </c>
      <c r="K23" s="66">
        <f t="shared" si="2"/>
        <v>0</v>
      </c>
      <c r="L23" s="66">
        <f t="shared" si="4"/>
        <v>1100</v>
      </c>
      <c r="M23" s="66">
        <f t="shared" si="2"/>
        <v>0</v>
      </c>
      <c r="N23" s="61"/>
      <c r="O23" s="67">
        <v>1600</v>
      </c>
      <c r="P23" s="66">
        <f t="shared" si="3"/>
        <v>0</v>
      </c>
      <c r="Q23" s="66">
        <f t="shared" si="5"/>
        <v>1600</v>
      </c>
      <c r="R23" s="66">
        <f t="shared" si="3"/>
        <v>0</v>
      </c>
    </row>
    <row r="24" spans="1:18" ht="12.75">
      <c r="A24" s="48"/>
      <c r="B24" s="48" t="s">
        <v>42</v>
      </c>
      <c r="C24" s="50">
        <v>0.05</v>
      </c>
      <c r="D24" s="50"/>
      <c r="E24" s="66">
        <v>610</v>
      </c>
      <c r="F24" s="66">
        <f t="shared" si="0"/>
        <v>30.5</v>
      </c>
      <c r="G24" s="66">
        <f t="shared" si="1"/>
        <v>610</v>
      </c>
      <c r="H24" s="66">
        <f t="shared" si="0"/>
        <v>30.5</v>
      </c>
      <c r="I24" s="61"/>
      <c r="J24" s="24">
        <v>510</v>
      </c>
      <c r="K24" s="66">
        <f t="shared" si="2"/>
        <v>25.5</v>
      </c>
      <c r="L24" s="66">
        <f t="shared" si="4"/>
        <v>510</v>
      </c>
      <c r="M24" s="66">
        <f t="shared" si="2"/>
        <v>25.5</v>
      </c>
      <c r="N24" s="61"/>
      <c r="O24" s="67">
        <v>730</v>
      </c>
      <c r="P24" s="66">
        <f t="shared" si="3"/>
        <v>36.5</v>
      </c>
      <c r="Q24" s="66">
        <f t="shared" si="5"/>
        <v>730</v>
      </c>
      <c r="R24" s="66">
        <f t="shared" si="3"/>
        <v>36.5</v>
      </c>
    </row>
    <row r="25" spans="1:18" ht="12.75">
      <c r="A25" s="48"/>
      <c r="B25" s="48" t="s">
        <v>43</v>
      </c>
      <c r="C25" s="50">
        <v>0.5</v>
      </c>
      <c r="D25" s="50"/>
      <c r="E25" s="66">
        <v>430</v>
      </c>
      <c r="F25" s="66">
        <f t="shared" si="0"/>
        <v>215</v>
      </c>
      <c r="G25" s="66">
        <f t="shared" si="1"/>
        <v>430</v>
      </c>
      <c r="H25" s="66">
        <f t="shared" si="0"/>
        <v>215</v>
      </c>
      <c r="I25" s="61"/>
      <c r="J25" s="24">
        <v>360</v>
      </c>
      <c r="K25" s="66">
        <f t="shared" si="2"/>
        <v>180</v>
      </c>
      <c r="L25" s="66">
        <f t="shared" si="4"/>
        <v>360</v>
      </c>
      <c r="M25" s="66">
        <f t="shared" si="2"/>
        <v>180</v>
      </c>
      <c r="N25" s="61"/>
      <c r="O25" s="67">
        <v>490</v>
      </c>
      <c r="P25" s="66">
        <f t="shared" si="3"/>
        <v>245</v>
      </c>
      <c r="Q25" s="66">
        <f t="shared" si="5"/>
        <v>490</v>
      </c>
      <c r="R25" s="66">
        <f t="shared" si="3"/>
        <v>245</v>
      </c>
    </row>
    <row r="26" spans="1:18" ht="12.75">
      <c r="A26" s="48"/>
      <c r="B26" s="48" t="s">
        <v>246</v>
      </c>
      <c r="C26" s="50">
        <v>0</v>
      </c>
      <c r="D26" s="50"/>
      <c r="E26" s="66">
        <v>3200</v>
      </c>
      <c r="F26" s="66">
        <f t="shared" si="0"/>
        <v>0</v>
      </c>
      <c r="G26" s="66">
        <f t="shared" si="1"/>
        <v>3200</v>
      </c>
      <c r="H26" s="66">
        <f t="shared" si="0"/>
        <v>0</v>
      </c>
      <c r="I26" s="61"/>
      <c r="J26" s="24">
        <v>2900</v>
      </c>
      <c r="K26" s="66">
        <f t="shared" si="2"/>
        <v>0</v>
      </c>
      <c r="L26" s="66">
        <f t="shared" si="4"/>
        <v>2900</v>
      </c>
      <c r="M26" s="66">
        <f t="shared" si="2"/>
        <v>0</v>
      </c>
      <c r="N26" s="61"/>
      <c r="O26" s="67">
        <v>3400</v>
      </c>
      <c r="P26" s="66">
        <f t="shared" si="3"/>
        <v>0</v>
      </c>
      <c r="Q26" s="66">
        <f t="shared" si="5"/>
        <v>3400</v>
      </c>
      <c r="R26" s="66">
        <f t="shared" si="3"/>
        <v>0</v>
      </c>
    </row>
    <row r="27" spans="1:18" ht="12.75">
      <c r="A27" s="48"/>
      <c r="B27" s="48" t="s">
        <v>44</v>
      </c>
      <c r="C27" s="50">
        <v>0.1</v>
      </c>
      <c r="D27" s="50"/>
      <c r="E27" s="66">
        <v>2500</v>
      </c>
      <c r="F27" s="66">
        <f t="shared" si="0"/>
        <v>250</v>
      </c>
      <c r="G27" s="66">
        <f t="shared" si="1"/>
        <v>2500</v>
      </c>
      <c r="H27" s="66">
        <f t="shared" si="0"/>
        <v>250</v>
      </c>
      <c r="I27" s="61"/>
      <c r="J27" s="24">
        <v>2400</v>
      </c>
      <c r="K27" s="66">
        <f t="shared" si="2"/>
        <v>240</v>
      </c>
      <c r="L27" s="66">
        <f t="shared" si="4"/>
        <v>2400</v>
      </c>
      <c r="M27" s="66">
        <f t="shared" si="2"/>
        <v>240</v>
      </c>
      <c r="N27" s="61"/>
      <c r="O27" s="67">
        <v>2600</v>
      </c>
      <c r="P27" s="66">
        <f t="shared" si="3"/>
        <v>260</v>
      </c>
      <c r="Q27" s="66">
        <f t="shared" si="5"/>
        <v>2600</v>
      </c>
      <c r="R27" s="66">
        <f t="shared" si="3"/>
        <v>260</v>
      </c>
    </row>
    <row r="28" spans="1:18" ht="12.75">
      <c r="A28" s="48"/>
      <c r="B28" s="48" t="s">
        <v>45</v>
      </c>
      <c r="C28" s="50">
        <v>0.1</v>
      </c>
      <c r="D28" s="50"/>
      <c r="E28" s="66">
        <v>1300</v>
      </c>
      <c r="F28" s="66">
        <f t="shared" si="0"/>
        <v>130</v>
      </c>
      <c r="G28" s="66">
        <f t="shared" si="1"/>
        <v>1300</v>
      </c>
      <c r="H28" s="66">
        <f t="shared" si="0"/>
        <v>130</v>
      </c>
      <c r="I28" s="61"/>
      <c r="J28" s="24">
        <v>1400</v>
      </c>
      <c r="K28" s="66">
        <f t="shared" si="2"/>
        <v>140</v>
      </c>
      <c r="L28" s="66">
        <f t="shared" si="4"/>
        <v>1400</v>
      </c>
      <c r="M28" s="66">
        <f t="shared" si="2"/>
        <v>140</v>
      </c>
      <c r="N28" s="61"/>
      <c r="O28" s="67">
        <v>1400</v>
      </c>
      <c r="P28" s="66">
        <f t="shared" si="3"/>
        <v>140</v>
      </c>
      <c r="Q28" s="66">
        <f t="shared" si="5"/>
        <v>1400</v>
      </c>
      <c r="R28" s="66">
        <f t="shared" si="3"/>
        <v>140</v>
      </c>
    </row>
    <row r="29" spans="1:18" ht="12.75">
      <c r="A29" s="48"/>
      <c r="B29" s="48" t="s">
        <v>46</v>
      </c>
      <c r="C29" s="50">
        <v>0.1</v>
      </c>
      <c r="D29" s="50"/>
      <c r="E29" s="66">
        <v>720</v>
      </c>
      <c r="F29" s="66">
        <f t="shared" si="0"/>
        <v>72</v>
      </c>
      <c r="G29" s="66">
        <f t="shared" si="1"/>
        <v>720</v>
      </c>
      <c r="H29" s="66">
        <f t="shared" si="0"/>
        <v>72</v>
      </c>
      <c r="I29" s="61"/>
      <c r="J29" s="24">
        <v>700</v>
      </c>
      <c r="K29" s="66">
        <f t="shared" si="2"/>
        <v>70</v>
      </c>
      <c r="L29" s="66">
        <f t="shared" si="4"/>
        <v>700</v>
      </c>
      <c r="M29" s="66">
        <f t="shared" si="2"/>
        <v>70</v>
      </c>
      <c r="N29" s="61"/>
      <c r="O29" s="67">
        <v>770</v>
      </c>
      <c r="P29" s="66">
        <f t="shared" si="3"/>
        <v>77</v>
      </c>
      <c r="Q29" s="66">
        <f t="shared" si="5"/>
        <v>770</v>
      </c>
      <c r="R29" s="66">
        <f t="shared" si="3"/>
        <v>77</v>
      </c>
    </row>
    <row r="30" spans="1:18" ht="12.75">
      <c r="A30" s="48"/>
      <c r="B30" s="48" t="s">
        <v>47</v>
      </c>
      <c r="C30" s="50">
        <v>0.1</v>
      </c>
      <c r="D30" s="50"/>
      <c r="E30" s="66">
        <v>270</v>
      </c>
      <c r="F30" s="66">
        <f t="shared" si="0"/>
        <v>27</v>
      </c>
      <c r="G30" s="66">
        <f t="shared" si="1"/>
        <v>270</v>
      </c>
      <c r="H30" s="66">
        <f t="shared" si="0"/>
        <v>27</v>
      </c>
      <c r="I30" s="61"/>
      <c r="J30" s="24">
        <v>300</v>
      </c>
      <c r="K30" s="66">
        <f t="shared" si="2"/>
        <v>30</v>
      </c>
      <c r="L30" s="66">
        <f t="shared" si="4"/>
        <v>300</v>
      </c>
      <c r="M30" s="66">
        <f t="shared" si="2"/>
        <v>30</v>
      </c>
      <c r="N30" s="61"/>
      <c r="O30" s="67">
        <v>360</v>
      </c>
      <c r="P30" s="66">
        <f t="shared" si="3"/>
        <v>36</v>
      </c>
      <c r="Q30" s="66">
        <f t="shared" si="5"/>
        <v>360</v>
      </c>
      <c r="R30" s="66">
        <f t="shared" si="3"/>
        <v>36</v>
      </c>
    </row>
    <row r="31" spans="1:18" ht="12.75">
      <c r="A31" s="48"/>
      <c r="B31" s="48" t="s">
        <v>247</v>
      </c>
      <c r="C31" s="50">
        <v>0</v>
      </c>
      <c r="D31" s="50"/>
      <c r="E31" s="66">
        <v>14000</v>
      </c>
      <c r="F31" s="66">
        <f t="shared" si="0"/>
        <v>0</v>
      </c>
      <c r="G31" s="66">
        <f t="shared" si="1"/>
        <v>14000</v>
      </c>
      <c r="H31" s="66">
        <f t="shared" si="0"/>
        <v>0</v>
      </c>
      <c r="I31" s="61"/>
      <c r="J31" s="24">
        <v>14000</v>
      </c>
      <c r="K31" s="66">
        <f t="shared" si="2"/>
        <v>0</v>
      </c>
      <c r="L31" s="66">
        <f t="shared" si="4"/>
        <v>14000</v>
      </c>
      <c r="M31" s="66">
        <f t="shared" si="2"/>
        <v>0</v>
      </c>
      <c r="N31" s="61"/>
      <c r="O31" s="67">
        <v>14000</v>
      </c>
      <c r="P31" s="66">
        <f t="shared" si="3"/>
        <v>0</v>
      </c>
      <c r="Q31" s="66">
        <f t="shared" si="5"/>
        <v>14000</v>
      </c>
      <c r="R31" s="66">
        <f t="shared" si="3"/>
        <v>0</v>
      </c>
    </row>
    <row r="32" spans="1:18" ht="12.75">
      <c r="A32" s="48"/>
      <c r="B32" s="48" t="s">
        <v>48</v>
      </c>
      <c r="C32" s="50">
        <v>0.01</v>
      </c>
      <c r="D32" s="50"/>
      <c r="E32" s="66">
        <v>32000</v>
      </c>
      <c r="F32" s="66">
        <f t="shared" si="0"/>
        <v>320</v>
      </c>
      <c r="G32" s="66">
        <f t="shared" si="1"/>
        <v>32000</v>
      </c>
      <c r="H32" s="66">
        <f t="shared" si="0"/>
        <v>320</v>
      </c>
      <c r="I32" s="61"/>
      <c r="J32" s="24">
        <v>28000</v>
      </c>
      <c r="K32" s="66">
        <f t="shared" si="2"/>
        <v>280</v>
      </c>
      <c r="L32" s="66">
        <f t="shared" si="4"/>
        <v>28000</v>
      </c>
      <c r="M32" s="66">
        <f t="shared" si="2"/>
        <v>280</v>
      </c>
      <c r="N32" s="61"/>
      <c r="O32" s="67">
        <v>29000</v>
      </c>
      <c r="P32" s="66">
        <f t="shared" si="3"/>
        <v>290</v>
      </c>
      <c r="Q32" s="66">
        <f t="shared" si="5"/>
        <v>29000</v>
      </c>
      <c r="R32" s="66">
        <f t="shared" si="3"/>
        <v>290</v>
      </c>
    </row>
    <row r="33" spans="1:18" ht="12.75">
      <c r="A33" s="48"/>
      <c r="B33" s="48" t="s">
        <v>49</v>
      </c>
      <c r="C33" s="50">
        <v>0.01</v>
      </c>
      <c r="D33" s="50"/>
      <c r="E33" s="66">
        <v>3700</v>
      </c>
      <c r="F33" s="66">
        <f t="shared" si="0"/>
        <v>37</v>
      </c>
      <c r="G33" s="66">
        <f t="shared" si="1"/>
        <v>3700</v>
      </c>
      <c r="H33" s="66">
        <f t="shared" si="0"/>
        <v>37</v>
      </c>
      <c r="I33" s="61"/>
      <c r="J33" s="24">
        <v>3700</v>
      </c>
      <c r="K33" s="66">
        <f t="shared" si="2"/>
        <v>37</v>
      </c>
      <c r="L33" s="66">
        <f t="shared" si="4"/>
        <v>3700</v>
      </c>
      <c r="M33" s="66">
        <f t="shared" si="2"/>
        <v>37</v>
      </c>
      <c r="N33" s="61"/>
      <c r="O33" s="67">
        <v>3400</v>
      </c>
      <c r="P33" s="66">
        <f t="shared" si="3"/>
        <v>34</v>
      </c>
      <c r="Q33" s="66">
        <f t="shared" si="5"/>
        <v>3400</v>
      </c>
      <c r="R33" s="66">
        <f t="shared" si="3"/>
        <v>34</v>
      </c>
    </row>
    <row r="34" spans="1:18" ht="12.75">
      <c r="A34" s="48"/>
      <c r="B34" s="48" t="s">
        <v>248</v>
      </c>
      <c r="C34" s="50">
        <v>0</v>
      </c>
      <c r="D34" s="50"/>
      <c r="E34" s="66">
        <v>51000</v>
      </c>
      <c r="F34" s="66">
        <f t="shared" si="0"/>
        <v>0</v>
      </c>
      <c r="G34" s="66">
        <f t="shared" si="1"/>
        <v>51000</v>
      </c>
      <c r="H34" s="66">
        <f t="shared" si="0"/>
        <v>0</v>
      </c>
      <c r="I34" s="61"/>
      <c r="J34" s="24">
        <v>46000</v>
      </c>
      <c r="K34" s="66">
        <f t="shared" si="2"/>
        <v>0</v>
      </c>
      <c r="L34" s="66">
        <f t="shared" si="4"/>
        <v>46000</v>
      </c>
      <c r="M34" s="66">
        <f t="shared" si="2"/>
        <v>0</v>
      </c>
      <c r="N34" s="61"/>
      <c r="O34" s="67">
        <v>47000</v>
      </c>
      <c r="P34" s="66">
        <f t="shared" si="3"/>
        <v>0</v>
      </c>
      <c r="Q34" s="66">
        <f t="shared" si="5"/>
        <v>47000</v>
      </c>
      <c r="R34" s="66">
        <f t="shared" si="3"/>
        <v>0</v>
      </c>
    </row>
    <row r="35" spans="1:18" ht="12.75">
      <c r="A35" s="48"/>
      <c r="B35" s="48" t="s">
        <v>50</v>
      </c>
      <c r="C35" s="50">
        <v>0.001</v>
      </c>
      <c r="D35" s="50"/>
      <c r="E35" s="66">
        <v>150000</v>
      </c>
      <c r="F35" s="66">
        <f t="shared" si="0"/>
        <v>150</v>
      </c>
      <c r="G35" s="66">
        <f t="shared" si="1"/>
        <v>150000</v>
      </c>
      <c r="H35" s="66">
        <f t="shared" si="0"/>
        <v>150</v>
      </c>
      <c r="I35" s="61"/>
      <c r="J35" s="24">
        <v>110000</v>
      </c>
      <c r="K35" s="66">
        <f t="shared" si="2"/>
        <v>110</v>
      </c>
      <c r="L35" s="66">
        <f t="shared" si="4"/>
        <v>110000</v>
      </c>
      <c r="M35" s="66">
        <f t="shared" si="2"/>
        <v>110</v>
      </c>
      <c r="N35" s="61"/>
      <c r="O35" s="67">
        <v>76000</v>
      </c>
      <c r="P35" s="66">
        <f t="shared" si="3"/>
        <v>76</v>
      </c>
      <c r="Q35" s="66">
        <f t="shared" si="5"/>
        <v>76000</v>
      </c>
      <c r="R35" s="66">
        <f t="shared" si="3"/>
        <v>76</v>
      </c>
    </row>
    <row r="36" spans="1:18" ht="12.75">
      <c r="A36" s="48"/>
      <c r="B36" s="48"/>
      <c r="C36" s="48"/>
      <c r="D36" s="48"/>
      <c r="E36" s="57"/>
      <c r="F36" s="61"/>
      <c r="G36" s="57"/>
      <c r="H36" s="61"/>
      <c r="I36" s="57"/>
      <c r="J36" s="24"/>
      <c r="K36" s="52"/>
      <c r="L36" s="52"/>
      <c r="M36" s="52"/>
      <c r="N36" s="57"/>
      <c r="O36" s="24"/>
      <c r="P36" s="60"/>
      <c r="Q36" s="57"/>
      <c r="R36" s="60"/>
    </row>
    <row r="37" spans="1:18" ht="12.75">
      <c r="A37" s="48"/>
      <c r="B37" s="48" t="s">
        <v>51</v>
      </c>
      <c r="C37" s="48"/>
      <c r="D37" s="48"/>
      <c r="E37" s="57"/>
      <c r="F37" s="57">
        <v>134.175</v>
      </c>
      <c r="G37" s="57">
        <v>134.175</v>
      </c>
      <c r="H37" s="57">
        <v>134.175</v>
      </c>
      <c r="I37" s="57"/>
      <c r="J37" s="57"/>
      <c r="K37" s="57">
        <v>127.597</v>
      </c>
      <c r="L37" s="57">
        <v>127.597</v>
      </c>
      <c r="M37" s="57">
        <v>127.597</v>
      </c>
      <c r="N37" s="57"/>
      <c r="O37" s="57"/>
      <c r="P37" s="57">
        <v>130.422</v>
      </c>
      <c r="Q37" s="57">
        <v>130.422</v>
      </c>
      <c r="R37" s="57">
        <v>130.422</v>
      </c>
    </row>
    <row r="38" spans="1:18" ht="12.75">
      <c r="A38" s="48"/>
      <c r="B38" s="48" t="s">
        <v>109</v>
      </c>
      <c r="C38" s="48"/>
      <c r="D38" s="48"/>
      <c r="E38" s="57"/>
      <c r="F38" s="57">
        <v>11.9</v>
      </c>
      <c r="G38" s="57">
        <v>11.9</v>
      </c>
      <c r="H38" s="57">
        <v>11.9</v>
      </c>
      <c r="I38" s="57"/>
      <c r="J38" s="57"/>
      <c r="K38" s="52">
        <v>11.8</v>
      </c>
      <c r="L38" s="52">
        <v>11.8</v>
      </c>
      <c r="M38" s="52">
        <v>11.8</v>
      </c>
      <c r="N38" s="57"/>
      <c r="O38" s="57"/>
      <c r="P38" s="57">
        <v>11.6</v>
      </c>
      <c r="Q38" s="57">
        <v>11.6</v>
      </c>
      <c r="R38" s="57">
        <v>11.6</v>
      </c>
    </row>
    <row r="39" spans="1:18" ht="12.75">
      <c r="A39" s="48"/>
      <c r="B39" s="48"/>
      <c r="C39" s="48"/>
      <c r="D39" s="48"/>
      <c r="E39" s="57"/>
      <c r="F39" s="24"/>
      <c r="G39" s="57"/>
      <c r="H39" s="24"/>
      <c r="I39" s="24"/>
      <c r="J39" s="57"/>
      <c r="K39" s="58"/>
      <c r="L39" s="52"/>
      <c r="M39" s="58"/>
      <c r="N39" s="57"/>
      <c r="O39" s="57"/>
      <c r="P39" s="57"/>
      <c r="Q39" s="57"/>
      <c r="R39" s="57"/>
    </row>
    <row r="40" spans="1:18" ht="12.75">
      <c r="A40" s="48"/>
      <c r="B40" s="48" t="s">
        <v>77</v>
      </c>
      <c r="C40" s="61"/>
      <c r="D40" s="61"/>
      <c r="E40" s="52"/>
      <c r="F40" s="57">
        <f>SUM(F11:F35)</f>
        <v>1310.8</v>
      </c>
      <c r="G40" s="52">
        <f>SUM(G35,G34,G31,G26,G23,G21,G20,G18,G14,G12)</f>
        <v>230320</v>
      </c>
      <c r="H40" s="57">
        <f>SUM(H11:H35)</f>
        <v>1310.8</v>
      </c>
      <c r="I40" s="61"/>
      <c r="J40" s="52"/>
      <c r="K40" s="56">
        <f>SUM(K11:K35)</f>
        <v>1165.5</v>
      </c>
      <c r="L40" s="52">
        <f>SUM(L35,L34,L31,L26,L23,L21,L20,L18,L14,L12)</f>
        <v>181496</v>
      </c>
      <c r="M40" s="56">
        <f>SUM(M11:M35)</f>
        <v>1163</v>
      </c>
      <c r="N40" s="61"/>
      <c r="O40" s="57"/>
      <c r="P40" s="57">
        <f>SUM(P11:P35)</f>
        <v>1255.9</v>
      </c>
      <c r="Q40" s="52">
        <f>SUM(Q35,Q34,Q31,Q26,Q23,Q21,Q20,Q18,Q14,Q12)</f>
        <v>147184</v>
      </c>
      <c r="R40" s="57">
        <f>SUM(R11:R35)</f>
        <v>1253.4</v>
      </c>
    </row>
    <row r="41" spans="1:18" ht="12.75">
      <c r="A41" s="48"/>
      <c r="B41" s="48" t="s">
        <v>52</v>
      </c>
      <c r="C41" s="61"/>
      <c r="D41" s="52">
        <f>(F41-H41)*2/F41*100</f>
        <v>0</v>
      </c>
      <c r="E41" s="57"/>
      <c r="F41" s="57">
        <f>(F40/F37/0.0283*(21-7)/(21-F38))/1000</f>
        <v>0.531086224378764</v>
      </c>
      <c r="G41" s="57">
        <f>(G40/G37/0.0283*(21-7)/(21-G38))/1000</f>
        <v>93.31688983744044</v>
      </c>
      <c r="H41" s="57">
        <f>(H40/H37/0.0283*(21-7)/(21-H38))/1000</f>
        <v>0.531086224378764</v>
      </c>
      <c r="I41" s="52">
        <f>(K41-M41)*2/K41*100</f>
        <v>0.42900042900045454</v>
      </c>
      <c r="J41" s="57"/>
      <c r="K41" s="57">
        <f>K40/K37/0.0283*(21-7)/(21-K38)/1000</f>
        <v>0.4911629363666928</v>
      </c>
      <c r="L41" s="57">
        <f>(L40/L37/0.0283*(21-7)/(21-L38))/1000</f>
        <v>76.48572140609977</v>
      </c>
      <c r="M41" s="57">
        <f>M40/M37/0.0283*(21-7)/(21-M38)/1000</f>
        <v>0.4901093908146406</v>
      </c>
      <c r="N41" s="52">
        <f>(P41-R41)*2/P41*100</f>
        <v>0.3981208694959522</v>
      </c>
      <c r="O41" s="57"/>
      <c r="P41" s="57">
        <f>P40/P37/0.0283*(21-7)/(21-P38)/1000</f>
        <v>0.50677823104107</v>
      </c>
      <c r="Q41" s="57">
        <f>(Q40/Q37/0.0283*(21-7)/(21-Q38))/1000</f>
        <v>59.39139036352325</v>
      </c>
      <c r="R41" s="57">
        <f>R40/R37/0.0283*(21-7)/(21-R38)/1000</f>
        <v>0.5057694360911515</v>
      </c>
    </row>
    <row r="42" spans="1:18" ht="12.75">
      <c r="A42" s="48"/>
      <c r="B42" s="48"/>
      <c r="C42" s="48"/>
      <c r="D42" s="48"/>
      <c r="E42" s="56"/>
      <c r="F42" s="61"/>
      <c r="G42" s="56"/>
      <c r="H42" s="61"/>
      <c r="I42" s="56"/>
      <c r="J42" s="56"/>
      <c r="K42" s="56"/>
      <c r="L42" s="56"/>
      <c r="M42" s="56"/>
      <c r="N42" s="56"/>
      <c r="O42" s="56"/>
      <c r="P42" s="60"/>
      <c r="Q42" s="56"/>
      <c r="R42" s="60"/>
    </row>
    <row r="43" spans="1:18" ht="12.75">
      <c r="A43" s="57"/>
      <c r="B43" s="48" t="s">
        <v>110</v>
      </c>
      <c r="C43" s="57">
        <f>AVERAGE(H41,M41,R41)</f>
        <v>0.5089883504281854</v>
      </c>
      <c r="D43" s="57"/>
      <c r="E43" s="57"/>
      <c r="F43" s="61"/>
      <c r="G43" s="57"/>
      <c r="H43" s="61"/>
      <c r="I43" s="57"/>
      <c r="J43" s="57"/>
      <c r="K43" s="57"/>
      <c r="L43" s="57"/>
      <c r="M43" s="57"/>
      <c r="N43" s="57"/>
      <c r="O43" s="57"/>
      <c r="P43" s="60"/>
      <c r="Q43" s="57"/>
      <c r="R43" s="60"/>
    </row>
    <row r="44" spans="1:18" ht="12.75">
      <c r="A44" s="48"/>
      <c r="B44" s="48" t="s">
        <v>111</v>
      </c>
      <c r="C44" s="57">
        <f>AVERAGE(G41,L41,Q41)</f>
        <v>76.39800053568781</v>
      </c>
      <c r="D44" s="48"/>
      <c r="E44" s="60"/>
      <c r="F44" s="61"/>
      <c r="G44" s="60"/>
      <c r="H44" s="61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85" spans="1:18" ht="12.75">
      <c r="A85" s="3"/>
      <c r="B85" s="3"/>
      <c r="C85" s="3"/>
      <c r="D85" s="3"/>
      <c r="E85" s="10"/>
      <c r="G85" s="10"/>
      <c r="J85" s="10"/>
      <c r="K85" s="9"/>
      <c r="L85" s="7"/>
      <c r="M85" s="9"/>
      <c r="N85" s="10"/>
      <c r="O85" s="10"/>
      <c r="P85" s="10"/>
      <c r="Q85" s="10"/>
      <c r="R85" s="10"/>
    </row>
    <row r="86" spans="1:18" ht="12.75">
      <c r="A86" s="3"/>
      <c r="B86" s="3"/>
      <c r="C86" s="6"/>
      <c r="D86" s="6"/>
      <c r="E86" s="7"/>
      <c r="F86" s="10"/>
      <c r="G86" s="7"/>
      <c r="H86" s="10"/>
      <c r="I86" s="6"/>
      <c r="J86" s="7"/>
      <c r="K86" s="7"/>
      <c r="L86" s="7"/>
      <c r="M86" s="7"/>
      <c r="N86" s="6"/>
      <c r="O86" s="10"/>
      <c r="P86" s="6"/>
      <c r="Q86" s="6"/>
      <c r="R86" s="6"/>
    </row>
    <row r="87" spans="1:18" ht="12.75">
      <c r="A87" s="3"/>
      <c r="B87" s="3"/>
      <c r="C87" s="6"/>
      <c r="D87" s="6"/>
      <c r="E87" s="10"/>
      <c r="F87" s="6"/>
      <c r="G87" s="8"/>
      <c r="H87" s="6"/>
      <c r="I87" s="6"/>
      <c r="J87" s="10"/>
      <c r="K87" s="6"/>
      <c r="L87" s="7"/>
      <c r="M87" s="6"/>
      <c r="N87" s="6"/>
      <c r="O87" s="10"/>
      <c r="P87" s="8"/>
      <c r="Q87" s="8"/>
      <c r="R87" s="8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2004-02-25T17:17:51Z</cp:lastPrinted>
  <dcterms:created xsi:type="dcterms:W3CDTF">2000-01-10T00:44:42Z</dcterms:created>
  <dcterms:modified xsi:type="dcterms:W3CDTF">2004-02-25T17:17:55Z</dcterms:modified>
  <cp:category/>
  <cp:version/>
  <cp:contentType/>
  <cp:contentStatus/>
</cp:coreProperties>
</file>