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6210" windowWidth="11970" windowHeight="6570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<sst xmlns="http://schemas.openxmlformats.org/spreadsheetml/2006/main" count="1022" uniqueCount="234">
  <si>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</si>
  <si>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</si>
  <si>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</si>
  <si>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</si>
  <si>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</si>
  <si>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</si>
  <si>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</si>
  <si>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</si>
  <si>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</si>
  <si>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</si>
  <si>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</si>
  <si>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</si>
  <si>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</si>
  <si>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</si>
  <si>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</si>
  <si>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</si>
  <si>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</si>
  <si>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</si>
  <si>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</si>
  <si>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</si>
  <si>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</si>
  <si>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</si>
  <si>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</si>
  <si>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</si>
  <si>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</si>
  <si>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</si>
  <si>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</si>
  <si>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</si>
  <si>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</si>
  <si>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</si>
  <si>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</si>
  <si>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</si>
  <si>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</si>
  <si>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</si>
  <si>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</si>
  <si>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</si>
  <si>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</si>
  <si>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</si>
  <si>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</si>
  <si>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</si>
  <si>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</si>
  <si>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</si>
  <si>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</si>
  <si>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</si>
  <si>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</si>
  <si>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</si>
  <si>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</si>
  <si>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</si>
  <si>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</si>
  <si>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</si>
  <si>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</si>
  <si>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</si>
  <si>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</si>
  <si>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</si>
  <si>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</si>
  <si>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Feedrate</t>
  </si>
  <si>
    <t>g/hr</t>
  </si>
  <si>
    <t>Heating Value</t>
  </si>
  <si>
    <t>Btu/lb</t>
  </si>
  <si>
    <t>Ash</t>
  </si>
  <si>
    <t>Chlorine</t>
  </si>
  <si>
    <t>Viscosity</t>
  </si>
  <si>
    <t>cps</t>
  </si>
  <si>
    <t>Freeport</t>
  </si>
  <si>
    <t>TX</t>
  </si>
  <si>
    <t>Dow Chemical Company</t>
  </si>
  <si>
    <t>Focus Environmental, Inc.</t>
  </si>
  <si>
    <t>METCO Environmental</t>
  </si>
  <si>
    <t>DRE</t>
  </si>
  <si>
    <t>lb/hr</t>
  </si>
  <si>
    <t>Density</t>
  </si>
  <si>
    <t>lb/gal</t>
  </si>
  <si>
    <t>MMBtu/hr</t>
  </si>
  <si>
    <t>Detected in sample volume (pg)</t>
  </si>
  <si>
    <t>PCDD/PCDF (pg in sample)</t>
  </si>
  <si>
    <t>Run 1</t>
  </si>
  <si>
    <t>Run 2</t>
  </si>
  <si>
    <t>Run 3</t>
  </si>
  <si>
    <t>None</t>
  </si>
  <si>
    <t>PCDD/F, metals</t>
  </si>
  <si>
    <r>
      <t>o</t>
    </r>
    <r>
      <rPr>
        <sz val="10"/>
        <rFont val="Arial"/>
        <family val="2"/>
      </rPr>
      <t>F</t>
    </r>
  </si>
  <si>
    <t>Natural Gas</t>
  </si>
  <si>
    <t>B-902</t>
  </si>
  <si>
    <t>N/A</t>
  </si>
  <si>
    <t>B-901, B-903</t>
  </si>
  <si>
    <t>DRE for POHC (acetophenone)</t>
  </si>
  <si>
    <t>July 15-16, 1998</t>
  </si>
  <si>
    <t>Acetophenone</t>
  </si>
  <si>
    <t>PM, DRE for POHC (acetophenone)</t>
  </si>
  <si>
    <t>February 10-11, 1998</t>
  </si>
  <si>
    <t>Trial burn, min comb temp</t>
  </si>
  <si>
    <t>Risk burn, slightly above normal operating of liq waste feed rate, normal comb temp, February 10-11, 1998.</t>
  </si>
  <si>
    <t>Spike</t>
  </si>
  <si>
    <t>Natural gas</t>
  </si>
  <si>
    <t>Liquid wastes (Heavy Oils)</t>
  </si>
  <si>
    <t>Liq</t>
  </si>
  <si>
    <t>Stack Gas Emissions</t>
  </si>
  <si>
    <t>HW</t>
  </si>
  <si>
    <t>SVM</t>
  </si>
  <si>
    <t>LVM</t>
  </si>
  <si>
    <t>µg/dscm</t>
  </si>
  <si>
    <t>mg/dscm</t>
  </si>
  <si>
    <t>O2 (%)</t>
  </si>
  <si>
    <t>ug/dscm</t>
  </si>
  <si>
    <t>TEQ Cond Avg</t>
  </si>
  <si>
    <t>Total Cond Avg</t>
  </si>
  <si>
    <t>Heavy Oils</t>
  </si>
  <si>
    <t>Stack Gas Flowrate</t>
  </si>
  <si>
    <t>Oxygen</t>
  </si>
  <si>
    <t>Risk burn, slightly above normal operating conditions</t>
  </si>
  <si>
    <t>Capacity (MMBtu/hr)</t>
  </si>
  <si>
    <t>Combustor Characteristics</t>
  </si>
  <si>
    <t>Feedstreams</t>
  </si>
  <si>
    <t>7% O2</t>
  </si>
  <si>
    <t>B-902 Trial Burn and Risk Burn Report, October 9 and 12, 1998</t>
  </si>
  <si>
    <t xml:space="preserve">    Testing Dates</t>
  </si>
  <si>
    <t>Trial burn, max waste feed rate, max comb gas velocity</t>
  </si>
  <si>
    <t>POHC DRE</t>
  </si>
  <si>
    <t>Process Information</t>
  </si>
  <si>
    <t>PCDD/PCDF</t>
  </si>
  <si>
    <t>Dow Chemical Company, Freeport, TX</t>
  </si>
  <si>
    <t>1/2 ND</t>
  </si>
  <si>
    <t>TXD008092793</t>
  </si>
  <si>
    <t>Hazardous Wastes</t>
  </si>
  <si>
    <t>Supplemental Fuel</t>
  </si>
  <si>
    <t>Tier l for metals and HCl/Cl2</t>
  </si>
  <si>
    <t>843C1</t>
  </si>
  <si>
    <t>843C2</t>
  </si>
  <si>
    <t>843C3</t>
  </si>
  <si>
    <t>Comb Temp</t>
  </si>
  <si>
    <t>Prod Rate</t>
  </si>
  <si>
    <t>Max Comb Air Flow</t>
  </si>
  <si>
    <t>Feedrate MTEC Calculations</t>
  </si>
  <si>
    <t>Phase II ID No.</t>
  </si>
  <si>
    <t>Particle Size Distribution</t>
  </si>
  <si>
    <t>0.5-0.9</t>
  </si>
  <si>
    <t>0.9-1.3</t>
  </si>
  <si>
    <t>1.3-2.7</t>
  </si>
  <si>
    <t>4.5-6.5</t>
  </si>
  <si>
    <t>6.5-9.7</t>
  </si>
  <si>
    <t>9.7-15</t>
  </si>
  <si>
    <t>Source Description</t>
  </si>
  <si>
    <t xml:space="preserve">    Gas Velocity (ft/sec)</t>
  </si>
  <si>
    <t xml:space="preserve">    Gas Temperature (°F)</t>
  </si>
  <si>
    <t>Soot Blowing</t>
  </si>
  <si>
    <t>Haz Waste Description</t>
  </si>
  <si>
    <t>µg/dscf</t>
  </si>
  <si>
    <t>% wt</t>
  </si>
  <si>
    <t xml:space="preserve">   Temperature</t>
  </si>
  <si>
    <t xml:space="preserve">   Stack Gas Flowrate</t>
  </si>
  <si>
    <t>Antimony</t>
  </si>
  <si>
    <t>Arsenic</t>
  </si>
  <si>
    <t>Barium</t>
  </si>
  <si>
    <t>Beryllium</t>
  </si>
  <si>
    <t>Cadmium</t>
  </si>
  <si>
    <t>Lead</t>
  </si>
  <si>
    <t>Mercury</t>
  </si>
  <si>
    <t>Nickel</t>
  </si>
  <si>
    <t>Selenium</t>
  </si>
  <si>
    <t>Silver</t>
  </si>
  <si>
    <t>Thallium</t>
  </si>
  <si>
    <t>Comments</t>
  </si>
  <si>
    <t>Trial Burn</t>
  </si>
  <si>
    <t>Risk Burn</t>
  </si>
  <si>
    <t>Emission Rate</t>
  </si>
  <si>
    <t xml:space="preserve">   O2</t>
  </si>
  <si>
    <t xml:space="preserve">   Moisture</t>
  </si>
  <si>
    <t>in microns</t>
  </si>
  <si>
    <t>0.2-0.5</t>
  </si>
  <si>
    <t>2.7-4.5</t>
  </si>
  <si>
    <t>&gt;15</t>
  </si>
  <si>
    <t>Cobalt</t>
  </si>
  <si>
    <t>Copper</t>
  </si>
  <si>
    <t>Manganese</t>
  </si>
  <si>
    <t>Molybdenum</t>
  </si>
  <si>
    <t>Vanadium</t>
  </si>
  <si>
    <t>CO (RA)</t>
  </si>
  <si>
    <t>CO (MHRA)</t>
  </si>
  <si>
    <t>Chromium</t>
  </si>
  <si>
    <t>Sampling Train</t>
  </si>
  <si>
    <t>Zinc</t>
  </si>
  <si>
    <t xml:space="preserve">843C2 </t>
  </si>
  <si>
    <t>Trial burn</t>
  </si>
  <si>
    <t xml:space="preserve">843C3 </t>
  </si>
  <si>
    <t>Risk burn</t>
  </si>
  <si>
    <t>*</t>
  </si>
  <si>
    <t>Thermal Feedrate</t>
  </si>
  <si>
    <t>Feed Rate</t>
  </si>
  <si>
    <t>HWC Burn Status (Date if Terminated)</t>
  </si>
  <si>
    <t>R1</t>
  </si>
  <si>
    <t>R2</t>
  </si>
  <si>
    <t>R3</t>
  </si>
  <si>
    <t xml:space="preserve">    Cond Dates</t>
  </si>
  <si>
    <t>Watertube boiler. Direct fired combustion chamber, Combusion Engineering, capacity of 229 MMBtu/hr, operated @ 1700-2200F, soot blowing capabilities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</si>
  <si>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</si>
  <si>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</si>
  <si>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</si>
  <si>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</si>
  <si>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</si>
  <si>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</si>
  <si>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>Liquid-fired</t>
  </si>
  <si>
    <t>E1</t>
  </si>
  <si>
    <t>E2</t>
  </si>
  <si>
    <t>Metals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</si>
  <si>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</si>
  <si>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</si>
  <si>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</si>
  <si>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</si>
  <si>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</si>
  <si>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</si>
  <si>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</si>
  <si>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</si>
  <si>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</si>
  <si>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F2</t>
  </si>
  <si>
    <t>F3</t>
  </si>
  <si>
    <t>F4</t>
  </si>
  <si>
    <t>NG</t>
  </si>
  <si>
    <t>Liq HW</t>
  </si>
  <si>
    <t>Feed Class 2</t>
  </si>
  <si>
    <t>MF</t>
  </si>
  <si>
    <t>Estimated Firing Rate</t>
  </si>
  <si>
    <t>df c3</t>
  </si>
  <si>
    <t>ug/hr</t>
  </si>
  <si>
    <t>units?</t>
  </si>
  <si>
    <t>Full ND</t>
  </si>
  <si>
    <t>N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</si>
  <si>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</si>
  <si>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</si>
  <si>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</si>
  <si>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</si>
  <si>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</si>
  <si>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</si>
  <si>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</si>
  <si>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HCDF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</si>
</sst>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mm\-yy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205</v>
      </c>
    </row>
    <row r="2" ht="12.75">
      <c r="A2" t="s">
        <v>206</v>
      </c>
    </row>
    <row r="3" ht="12.75">
      <c r="A3" t="s">
        <v>207</v>
      </c>
    </row>
    <row r="4" ht="12.75">
      <c r="A4" t="s">
        <v>208</v>
      </c>
    </row>
    <row r="5" ht="12.75">
      <c r="A5" t="s">
        <v>209</v>
      </c>
    </row>
    <row r="6" ht="12.75">
      <c r="A6" t="s">
        <v>221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workbookViewId="0" topLeftCell="B1">
      <selection activeCell="D10" sqref="D10"/>
    </sheetView>
  </sheetViews>
  <sheetFormatPr defaultColWidth="9.140625" defaultRowHeight="12.75"/>
  <cols>
    <col min="1" max="1" width="9.140625" style="17" hidden="1" customWidth="1"/>
    <col min="2" max="2" width="24.57421875" style="17" customWidth="1"/>
    <col min="3" max="3" width="54.421875" style="17" customWidth="1"/>
    <col min="4" max="4" width="8.00390625" style="17" customWidth="1"/>
    <col min="5" max="16384" width="8.8515625" style="17" customWidth="1"/>
  </cols>
  <sheetData>
    <row r="1" ht="12.75">
      <c r="B1" s="8" t="s">
        <v>141</v>
      </c>
    </row>
    <row r="3" spans="2:3" ht="12.75">
      <c r="B3" s="17" t="s">
        <v>133</v>
      </c>
      <c r="C3" s="18">
        <v>843</v>
      </c>
    </row>
    <row r="4" spans="2:3" ht="12.75">
      <c r="B4" s="17" t="s">
        <v>0</v>
      </c>
      <c r="C4" s="17" t="s">
        <v>122</v>
      </c>
    </row>
    <row r="5" spans="2:3" ht="12.75">
      <c r="B5" s="17" t="s">
        <v>1</v>
      </c>
      <c r="C5" s="17" t="s">
        <v>65</v>
      </c>
    </row>
    <row r="6" ht="12.75">
      <c r="B6" s="17" t="s">
        <v>2</v>
      </c>
    </row>
    <row r="7" spans="2:3" ht="12.75">
      <c r="B7" s="17" t="s">
        <v>3</v>
      </c>
      <c r="C7" s="17" t="s">
        <v>63</v>
      </c>
    </row>
    <row r="8" spans="2:3" ht="12.75">
      <c r="B8" s="17" t="s">
        <v>4</v>
      </c>
      <c r="C8" s="17" t="s">
        <v>64</v>
      </c>
    </row>
    <row r="9" spans="2:3" ht="12.75">
      <c r="B9" s="17" t="s">
        <v>5</v>
      </c>
      <c r="C9" s="17" t="s">
        <v>82</v>
      </c>
    </row>
    <row r="10" spans="2:3" ht="12.75">
      <c r="B10" s="17" t="s">
        <v>6</v>
      </c>
      <c r="C10" s="17" t="s">
        <v>84</v>
      </c>
    </row>
    <row r="11" spans="2:3" ht="12.75">
      <c r="B11" s="17" t="s">
        <v>196</v>
      </c>
      <c r="C11" s="18">
        <v>2</v>
      </c>
    </row>
    <row r="12" spans="2:3" ht="12.75">
      <c r="B12" s="17" t="s">
        <v>199</v>
      </c>
      <c r="C12" s="17" t="s">
        <v>194</v>
      </c>
    </row>
    <row r="13" spans="2:3" ht="12.75">
      <c r="B13" s="17" t="s">
        <v>204</v>
      </c>
      <c r="C13" s="17" t="s">
        <v>200</v>
      </c>
    </row>
    <row r="14" spans="2:3" s="63" customFormat="1" ht="38.25">
      <c r="B14" s="63" t="s">
        <v>111</v>
      </c>
      <c r="C14" s="63" t="s">
        <v>193</v>
      </c>
    </row>
    <row r="15" spans="2:3" ht="12.75">
      <c r="B15" s="17" t="s">
        <v>110</v>
      </c>
      <c r="C15" s="18">
        <v>229</v>
      </c>
    </row>
    <row r="16" spans="2:3" ht="12.75">
      <c r="B16" s="17" t="s">
        <v>144</v>
      </c>
      <c r="C16" s="17" t="s">
        <v>78</v>
      </c>
    </row>
    <row r="17" spans="2:3" ht="12.75">
      <c r="B17" s="17" t="s">
        <v>197</v>
      </c>
      <c r="C17" s="17" t="s">
        <v>78</v>
      </c>
    </row>
    <row r="18" ht="12.75">
      <c r="B18" s="17" t="s">
        <v>198</v>
      </c>
    </row>
    <row r="19" spans="2:3" ht="12.75">
      <c r="B19" s="17" t="s">
        <v>7</v>
      </c>
      <c r="C19" s="17" t="s">
        <v>83</v>
      </c>
    </row>
    <row r="20" spans="2:3" ht="12.75">
      <c r="B20" s="17" t="s">
        <v>123</v>
      </c>
      <c r="C20" s="17" t="s">
        <v>95</v>
      </c>
    </row>
    <row r="21" spans="2:3" ht="12.75">
      <c r="B21" s="17" t="s">
        <v>145</v>
      </c>
      <c r="C21" s="17" t="s">
        <v>94</v>
      </c>
    </row>
    <row r="22" spans="2:3" ht="12.75">
      <c r="B22" s="17" t="s">
        <v>124</v>
      </c>
      <c r="C22" s="17" t="s">
        <v>93</v>
      </c>
    </row>
    <row r="24" spans="2:3" ht="12.75">
      <c r="B24" s="17" t="s">
        <v>8</v>
      </c>
      <c r="C24" s="18"/>
    </row>
    <row r="25" spans="2:3" ht="12.75">
      <c r="B25" s="17" t="s">
        <v>9</v>
      </c>
      <c r="C25" s="18">
        <v>5.5</v>
      </c>
    </row>
    <row r="26" spans="2:3" ht="12.75">
      <c r="B26" s="17" t="s">
        <v>10</v>
      </c>
      <c r="C26" s="18">
        <v>52</v>
      </c>
    </row>
    <row r="27" spans="2:3" ht="12.75">
      <c r="B27" s="17" t="s">
        <v>142</v>
      </c>
      <c r="C27" s="19">
        <v>21.2</v>
      </c>
    </row>
    <row r="28" spans="2:3" ht="12.75">
      <c r="B28" s="17" t="s">
        <v>143</v>
      </c>
      <c r="C28" s="18"/>
    </row>
    <row r="30" spans="2:3" ht="12.75">
      <c r="B30" s="17" t="s">
        <v>11</v>
      </c>
      <c r="C30" s="17" t="s">
        <v>125</v>
      </c>
    </row>
    <row r="31" s="73" customFormat="1" ht="25.5">
      <c r="B31" s="73" t="s">
        <v>188</v>
      </c>
    </row>
    <row r="53" ht="12.75">
      <c r="C53" s="20"/>
    </row>
    <row r="57" ht="12.75">
      <c r="C57" s="20"/>
    </row>
    <row r="60" ht="12.75">
      <c r="C60" s="20"/>
    </row>
    <row r="61" ht="12.75">
      <c r="C61" s="2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D10" sqref="D10"/>
    </sheetView>
  </sheetViews>
  <sheetFormatPr defaultColWidth="9.140625" defaultRowHeight="12.75"/>
  <cols>
    <col min="1" max="1" width="9.140625" style="17" hidden="1" customWidth="1"/>
    <col min="2" max="2" width="19.7109375" style="17" customWidth="1"/>
    <col min="3" max="3" width="60.57421875" style="17" customWidth="1"/>
    <col min="4" max="16384" width="9.140625" style="17" customWidth="1"/>
  </cols>
  <sheetData>
    <row r="1" ht="12.75">
      <c r="B1" s="8" t="s">
        <v>195</v>
      </c>
    </row>
    <row r="3" ht="12.75">
      <c r="B3" s="70" t="s">
        <v>126</v>
      </c>
    </row>
    <row r="4" ht="12.75">
      <c r="B4" s="70"/>
    </row>
    <row r="5" spans="2:3" ht="12.75">
      <c r="B5" s="17" t="s">
        <v>12</v>
      </c>
      <c r="C5" s="17" t="s">
        <v>114</v>
      </c>
    </row>
    <row r="6" spans="2:3" ht="12.75">
      <c r="B6" s="17" t="s">
        <v>13</v>
      </c>
      <c r="C6" s="17" t="s">
        <v>66</v>
      </c>
    </row>
    <row r="7" spans="2:3" ht="12.75">
      <c r="B7" s="17" t="s">
        <v>14</v>
      </c>
      <c r="C7" s="17" t="s">
        <v>67</v>
      </c>
    </row>
    <row r="8" spans="2:3" ht="12.75">
      <c r="B8" s="17" t="s">
        <v>115</v>
      </c>
      <c r="C8" s="20" t="s">
        <v>86</v>
      </c>
    </row>
    <row r="9" spans="2:3" ht="12.75">
      <c r="B9" s="17" t="s">
        <v>192</v>
      </c>
      <c r="C9" s="74">
        <v>35977</v>
      </c>
    </row>
    <row r="10" spans="2:3" ht="12.75">
      <c r="B10" s="17" t="s">
        <v>15</v>
      </c>
      <c r="C10" s="17" t="s">
        <v>116</v>
      </c>
    </row>
    <row r="11" spans="2:3" ht="12.75">
      <c r="B11" s="17" t="s">
        <v>16</v>
      </c>
      <c r="C11" s="20" t="s">
        <v>88</v>
      </c>
    </row>
    <row r="12" ht="12.75">
      <c r="C12" s="20"/>
    </row>
    <row r="13" ht="12.75">
      <c r="B13" s="70" t="s">
        <v>127</v>
      </c>
    </row>
    <row r="14" ht="12.75">
      <c r="B14" s="70"/>
    </row>
    <row r="15" spans="2:3" ht="12.75">
      <c r="B15" s="17" t="s">
        <v>12</v>
      </c>
      <c r="C15" s="17" t="s">
        <v>114</v>
      </c>
    </row>
    <row r="16" spans="2:3" ht="12.75">
      <c r="B16" s="17" t="s">
        <v>13</v>
      </c>
      <c r="C16" s="17" t="s">
        <v>66</v>
      </c>
    </row>
    <row r="17" spans="2:3" ht="12.75">
      <c r="B17" s="17" t="s">
        <v>14</v>
      </c>
      <c r="C17" s="17" t="s">
        <v>67</v>
      </c>
    </row>
    <row r="18" spans="2:3" ht="12.75">
      <c r="B18" s="17" t="s">
        <v>115</v>
      </c>
      <c r="C18" s="20">
        <v>35990</v>
      </c>
    </row>
    <row r="19" spans="2:3" ht="12.75">
      <c r="B19" s="17" t="s">
        <v>192</v>
      </c>
      <c r="C19" s="74">
        <v>35977</v>
      </c>
    </row>
    <row r="20" spans="2:3" ht="12.75">
      <c r="B20" s="17" t="s">
        <v>15</v>
      </c>
      <c r="C20" s="20" t="s">
        <v>90</v>
      </c>
    </row>
    <row r="21" spans="2:3" ht="12.75">
      <c r="B21" s="17" t="s">
        <v>16</v>
      </c>
      <c r="C21" s="20" t="s">
        <v>85</v>
      </c>
    </row>
    <row r="22" ht="12.75">
      <c r="C22" s="20"/>
    </row>
    <row r="23" ht="12.75">
      <c r="B23" s="70" t="s">
        <v>128</v>
      </c>
    </row>
    <row r="24" ht="12.75">
      <c r="B24" s="70"/>
    </row>
    <row r="25" spans="2:3" ht="12.75">
      <c r="B25" s="17" t="s">
        <v>12</v>
      </c>
      <c r="C25" s="17" t="s">
        <v>114</v>
      </c>
    </row>
    <row r="26" spans="2:3" ht="12.75">
      <c r="B26" s="17" t="s">
        <v>13</v>
      </c>
      <c r="C26" s="17" t="s">
        <v>66</v>
      </c>
    </row>
    <row r="27" spans="2:3" ht="12.75">
      <c r="B27" s="17" t="s">
        <v>14</v>
      </c>
      <c r="C27" s="17" t="s">
        <v>67</v>
      </c>
    </row>
    <row r="28" spans="2:3" ht="12.75">
      <c r="B28" s="17" t="s">
        <v>115</v>
      </c>
      <c r="C28" s="20" t="s">
        <v>89</v>
      </c>
    </row>
    <row r="29" spans="2:3" ht="12.75">
      <c r="B29" s="17" t="s">
        <v>192</v>
      </c>
      <c r="C29" s="74">
        <v>35827</v>
      </c>
    </row>
    <row r="30" spans="2:3" ht="12.75">
      <c r="B30" s="17" t="s">
        <v>15</v>
      </c>
      <c r="C30" s="17" t="s">
        <v>109</v>
      </c>
    </row>
    <row r="31" spans="2:3" ht="12.75">
      <c r="B31" s="17" t="s">
        <v>16</v>
      </c>
      <c r="C31" s="17" t="s">
        <v>79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B67">
      <selection activeCell="K86" sqref="K86"/>
    </sheetView>
  </sheetViews>
  <sheetFormatPr defaultColWidth="9.140625" defaultRowHeight="12.75"/>
  <cols>
    <col min="1" max="1" width="9.140625" style="22" hidden="1" customWidth="1"/>
    <col min="2" max="2" width="21.140625" style="22" customWidth="1"/>
    <col min="3" max="3" width="6.28125" style="22" customWidth="1"/>
    <col min="4" max="4" width="8.8515625" style="11" customWidth="1"/>
    <col min="5" max="5" width="5.421875" style="11" customWidth="1"/>
    <col min="6" max="6" width="4.00390625" style="11" customWidth="1"/>
    <col min="7" max="7" width="10.00390625" style="22" customWidth="1"/>
    <col min="8" max="8" width="4.8515625" style="22" customWidth="1"/>
    <col min="9" max="9" width="9.7109375" style="23" customWidth="1"/>
    <col min="10" max="10" width="3.7109375" style="22" customWidth="1"/>
    <col min="11" max="11" width="11.00390625" style="22" customWidth="1"/>
    <col min="12" max="12" width="3.7109375" style="22" customWidth="1"/>
    <col min="13" max="13" width="9.57421875" style="22" customWidth="1"/>
    <col min="14" max="14" width="2.140625" style="22" customWidth="1"/>
    <col min="15" max="16384" width="8.8515625" style="22" customWidth="1"/>
  </cols>
  <sheetData>
    <row r="1" spans="2:3" ht="12.75">
      <c r="B1" s="21" t="s">
        <v>96</v>
      </c>
      <c r="C1" s="21"/>
    </row>
    <row r="2" spans="2:12" ht="12.75">
      <c r="B2" s="24"/>
      <c r="C2" s="24"/>
      <c r="G2" s="24"/>
      <c r="H2" s="24"/>
      <c r="I2" s="25"/>
      <c r="J2" s="24"/>
      <c r="K2" s="24"/>
      <c r="L2" s="24"/>
    </row>
    <row r="3" spans="2:12" ht="12.75">
      <c r="B3" s="17"/>
      <c r="C3" s="17" t="s">
        <v>161</v>
      </c>
      <c r="D3" s="11" t="s">
        <v>17</v>
      </c>
      <c r="E3" s="11" t="s">
        <v>113</v>
      </c>
      <c r="G3" s="24"/>
      <c r="H3" s="24"/>
      <c r="I3" s="25"/>
      <c r="J3" s="24"/>
      <c r="K3" s="24"/>
      <c r="L3" s="24"/>
    </row>
    <row r="4" spans="2:12" ht="12.75">
      <c r="B4" s="17"/>
      <c r="C4" s="17"/>
      <c r="G4" s="24"/>
      <c r="H4" s="24"/>
      <c r="I4" s="25"/>
      <c r="J4" s="24"/>
      <c r="K4" s="24"/>
      <c r="L4" s="24"/>
    </row>
    <row r="5" spans="2:12" ht="12.75">
      <c r="B5" s="17"/>
      <c r="C5" s="17"/>
      <c r="G5" s="24"/>
      <c r="H5" s="24"/>
      <c r="I5" s="25"/>
      <c r="J5" s="24"/>
      <c r="K5" s="24"/>
      <c r="L5" s="24"/>
    </row>
    <row r="6" spans="1:13" ht="12.75">
      <c r="A6" s="22">
        <v>1</v>
      </c>
      <c r="B6" s="26" t="s">
        <v>126</v>
      </c>
      <c r="C6" s="26" t="s">
        <v>162</v>
      </c>
      <c r="G6" s="24" t="s">
        <v>189</v>
      </c>
      <c r="H6" s="24"/>
      <c r="I6" s="25" t="s">
        <v>190</v>
      </c>
      <c r="J6" s="24"/>
      <c r="K6" s="24" t="s">
        <v>191</v>
      </c>
      <c r="L6" s="24"/>
      <c r="M6" s="22" t="s">
        <v>53</v>
      </c>
    </row>
    <row r="7" spans="2:12" ht="12.75">
      <c r="B7" s="11"/>
      <c r="C7" s="11"/>
      <c r="D7" s="17"/>
      <c r="E7" s="17"/>
      <c r="F7" s="17"/>
      <c r="G7" s="17"/>
      <c r="H7" s="17"/>
      <c r="I7" s="27"/>
      <c r="J7" s="17"/>
      <c r="K7" s="17"/>
      <c r="L7" s="24"/>
    </row>
    <row r="8" spans="2:13" ht="12.75">
      <c r="B8" s="11" t="s">
        <v>18</v>
      </c>
      <c r="C8" s="11" t="s">
        <v>201</v>
      </c>
      <c r="D8" s="11" t="s">
        <v>19</v>
      </c>
      <c r="E8" s="11" t="s">
        <v>20</v>
      </c>
      <c r="G8" s="17">
        <v>0.013</v>
      </c>
      <c r="H8" s="17"/>
      <c r="I8" s="27">
        <v>0.012</v>
      </c>
      <c r="J8" s="17"/>
      <c r="K8" s="17">
        <v>0.026</v>
      </c>
      <c r="L8" s="24"/>
      <c r="M8" s="28">
        <v>0.017</v>
      </c>
    </row>
    <row r="9" spans="2:13" ht="12.75">
      <c r="B9" s="11" t="s">
        <v>177</v>
      </c>
      <c r="C9" s="11" t="s">
        <v>201</v>
      </c>
      <c r="D9" s="11" t="s">
        <v>21</v>
      </c>
      <c r="E9" s="11" t="s">
        <v>20</v>
      </c>
      <c r="G9" s="29">
        <v>45.55</v>
      </c>
      <c r="H9" s="29"/>
      <c r="I9" s="30">
        <v>13.53</v>
      </c>
      <c r="J9" s="29"/>
      <c r="K9" s="29">
        <v>60.21</v>
      </c>
      <c r="L9" s="24"/>
      <c r="M9" s="31">
        <f>AVERAGE(G9,I9,K9)</f>
        <v>39.76333333333333</v>
      </c>
    </row>
    <row r="10" spans="2:13" ht="12.75">
      <c r="B10" s="11" t="s">
        <v>176</v>
      </c>
      <c r="C10" s="11" t="s">
        <v>201</v>
      </c>
      <c r="D10" s="11" t="s">
        <v>21</v>
      </c>
      <c r="E10" s="11" t="s">
        <v>20</v>
      </c>
      <c r="G10" s="29">
        <v>20.25</v>
      </c>
      <c r="H10" s="29"/>
      <c r="I10" s="30">
        <v>6.8</v>
      </c>
      <c r="J10" s="29"/>
      <c r="K10" s="29">
        <v>29.45</v>
      </c>
      <c r="L10" s="24"/>
      <c r="M10" s="31">
        <f>AVERAGE(G10,I10,K10)</f>
        <v>18.833333333333332</v>
      </c>
    </row>
    <row r="11" spans="2:13" ht="12.75">
      <c r="B11" s="11"/>
      <c r="C11" s="11"/>
      <c r="G11" s="29"/>
      <c r="H11" s="29"/>
      <c r="I11" s="30"/>
      <c r="J11" s="29"/>
      <c r="K11" s="29"/>
      <c r="L11" s="24"/>
      <c r="M11" s="32"/>
    </row>
    <row r="12" spans="2:13" ht="12.75">
      <c r="B12" s="11" t="s">
        <v>117</v>
      </c>
      <c r="C12" s="11" t="s">
        <v>87</v>
      </c>
      <c r="G12" s="29"/>
      <c r="H12" s="29"/>
      <c r="I12" s="30"/>
      <c r="J12" s="29"/>
      <c r="K12" s="29"/>
      <c r="L12" s="24"/>
      <c r="M12" s="32"/>
    </row>
    <row r="13" spans="2:13" ht="12.75">
      <c r="B13" s="22" t="s">
        <v>55</v>
      </c>
      <c r="C13" s="11"/>
      <c r="D13" s="11" t="s">
        <v>222</v>
      </c>
      <c r="E13" s="75"/>
      <c r="G13" s="29">
        <f>G14/(100-G15)*100</f>
        <v>410000.0010351505</v>
      </c>
      <c r="H13" s="29"/>
      <c r="I13" s="29">
        <f>I14/(100-I15)*100</f>
        <v>420000.00106039806</v>
      </c>
      <c r="J13" s="29"/>
      <c r="K13" s="13">
        <f>K14/(100-K15)*100</f>
        <v>500000.00126237865</v>
      </c>
      <c r="L13" s="24"/>
      <c r="M13" s="32"/>
    </row>
    <row r="14" spans="2:13" ht="12.75">
      <c r="B14" s="11" t="s">
        <v>164</v>
      </c>
      <c r="C14" s="11" t="s">
        <v>202</v>
      </c>
      <c r="D14" s="11" t="s">
        <v>222</v>
      </c>
      <c r="E14" s="75"/>
      <c r="G14" s="29">
        <v>0.0082</v>
      </c>
      <c r="H14" s="29"/>
      <c r="I14" s="30">
        <v>0.0084</v>
      </c>
      <c r="J14" s="29"/>
      <c r="K14" s="29">
        <v>0.01</v>
      </c>
      <c r="L14" s="24"/>
      <c r="M14" s="33"/>
    </row>
    <row r="15" spans="2:13" ht="12.75">
      <c r="B15" s="11" t="s">
        <v>68</v>
      </c>
      <c r="C15" s="11" t="s">
        <v>202</v>
      </c>
      <c r="D15" s="11" t="s">
        <v>23</v>
      </c>
      <c r="G15" s="29">
        <v>99.999998</v>
      </c>
      <c r="H15" s="29"/>
      <c r="I15" s="30">
        <v>99.999998</v>
      </c>
      <c r="J15" s="29"/>
      <c r="K15" s="29">
        <v>99.999998</v>
      </c>
      <c r="L15" s="24"/>
      <c r="M15" s="34"/>
    </row>
    <row r="16" spans="2:13" ht="12.75">
      <c r="B16" s="11"/>
      <c r="C16" s="11"/>
      <c r="L16" s="24"/>
      <c r="M16" s="35"/>
    </row>
    <row r="17" spans="2:13" ht="12.75">
      <c r="B17" s="11" t="s">
        <v>179</v>
      </c>
      <c r="C17" s="11" t="s">
        <v>18</v>
      </c>
      <c r="D17" s="11" t="s">
        <v>201</v>
      </c>
      <c r="L17" s="24"/>
      <c r="M17" s="35"/>
    </row>
    <row r="18" spans="2:13" ht="12.75">
      <c r="B18" s="11" t="s">
        <v>149</v>
      </c>
      <c r="C18" s="11"/>
      <c r="D18" s="11" t="s">
        <v>22</v>
      </c>
      <c r="G18" s="29">
        <v>32300</v>
      </c>
      <c r="H18" s="29"/>
      <c r="I18" s="30">
        <v>32900</v>
      </c>
      <c r="J18" s="13"/>
      <c r="K18" s="29">
        <v>32500</v>
      </c>
      <c r="L18" s="24"/>
      <c r="M18" s="32">
        <v>32600</v>
      </c>
    </row>
    <row r="19" spans="2:13" ht="12.75">
      <c r="B19" s="11" t="s">
        <v>165</v>
      </c>
      <c r="C19" s="11"/>
      <c r="D19" s="11" t="s">
        <v>23</v>
      </c>
      <c r="G19" s="29">
        <v>5.2</v>
      </c>
      <c r="H19" s="29"/>
      <c r="I19" s="30">
        <v>5.1</v>
      </c>
      <c r="J19" s="29"/>
      <c r="K19" s="29">
        <v>5</v>
      </c>
      <c r="M19" s="31">
        <v>5.1</v>
      </c>
    </row>
    <row r="20" spans="2:13" ht="12.75">
      <c r="B20" s="11" t="s">
        <v>166</v>
      </c>
      <c r="C20" s="11"/>
      <c r="D20" s="11" t="s">
        <v>23</v>
      </c>
      <c r="G20" s="29"/>
      <c r="H20" s="29"/>
      <c r="I20" s="30"/>
      <c r="J20" s="29"/>
      <c r="K20" s="29"/>
      <c r="M20" s="35"/>
    </row>
    <row r="21" spans="2:13" ht="12.75">
      <c r="B21" s="11" t="s">
        <v>148</v>
      </c>
      <c r="C21" s="11"/>
      <c r="D21" s="11" t="s">
        <v>24</v>
      </c>
      <c r="G21" s="29"/>
      <c r="H21" s="29"/>
      <c r="I21" s="30"/>
      <c r="J21" s="29"/>
      <c r="K21" s="29"/>
      <c r="M21" s="35"/>
    </row>
    <row r="22" spans="2:13" ht="11.25" customHeight="1">
      <c r="B22" s="11"/>
      <c r="C22" s="11"/>
      <c r="G22" s="29"/>
      <c r="H22" s="29"/>
      <c r="I22" s="30"/>
      <c r="J22" s="29"/>
      <c r="K22" s="29"/>
      <c r="M22" s="35"/>
    </row>
    <row r="23" spans="2:13" ht="12.75" customHeight="1">
      <c r="B23" s="11" t="s">
        <v>179</v>
      </c>
      <c r="C23" s="11" t="s">
        <v>68</v>
      </c>
      <c r="D23" s="11" t="s">
        <v>202</v>
      </c>
      <c r="G23" s="29"/>
      <c r="H23" s="29"/>
      <c r="I23" s="30"/>
      <c r="J23" s="29"/>
      <c r="K23" s="29"/>
      <c r="M23" s="35"/>
    </row>
    <row r="24" spans="2:13" ht="11.25" customHeight="1">
      <c r="B24" s="11" t="s">
        <v>149</v>
      </c>
      <c r="C24" s="11"/>
      <c r="D24" s="11" t="s">
        <v>22</v>
      </c>
      <c r="G24" s="29">
        <v>33000</v>
      </c>
      <c r="H24" s="29"/>
      <c r="I24" s="30">
        <v>32200</v>
      </c>
      <c r="J24" s="29"/>
      <c r="K24" s="29">
        <v>32800</v>
      </c>
      <c r="M24" s="32">
        <v>32700</v>
      </c>
    </row>
    <row r="25" spans="2:13" ht="12.75">
      <c r="B25" s="11" t="s">
        <v>165</v>
      </c>
      <c r="C25" s="11"/>
      <c r="D25" s="11" t="s">
        <v>23</v>
      </c>
      <c r="G25" s="29"/>
      <c r="H25" s="29"/>
      <c r="I25" s="30"/>
      <c r="J25" s="29"/>
      <c r="K25" s="29"/>
      <c r="M25" s="35"/>
    </row>
    <row r="26" spans="2:13" ht="12.75">
      <c r="B26" s="11" t="s">
        <v>166</v>
      </c>
      <c r="C26" s="11"/>
      <c r="D26" s="11" t="s">
        <v>23</v>
      </c>
      <c r="G26" s="29"/>
      <c r="H26" s="29"/>
      <c r="I26" s="30"/>
      <c r="J26" s="29"/>
      <c r="K26" s="29"/>
      <c r="M26" s="35"/>
    </row>
    <row r="27" spans="2:13" ht="12.75">
      <c r="B27" s="11" t="s">
        <v>148</v>
      </c>
      <c r="C27" s="11"/>
      <c r="D27" s="11" t="s">
        <v>24</v>
      </c>
      <c r="G27" s="29"/>
      <c r="H27" s="29"/>
      <c r="I27" s="30"/>
      <c r="J27" s="29"/>
      <c r="K27" s="29"/>
      <c r="M27" s="35"/>
    </row>
    <row r="28" spans="2:13" ht="12.75">
      <c r="B28" s="11"/>
      <c r="C28" s="11"/>
      <c r="G28" s="29"/>
      <c r="H28" s="29"/>
      <c r="I28" s="30"/>
      <c r="J28" s="29"/>
      <c r="K28" s="29"/>
      <c r="M28" s="35"/>
    </row>
    <row r="29" spans="2:13" ht="13.5" customHeight="1">
      <c r="B29" s="11"/>
      <c r="C29" s="11"/>
      <c r="G29" s="29"/>
      <c r="H29" s="29"/>
      <c r="I29" s="30"/>
      <c r="J29" s="29"/>
      <c r="K29" s="29"/>
      <c r="M29" s="35"/>
    </row>
    <row r="30" spans="1:13" ht="12.75">
      <c r="A30" s="22">
        <v>2</v>
      </c>
      <c r="B30" s="26" t="s">
        <v>127</v>
      </c>
      <c r="C30" s="26" t="s">
        <v>162</v>
      </c>
      <c r="G30" s="24" t="s">
        <v>189</v>
      </c>
      <c r="H30" s="24"/>
      <c r="I30" s="25" t="s">
        <v>190</v>
      </c>
      <c r="J30" s="24"/>
      <c r="K30" s="24" t="s">
        <v>191</v>
      </c>
      <c r="L30" s="24"/>
      <c r="M30" s="22" t="s">
        <v>53</v>
      </c>
    </row>
    <row r="31" spans="2:13" ht="12.75">
      <c r="B31" s="11"/>
      <c r="C31" s="11"/>
      <c r="G31" s="29"/>
      <c r="H31" s="29"/>
      <c r="I31" s="30"/>
      <c r="J31" s="29"/>
      <c r="K31" s="29"/>
      <c r="M31" s="35"/>
    </row>
    <row r="32" spans="2:13" ht="12.75">
      <c r="B32" s="11" t="s">
        <v>177</v>
      </c>
      <c r="C32" s="11" t="s">
        <v>201</v>
      </c>
      <c r="D32" s="11" t="s">
        <v>21</v>
      </c>
      <c r="E32" s="11" t="s">
        <v>20</v>
      </c>
      <c r="G32" s="17">
        <v>26.87</v>
      </c>
      <c r="H32" s="17"/>
      <c r="I32" s="27">
        <v>15.75</v>
      </c>
      <c r="J32" s="17"/>
      <c r="K32" s="17">
        <v>26.83</v>
      </c>
      <c r="M32" s="31">
        <f>AVERAGE(G32,I32,K32)</f>
        <v>23.150000000000002</v>
      </c>
    </row>
    <row r="33" spans="2:13" ht="12.75">
      <c r="B33" s="11" t="s">
        <v>176</v>
      </c>
      <c r="C33" s="11" t="s">
        <v>201</v>
      </c>
      <c r="D33" s="11" t="s">
        <v>21</v>
      </c>
      <c r="E33" s="11" t="s">
        <v>20</v>
      </c>
      <c r="G33" s="17">
        <v>17.99</v>
      </c>
      <c r="H33" s="17"/>
      <c r="I33" s="27">
        <v>14.58</v>
      </c>
      <c r="J33" s="17"/>
      <c r="K33" s="17">
        <v>19.91</v>
      </c>
      <c r="M33" s="31">
        <f>AVERAGE(G33,I33,K33)</f>
        <v>17.493333333333336</v>
      </c>
    </row>
    <row r="34" spans="2:13" ht="12.75">
      <c r="B34" s="11"/>
      <c r="C34" s="11"/>
      <c r="G34" s="29"/>
      <c r="H34" s="29"/>
      <c r="I34" s="30"/>
      <c r="J34" s="29"/>
      <c r="K34" s="29"/>
      <c r="M34" s="35"/>
    </row>
    <row r="35" spans="2:13" ht="12.75">
      <c r="B35" s="11" t="s">
        <v>117</v>
      </c>
      <c r="C35" s="11" t="s">
        <v>87</v>
      </c>
      <c r="G35" s="29"/>
      <c r="H35" s="29"/>
      <c r="I35" s="30"/>
      <c r="J35" s="29"/>
      <c r="K35" s="29"/>
      <c r="M35" s="35"/>
    </row>
    <row r="36" spans="2:13" ht="12.75">
      <c r="B36" s="22" t="s">
        <v>55</v>
      </c>
      <c r="C36" s="11"/>
      <c r="D36" s="75" t="s">
        <v>223</v>
      </c>
      <c r="G36" s="29">
        <f>G37/(100-G38)*100</f>
        <v>199999.99979440874</v>
      </c>
      <c r="H36" s="29"/>
      <c r="I36" s="29">
        <f>I37/(100-I38)*100</f>
        <v>199999.99955756115</v>
      </c>
      <c r="J36" s="29"/>
      <c r="K36" s="13">
        <f>K37/(100-K38)*100</f>
        <v>197499.99979697863</v>
      </c>
      <c r="M36" s="35"/>
    </row>
    <row r="37" spans="2:13" ht="12.75">
      <c r="B37" s="11" t="s">
        <v>164</v>
      </c>
      <c r="C37" s="11" t="s">
        <v>201</v>
      </c>
      <c r="D37" s="75" t="s">
        <v>223</v>
      </c>
      <c r="G37" s="36">
        <v>0.008</v>
      </c>
      <c r="H37" s="36"/>
      <c r="I37" s="36">
        <v>0.006</v>
      </c>
      <c r="J37" s="36"/>
      <c r="K37" s="36">
        <v>0.0079</v>
      </c>
      <c r="L37" s="37"/>
      <c r="M37" s="33"/>
    </row>
    <row r="38" spans="2:13" ht="12.75">
      <c r="B38" s="11" t="s">
        <v>68</v>
      </c>
      <c r="C38" s="11" t="s">
        <v>201</v>
      </c>
      <c r="D38" s="11" t="s">
        <v>23</v>
      </c>
      <c r="G38" s="29">
        <v>99.999996</v>
      </c>
      <c r="H38" s="29"/>
      <c r="I38" s="30">
        <v>99.999997</v>
      </c>
      <c r="J38" s="29"/>
      <c r="K38" s="29">
        <v>99.999996</v>
      </c>
      <c r="L38" s="24"/>
      <c r="M38" s="34"/>
    </row>
    <row r="39" spans="2:13" ht="12.75">
      <c r="B39" s="11"/>
      <c r="C39" s="11"/>
      <c r="G39" s="29"/>
      <c r="H39" s="29"/>
      <c r="I39" s="30"/>
      <c r="J39" s="29"/>
      <c r="K39" s="29"/>
      <c r="M39" s="35"/>
    </row>
    <row r="40" spans="2:13" ht="12.75">
      <c r="B40" s="11" t="s">
        <v>179</v>
      </c>
      <c r="C40" s="11" t="s">
        <v>68</v>
      </c>
      <c r="D40" s="11" t="s">
        <v>201</v>
      </c>
      <c r="G40" s="29"/>
      <c r="H40" s="29"/>
      <c r="I40" s="30"/>
      <c r="J40" s="29"/>
      <c r="K40" s="29"/>
      <c r="M40" s="35"/>
    </row>
    <row r="41" spans="2:13" ht="12.75">
      <c r="B41" s="11" t="s">
        <v>149</v>
      </c>
      <c r="C41" s="11"/>
      <c r="D41" s="11" t="s">
        <v>22</v>
      </c>
      <c r="G41" s="29">
        <v>32400</v>
      </c>
      <c r="H41" s="29"/>
      <c r="I41" s="30">
        <v>32200</v>
      </c>
      <c r="J41" s="29"/>
      <c r="K41" s="29">
        <v>33200</v>
      </c>
      <c r="M41" s="31">
        <v>32600</v>
      </c>
    </row>
    <row r="42" spans="2:13" ht="12.75">
      <c r="B42" s="11" t="s">
        <v>165</v>
      </c>
      <c r="C42" s="11"/>
      <c r="D42" s="11" t="s">
        <v>23</v>
      </c>
      <c r="G42" s="29"/>
      <c r="H42" s="29"/>
      <c r="I42" s="30"/>
      <c r="J42" s="29"/>
      <c r="K42" s="29"/>
      <c r="M42" s="31"/>
    </row>
    <row r="43" spans="2:13" ht="12.75">
      <c r="B43" s="11" t="s">
        <v>166</v>
      </c>
      <c r="C43" s="11"/>
      <c r="D43" s="11" t="s">
        <v>23</v>
      </c>
      <c r="G43" s="29"/>
      <c r="H43" s="29"/>
      <c r="I43" s="30"/>
      <c r="J43" s="29"/>
      <c r="K43" s="29"/>
      <c r="M43" s="31"/>
    </row>
    <row r="44" spans="2:13" ht="12.75">
      <c r="B44" s="11" t="s">
        <v>148</v>
      </c>
      <c r="C44" s="11"/>
      <c r="D44" s="11" t="s">
        <v>24</v>
      </c>
      <c r="G44" s="29"/>
      <c r="H44" s="29"/>
      <c r="I44" s="30"/>
      <c r="J44" s="29"/>
      <c r="K44" s="29"/>
      <c r="M44" s="31"/>
    </row>
    <row r="45" spans="2:13" ht="12.75">
      <c r="B45" s="11"/>
      <c r="C45" s="11"/>
      <c r="G45" s="29"/>
      <c r="H45" s="29"/>
      <c r="I45" s="30"/>
      <c r="J45" s="29"/>
      <c r="K45" s="29"/>
      <c r="M45" s="31"/>
    </row>
    <row r="46" spans="2:13" ht="12.75">
      <c r="B46" s="11"/>
      <c r="C46" s="11"/>
      <c r="G46" s="29"/>
      <c r="H46" s="29"/>
      <c r="I46" s="30"/>
      <c r="J46" s="29"/>
      <c r="K46" s="29"/>
      <c r="M46" s="35"/>
    </row>
    <row r="47" spans="1:13" ht="12.75">
      <c r="A47" s="22">
        <v>3</v>
      </c>
      <c r="B47" s="26" t="s">
        <v>128</v>
      </c>
      <c r="C47" s="26" t="s">
        <v>163</v>
      </c>
      <c r="G47" s="24" t="s">
        <v>189</v>
      </c>
      <c r="H47" s="24"/>
      <c r="I47" s="25" t="s">
        <v>190</v>
      </c>
      <c r="J47" s="24"/>
      <c r="K47" s="24" t="s">
        <v>191</v>
      </c>
      <c r="L47" s="24"/>
      <c r="M47" s="22" t="s">
        <v>53</v>
      </c>
    </row>
    <row r="48" spans="2:13" ht="12.75">
      <c r="B48" s="11"/>
      <c r="C48" s="11"/>
      <c r="D48" s="17"/>
      <c r="E48" s="17"/>
      <c r="F48" s="17"/>
      <c r="G48" s="17"/>
      <c r="H48" s="17"/>
      <c r="I48" s="27"/>
      <c r="J48" s="17"/>
      <c r="K48" s="17"/>
      <c r="L48" s="24"/>
      <c r="M48" s="35"/>
    </row>
    <row r="49" spans="2:13" ht="12.75">
      <c r="B49" s="11" t="s">
        <v>177</v>
      </c>
      <c r="C49" s="11" t="s">
        <v>201</v>
      </c>
      <c r="D49" s="11" t="s">
        <v>21</v>
      </c>
      <c r="E49" s="11" t="s">
        <v>20</v>
      </c>
      <c r="G49" s="29">
        <v>6.8</v>
      </c>
      <c r="H49" s="29"/>
      <c r="I49" s="30">
        <v>6.7</v>
      </c>
      <c r="J49" s="29"/>
      <c r="K49" s="29">
        <v>6.78</v>
      </c>
      <c r="L49" s="24"/>
      <c r="M49" s="35">
        <f>AVERAGE(G49,I49,K49)</f>
        <v>6.760000000000001</v>
      </c>
    </row>
    <row r="50" spans="2:13" ht="12.75">
      <c r="B50" s="11" t="s">
        <v>176</v>
      </c>
      <c r="C50" s="11" t="s">
        <v>201</v>
      </c>
      <c r="D50" s="11" t="s">
        <v>21</v>
      </c>
      <c r="E50" s="11" t="s">
        <v>20</v>
      </c>
      <c r="G50" s="29">
        <v>6.64</v>
      </c>
      <c r="H50" s="29"/>
      <c r="I50" s="30">
        <v>6.5</v>
      </c>
      <c r="J50" s="29"/>
      <c r="K50" s="29">
        <v>6.68</v>
      </c>
      <c r="L50" s="24"/>
      <c r="M50" s="35">
        <f>AVERAGE(G50,I50,K50)</f>
        <v>6.6066666666666665</v>
      </c>
    </row>
    <row r="51" spans="2:13" ht="12.75">
      <c r="B51" s="11" t="s">
        <v>150</v>
      </c>
      <c r="C51" s="11"/>
      <c r="D51" s="11" t="s">
        <v>146</v>
      </c>
      <c r="F51" s="11" t="s">
        <v>34</v>
      </c>
      <c r="G51" s="29">
        <v>0.0052</v>
      </c>
      <c r="H51" s="29" t="s">
        <v>34</v>
      </c>
      <c r="I51" s="30">
        <v>0.0056</v>
      </c>
      <c r="J51" s="29" t="s">
        <v>34</v>
      </c>
      <c r="K51" s="29">
        <v>0.0057</v>
      </c>
      <c r="L51" s="29"/>
      <c r="M51" s="33"/>
    </row>
    <row r="52" spans="2:13" ht="12.75">
      <c r="B52" s="11" t="s">
        <v>151</v>
      </c>
      <c r="C52" s="11"/>
      <c r="D52" s="11" t="s">
        <v>146</v>
      </c>
      <c r="F52" s="11" t="s">
        <v>34</v>
      </c>
      <c r="G52" s="22">
        <v>0.011</v>
      </c>
      <c r="H52" s="29" t="s">
        <v>34</v>
      </c>
      <c r="I52" s="30">
        <v>0.0092</v>
      </c>
      <c r="J52" s="29" t="s">
        <v>34</v>
      </c>
      <c r="K52" s="29">
        <v>0.013</v>
      </c>
      <c r="L52" s="29"/>
      <c r="M52" s="28"/>
    </row>
    <row r="53" spans="2:13" ht="12.75">
      <c r="B53" s="11" t="s">
        <v>152</v>
      </c>
      <c r="C53" s="11"/>
      <c r="D53" s="11" t="s">
        <v>146</v>
      </c>
      <c r="G53" s="13">
        <v>0</v>
      </c>
      <c r="I53" s="23">
        <v>0</v>
      </c>
      <c r="K53" s="22">
        <v>0.158</v>
      </c>
      <c r="M53" s="33"/>
    </row>
    <row r="54" spans="2:13" ht="12.75">
      <c r="B54" s="11" t="s">
        <v>153</v>
      </c>
      <c r="C54" s="11"/>
      <c r="D54" s="11" t="s">
        <v>146</v>
      </c>
      <c r="F54" s="11" t="s">
        <v>34</v>
      </c>
      <c r="G54" s="38">
        <v>0.00063</v>
      </c>
      <c r="H54" s="29" t="s">
        <v>34</v>
      </c>
      <c r="I54" s="30">
        <v>0.00069</v>
      </c>
      <c r="J54" s="29" t="s">
        <v>34</v>
      </c>
      <c r="K54" s="29">
        <v>0.0007</v>
      </c>
      <c r="L54" s="29"/>
      <c r="M54" s="32"/>
    </row>
    <row r="55" spans="2:13" ht="12.75">
      <c r="B55" s="11" t="s">
        <v>154</v>
      </c>
      <c r="C55" s="11"/>
      <c r="D55" s="11" t="s">
        <v>146</v>
      </c>
      <c r="F55" s="11" t="s">
        <v>34</v>
      </c>
      <c r="G55" s="36">
        <v>0.0034</v>
      </c>
      <c r="H55" s="29" t="s">
        <v>34</v>
      </c>
      <c r="I55" s="30">
        <v>0.0037</v>
      </c>
      <c r="J55" s="29" t="s">
        <v>34</v>
      </c>
      <c r="K55" s="29">
        <v>0.0076</v>
      </c>
      <c r="L55" s="29"/>
      <c r="M55" s="35"/>
    </row>
    <row r="56" spans="2:13" ht="12.75">
      <c r="B56" s="11" t="s">
        <v>178</v>
      </c>
      <c r="C56" s="11"/>
      <c r="D56" s="11" t="s">
        <v>146</v>
      </c>
      <c r="G56" s="39">
        <v>0.177</v>
      </c>
      <c r="H56" s="29"/>
      <c r="I56" s="30">
        <v>0.211</v>
      </c>
      <c r="J56" s="29"/>
      <c r="K56" s="29">
        <v>0.223</v>
      </c>
      <c r="L56" s="29"/>
      <c r="M56" s="35"/>
    </row>
    <row r="57" spans="2:13" ht="12.75">
      <c r="B57" s="11" t="s">
        <v>171</v>
      </c>
      <c r="C57" s="11"/>
      <c r="D57" s="11" t="s">
        <v>146</v>
      </c>
      <c r="F57" s="11" t="s">
        <v>34</v>
      </c>
      <c r="G57" s="39">
        <v>0.014</v>
      </c>
      <c r="H57" s="29" t="s">
        <v>34</v>
      </c>
      <c r="I57" s="30">
        <v>0.021</v>
      </c>
      <c r="J57" s="29" t="s">
        <v>34</v>
      </c>
      <c r="K57" s="29">
        <v>0.016</v>
      </c>
      <c r="L57" s="29"/>
      <c r="M57" s="28"/>
    </row>
    <row r="58" spans="2:13" ht="12.75">
      <c r="B58" s="11" t="s">
        <v>172</v>
      </c>
      <c r="C58" s="11"/>
      <c r="D58" s="11" t="s">
        <v>146</v>
      </c>
      <c r="G58" s="13">
        <v>0</v>
      </c>
      <c r="H58" s="29"/>
      <c r="I58" s="30">
        <v>0</v>
      </c>
      <c r="J58" s="29"/>
      <c r="K58" s="29">
        <v>0</v>
      </c>
      <c r="L58" s="29"/>
      <c r="M58" s="32"/>
    </row>
    <row r="59" spans="2:13" ht="12.75">
      <c r="B59" s="11" t="s">
        <v>155</v>
      </c>
      <c r="C59" s="11"/>
      <c r="D59" s="11" t="s">
        <v>146</v>
      </c>
      <c r="F59" s="11" t="s">
        <v>34</v>
      </c>
      <c r="G59" s="36">
        <v>0.0085</v>
      </c>
      <c r="H59" s="29" t="s">
        <v>34</v>
      </c>
      <c r="I59" s="30">
        <v>0.019</v>
      </c>
      <c r="J59" s="29" t="s">
        <v>34</v>
      </c>
      <c r="K59" s="29">
        <v>0.031</v>
      </c>
      <c r="L59" s="29"/>
      <c r="M59" s="33"/>
    </row>
    <row r="60" spans="2:13" ht="12.75">
      <c r="B60" s="11" t="s">
        <v>173</v>
      </c>
      <c r="C60" s="11"/>
      <c r="D60" s="11" t="s">
        <v>146</v>
      </c>
      <c r="G60" s="39">
        <v>0.168</v>
      </c>
      <c r="H60" s="29"/>
      <c r="I60" s="30">
        <v>0.106</v>
      </c>
      <c r="J60" s="29"/>
      <c r="K60" s="29">
        <v>0.0189</v>
      </c>
      <c r="L60" s="29"/>
      <c r="M60" s="28"/>
    </row>
    <row r="61" spans="2:13" ht="12.75">
      <c r="B61" s="11" t="s">
        <v>156</v>
      </c>
      <c r="C61" s="11"/>
      <c r="D61" s="11" t="s">
        <v>146</v>
      </c>
      <c r="F61" s="11" t="s">
        <v>34</v>
      </c>
      <c r="G61" s="36">
        <v>0.0019</v>
      </c>
      <c r="H61" s="29" t="s">
        <v>34</v>
      </c>
      <c r="I61" s="30">
        <v>0.0021</v>
      </c>
      <c r="J61" s="29" t="s">
        <v>34</v>
      </c>
      <c r="K61" s="29">
        <v>0.6</v>
      </c>
      <c r="L61" s="29"/>
      <c r="M61" s="35"/>
    </row>
    <row r="62" spans="2:13" ht="12.75">
      <c r="B62" s="11" t="s">
        <v>174</v>
      </c>
      <c r="C62" s="11"/>
      <c r="D62" s="11" t="s">
        <v>146</v>
      </c>
      <c r="F62" s="11" t="s">
        <v>34</v>
      </c>
      <c r="G62" s="39">
        <v>0.14</v>
      </c>
      <c r="H62" s="29" t="s">
        <v>34</v>
      </c>
      <c r="I62" s="30">
        <v>0.14</v>
      </c>
      <c r="J62" s="29" t="s">
        <v>34</v>
      </c>
      <c r="K62" s="29">
        <v>0.14</v>
      </c>
      <c r="L62" s="29"/>
      <c r="M62" s="35"/>
    </row>
    <row r="63" spans="2:13" ht="12.75">
      <c r="B63" s="11" t="s">
        <v>157</v>
      </c>
      <c r="C63" s="11"/>
      <c r="D63" s="11" t="s">
        <v>146</v>
      </c>
      <c r="F63" s="11" t="s">
        <v>34</v>
      </c>
      <c r="G63" s="39">
        <v>0.021</v>
      </c>
      <c r="H63" s="29" t="s">
        <v>34</v>
      </c>
      <c r="I63" s="30">
        <v>0.023</v>
      </c>
      <c r="J63" s="29" t="s">
        <v>34</v>
      </c>
      <c r="K63" s="29">
        <v>0.023</v>
      </c>
      <c r="L63" s="29"/>
      <c r="M63" s="28"/>
    </row>
    <row r="64" spans="2:13" ht="12.75">
      <c r="B64" s="11" t="s">
        <v>158</v>
      </c>
      <c r="C64" s="11"/>
      <c r="D64" s="11" t="s">
        <v>146</v>
      </c>
      <c r="F64" s="11" t="s">
        <v>34</v>
      </c>
      <c r="G64" s="36">
        <v>0.0091</v>
      </c>
      <c r="H64" s="29" t="s">
        <v>34</v>
      </c>
      <c r="I64" s="30">
        <v>0.015</v>
      </c>
      <c r="J64" s="29" t="s">
        <v>34</v>
      </c>
      <c r="K64" s="29">
        <v>0.01</v>
      </c>
      <c r="L64" s="29"/>
      <c r="M64" s="28"/>
    </row>
    <row r="65" spans="2:13" ht="12.75">
      <c r="B65" s="11" t="s">
        <v>159</v>
      </c>
      <c r="C65" s="11"/>
      <c r="D65" s="11" t="s">
        <v>146</v>
      </c>
      <c r="F65" s="11" t="s">
        <v>34</v>
      </c>
      <c r="G65" s="36">
        <v>0.0012</v>
      </c>
      <c r="H65" s="29" t="s">
        <v>34</v>
      </c>
      <c r="I65" s="30">
        <v>0.0028</v>
      </c>
      <c r="J65" s="29" t="s">
        <v>34</v>
      </c>
      <c r="K65" s="29">
        <v>0.0014</v>
      </c>
      <c r="L65" s="29"/>
      <c r="M65" s="28"/>
    </row>
    <row r="66" spans="2:13" ht="12.75">
      <c r="B66" s="11" t="s">
        <v>160</v>
      </c>
      <c r="C66" s="11"/>
      <c r="D66" s="11" t="s">
        <v>146</v>
      </c>
      <c r="F66" s="11" t="s">
        <v>34</v>
      </c>
      <c r="G66" s="22">
        <v>0.0079</v>
      </c>
      <c r="H66" s="22" t="s">
        <v>34</v>
      </c>
      <c r="I66" s="30">
        <v>0.0086</v>
      </c>
      <c r="J66" s="22" t="s">
        <v>34</v>
      </c>
      <c r="K66" s="22">
        <v>0.0088</v>
      </c>
      <c r="M66" s="28"/>
    </row>
    <row r="67" spans="2:13" ht="12.75">
      <c r="B67" s="11" t="s">
        <v>175</v>
      </c>
      <c r="C67" s="11"/>
      <c r="D67" s="11" t="s">
        <v>146</v>
      </c>
      <c r="F67" s="11" t="s">
        <v>34</v>
      </c>
      <c r="G67" s="36">
        <v>0.0074</v>
      </c>
      <c r="H67" s="24" t="s">
        <v>34</v>
      </c>
      <c r="I67" s="23">
        <v>0.008</v>
      </c>
      <c r="J67" s="24" t="s">
        <v>34</v>
      </c>
      <c r="K67" s="29">
        <v>0.0082</v>
      </c>
      <c r="L67" s="24"/>
      <c r="M67" s="28"/>
    </row>
    <row r="68" spans="2:13" ht="12.75">
      <c r="B68" s="11"/>
      <c r="C68" s="11"/>
      <c r="G68" s="36"/>
      <c r="H68" s="24"/>
      <c r="J68" s="24"/>
      <c r="K68" s="29"/>
      <c r="L68" s="24"/>
      <c r="M68" s="28"/>
    </row>
    <row r="69" spans="2:13" ht="12.75">
      <c r="B69" s="11" t="s">
        <v>150</v>
      </c>
      <c r="C69" s="11" t="s">
        <v>201</v>
      </c>
      <c r="D69" s="11" t="s">
        <v>100</v>
      </c>
      <c r="E69" s="11" t="s">
        <v>20</v>
      </c>
      <c r="F69" s="11" t="s">
        <v>34</v>
      </c>
      <c r="G69" s="12">
        <f>(G51*(14/(21-G$97)))/0.0283</f>
        <v>0.18374558303886926</v>
      </c>
      <c r="H69" s="29" t="s">
        <v>34</v>
      </c>
      <c r="I69" s="12">
        <f>(I51*(14/(21-I$97)))/0.0283</f>
        <v>0.19509281839446574</v>
      </c>
      <c r="J69" s="29" t="s">
        <v>34</v>
      </c>
      <c r="K69" s="12">
        <f>(K51*(14/(21-K$97)))/0.0283</f>
        <v>0.1931361634154606</v>
      </c>
      <c r="L69" s="29">
        <v>100</v>
      </c>
      <c r="M69" s="12">
        <f>AVERAGE(K69,I69,G69)</f>
        <v>0.19065818828293188</v>
      </c>
    </row>
    <row r="70" spans="2:13" ht="12.75">
      <c r="B70" s="11" t="s">
        <v>151</v>
      </c>
      <c r="C70" s="11" t="s">
        <v>201</v>
      </c>
      <c r="D70" s="11" t="s">
        <v>100</v>
      </c>
      <c r="E70" s="11" t="s">
        <v>20</v>
      </c>
      <c r="F70" s="11" t="s">
        <v>34</v>
      </c>
      <c r="G70" s="12">
        <f aca="true" t="shared" si="0" ref="G70:G85">(G52*(14/(21-G$97)))/0.0283</f>
        <v>0.38869257950530034</v>
      </c>
      <c r="H70" s="29" t="s">
        <v>34</v>
      </c>
      <c r="I70" s="12">
        <f aca="true" t="shared" si="1" ref="I70:I85">(I52*(14/(21-I$97)))/0.0283</f>
        <v>0.3205096302194794</v>
      </c>
      <c r="J70" s="29" t="s">
        <v>34</v>
      </c>
      <c r="K70" s="12">
        <f aca="true" t="shared" si="2" ref="K70:K85">(K52*(14/(21-K$97)))/0.0283</f>
        <v>0.4404859867370154</v>
      </c>
      <c r="L70" s="29">
        <v>100</v>
      </c>
      <c r="M70" s="12">
        <f aca="true" t="shared" si="3" ref="M70:M87">AVERAGE(K70,I70,G70)</f>
        <v>0.38322939882059837</v>
      </c>
    </row>
    <row r="71" spans="2:13" ht="12.75">
      <c r="B71" s="11" t="s">
        <v>152</v>
      </c>
      <c r="C71" s="11" t="s">
        <v>201</v>
      </c>
      <c r="D71" s="11" t="s">
        <v>100</v>
      </c>
      <c r="E71" s="11" t="s">
        <v>20</v>
      </c>
      <c r="G71" s="13">
        <f t="shared" si="0"/>
        <v>0</v>
      </c>
      <c r="I71" s="13">
        <f t="shared" si="1"/>
        <v>0</v>
      </c>
      <c r="K71" s="12">
        <f t="shared" si="2"/>
        <v>5.353598915726803</v>
      </c>
      <c r="M71" s="12">
        <f t="shared" si="3"/>
        <v>1.7845329719089342</v>
      </c>
    </row>
    <row r="72" spans="2:13" ht="12.75">
      <c r="B72" s="11" t="s">
        <v>153</v>
      </c>
      <c r="C72" s="11" t="s">
        <v>201</v>
      </c>
      <c r="D72" s="11" t="s">
        <v>100</v>
      </c>
      <c r="E72" s="11" t="s">
        <v>20</v>
      </c>
      <c r="F72" s="11" t="s">
        <v>34</v>
      </c>
      <c r="G72" s="12">
        <f t="shared" si="0"/>
        <v>0.02226148409893993</v>
      </c>
      <c r="H72" s="29" t="s">
        <v>34</v>
      </c>
      <c r="I72" s="12">
        <f t="shared" si="1"/>
        <v>0.024038222266460955</v>
      </c>
      <c r="J72" s="29" t="s">
        <v>34</v>
      </c>
      <c r="K72" s="12">
        <f t="shared" si="2"/>
        <v>0.023718476208916213</v>
      </c>
      <c r="L72" s="29">
        <v>100</v>
      </c>
      <c r="M72" s="12">
        <f t="shared" si="3"/>
        <v>0.023339394191439034</v>
      </c>
    </row>
    <row r="73" spans="2:13" ht="12.75">
      <c r="B73" s="11" t="s">
        <v>154</v>
      </c>
      <c r="C73" s="11" t="s">
        <v>201</v>
      </c>
      <c r="D73" s="11" t="s">
        <v>100</v>
      </c>
      <c r="E73" s="11" t="s">
        <v>20</v>
      </c>
      <c r="F73" s="11" t="s">
        <v>34</v>
      </c>
      <c r="G73" s="12">
        <f t="shared" si="0"/>
        <v>0.12014134275618374</v>
      </c>
      <c r="H73" s="29" t="s">
        <v>34</v>
      </c>
      <c r="I73" s="12">
        <f t="shared" si="1"/>
        <v>0.1289006121534863</v>
      </c>
      <c r="J73" s="29" t="s">
        <v>34</v>
      </c>
      <c r="K73" s="12">
        <f t="shared" si="2"/>
        <v>0.25751488455394744</v>
      </c>
      <c r="L73" s="29">
        <v>100</v>
      </c>
      <c r="M73" s="12">
        <f t="shared" si="3"/>
        <v>0.16885227982120585</v>
      </c>
    </row>
    <row r="74" spans="2:13" ht="12.75">
      <c r="B74" s="11" t="s">
        <v>178</v>
      </c>
      <c r="C74" s="11" t="s">
        <v>201</v>
      </c>
      <c r="D74" s="11" t="s">
        <v>100</v>
      </c>
      <c r="E74" s="11" t="s">
        <v>20</v>
      </c>
      <c r="G74" s="12">
        <f t="shared" si="0"/>
        <v>6.254416961130742</v>
      </c>
      <c r="H74" s="29"/>
      <c r="I74" s="12">
        <f t="shared" si="1"/>
        <v>7.350818693077191</v>
      </c>
      <c r="J74" s="29"/>
      <c r="K74" s="12">
        <f t="shared" si="2"/>
        <v>7.55602884941188</v>
      </c>
      <c r="L74" s="29"/>
      <c r="M74" s="12">
        <f t="shared" si="3"/>
        <v>7.053754834539937</v>
      </c>
    </row>
    <row r="75" spans="2:13" ht="12.75">
      <c r="B75" s="11" t="s">
        <v>171</v>
      </c>
      <c r="C75" s="11" t="s">
        <v>201</v>
      </c>
      <c r="D75" s="11" t="s">
        <v>100</v>
      </c>
      <c r="E75" s="11" t="s">
        <v>20</v>
      </c>
      <c r="F75" s="11" t="s">
        <v>34</v>
      </c>
      <c r="G75" s="12">
        <f t="shared" si="0"/>
        <v>0.49469964664310956</v>
      </c>
      <c r="H75" s="29" t="s">
        <v>34</v>
      </c>
      <c r="I75" s="12">
        <f t="shared" si="1"/>
        <v>0.7315980689792466</v>
      </c>
      <c r="J75" s="29" t="s">
        <v>34</v>
      </c>
      <c r="K75" s="12">
        <f t="shared" si="2"/>
        <v>0.542136599060942</v>
      </c>
      <c r="L75" s="29">
        <v>100</v>
      </c>
      <c r="M75" s="12">
        <f t="shared" si="3"/>
        <v>0.5894781048944328</v>
      </c>
    </row>
    <row r="76" spans="2:13" ht="12.75">
      <c r="B76" s="11" t="s">
        <v>172</v>
      </c>
      <c r="C76" s="11" t="s">
        <v>201</v>
      </c>
      <c r="D76" s="11" t="s">
        <v>100</v>
      </c>
      <c r="E76" s="11" t="s">
        <v>20</v>
      </c>
      <c r="G76" s="13">
        <f t="shared" si="0"/>
        <v>0</v>
      </c>
      <c r="H76" s="13"/>
      <c r="I76" s="13">
        <f t="shared" si="1"/>
        <v>0</v>
      </c>
      <c r="J76" s="13"/>
      <c r="K76" s="13">
        <f t="shared" si="2"/>
        <v>0</v>
      </c>
      <c r="L76" s="13"/>
      <c r="M76" s="12">
        <f t="shared" si="3"/>
        <v>0</v>
      </c>
    </row>
    <row r="77" spans="2:13" ht="12.75">
      <c r="B77" s="11" t="s">
        <v>155</v>
      </c>
      <c r="C77" s="11" t="s">
        <v>201</v>
      </c>
      <c r="D77" s="11" t="s">
        <v>100</v>
      </c>
      <c r="E77" s="11" t="s">
        <v>20</v>
      </c>
      <c r="F77" s="11" t="s">
        <v>34</v>
      </c>
      <c r="G77" s="12">
        <f t="shared" si="0"/>
        <v>0.3003533568904594</v>
      </c>
      <c r="H77" s="29" t="s">
        <v>34</v>
      </c>
      <c r="I77" s="12">
        <f t="shared" si="1"/>
        <v>0.6619220624097945</v>
      </c>
      <c r="J77" s="29" t="s">
        <v>34</v>
      </c>
      <c r="K77" s="12">
        <f t="shared" si="2"/>
        <v>1.0503896606805752</v>
      </c>
      <c r="L77" s="29">
        <v>100</v>
      </c>
      <c r="M77" s="12">
        <f t="shared" si="3"/>
        <v>0.6708883599936096</v>
      </c>
    </row>
    <row r="78" spans="2:13" ht="12.75">
      <c r="B78" s="11" t="s">
        <v>173</v>
      </c>
      <c r="C78" s="11" t="s">
        <v>201</v>
      </c>
      <c r="D78" s="11" t="s">
        <v>100</v>
      </c>
      <c r="E78" s="11" t="s">
        <v>20</v>
      </c>
      <c r="G78" s="12">
        <f t="shared" si="0"/>
        <v>5.936395759717315</v>
      </c>
      <c r="H78" s="29"/>
      <c r="I78" s="12">
        <f t="shared" si="1"/>
        <v>3.6928283481809587</v>
      </c>
      <c r="J78" s="29"/>
      <c r="K78" s="12">
        <f t="shared" si="2"/>
        <v>0.6403988576407377</v>
      </c>
      <c r="L78" s="29"/>
      <c r="M78" s="12">
        <f t="shared" si="3"/>
        <v>3.42320765517967</v>
      </c>
    </row>
    <row r="79" spans="2:13" ht="12.75">
      <c r="B79" s="11" t="s">
        <v>156</v>
      </c>
      <c r="C79" s="11" t="s">
        <v>201</v>
      </c>
      <c r="D79" s="11" t="s">
        <v>100</v>
      </c>
      <c r="E79" s="11" t="s">
        <v>20</v>
      </c>
      <c r="F79" s="11" t="s">
        <v>34</v>
      </c>
      <c r="G79" s="12">
        <f t="shared" si="0"/>
        <v>0.06713780918727916</v>
      </c>
      <c r="H79" s="29" t="s">
        <v>34</v>
      </c>
      <c r="I79" s="12">
        <f t="shared" si="1"/>
        <v>0.07315980689792465</v>
      </c>
      <c r="J79" s="29" t="s">
        <v>34</v>
      </c>
      <c r="K79" s="12">
        <f t="shared" si="2"/>
        <v>20.330122464785322</v>
      </c>
      <c r="L79" s="29">
        <v>100</v>
      </c>
      <c r="M79" s="12">
        <f t="shared" si="3"/>
        <v>6.823473360290175</v>
      </c>
    </row>
    <row r="80" spans="2:13" ht="12.75">
      <c r="B80" s="11" t="s">
        <v>174</v>
      </c>
      <c r="C80" s="11" t="s">
        <v>201</v>
      </c>
      <c r="D80" s="11" t="s">
        <v>100</v>
      </c>
      <c r="E80" s="11" t="s">
        <v>20</v>
      </c>
      <c r="F80" s="11" t="s">
        <v>34</v>
      </c>
      <c r="G80" s="12">
        <f t="shared" si="0"/>
        <v>4.946996466431096</v>
      </c>
      <c r="H80" s="29" t="s">
        <v>34</v>
      </c>
      <c r="I80" s="12">
        <f t="shared" si="1"/>
        <v>4.877320459861644</v>
      </c>
      <c r="J80" s="29" t="s">
        <v>34</v>
      </c>
      <c r="K80" s="12">
        <f t="shared" si="2"/>
        <v>4.743695241783244</v>
      </c>
      <c r="L80" s="29">
        <v>100</v>
      </c>
      <c r="M80" s="12">
        <f t="shared" si="3"/>
        <v>4.856004056025328</v>
      </c>
    </row>
    <row r="81" spans="2:13" ht="12.75">
      <c r="B81" s="11" t="s">
        <v>157</v>
      </c>
      <c r="C81" s="11" t="s">
        <v>201</v>
      </c>
      <c r="D81" s="11" t="s">
        <v>100</v>
      </c>
      <c r="E81" s="11" t="s">
        <v>20</v>
      </c>
      <c r="F81" s="11" t="s">
        <v>34</v>
      </c>
      <c r="G81" s="12">
        <f t="shared" si="0"/>
        <v>0.7420494699646644</v>
      </c>
      <c r="H81" s="29" t="s">
        <v>34</v>
      </c>
      <c r="I81" s="12">
        <f t="shared" si="1"/>
        <v>0.8012740755486986</v>
      </c>
      <c r="J81" s="29" t="s">
        <v>34</v>
      </c>
      <c r="K81" s="12">
        <f t="shared" si="2"/>
        <v>0.7793213611501042</v>
      </c>
      <c r="L81" s="29">
        <v>100</v>
      </c>
      <c r="M81" s="12">
        <f t="shared" si="3"/>
        <v>0.7742149688878223</v>
      </c>
    </row>
    <row r="82" spans="2:13" ht="12.75">
      <c r="B82" s="11" t="s">
        <v>158</v>
      </c>
      <c r="C82" s="11" t="s">
        <v>201</v>
      </c>
      <c r="D82" s="11" t="s">
        <v>100</v>
      </c>
      <c r="E82" s="11" t="s">
        <v>20</v>
      </c>
      <c r="F82" s="11" t="s">
        <v>34</v>
      </c>
      <c r="G82" s="12">
        <f t="shared" si="0"/>
        <v>0.3215547703180212</v>
      </c>
      <c r="H82" s="29" t="s">
        <v>34</v>
      </c>
      <c r="I82" s="12">
        <f t="shared" si="1"/>
        <v>0.5225700492708903</v>
      </c>
      <c r="J82" s="29" t="s">
        <v>34</v>
      </c>
      <c r="K82" s="12">
        <f t="shared" si="2"/>
        <v>0.33883537441308875</v>
      </c>
      <c r="L82" s="29">
        <v>100</v>
      </c>
      <c r="M82" s="12">
        <f t="shared" si="3"/>
        <v>0.39432006466733344</v>
      </c>
    </row>
    <row r="83" spans="2:13" ht="12.75">
      <c r="B83" s="11" t="s">
        <v>159</v>
      </c>
      <c r="C83" s="11" t="s">
        <v>201</v>
      </c>
      <c r="D83" s="11" t="s">
        <v>100</v>
      </c>
      <c r="E83" s="11" t="s">
        <v>20</v>
      </c>
      <c r="F83" s="11" t="s">
        <v>34</v>
      </c>
      <c r="G83" s="12">
        <f t="shared" si="0"/>
        <v>0.04240282685512367</v>
      </c>
      <c r="H83" s="29" t="s">
        <v>34</v>
      </c>
      <c r="I83" s="12">
        <f t="shared" si="1"/>
        <v>0.09754640919723287</v>
      </c>
      <c r="J83" s="29" t="s">
        <v>34</v>
      </c>
      <c r="K83" s="12">
        <f t="shared" si="2"/>
        <v>0.047436952417832426</v>
      </c>
      <c r="L83" s="29">
        <v>100</v>
      </c>
      <c r="M83" s="12">
        <f t="shared" si="3"/>
        <v>0.06246206282339633</v>
      </c>
    </row>
    <row r="84" spans="2:13" ht="12.75">
      <c r="B84" s="11" t="s">
        <v>160</v>
      </c>
      <c r="C84" s="11" t="s">
        <v>201</v>
      </c>
      <c r="D84" s="11" t="s">
        <v>100</v>
      </c>
      <c r="E84" s="11" t="s">
        <v>20</v>
      </c>
      <c r="F84" s="11" t="s">
        <v>34</v>
      </c>
      <c r="G84" s="12">
        <f t="shared" si="0"/>
        <v>0.27915194346289757</v>
      </c>
      <c r="H84" s="22" t="s">
        <v>34</v>
      </c>
      <c r="I84" s="12">
        <f t="shared" si="1"/>
        <v>0.2996068282486438</v>
      </c>
      <c r="J84" s="22" t="s">
        <v>34</v>
      </c>
      <c r="K84" s="12">
        <f t="shared" si="2"/>
        <v>0.29817512948351815</v>
      </c>
      <c r="L84" s="29">
        <v>100</v>
      </c>
      <c r="M84" s="12">
        <f t="shared" si="3"/>
        <v>0.2923113003983531</v>
      </c>
    </row>
    <row r="85" spans="2:13" ht="12.75">
      <c r="B85" s="11" t="s">
        <v>175</v>
      </c>
      <c r="C85" s="11" t="s">
        <v>201</v>
      </c>
      <c r="D85" s="11" t="s">
        <v>100</v>
      </c>
      <c r="E85" s="11" t="s">
        <v>20</v>
      </c>
      <c r="F85" s="11" t="s">
        <v>34</v>
      </c>
      <c r="G85" s="12">
        <f t="shared" si="0"/>
        <v>0.26148409893992935</v>
      </c>
      <c r="H85" s="24" t="s">
        <v>34</v>
      </c>
      <c r="I85" s="12">
        <f t="shared" si="1"/>
        <v>0.2787040262778082</v>
      </c>
      <c r="J85" s="24" t="s">
        <v>34</v>
      </c>
      <c r="K85" s="12">
        <f t="shared" si="2"/>
        <v>0.2778450070187328</v>
      </c>
      <c r="L85" s="29">
        <v>100</v>
      </c>
      <c r="M85" s="12">
        <f t="shared" si="3"/>
        <v>0.27267771074549013</v>
      </c>
    </row>
    <row r="86" spans="2:13" ht="12.75">
      <c r="B86" s="11" t="s">
        <v>98</v>
      </c>
      <c r="C86" s="11" t="s">
        <v>201</v>
      </c>
      <c r="D86" s="11" t="s">
        <v>100</v>
      </c>
      <c r="E86" s="11" t="s">
        <v>20</v>
      </c>
      <c r="F86" s="11">
        <v>100</v>
      </c>
      <c r="G86" s="12">
        <f>(G73+G77)</f>
        <v>0.4204946996466431</v>
      </c>
      <c r="H86" s="13">
        <v>100</v>
      </c>
      <c r="I86" s="12">
        <f>(I73+I77)</f>
        <v>0.7908226745632807</v>
      </c>
      <c r="J86" s="13">
        <v>100</v>
      </c>
      <c r="K86" s="12">
        <f>(K73+K77)</f>
        <v>1.3079045452345226</v>
      </c>
      <c r="L86" s="13">
        <v>100</v>
      </c>
      <c r="M86" s="12">
        <f t="shared" si="3"/>
        <v>0.8397406398148154</v>
      </c>
    </row>
    <row r="87" spans="2:13" ht="12.75">
      <c r="B87" s="11" t="s">
        <v>99</v>
      </c>
      <c r="C87" s="11" t="s">
        <v>201</v>
      </c>
      <c r="D87" s="11" t="s">
        <v>100</v>
      </c>
      <c r="E87" s="11" t="s">
        <v>20</v>
      </c>
      <c r="F87" s="11">
        <f>(G70+G72)/G87*100</f>
        <v>6.1655091979006516</v>
      </c>
      <c r="G87" s="12">
        <f>(G70+G72+G74)</f>
        <v>6.665371024734982</v>
      </c>
      <c r="H87" s="11">
        <f>(I70+I72)/I87*100</f>
        <v>4.4773416632713126</v>
      </c>
      <c r="I87" s="12">
        <f>(I70+I72+I74)</f>
        <v>7.695366545563131</v>
      </c>
      <c r="J87" s="11">
        <f>(K70+K72)/K87*100</f>
        <v>5.787917194761301</v>
      </c>
      <c r="K87" s="12">
        <f>(K70+K72+K74)</f>
        <v>8.020233312357812</v>
      </c>
      <c r="L87" s="11">
        <f>(M70+M72)/M87*100</f>
        <v>5.449747401178742</v>
      </c>
      <c r="M87" s="12">
        <f t="shared" si="3"/>
        <v>7.460323627551975</v>
      </c>
    </row>
    <row r="88" spans="2:13" ht="12.75">
      <c r="B88" s="11"/>
      <c r="C88" s="11"/>
      <c r="G88" s="36"/>
      <c r="H88" s="24"/>
      <c r="J88" s="24"/>
      <c r="K88" s="29"/>
      <c r="L88" s="24"/>
      <c r="M88" s="28"/>
    </row>
    <row r="89" spans="2:13" ht="12.75">
      <c r="B89" s="11" t="s">
        <v>179</v>
      </c>
      <c r="C89" s="11" t="s">
        <v>203</v>
      </c>
      <c r="D89" s="11" t="s">
        <v>201</v>
      </c>
      <c r="G89" s="40"/>
      <c r="H89" s="40"/>
      <c r="I89" s="41"/>
      <c r="J89" s="40"/>
      <c r="K89" s="40"/>
      <c r="M89" s="35"/>
    </row>
    <row r="90" spans="2:13" ht="12.75">
      <c r="B90" s="11" t="s">
        <v>149</v>
      </c>
      <c r="C90" s="11"/>
      <c r="D90" s="11" t="s">
        <v>22</v>
      </c>
      <c r="G90" s="40">
        <v>17212</v>
      </c>
      <c r="H90" s="40"/>
      <c r="I90" s="41">
        <v>16546</v>
      </c>
      <c r="J90" s="40"/>
      <c r="K90" s="40">
        <v>16149</v>
      </c>
      <c r="M90" s="31">
        <f>AVERAGE(G90,I90,K90)</f>
        <v>16635.666666666668</v>
      </c>
    </row>
    <row r="91" spans="2:13" ht="12.75">
      <c r="B91" s="11" t="s">
        <v>165</v>
      </c>
      <c r="C91" s="11"/>
      <c r="D91" s="11" t="s">
        <v>23</v>
      </c>
      <c r="G91" s="40"/>
      <c r="H91" s="40"/>
      <c r="I91" s="41"/>
      <c r="J91" s="40"/>
      <c r="K91" s="40"/>
      <c r="M91" s="35"/>
    </row>
    <row r="92" spans="2:13" ht="12.75">
      <c r="B92" s="11" t="s">
        <v>166</v>
      </c>
      <c r="C92" s="11"/>
      <c r="D92" s="11" t="s">
        <v>23</v>
      </c>
      <c r="G92" s="29"/>
      <c r="H92" s="29"/>
      <c r="I92" s="30"/>
      <c r="J92" s="29"/>
      <c r="K92" s="29"/>
      <c r="M92" s="35"/>
    </row>
    <row r="93" spans="2:13" ht="12.75">
      <c r="B93" s="11" t="s">
        <v>148</v>
      </c>
      <c r="C93" s="11"/>
      <c r="D93" s="11" t="s">
        <v>24</v>
      </c>
      <c r="G93" s="29"/>
      <c r="H93" s="29"/>
      <c r="I93" s="30"/>
      <c r="J93" s="29"/>
      <c r="K93" s="29"/>
      <c r="M93" s="35"/>
    </row>
    <row r="94" spans="2:13" ht="12.75">
      <c r="B94" s="11"/>
      <c r="C94" s="11"/>
      <c r="G94" s="29"/>
      <c r="H94" s="29"/>
      <c r="I94" s="30"/>
      <c r="J94" s="29"/>
      <c r="K94" s="29"/>
      <c r="M94" s="35"/>
    </row>
    <row r="95" spans="2:13" ht="12.75">
      <c r="B95" s="11" t="s">
        <v>179</v>
      </c>
      <c r="C95" s="11" t="s">
        <v>119</v>
      </c>
      <c r="D95" s="11" t="s">
        <v>202</v>
      </c>
      <c r="G95" s="29"/>
      <c r="H95" s="29"/>
      <c r="I95" s="30"/>
      <c r="J95" s="29"/>
      <c r="K95" s="29"/>
      <c r="M95" s="35"/>
    </row>
    <row r="96" spans="2:13" ht="12.75">
      <c r="B96" s="11" t="s">
        <v>149</v>
      </c>
      <c r="C96" s="11"/>
      <c r="D96" s="11" t="s">
        <v>22</v>
      </c>
      <c r="G96" s="29">
        <v>16900</v>
      </c>
      <c r="H96" s="29"/>
      <c r="I96" s="30">
        <v>17000</v>
      </c>
      <c r="J96" s="29"/>
      <c r="K96" s="29">
        <v>16900</v>
      </c>
      <c r="M96" s="31">
        <f>AVERAGE(G96,I96,K96)</f>
        <v>16933.333333333332</v>
      </c>
    </row>
    <row r="97" spans="2:13" ht="12.75">
      <c r="B97" s="11" t="s">
        <v>165</v>
      </c>
      <c r="C97" s="11"/>
      <c r="D97" s="11" t="s">
        <v>23</v>
      </c>
      <c r="G97" s="29">
        <v>7</v>
      </c>
      <c r="H97" s="29"/>
      <c r="I97" s="30">
        <v>6.8</v>
      </c>
      <c r="J97" s="29"/>
      <c r="K97" s="29">
        <v>6.4</v>
      </c>
      <c r="M97" s="31">
        <f>AVERAGE(G97,I97,K97)</f>
        <v>6.733333333333334</v>
      </c>
    </row>
    <row r="98" spans="2:11" ht="12.75">
      <c r="B98" s="11" t="s">
        <v>166</v>
      </c>
      <c r="C98" s="11"/>
      <c r="D98" s="11" t="s">
        <v>23</v>
      </c>
      <c r="G98" s="29"/>
      <c r="H98" s="29"/>
      <c r="I98" s="30"/>
      <c r="J98" s="13"/>
      <c r="K98" s="29"/>
    </row>
    <row r="99" spans="2:11" ht="12.75">
      <c r="B99" s="11" t="s">
        <v>148</v>
      </c>
      <c r="C99" s="11"/>
      <c r="D99" s="11" t="s">
        <v>24</v>
      </c>
      <c r="G99" s="29"/>
      <c r="H99" s="29"/>
      <c r="I99" s="30"/>
      <c r="J99" s="29"/>
      <c r="K99" s="29"/>
    </row>
    <row r="100" spans="2:11" ht="12.75">
      <c r="B100" s="11"/>
      <c r="C100" s="11"/>
      <c r="G100" s="29"/>
      <c r="H100" s="29"/>
      <c r="I100" s="30"/>
      <c r="J100" s="29"/>
      <c r="K100" s="29"/>
    </row>
    <row r="101" spans="2:11" ht="12.75">
      <c r="B101" s="11" t="s">
        <v>134</v>
      </c>
      <c r="C101" s="11" t="s">
        <v>167</v>
      </c>
      <c r="G101" s="29"/>
      <c r="H101" s="29"/>
      <c r="I101" s="30"/>
      <c r="J101" s="29"/>
      <c r="K101" s="29"/>
    </row>
    <row r="102" spans="2:7" ht="12.75">
      <c r="B102" s="11" t="s">
        <v>168</v>
      </c>
      <c r="C102" s="11"/>
      <c r="D102" s="11" t="s">
        <v>147</v>
      </c>
      <c r="G102" s="22">
        <v>19.9</v>
      </c>
    </row>
    <row r="103" spans="2:11" ht="12.75">
      <c r="B103" s="11" t="s">
        <v>135</v>
      </c>
      <c r="C103" s="11"/>
      <c r="G103" s="29">
        <v>15.2</v>
      </c>
      <c r="H103" s="24"/>
      <c r="I103" s="25"/>
      <c r="J103" s="24"/>
      <c r="K103" s="24"/>
    </row>
    <row r="104" spans="2:11" ht="12.75">
      <c r="B104" s="11" t="s">
        <v>136</v>
      </c>
      <c r="C104" s="11"/>
      <c r="D104" s="17"/>
      <c r="E104" s="17"/>
      <c r="F104" s="17"/>
      <c r="G104" s="17">
        <v>8.5</v>
      </c>
      <c r="H104" s="17"/>
      <c r="I104" s="27"/>
      <c r="J104" s="17"/>
      <c r="K104" s="17"/>
    </row>
    <row r="105" spans="2:11" ht="12.75">
      <c r="B105" s="11" t="s">
        <v>137</v>
      </c>
      <c r="C105" s="11"/>
      <c r="G105" s="29">
        <v>29.9</v>
      </c>
      <c r="H105" s="29"/>
      <c r="I105" s="30"/>
      <c r="J105" s="29"/>
      <c r="K105" s="29"/>
    </row>
    <row r="106" spans="2:11" ht="12.75">
      <c r="B106" s="11" t="s">
        <v>169</v>
      </c>
      <c r="C106" s="11"/>
      <c r="G106" s="29">
        <v>18.9</v>
      </c>
      <c r="H106" s="29"/>
      <c r="I106" s="30"/>
      <c r="J106" s="29"/>
      <c r="K106" s="29"/>
    </row>
    <row r="107" spans="2:11" ht="12.75">
      <c r="B107" s="11" t="s">
        <v>138</v>
      </c>
      <c r="C107" s="11"/>
      <c r="G107" s="29">
        <v>0.3</v>
      </c>
      <c r="H107" s="29"/>
      <c r="I107" s="30"/>
      <c r="J107" s="29"/>
      <c r="K107" s="29"/>
    </row>
    <row r="108" spans="2:11" ht="12.75">
      <c r="B108" s="11" t="s">
        <v>139</v>
      </c>
      <c r="C108" s="11"/>
      <c r="G108" s="29">
        <v>0.5</v>
      </c>
      <c r="H108" s="29"/>
      <c r="I108" s="30"/>
      <c r="J108" s="29"/>
      <c r="K108" s="29"/>
    </row>
    <row r="109" spans="2:11" ht="12.75">
      <c r="B109" s="11" t="s">
        <v>140</v>
      </c>
      <c r="C109" s="11"/>
      <c r="G109" s="29">
        <v>1</v>
      </c>
      <c r="H109" s="29"/>
      <c r="I109" s="30"/>
      <c r="J109" s="29"/>
      <c r="K109" s="29"/>
    </row>
    <row r="110" spans="2:11" ht="12.75">
      <c r="B110" s="11" t="s">
        <v>170</v>
      </c>
      <c r="C110" s="11"/>
      <c r="G110" s="29">
        <v>5.8</v>
      </c>
      <c r="H110" s="29"/>
      <c r="I110" s="30"/>
      <c r="J110" s="29"/>
      <c r="K110" s="29"/>
    </row>
    <row r="111" spans="2:11" ht="12.75">
      <c r="B111" s="11"/>
      <c r="C111" s="11"/>
      <c r="G111" s="29"/>
      <c r="H111" s="29"/>
      <c r="I111" s="30"/>
      <c r="J111" s="29"/>
      <c r="K111" s="29"/>
    </row>
    <row r="112" spans="2:11" ht="12.75">
      <c r="B112" s="11"/>
      <c r="C112" s="11"/>
      <c r="G112" s="29"/>
      <c r="H112" s="29"/>
      <c r="I112" s="30"/>
      <c r="J112" s="29"/>
      <c r="K112" s="29"/>
    </row>
    <row r="113" spans="2:11" ht="12.75">
      <c r="B113" s="11"/>
      <c r="C113" s="11"/>
      <c r="G113" s="29"/>
      <c r="H113" s="29"/>
      <c r="I113" s="30"/>
      <c r="J113" s="13"/>
      <c r="K113" s="29"/>
    </row>
    <row r="114" spans="2:11" ht="12.75">
      <c r="B114" s="11"/>
      <c r="C114" s="11"/>
      <c r="G114" s="29"/>
      <c r="H114" s="29"/>
      <c r="I114" s="30"/>
      <c r="J114" s="29"/>
      <c r="K114" s="29"/>
    </row>
    <row r="115" spans="2:11" ht="12.75">
      <c r="B115" s="11"/>
      <c r="C115" s="11"/>
      <c r="G115" s="29"/>
      <c r="H115" s="29"/>
      <c r="I115" s="30"/>
      <c r="J115" s="29"/>
      <c r="K115" s="29"/>
    </row>
    <row r="116" spans="2:11" ht="12.75">
      <c r="B116" s="11"/>
      <c r="C116" s="11"/>
      <c r="G116" s="29"/>
      <c r="H116" s="29"/>
      <c r="I116" s="30"/>
      <c r="J116" s="29"/>
      <c r="K116" s="29"/>
    </row>
    <row r="117" spans="2:3" ht="12.75">
      <c r="B117" s="11"/>
      <c r="C117" s="11"/>
    </row>
    <row r="118" spans="2:11" ht="12.75">
      <c r="B118" s="11"/>
      <c r="C118" s="11"/>
      <c r="G118" s="29"/>
      <c r="H118" s="29"/>
      <c r="I118" s="30"/>
      <c r="J118" s="29"/>
      <c r="K118" s="29"/>
    </row>
    <row r="119" spans="2:11" ht="12.75">
      <c r="B119" s="11"/>
      <c r="C119" s="11"/>
      <c r="G119" s="29"/>
      <c r="H119" s="29"/>
      <c r="I119" s="30"/>
      <c r="J119" s="13"/>
      <c r="K119" s="29"/>
    </row>
    <row r="120" spans="2:11" ht="12.75">
      <c r="B120" s="11"/>
      <c r="C120" s="11"/>
      <c r="G120" s="29"/>
      <c r="H120" s="29"/>
      <c r="I120" s="30"/>
      <c r="J120" s="29"/>
      <c r="K120" s="29"/>
    </row>
    <row r="121" spans="2:11" ht="12.75">
      <c r="B121" s="11"/>
      <c r="C121" s="11"/>
      <c r="G121" s="29"/>
      <c r="H121" s="29"/>
      <c r="I121" s="30"/>
      <c r="J121" s="29"/>
      <c r="K121" s="29"/>
    </row>
    <row r="122" spans="2:11" ht="12.75">
      <c r="B122" s="11"/>
      <c r="C122" s="11"/>
      <c r="G122" s="29"/>
      <c r="H122" s="29"/>
      <c r="I122" s="30"/>
      <c r="J122" s="29"/>
      <c r="K122" s="29"/>
    </row>
    <row r="123" spans="7:11" ht="12.75">
      <c r="G123" s="68"/>
      <c r="K123" s="68"/>
    </row>
    <row r="125" spans="2:3" ht="12.75">
      <c r="B125" s="21"/>
      <c r="C125" s="21"/>
    </row>
    <row r="126" spans="2:3" ht="12.75">
      <c r="B126" s="11"/>
      <c r="C126" s="11"/>
    </row>
    <row r="127" spans="2:3" ht="12.75">
      <c r="B127" s="26"/>
      <c r="C127" s="26"/>
    </row>
    <row r="128" spans="2:3" ht="12.75">
      <c r="B128" s="11"/>
      <c r="C128" s="11"/>
    </row>
    <row r="129" spans="2:9" ht="12.75">
      <c r="B129" s="11"/>
      <c r="C129" s="11"/>
      <c r="G129" s="29"/>
      <c r="I129" s="30"/>
    </row>
    <row r="130" spans="2:9" ht="12.75">
      <c r="B130" s="11"/>
      <c r="C130" s="11"/>
      <c r="G130" s="29"/>
      <c r="I130" s="30"/>
    </row>
    <row r="131" spans="7:9" ht="12.75">
      <c r="G131" s="29"/>
      <c r="I131" s="30"/>
    </row>
    <row r="132" spans="2:11" ht="12.75">
      <c r="B132" s="11"/>
      <c r="C132" s="11"/>
      <c r="G132" s="29"/>
      <c r="H132" s="24"/>
      <c r="I132" s="30"/>
      <c r="J132" s="24"/>
      <c r="K132" s="29"/>
    </row>
    <row r="133" spans="7:9" ht="12.75">
      <c r="G133" s="29"/>
      <c r="I133" s="30"/>
    </row>
    <row r="134" spans="2:9" ht="12.75">
      <c r="B134" s="11"/>
      <c r="C134" s="11"/>
      <c r="G134" s="29"/>
      <c r="I134" s="30"/>
    </row>
    <row r="135" spans="2:9" ht="12.75">
      <c r="B135" s="11"/>
      <c r="C135" s="11"/>
      <c r="G135" s="29"/>
      <c r="I135" s="30"/>
    </row>
    <row r="136" spans="2:9" ht="12.75">
      <c r="B136" s="11"/>
      <c r="C136" s="11"/>
      <c r="G136" s="29"/>
      <c r="I136" s="30"/>
    </row>
    <row r="137" spans="2:9" ht="12.75">
      <c r="B137" s="11"/>
      <c r="C137" s="11"/>
      <c r="G137" s="29"/>
      <c r="I137" s="30"/>
    </row>
    <row r="138" spans="7:9" ht="12.75">
      <c r="G138" s="29"/>
      <c r="I138" s="30"/>
    </row>
    <row r="139" spans="2:11" ht="12.75">
      <c r="B139" s="21"/>
      <c r="C139" s="21"/>
      <c r="G139" s="24"/>
      <c r="H139" s="24"/>
      <c r="I139" s="25"/>
      <c r="J139" s="24"/>
      <c r="K139" s="24"/>
    </row>
    <row r="142" spans="7:11" ht="12.75">
      <c r="G142" s="68"/>
      <c r="K142" s="68"/>
    </row>
    <row r="143" spans="7:11" ht="12.75">
      <c r="G143" s="68"/>
      <c r="K143" s="68"/>
    </row>
    <row r="144" spans="7:11" ht="12.75">
      <c r="G144" s="68"/>
      <c r="K144" s="68"/>
    </row>
    <row r="145" spans="7:11" ht="12.75">
      <c r="G145" s="68"/>
      <c r="K145" s="68"/>
    </row>
    <row r="146" spans="7:11" ht="12.75">
      <c r="G146" s="68"/>
      <c r="K146" s="68"/>
    </row>
    <row r="147" spans="7:11" ht="12.75">
      <c r="G147" s="68"/>
      <c r="K147" s="68"/>
    </row>
    <row r="148" spans="7:11" ht="12.75">
      <c r="G148" s="68"/>
      <c r="K148" s="68"/>
    </row>
    <row r="149" spans="7:11" ht="12.75">
      <c r="G149" s="68"/>
      <c r="K149" s="68"/>
    </row>
    <row r="150" spans="7:11" ht="12.75">
      <c r="G150" s="68"/>
      <c r="K150" s="68"/>
    </row>
    <row r="151" spans="7:11" ht="12.75">
      <c r="G151" s="68"/>
      <c r="K151" s="68"/>
    </row>
    <row r="152" spans="7:11" ht="12.75">
      <c r="G152" s="68"/>
      <c r="K152" s="68"/>
    </row>
    <row r="153" spans="7:11" ht="12.75">
      <c r="G153" s="68"/>
      <c r="K153" s="68"/>
    </row>
    <row r="155" spans="7:11" ht="12.75">
      <c r="G155" s="68"/>
      <c r="K155" s="6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4"/>
  <sheetViews>
    <sheetView zoomScale="75" zoomScaleNormal="75" workbookViewId="0" topLeftCell="K1">
      <selection activeCell="D10" sqref="D10"/>
    </sheetView>
  </sheetViews>
  <sheetFormatPr defaultColWidth="9.140625" defaultRowHeight="12.75"/>
  <cols>
    <col min="1" max="1" width="9.140625" style="42" hidden="1" customWidth="1"/>
    <col min="2" max="2" width="26.140625" style="14" customWidth="1"/>
    <col min="3" max="3" width="4.57421875" style="14" customWidth="1"/>
    <col min="4" max="4" width="9.28125" style="14" customWidth="1"/>
    <col min="5" max="5" width="3.8515625" style="42" customWidth="1"/>
    <col min="6" max="6" width="9.00390625" style="42" customWidth="1"/>
    <col min="7" max="7" width="4.421875" style="42" customWidth="1"/>
    <col min="8" max="8" width="9.140625" style="42" customWidth="1"/>
    <col min="9" max="9" width="3.8515625" style="42" customWidth="1"/>
    <col min="10" max="10" width="9.8515625" style="42" customWidth="1"/>
    <col min="11" max="11" width="4.421875" style="42" customWidth="1"/>
    <col min="12" max="12" width="12.421875" style="57" customWidth="1"/>
    <col min="13" max="13" width="3.140625" style="57" customWidth="1"/>
    <col min="14" max="14" width="11.140625" style="57" customWidth="1"/>
    <col min="15" max="15" width="3.140625" style="57" customWidth="1"/>
    <col min="16" max="16" width="11.140625" style="57" customWidth="1"/>
    <col min="17" max="17" width="3.140625" style="57" customWidth="1"/>
    <col min="18" max="18" width="13.28125" style="57" customWidth="1"/>
    <col min="19" max="19" width="3.140625" style="57" customWidth="1"/>
    <col min="20" max="20" width="12.28125" style="42" customWidth="1"/>
    <col min="21" max="21" width="4.421875" style="42" customWidth="1"/>
    <col min="22" max="22" width="12.00390625" style="42" customWidth="1"/>
    <col min="23" max="23" width="3.8515625" style="42" customWidth="1"/>
    <col min="24" max="24" width="13.421875" style="42" customWidth="1"/>
    <col min="25" max="25" width="4.421875" style="42" customWidth="1"/>
    <col min="26" max="26" width="14.28125" style="42" customWidth="1"/>
    <col min="27" max="27" width="4.140625" style="42" customWidth="1"/>
    <col min="28" max="28" width="10.28125" style="42" customWidth="1"/>
    <col min="29" max="29" width="4.57421875" style="42" customWidth="1"/>
    <col min="30" max="30" width="12.8515625" style="42" customWidth="1"/>
    <col min="31" max="31" width="4.8515625" style="42" customWidth="1"/>
    <col min="32" max="32" width="8.8515625" style="42" customWidth="1"/>
    <col min="33" max="33" width="4.140625" style="42" customWidth="1"/>
    <col min="34" max="34" width="8.8515625" style="42" customWidth="1"/>
    <col min="35" max="35" width="4.00390625" style="42" customWidth="1"/>
    <col min="36" max="16384" width="8.8515625" style="42" customWidth="1"/>
  </cols>
  <sheetData>
    <row r="1" spans="2:3" ht="12.75">
      <c r="B1" s="56" t="s">
        <v>112</v>
      </c>
      <c r="C1" s="56"/>
    </row>
    <row r="4" spans="1:36" ht="12.75">
      <c r="A4" s="42" t="s">
        <v>185</v>
      </c>
      <c r="B4" s="56" t="s">
        <v>126</v>
      </c>
      <c r="C4" s="56" t="s">
        <v>162</v>
      </c>
      <c r="F4" s="47" t="s">
        <v>189</v>
      </c>
      <c r="G4" s="47"/>
      <c r="H4" s="47" t="s">
        <v>190</v>
      </c>
      <c r="I4" s="47"/>
      <c r="J4" s="47" t="s">
        <v>191</v>
      </c>
      <c r="K4" s="47"/>
      <c r="L4" s="47" t="s">
        <v>53</v>
      </c>
      <c r="M4" s="47"/>
      <c r="N4" s="47" t="s">
        <v>189</v>
      </c>
      <c r="O4" s="47"/>
      <c r="P4" s="47" t="s">
        <v>190</v>
      </c>
      <c r="Q4" s="47"/>
      <c r="R4" s="47" t="s">
        <v>191</v>
      </c>
      <c r="S4" s="47"/>
      <c r="T4" s="47" t="s">
        <v>53</v>
      </c>
      <c r="U4" s="47"/>
      <c r="V4" s="47" t="s">
        <v>189</v>
      </c>
      <c r="W4" s="47"/>
      <c r="X4" s="47" t="s">
        <v>190</v>
      </c>
      <c r="Y4" s="47"/>
      <c r="Z4" s="47" t="s">
        <v>191</v>
      </c>
      <c r="AA4" s="47"/>
      <c r="AB4" s="47" t="s">
        <v>53</v>
      </c>
      <c r="AC4" s="47"/>
      <c r="AD4" s="47" t="s">
        <v>189</v>
      </c>
      <c r="AE4" s="47"/>
      <c r="AF4" s="47" t="s">
        <v>190</v>
      </c>
      <c r="AG4" s="47"/>
      <c r="AH4" s="47" t="s">
        <v>191</v>
      </c>
      <c r="AI4" s="47"/>
      <c r="AJ4" s="47" t="s">
        <v>53</v>
      </c>
    </row>
    <row r="6" spans="2:36" ht="12.75">
      <c r="B6" s="14" t="s">
        <v>210</v>
      </c>
      <c r="F6" s="47" t="s">
        <v>212</v>
      </c>
      <c r="H6" s="47" t="s">
        <v>212</v>
      </c>
      <c r="J6" s="47" t="s">
        <v>212</v>
      </c>
      <c r="L6" s="47" t="s">
        <v>212</v>
      </c>
      <c r="N6" s="47" t="s">
        <v>213</v>
      </c>
      <c r="P6" s="47" t="s">
        <v>213</v>
      </c>
      <c r="R6" s="47" t="s">
        <v>213</v>
      </c>
      <c r="T6" s="47" t="s">
        <v>213</v>
      </c>
      <c r="V6" s="47" t="s">
        <v>214</v>
      </c>
      <c r="X6" s="47" t="s">
        <v>214</v>
      </c>
      <c r="Z6" s="47" t="s">
        <v>214</v>
      </c>
      <c r="AB6" s="47" t="s">
        <v>214</v>
      </c>
      <c r="AD6" s="47" t="s">
        <v>215</v>
      </c>
      <c r="AF6" s="47" t="s">
        <v>215</v>
      </c>
      <c r="AH6" s="47" t="s">
        <v>215</v>
      </c>
      <c r="AJ6" s="47" t="s">
        <v>215</v>
      </c>
    </row>
    <row r="7" spans="2:36" ht="12.75">
      <c r="B7" s="14" t="s">
        <v>211</v>
      </c>
      <c r="F7" s="42" t="s">
        <v>217</v>
      </c>
      <c r="H7" s="42" t="s">
        <v>217</v>
      </c>
      <c r="J7" s="42" t="s">
        <v>217</v>
      </c>
      <c r="L7" s="42" t="s">
        <v>217</v>
      </c>
      <c r="N7" s="47" t="s">
        <v>216</v>
      </c>
      <c r="P7" s="47" t="s">
        <v>216</v>
      </c>
      <c r="R7" s="47" t="s">
        <v>216</v>
      </c>
      <c r="T7" s="47" t="s">
        <v>216</v>
      </c>
      <c r="V7" s="47" t="s">
        <v>92</v>
      </c>
      <c r="W7" s="47"/>
      <c r="X7" s="47" t="s">
        <v>92</v>
      </c>
      <c r="Y7" s="47"/>
      <c r="Z7" s="47" t="s">
        <v>92</v>
      </c>
      <c r="AA7" s="47"/>
      <c r="AB7" s="47" t="s">
        <v>92</v>
      </c>
      <c r="AC7" s="47"/>
      <c r="AD7" s="47" t="s">
        <v>30</v>
      </c>
      <c r="AE7" s="47"/>
      <c r="AF7" s="47" t="s">
        <v>30</v>
      </c>
      <c r="AG7" s="47"/>
      <c r="AH7" s="47" t="s">
        <v>30</v>
      </c>
      <c r="AI7" s="47"/>
      <c r="AJ7" s="47" t="s">
        <v>30</v>
      </c>
    </row>
    <row r="8" spans="2:36" ht="12.75">
      <c r="B8" s="14" t="s">
        <v>218</v>
      </c>
      <c r="F8" s="22" t="s">
        <v>97</v>
      </c>
      <c r="H8" s="22" t="s">
        <v>97</v>
      </c>
      <c r="J8" s="22" t="s">
        <v>97</v>
      </c>
      <c r="L8" s="22" t="s">
        <v>97</v>
      </c>
      <c r="N8" s="47" t="s">
        <v>219</v>
      </c>
      <c r="P8" s="47" t="s">
        <v>219</v>
      </c>
      <c r="R8" s="47" t="s">
        <v>219</v>
      </c>
      <c r="T8" s="47" t="s">
        <v>219</v>
      </c>
      <c r="V8" s="47" t="s">
        <v>92</v>
      </c>
      <c r="W8" s="47"/>
      <c r="X8" s="47" t="s">
        <v>92</v>
      </c>
      <c r="Y8" s="47"/>
      <c r="Z8" s="47" t="s">
        <v>92</v>
      </c>
      <c r="AA8" s="47"/>
      <c r="AB8" s="47" t="s">
        <v>92</v>
      </c>
      <c r="AC8" s="47"/>
      <c r="AD8" s="47" t="s">
        <v>30</v>
      </c>
      <c r="AE8" s="47"/>
      <c r="AF8" s="47" t="s">
        <v>30</v>
      </c>
      <c r="AG8" s="47"/>
      <c r="AH8" s="47" t="s">
        <v>30</v>
      </c>
      <c r="AI8" s="47"/>
      <c r="AJ8" s="47" t="s">
        <v>30</v>
      </c>
    </row>
    <row r="9" spans="2:36" ht="12.75">
      <c r="B9" s="14" t="s">
        <v>54</v>
      </c>
      <c r="F9" s="57" t="s">
        <v>106</v>
      </c>
      <c r="H9" s="57" t="s">
        <v>106</v>
      </c>
      <c r="J9" s="57" t="s">
        <v>106</v>
      </c>
      <c r="L9" s="57" t="s">
        <v>106</v>
      </c>
      <c r="N9" s="57" t="s">
        <v>81</v>
      </c>
      <c r="P9" s="57" t="s">
        <v>81</v>
      </c>
      <c r="R9" s="57" t="s">
        <v>81</v>
      </c>
      <c r="T9" s="57" t="s">
        <v>81</v>
      </c>
      <c r="U9" s="57"/>
      <c r="V9" s="57" t="s">
        <v>92</v>
      </c>
      <c r="W9" s="57"/>
      <c r="X9" s="57" t="s">
        <v>92</v>
      </c>
      <c r="Y9" s="57"/>
      <c r="Z9" s="57" t="s">
        <v>92</v>
      </c>
      <c r="AA9" s="57"/>
      <c r="AB9" s="57" t="s">
        <v>92</v>
      </c>
      <c r="AD9" s="57" t="s">
        <v>30</v>
      </c>
      <c r="AF9" s="57" t="s">
        <v>30</v>
      </c>
      <c r="AH9" s="42" t="s">
        <v>30</v>
      </c>
      <c r="AJ9" s="42" t="s">
        <v>30</v>
      </c>
    </row>
    <row r="10" spans="2:30" ht="12.75">
      <c r="B10" s="14" t="s">
        <v>187</v>
      </c>
      <c r="D10" s="14" t="s">
        <v>69</v>
      </c>
      <c r="F10" s="42">
        <v>4554</v>
      </c>
      <c r="H10" s="42">
        <v>4483</v>
      </c>
      <c r="J10" s="42">
        <v>4621</v>
      </c>
      <c r="L10" s="16">
        <f>AVERAGE(J10,H10,F10)</f>
        <v>4552.666666666667</v>
      </c>
      <c r="M10" s="58"/>
      <c r="N10" s="16">
        <v>4072</v>
      </c>
      <c r="O10" s="16"/>
      <c r="P10" s="16">
        <v>4072</v>
      </c>
      <c r="Q10" s="16"/>
      <c r="R10" s="16">
        <v>4067</v>
      </c>
      <c r="S10" s="16"/>
      <c r="T10" s="16">
        <f>AVERAGE(R10,P10,N10)</f>
        <v>4070.3333333333335</v>
      </c>
      <c r="V10" s="42">
        <v>22.3</v>
      </c>
      <c r="X10" s="42">
        <v>22.3</v>
      </c>
      <c r="Z10" s="42">
        <v>22.3</v>
      </c>
      <c r="AB10" s="42">
        <v>22.3</v>
      </c>
      <c r="AD10" s="51"/>
    </row>
    <row r="11" spans="2:36" ht="12.75">
      <c r="B11" s="14" t="s">
        <v>186</v>
      </c>
      <c r="D11" s="14" t="s">
        <v>72</v>
      </c>
      <c r="F11" s="42">
        <v>72.2</v>
      </c>
      <c r="H11" s="42">
        <v>71.4</v>
      </c>
      <c r="J11" s="42">
        <v>73.4</v>
      </c>
      <c r="L11" s="58">
        <f aca="true" t="shared" si="0" ref="L11:L29">AVERAGE(J11,H11,F11)</f>
        <v>72.33333333333333</v>
      </c>
      <c r="M11" s="58"/>
      <c r="N11" s="58">
        <f>N10*20000/1000000</f>
        <v>81.44</v>
      </c>
      <c r="O11" s="58"/>
      <c r="P11" s="58">
        <f>P10*20000/1000000</f>
        <v>81.44</v>
      </c>
      <c r="Q11" s="58"/>
      <c r="R11" s="58">
        <f>R10*20000/1000000</f>
        <v>81.34</v>
      </c>
      <c r="S11" s="58"/>
      <c r="T11" s="58">
        <f>T10*20000/1000000</f>
        <v>81.40666666666667</v>
      </c>
      <c r="AD11" s="51">
        <f>F11+N11</f>
        <v>153.64</v>
      </c>
      <c r="AF11" s="51">
        <f>H11+P11</f>
        <v>152.84</v>
      </c>
      <c r="AH11" s="51">
        <f>J11+R11</f>
        <v>154.74</v>
      </c>
      <c r="AJ11" s="51">
        <f>L11+T11</f>
        <v>153.74</v>
      </c>
    </row>
    <row r="12" spans="2:36" ht="12.75">
      <c r="B12" s="14" t="s">
        <v>61</v>
      </c>
      <c r="D12" s="14" t="s">
        <v>62</v>
      </c>
      <c r="F12" s="42">
        <v>32</v>
      </c>
      <c r="H12" s="42">
        <v>34</v>
      </c>
      <c r="J12" s="42">
        <v>32</v>
      </c>
      <c r="L12" s="58">
        <f t="shared" si="0"/>
        <v>32.666666666666664</v>
      </c>
      <c r="M12" s="59"/>
      <c r="N12" s="59"/>
      <c r="O12" s="59"/>
      <c r="P12" s="59"/>
      <c r="Q12" s="59"/>
      <c r="R12" s="59"/>
      <c r="S12" s="59"/>
      <c r="AD12" s="51"/>
      <c r="AF12" s="51"/>
      <c r="AH12" s="51"/>
      <c r="AJ12" s="51"/>
    </row>
    <row r="13" spans="2:36" ht="12.75">
      <c r="B13" s="14" t="s">
        <v>57</v>
      </c>
      <c r="D13" s="14" t="s">
        <v>58</v>
      </c>
      <c r="F13" s="22">
        <v>16000</v>
      </c>
      <c r="H13" s="22">
        <v>16000</v>
      </c>
      <c r="J13" s="22">
        <v>16000</v>
      </c>
      <c r="L13" s="16">
        <f t="shared" si="0"/>
        <v>16000</v>
      </c>
      <c r="M13" s="15"/>
      <c r="N13" s="15"/>
      <c r="O13" s="15"/>
      <c r="P13" s="15"/>
      <c r="Q13" s="15"/>
      <c r="R13" s="15"/>
      <c r="S13" s="15"/>
      <c r="AD13" s="51"/>
      <c r="AF13" s="51"/>
      <c r="AH13" s="51"/>
      <c r="AJ13" s="51"/>
    </row>
    <row r="14" spans="2:19" ht="12.75">
      <c r="B14" s="14" t="s">
        <v>70</v>
      </c>
      <c r="D14" s="14" t="s">
        <v>71</v>
      </c>
      <c r="F14" s="22">
        <v>8.9</v>
      </c>
      <c r="H14" s="22">
        <v>8.9</v>
      </c>
      <c r="J14" s="22">
        <v>8.9</v>
      </c>
      <c r="L14" s="58">
        <f t="shared" si="0"/>
        <v>8.9</v>
      </c>
      <c r="M14" s="15"/>
      <c r="N14" s="15"/>
      <c r="O14" s="15"/>
      <c r="P14" s="15"/>
      <c r="Q14" s="15"/>
      <c r="R14" s="15"/>
      <c r="S14" s="15"/>
    </row>
    <row r="15" spans="2:32" ht="12.75">
      <c r="B15" s="14" t="s">
        <v>59</v>
      </c>
      <c r="D15" s="14" t="s">
        <v>69</v>
      </c>
      <c r="E15" s="47"/>
      <c r="F15" s="57">
        <v>1.4</v>
      </c>
      <c r="G15" s="57"/>
      <c r="H15" s="57">
        <v>1.9</v>
      </c>
      <c r="I15" s="57"/>
      <c r="J15" s="57">
        <v>1.2</v>
      </c>
      <c r="K15" s="47"/>
      <c r="L15" s="58">
        <f t="shared" si="0"/>
        <v>1.5</v>
      </c>
      <c r="M15" s="59"/>
      <c r="N15" s="59"/>
      <c r="O15" s="59"/>
      <c r="P15" s="59"/>
      <c r="Q15" s="59"/>
      <c r="R15" s="59"/>
      <c r="S15" s="59"/>
      <c r="T15" s="57"/>
      <c r="U15" s="57"/>
      <c r="V15" s="57">
        <v>4.39</v>
      </c>
      <c r="W15" s="57"/>
      <c r="X15" s="57">
        <v>4.39</v>
      </c>
      <c r="Y15" s="57"/>
      <c r="Z15" s="57">
        <v>4.39</v>
      </c>
      <c r="AA15" s="57"/>
      <c r="AB15" s="57">
        <v>4.39</v>
      </c>
      <c r="AC15" s="47"/>
      <c r="AD15" s="57"/>
      <c r="AF15" s="57"/>
    </row>
    <row r="16" spans="2:32" ht="12.75">
      <c r="B16" s="14" t="s">
        <v>60</v>
      </c>
      <c r="D16" s="14" t="s">
        <v>69</v>
      </c>
      <c r="E16" s="47"/>
      <c r="F16" s="57">
        <v>0.0792</v>
      </c>
      <c r="G16" s="57"/>
      <c r="H16" s="57">
        <v>0.109</v>
      </c>
      <c r="I16" s="57"/>
      <c r="J16" s="57">
        <v>0.0846</v>
      </c>
      <c r="K16" s="47"/>
      <c r="L16" s="71">
        <f t="shared" si="0"/>
        <v>0.09093333333333332</v>
      </c>
      <c r="M16" s="59"/>
      <c r="N16" s="59"/>
      <c r="O16" s="59"/>
      <c r="P16" s="59"/>
      <c r="Q16" s="59"/>
      <c r="R16" s="59"/>
      <c r="S16" s="59"/>
      <c r="T16" s="57"/>
      <c r="U16" s="57"/>
      <c r="V16" s="57"/>
      <c r="W16" s="57"/>
      <c r="X16" s="57"/>
      <c r="Y16" s="57"/>
      <c r="Z16" s="57"/>
      <c r="AA16" s="57"/>
      <c r="AB16" s="57"/>
      <c r="AC16" s="47"/>
      <c r="AD16" s="57"/>
      <c r="AF16" s="57"/>
    </row>
    <row r="17" spans="2:29" ht="12.75">
      <c r="B17" s="14" t="s">
        <v>150</v>
      </c>
      <c r="D17" s="14" t="s">
        <v>56</v>
      </c>
      <c r="E17" s="47"/>
      <c r="F17" s="57">
        <v>0.51</v>
      </c>
      <c r="G17" s="57"/>
      <c r="H17" s="57">
        <v>0.4</v>
      </c>
      <c r="I17" s="57" t="s">
        <v>34</v>
      </c>
      <c r="J17" s="57">
        <v>0.2</v>
      </c>
      <c r="K17" s="47"/>
      <c r="L17" s="71">
        <f t="shared" si="0"/>
        <v>0.37000000000000005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C17" s="47"/>
    </row>
    <row r="18" spans="2:29" ht="12.75">
      <c r="B18" s="14" t="s">
        <v>151</v>
      </c>
      <c r="D18" s="14" t="s">
        <v>56</v>
      </c>
      <c r="E18" s="47"/>
      <c r="F18" s="57">
        <v>0.039</v>
      </c>
      <c r="G18" s="57"/>
      <c r="H18" s="57">
        <v>0.035</v>
      </c>
      <c r="I18" s="57"/>
      <c r="J18" s="57">
        <v>0.029</v>
      </c>
      <c r="K18" s="47"/>
      <c r="L18" s="71">
        <f t="shared" si="0"/>
        <v>0.034333333333333334</v>
      </c>
      <c r="M18" s="60"/>
      <c r="N18" s="60"/>
      <c r="O18" s="60"/>
      <c r="P18" s="60"/>
      <c r="Q18" s="60"/>
      <c r="R18" s="60"/>
      <c r="S18" s="60"/>
      <c r="T18" s="57"/>
      <c r="U18" s="57"/>
      <c r="V18" s="57"/>
      <c r="W18" s="57"/>
      <c r="X18" s="57"/>
      <c r="Y18" s="57"/>
      <c r="Z18" s="57"/>
      <c r="AA18" s="57"/>
      <c r="AB18" s="57"/>
      <c r="AC18" s="47"/>
    </row>
    <row r="19" spans="2:29" ht="12.75">
      <c r="B19" s="14" t="s">
        <v>152</v>
      </c>
      <c r="D19" s="14" t="s">
        <v>56</v>
      </c>
      <c r="E19" s="47"/>
      <c r="F19" s="57">
        <v>0.15</v>
      </c>
      <c r="G19" s="57"/>
      <c r="H19" s="57">
        <v>0.12</v>
      </c>
      <c r="I19" s="57"/>
      <c r="J19" s="57">
        <v>0.1</v>
      </c>
      <c r="K19" s="47"/>
      <c r="L19" s="71">
        <f t="shared" si="0"/>
        <v>0.12333333333333334</v>
      </c>
      <c r="AB19" s="57"/>
      <c r="AC19" s="47"/>
    </row>
    <row r="20" spans="2:29" ht="12.75">
      <c r="B20" s="14" t="s">
        <v>153</v>
      </c>
      <c r="D20" s="14" t="s">
        <v>56</v>
      </c>
      <c r="E20" s="47" t="s">
        <v>34</v>
      </c>
      <c r="F20" s="57">
        <v>0.03</v>
      </c>
      <c r="G20" s="47" t="s">
        <v>34</v>
      </c>
      <c r="H20" s="57">
        <v>0.03</v>
      </c>
      <c r="I20" s="47" t="s">
        <v>34</v>
      </c>
      <c r="J20" s="57">
        <v>0.03</v>
      </c>
      <c r="K20" s="47"/>
      <c r="L20" s="71">
        <f t="shared" si="0"/>
        <v>0.03</v>
      </c>
      <c r="T20" s="57"/>
      <c r="U20" s="57"/>
      <c r="V20" s="57"/>
      <c r="W20" s="57"/>
      <c r="X20" s="57"/>
      <c r="Y20" s="57"/>
      <c r="Z20" s="57"/>
      <c r="AA20" s="57"/>
      <c r="AB20" s="57"/>
      <c r="AC20" s="47"/>
    </row>
    <row r="21" spans="2:29" ht="12.75">
      <c r="B21" s="14" t="s">
        <v>154</v>
      </c>
      <c r="D21" s="14" t="s">
        <v>56</v>
      </c>
      <c r="E21" s="47" t="s">
        <v>34</v>
      </c>
      <c r="F21" s="57">
        <v>0.2</v>
      </c>
      <c r="G21" s="47" t="s">
        <v>34</v>
      </c>
      <c r="H21" s="57">
        <v>0.2</v>
      </c>
      <c r="I21" s="47" t="s">
        <v>34</v>
      </c>
      <c r="J21" s="57">
        <v>0.2</v>
      </c>
      <c r="K21" s="47"/>
      <c r="L21" s="71">
        <f t="shared" si="0"/>
        <v>0.20000000000000004</v>
      </c>
      <c r="T21" s="57"/>
      <c r="U21" s="57"/>
      <c r="V21" s="57"/>
      <c r="W21" s="57"/>
      <c r="X21" s="57"/>
      <c r="Y21" s="57"/>
      <c r="Z21" s="57"/>
      <c r="AA21" s="57"/>
      <c r="AB21" s="57"/>
      <c r="AC21" s="47"/>
    </row>
    <row r="22" spans="2:29" ht="12.75">
      <c r="B22" s="14" t="s">
        <v>178</v>
      </c>
      <c r="D22" s="14" t="s">
        <v>56</v>
      </c>
      <c r="E22" s="47"/>
      <c r="F22" s="57">
        <v>0.27</v>
      </c>
      <c r="G22" s="47"/>
      <c r="H22" s="57">
        <v>0.26</v>
      </c>
      <c r="I22" s="47"/>
      <c r="J22" s="57">
        <v>0.33</v>
      </c>
      <c r="K22" s="47"/>
      <c r="L22" s="71">
        <f t="shared" si="0"/>
        <v>0.2866666666666667</v>
      </c>
      <c r="T22" s="57"/>
      <c r="U22" s="57"/>
      <c r="V22" s="57"/>
      <c r="W22" s="57"/>
      <c r="X22" s="57"/>
      <c r="Y22" s="57"/>
      <c r="Z22" s="57"/>
      <c r="AA22" s="57"/>
      <c r="AB22" s="57"/>
      <c r="AC22" s="47"/>
    </row>
    <row r="23" spans="2:30" ht="12.75">
      <c r="B23" s="14" t="s">
        <v>155</v>
      </c>
      <c r="D23" s="14" t="s">
        <v>56</v>
      </c>
      <c r="E23" s="47" t="s">
        <v>34</v>
      </c>
      <c r="F23" s="57">
        <v>0.4</v>
      </c>
      <c r="G23" s="47" t="s">
        <v>34</v>
      </c>
      <c r="H23" s="57">
        <v>0.4</v>
      </c>
      <c r="I23" s="47" t="s">
        <v>34</v>
      </c>
      <c r="J23" s="57">
        <v>0.4</v>
      </c>
      <c r="K23" s="47"/>
      <c r="L23" s="71">
        <f t="shared" si="0"/>
        <v>0.4000000000000001</v>
      </c>
      <c r="T23" s="57"/>
      <c r="U23" s="57"/>
      <c r="V23" s="57"/>
      <c r="W23" s="57"/>
      <c r="X23" s="57"/>
      <c r="Y23" s="57"/>
      <c r="Z23" s="57"/>
      <c r="AA23" s="57"/>
      <c r="AB23" s="57"/>
      <c r="AC23" s="47"/>
      <c r="AD23" s="57"/>
    </row>
    <row r="24" spans="2:28" ht="12.75">
      <c r="B24" s="14" t="s">
        <v>156</v>
      </c>
      <c r="D24" s="14" t="s">
        <v>56</v>
      </c>
      <c r="E24" s="47" t="s">
        <v>34</v>
      </c>
      <c r="F24" s="57">
        <v>0.04</v>
      </c>
      <c r="G24" s="47" t="s">
        <v>34</v>
      </c>
      <c r="H24" s="57">
        <v>0.04</v>
      </c>
      <c r="I24" s="47" t="s">
        <v>34</v>
      </c>
      <c r="J24" s="57">
        <v>0.04</v>
      </c>
      <c r="K24" s="47"/>
      <c r="L24" s="71">
        <f t="shared" si="0"/>
        <v>0.04</v>
      </c>
      <c r="M24" s="59"/>
      <c r="N24" s="59"/>
      <c r="O24" s="59"/>
      <c r="P24" s="59"/>
      <c r="Q24" s="59"/>
      <c r="R24" s="59"/>
      <c r="S24" s="59"/>
      <c r="T24" s="57"/>
      <c r="U24" s="57"/>
      <c r="V24" s="57"/>
      <c r="W24" s="57"/>
      <c r="X24" s="57"/>
      <c r="Y24" s="57"/>
      <c r="Z24" s="57"/>
      <c r="AA24" s="57"/>
      <c r="AB24" s="47"/>
    </row>
    <row r="25" spans="2:28" ht="12.75">
      <c r="B25" s="14" t="s">
        <v>157</v>
      </c>
      <c r="D25" s="14" t="s">
        <v>56</v>
      </c>
      <c r="E25" s="47" t="s">
        <v>34</v>
      </c>
      <c r="F25" s="57">
        <v>1</v>
      </c>
      <c r="G25" s="47" t="s">
        <v>34</v>
      </c>
      <c r="H25" s="57">
        <v>1</v>
      </c>
      <c r="I25" s="47" t="s">
        <v>34</v>
      </c>
      <c r="J25" s="57">
        <v>1</v>
      </c>
      <c r="K25" s="47"/>
      <c r="L25" s="71">
        <f t="shared" si="0"/>
        <v>1</v>
      </c>
      <c r="M25" s="59"/>
      <c r="N25" s="59"/>
      <c r="O25" s="59"/>
      <c r="P25" s="59"/>
      <c r="Q25" s="59"/>
      <c r="R25" s="59"/>
      <c r="S25" s="59"/>
      <c r="T25" s="57"/>
      <c r="U25" s="57"/>
      <c r="V25" s="57"/>
      <c r="W25" s="57"/>
      <c r="X25" s="57"/>
      <c r="Y25" s="57"/>
      <c r="Z25" s="57"/>
      <c r="AA25" s="57"/>
      <c r="AB25" s="47"/>
    </row>
    <row r="26" spans="2:28" ht="12.75">
      <c r="B26" s="14" t="s">
        <v>158</v>
      </c>
      <c r="D26" s="14" t="s">
        <v>56</v>
      </c>
      <c r="E26" s="47"/>
      <c r="F26" s="57">
        <v>0.78</v>
      </c>
      <c r="G26" s="47"/>
      <c r="H26" s="57">
        <v>0.5</v>
      </c>
      <c r="I26" s="47"/>
      <c r="J26" s="57">
        <v>1.1</v>
      </c>
      <c r="K26" s="47"/>
      <c r="L26" s="71">
        <f t="shared" si="0"/>
        <v>0.7933333333333333</v>
      </c>
      <c r="M26" s="60"/>
      <c r="N26" s="60"/>
      <c r="O26" s="60"/>
      <c r="P26" s="60"/>
      <c r="Q26" s="60"/>
      <c r="R26" s="60"/>
      <c r="S26" s="60"/>
      <c r="T26" s="57"/>
      <c r="U26" s="57"/>
      <c r="V26" s="57"/>
      <c r="W26" s="57"/>
      <c r="X26" s="57"/>
      <c r="Y26" s="57"/>
      <c r="Z26" s="57"/>
      <c r="AA26" s="57"/>
      <c r="AB26" s="47"/>
    </row>
    <row r="27" spans="2:28" ht="12.75">
      <c r="B27" s="14" t="s">
        <v>159</v>
      </c>
      <c r="D27" s="14" t="s">
        <v>56</v>
      </c>
      <c r="E27" s="47" t="s">
        <v>34</v>
      </c>
      <c r="F27" s="57">
        <v>0.06</v>
      </c>
      <c r="G27" s="47"/>
      <c r="H27" s="57">
        <v>0.2</v>
      </c>
      <c r="I27" s="47"/>
      <c r="J27" s="57">
        <v>0.17</v>
      </c>
      <c r="K27" s="47"/>
      <c r="L27" s="71">
        <f t="shared" si="0"/>
        <v>0.14333333333333334</v>
      </c>
      <c r="T27" s="57"/>
      <c r="U27" s="57"/>
      <c r="V27" s="57"/>
      <c r="W27" s="57"/>
      <c r="X27" s="57"/>
      <c r="Y27" s="57"/>
      <c r="Z27" s="57"/>
      <c r="AA27" s="57"/>
      <c r="AB27" s="47"/>
    </row>
    <row r="28" spans="2:28" ht="12.75">
      <c r="B28" s="14" t="s">
        <v>160</v>
      </c>
      <c r="D28" s="14" t="s">
        <v>56</v>
      </c>
      <c r="E28" s="47" t="s">
        <v>34</v>
      </c>
      <c r="F28" s="57">
        <v>0.4</v>
      </c>
      <c r="G28" s="47" t="s">
        <v>34</v>
      </c>
      <c r="H28" s="57">
        <v>0.4</v>
      </c>
      <c r="I28" s="47" t="s">
        <v>34</v>
      </c>
      <c r="J28" s="57">
        <v>0.4</v>
      </c>
      <c r="K28" s="47"/>
      <c r="L28" s="71">
        <f t="shared" si="0"/>
        <v>0.4000000000000001</v>
      </c>
      <c r="T28" s="57"/>
      <c r="U28" s="57"/>
      <c r="V28" s="57"/>
      <c r="W28" s="57"/>
      <c r="X28" s="57"/>
      <c r="Y28" s="57"/>
      <c r="Z28" s="57"/>
      <c r="AA28" s="57"/>
      <c r="AB28" s="47"/>
    </row>
    <row r="29" spans="2:28" ht="12.75">
      <c r="B29" s="14" t="s">
        <v>180</v>
      </c>
      <c r="D29" s="14" t="s">
        <v>56</v>
      </c>
      <c r="E29" s="47"/>
      <c r="F29" s="57">
        <v>3.8</v>
      </c>
      <c r="G29" s="57"/>
      <c r="H29" s="57">
        <v>3.4</v>
      </c>
      <c r="I29" s="57"/>
      <c r="J29" s="57">
        <v>4.2</v>
      </c>
      <c r="K29" s="47"/>
      <c r="L29" s="71">
        <f t="shared" si="0"/>
        <v>3.7999999999999994</v>
      </c>
      <c r="T29" s="57"/>
      <c r="U29" s="57"/>
      <c r="V29" s="57"/>
      <c r="W29" s="57"/>
      <c r="X29" s="57"/>
      <c r="Y29" s="57"/>
      <c r="Z29" s="57"/>
      <c r="AA29" s="57"/>
      <c r="AB29" s="47"/>
    </row>
    <row r="30" spans="5:28" ht="12.75">
      <c r="E30" s="47"/>
      <c r="F30" s="47"/>
      <c r="G30" s="47"/>
      <c r="H30" s="47"/>
      <c r="I30" s="47"/>
      <c r="J30" s="47"/>
      <c r="K30" s="47"/>
      <c r="T30" s="57"/>
      <c r="U30" s="57"/>
      <c r="V30" s="57"/>
      <c r="W30" s="57"/>
      <c r="X30" s="57"/>
      <c r="Y30" s="57"/>
      <c r="Z30" s="57"/>
      <c r="AA30" s="57"/>
      <c r="AB30" s="47"/>
    </row>
    <row r="31" spans="2:28" ht="12.75">
      <c r="B31" s="14" t="s">
        <v>107</v>
      </c>
      <c r="D31" s="14" t="s">
        <v>22</v>
      </c>
      <c r="E31" s="47"/>
      <c r="F31" s="57">
        <f>emiss!$G$18</f>
        <v>32300</v>
      </c>
      <c r="G31" s="47"/>
      <c r="H31" s="57">
        <f>emiss!$I$18</f>
        <v>32900</v>
      </c>
      <c r="I31" s="47"/>
      <c r="J31" s="57">
        <f>emiss!$K$18</f>
        <v>32500</v>
      </c>
      <c r="K31" s="47"/>
      <c r="L31" s="16">
        <f>emiss!$M$18</f>
        <v>32600</v>
      </c>
      <c r="M31" s="16"/>
      <c r="N31" s="16"/>
      <c r="O31" s="16"/>
      <c r="P31" s="16"/>
      <c r="Q31" s="16"/>
      <c r="R31" s="16"/>
      <c r="S31" s="16"/>
      <c r="T31" s="57"/>
      <c r="U31" s="57"/>
      <c r="V31" s="57">
        <f>emiss!$G$18</f>
        <v>32300</v>
      </c>
      <c r="W31" s="47"/>
      <c r="X31" s="57">
        <f>emiss!$I$18</f>
        <v>32900</v>
      </c>
      <c r="Y31" s="47"/>
      <c r="Z31" s="57">
        <f>emiss!$K$18</f>
        <v>32500</v>
      </c>
      <c r="AA31" s="47"/>
      <c r="AB31" s="16">
        <f>emiss!$M$18</f>
        <v>32600</v>
      </c>
    </row>
    <row r="32" spans="2:28" ht="12.75">
      <c r="B32" s="14" t="s">
        <v>108</v>
      </c>
      <c r="D32" s="14" t="s">
        <v>23</v>
      </c>
      <c r="E32" s="47"/>
      <c r="F32" s="57">
        <f>emiss!$G$19</f>
        <v>5.2</v>
      </c>
      <c r="G32" s="47"/>
      <c r="H32" s="57">
        <f>emiss!$I$19</f>
        <v>5.1</v>
      </c>
      <c r="I32" s="47"/>
      <c r="J32" s="57">
        <f>emiss!$K$19</f>
        <v>5</v>
      </c>
      <c r="K32" s="47"/>
      <c r="L32" s="57">
        <f>emiss!$M$19</f>
        <v>5.1</v>
      </c>
      <c r="T32" s="57"/>
      <c r="U32" s="57"/>
      <c r="V32" s="57">
        <f>emiss!$G$19</f>
        <v>5.2</v>
      </c>
      <c r="W32" s="47"/>
      <c r="X32" s="57">
        <f>emiss!$I$19</f>
        <v>5.1</v>
      </c>
      <c r="Y32" s="47"/>
      <c r="Z32" s="57">
        <f>emiss!$K$19</f>
        <v>5</v>
      </c>
      <c r="AA32" s="47"/>
      <c r="AB32" s="57">
        <f>emiss!$M$19</f>
        <v>5.1</v>
      </c>
    </row>
    <row r="33" spans="5:28" ht="12.75">
      <c r="E33" s="47"/>
      <c r="F33" s="47"/>
      <c r="G33" s="47"/>
      <c r="H33" s="47"/>
      <c r="I33" s="47"/>
      <c r="J33" s="47"/>
      <c r="K33" s="47"/>
      <c r="T33" s="57"/>
      <c r="U33" s="57"/>
      <c r="V33" s="57"/>
      <c r="W33" s="57"/>
      <c r="X33" s="57"/>
      <c r="Y33" s="57"/>
      <c r="Z33" s="57"/>
      <c r="AA33" s="57"/>
      <c r="AB33" s="47"/>
    </row>
    <row r="34" spans="2:36" ht="12.75">
      <c r="B34" s="14" t="s">
        <v>220</v>
      </c>
      <c r="D34" s="14" t="s">
        <v>72</v>
      </c>
      <c r="E34" s="47"/>
      <c r="L34" s="42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47"/>
      <c r="AD34" s="15">
        <f>(F31/9000)*((21-F32)/21)*60</f>
        <v>162.0126984126984</v>
      </c>
      <c r="AE34" s="47"/>
      <c r="AF34" s="15">
        <f>(H31/9000)*((21-H32)/21)*60</f>
        <v>166.06666666666663</v>
      </c>
      <c r="AG34" s="47"/>
      <c r="AH34" s="15">
        <f>(J31/9000)*((21-J32)/21)*60</f>
        <v>165.07936507936506</v>
      </c>
      <c r="AI34" s="47"/>
      <c r="AJ34" s="15">
        <f>(L31/9000)*((21-L32)/21)*60</f>
        <v>164.55238095238093</v>
      </c>
    </row>
    <row r="35" spans="5:28" ht="12.75">
      <c r="E35" s="47"/>
      <c r="F35" s="47"/>
      <c r="G35" s="47"/>
      <c r="H35" s="47"/>
      <c r="I35" s="47"/>
      <c r="J35" s="47"/>
      <c r="K35" s="4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47"/>
    </row>
    <row r="36" spans="2:28" ht="12.75">
      <c r="B36" s="69" t="s">
        <v>132</v>
      </c>
      <c r="C36" s="69"/>
      <c r="E36" s="47"/>
      <c r="F36" s="47"/>
      <c r="G36" s="47"/>
      <c r="H36" s="47"/>
      <c r="I36" s="47"/>
      <c r="J36" s="47"/>
      <c r="K36" s="47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47"/>
    </row>
    <row r="37" spans="2:36" ht="12.75">
      <c r="B37" s="14" t="s">
        <v>59</v>
      </c>
      <c r="D37" s="14" t="s">
        <v>101</v>
      </c>
      <c r="E37" s="47"/>
      <c r="F37" s="15">
        <f>(F15*454/(F31*60*0.0283))*((21-7)/(21-F32))*1000</f>
        <v>10.26868020686733</v>
      </c>
      <c r="G37" s="72"/>
      <c r="H37" s="15">
        <f>(H15*454/(H31*60*0.0283))*((21-7)/(21-H32))*1000</f>
        <v>13.595863049656423</v>
      </c>
      <c r="I37" s="72"/>
      <c r="J37" s="15">
        <f>(J15*454/(J31*60*0.0283))*((21-7)/(21-J32))*1000</f>
        <v>8.638216906768143</v>
      </c>
      <c r="K37" s="72"/>
      <c r="L37" s="15">
        <f aca="true" t="shared" si="1" ref="L37:L54">AVERAGE(J37,H37,F37)</f>
        <v>10.834253387763965</v>
      </c>
      <c r="M37" s="15"/>
      <c r="N37" s="15"/>
      <c r="O37" s="15"/>
      <c r="P37" s="15"/>
      <c r="Q37" s="15"/>
      <c r="R37" s="15"/>
      <c r="S37" s="15"/>
      <c r="T37" s="57"/>
      <c r="U37" s="57"/>
      <c r="V37" s="15">
        <f>(V15*454/(V31*60*0.0283))*((21-7)/(21-V32))*1000</f>
        <v>32.19964722010542</v>
      </c>
      <c r="W37" s="72"/>
      <c r="X37" s="15">
        <f>(X15*454/(X31*60*0.0283))*((21-7)/(21-X32))*1000</f>
        <v>31.4135993621009</v>
      </c>
      <c r="Y37" s="72"/>
      <c r="Z37" s="15">
        <f>(Z15*454/(Z31*60*0.0283))*((21-7)/(21-Z32))*1000</f>
        <v>31.60147685059346</v>
      </c>
      <c r="AA37" s="72"/>
      <c r="AB37" s="15">
        <f>AVERAGE(Z37,X37,V37)</f>
        <v>31.738241144266595</v>
      </c>
      <c r="AC37" s="42">
        <f>E37</f>
        <v>0</v>
      </c>
      <c r="AD37" s="51">
        <f>SUM(V37,F37)</f>
        <v>42.46832742697275</v>
      </c>
      <c r="AE37" s="42">
        <f>G37</f>
        <v>0</v>
      </c>
      <c r="AF37" s="51">
        <f>SUM(X37,H37)</f>
        <v>45.009462411757326</v>
      </c>
      <c r="AG37" s="42">
        <f>I37</f>
        <v>0</v>
      </c>
      <c r="AH37" s="51">
        <f>SUM(Z37,J37)</f>
        <v>40.23969375736161</v>
      </c>
      <c r="AI37" s="42">
        <f>K37</f>
        <v>0</v>
      </c>
      <c r="AJ37" s="51">
        <f>SUM(AB37,L37)</f>
        <v>42.57249453203056</v>
      </c>
    </row>
    <row r="38" spans="2:36" ht="12.75">
      <c r="B38" s="14" t="s">
        <v>60</v>
      </c>
      <c r="D38" s="14" t="s">
        <v>103</v>
      </c>
      <c r="E38" s="47"/>
      <c r="F38" s="15">
        <f>(F16*454/(F$31*60*0.0283))*(14/(21-F$32))*1000000</f>
        <v>580.9139088456376</v>
      </c>
      <c r="G38" s="72"/>
      <c r="H38" s="15">
        <f>(H16*454/(H$31*60*0.0283))*(14/(21-H$32))*1000000</f>
        <v>779.9731960066052</v>
      </c>
      <c r="I38" s="72"/>
      <c r="J38" s="15">
        <f>(J16*454/(J$31*60*0.0283))*(14/(21-J$32))*1000000</f>
        <v>608.9942919271542</v>
      </c>
      <c r="K38" s="72"/>
      <c r="L38" s="15">
        <f t="shared" si="1"/>
        <v>656.627132259799</v>
      </c>
      <c r="M38" s="16"/>
      <c r="N38" s="16"/>
      <c r="O38" s="16"/>
      <c r="P38" s="16"/>
      <c r="Q38" s="16"/>
      <c r="R38" s="16"/>
      <c r="S38" s="16"/>
      <c r="T38" s="57"/>
      <c r="U38" s="57"/>
      <c r="V38" s="57"/>
      <c r="W38" s="57"/>
      <c r="X38" s="57"/>
      <c r="Y38" s="57"/>
      <c r="Z38" s="57"/>
      <c r="AA38" s="57"/>
      <c r="AB38" s="47"/>
      <c r="AC38" s="42">
        <f>E38</f>
        <v>0</v>
      </c>
      <c r="AD38" s="51">
        <f>SUM(V38,F38)</f>
        <v>580.9139088456376</v>
      </c>
      <c r="AE38" s="42">
        <f>G38</f>
        <v>0</v>
      </c>
      <c r="AF38" s="51">
        <f>SUM(X38,H38)</f>
        <v>779.9731960066052</v>
      </c>
      <c r="AG38" s="42">
        <f>I38</f>
        <v>0</v>
      </c>
      <c r="AH38" s="51">
        <f>SUM(Z38,J38)</f>
        <v>608.9942919271542</v>
      </c>
      <c r="AI38" s="42">
        <f>K38</f>
        <v>0</v>
      </c>
      <c r="AJ38" s="51">
        <f>SUM(AB38,L38)</f>
        <v>656.627132259799</v>
      </c>
    </row>
    <row r="39" spans="2:36" ht="12.75">
      <c r="B39" s="14" t="s">
        <v>150</v>
      </c>
      <c r="D39" s="14" t="s">
        <v>103</v>
      </c>
      <c r="E39" s="47"/>
      <c r="F39" s="15">
        <f>(F17/(F$31*60*0.0283))*(14/(21-F$32))*1000000</f>
        <v>8.239501109978507</v>
      </c>
      <c r="G39" s="72"/>
      <c r="H39" s="15">
        <f>(H17/(H$31*60*0.0283))*(14/(21-H$32))*1000000</f>
        <v>6.304596823397368</v>
      </c>
      <c r="I39" s="47">
        <v>100</v>
      </c>
      <c r="J39" s="15">
        <f aca="true" t="shared" si="2" ref="J39:J51">(J17/(J$31*60*0.0283))*(14/(21-J$32))*1000000</f>
        <v>3.171151581045574</v>
      </c>
      <c r="K39" s="50">
        <f>(E39*F39+G39*H39+I39*J39)/SUM(F39,H39,J39)</f>
        <v>17.900688209127598</v>
      </c>
      <c r="L39" s="15">
        <f t="shared" si="1"/>
        <v>5.905083171473817</v>
      </c>
      <c r="M39" s="15"/>
      <c r="N39" s="15"/>
      <c r="O39" s="15"/>
      <c r="P39" s="15"/>
      <c r="Q39" s="15"/>
      <c r="R39" s="15"/>
      <c r="S39" s="15"/>
      <c r="T39" s="57"/>
      <c r="U39" s="57"/>
      <c r="V39" s="57"/>
      <c r="W39" s="57"/>
      <c r="X39" s="57"/>
      <c r="Y39" s="57"/>
      <c r="Z39" s="57"/>
      <c r="AA39" s="57"/>
      <c r="AB39" s="47"/>
      <c r="AC39" s="42">
        <f aca="true" t="shared" si="3" ref="AC39:AI54">E39</f>
        <v>0</v>
      </c>
      <c r="AD39" s="51">
        <f>SUM(V39,F39)</f>
        <v>8.239501109978507</v>
      </c>
      <c r="AE39" s="42">
        <f t="shared" si="3"/>
        <v>0</v>
      </c>
      <c r="AF39" s="51">
        <f aca="true" t="shared" si="4" ref="AF39:AF44">SUM(X39,H39)</f>
        <v>6.304596823397368</v>
      </c>
      <c r="AG39" s="42">
        <f t="shared" si="3"/>
        <v>100</v>
      </c>
      <c r="AH39" s="51">
        <f aca="true" t="shared" si="5" ref="AH39:AH44">SUM(Z39,J39)</f>
        <v>3.171151581045574</v>
      </c>
      <c r="AI39" s="42">
        <f t="shared" si="3"/>
        <v>17.900688209127598</v>
      </c>
      <c r="AJ39" s="51">
        <f aca="true" t="shared" si="6" ref="AJ39:AJ45">SUM(AB39,L39)</f>
        <v>5.905083171473817</v>
      </c>
    </row>
    <row r="40" spans="2:36" ht="12.75">
      <c r="B40" s="14" t="s">
        <v>151</v>
      </c>
      <c r="D40" s="14" t="s">
        <v>103</v>
      </c>
      <c r="E40" s="47"/>
      <c r="F40" s="15">
        <f aca="true" t="shared" si="7" ref="F40:H51">(F18/(F$31*60*0.0283))*(14/(21-F$32))*1000000</f>
        <v>0.6300794966454153</v>
      </c>
      <c r="G40" s="72"/>
      <c r="H40" s="15">
        <f t="shared" si="7"/>
        <v>0.5516522220472698</v>
      </c>
      <c r="I40" s="72"/>
      <c r="J40" s="15">
        <f t="shared" si="2"/>
        <v>0.45981697925160825</v>
      </c>
      <c r="K40" s="72"/>
      <c r="L40" s="15">
        <f t="shared" si="1"/>
        <v>0.5471828993147644</v>
      </c>
      <c r="M40" s="15"/>
      <c r="N40" s="15"/>
      <c r="O40" s="15"/>
      <c r="P40" s="15"/>
      <c r="Q40" s="15"/>
      <c r="R40" s="15"/>
      <c r="S40" s="15"/>
      <c r="T40" s="57"/>
      <c r="U40" s="57"/>
      <c r="V40" s="57"/>
      <c r="W40" s="57"/>
      <c r="X40" s="57"/>
      <c r="Y40" s="57"/>
      <c r="Z40" s="57"/>
      <c r="AA40" s="57"/>
      <c r="AB40" s="47"/>
      <c r="AC40" s="42">
        <f t="shared" si="3"/>
        <v>0</v>
      </c>
      <c r="AD40" s="51">
        <f>SUM(V40,F40)</f>
        <v>0.6300794966454153</v>
      </c>
      <c r="AE40" s="42">
        <f t="shared" si="3"/>
        <v>0</v>
      </c>
      <c r="AF40" s="51">
        <f t="shared" si="4"/>
        <v>0.5516522220472698</v>
      </c>
      <c r="AG40" s="42">
        <f t="shared" si="3"/>
        <v>0</v>
      </c>
      <c r="AH40" s="51">
        <f t="shared" si="5"/>
        <v>0.45981697925160825</v>
      </c>
      <c r="AI40" s="42">
        <f t="shared" si="3"/>
        <v>0</v>
      </c>
      <c r="AJ40" s="51">
        <f t="shared" si="6"/>
        <v>0.5471828993147644</v>
      </c>
    </row>
    <row r="41" spans="2:36" ht="12.75">
      <c r="B41" s="14" t="s">
        <v>152</v>
      </c>
      <c r="D41" s="14" t="s">
        <v>103</v>
      </c>
      <c r="E41" s="47"/>
      <c r="F41" s="15">
        <f t="shared" si="7"/>
        <v>2.4233826794054427</v>
      </c>
      <c r="G41" s="72"/>
      <c r="H41" s="15">
        <f t="shared" si="7"/>
        <v>1.8913790470192104</v>
      </c>
      <c r="I41" s="72"/>
      <c r="J41" s="15">
        <f t="shared" si="2"/>
        <v>1.585575790522787</v>
      </c>
      <c r="K41" s="72"/>
      <c r="L41" s="15">
        <f t="shared" si="1"/>
        <v>1.9667791723158132</v>
      </c>
      <c r="M41" s="15"/>
      <c r="N41" s="15"/>
      <c r="O41" s="15"/>
      <c r="P41" s="15"/>
      <c r="Q41" s="15"/>
      <c r="R41" s="15"/>
      <c r="S41" s="15"/>
      <c r="T41" s="57"/>
      <c r="U41" s="57"/>
      <c r="V41" s="57"/>
      <c r="W41" s="57"/>
      <c r="X41" s="57"/>
      <c r="Y41" s="57"/>
      <c r="Z41" s="57"/>
      <c r="AA41" s="57"/>
      <c r="AB41" s="47"/>
      <c r="AC41" s="42">
        <f t="shared" si="3"/>
        <v>0</v>
      </c>
      <c r="AD41" s="51">
        <f>SUM(V41,F41)</f>
        <v>2.4233826794054427</v>
      </c>
      <c r="AE41" s="42">
        <f t="shared" si="3"/>
        <v>0</v>
      </c>
      <c r="AF41" s="51">
        <f t="shared" si="4"/>
        <v>1.8913790470192104</v>
      </c>
      <c r="AG41" s="42">
        <f t="shared" si="3"/>
        <v>0</v>
      </c>
      <c r="AH41" s="51">
        <f t="shared" si="5"/>
        <v>1.585575790522787</v>
      </c>
      <c r="AI41" s="42">
        <f t="shared" si="3"/>
        <v>0</v>
      </c>
      <c r="AJ41" s="51">
        <f t="shared" si="6"/>
        <v>1.9667791723158132</v>
      </c>
    </row>
    <row r="42" spans="2:36" ht="12.75">
      <c r="B42" s="14" t="s">
        <v>153</v>
      </c>
      <c r="D42" s="14" t="s">
        <v>103</v>
      </c>
      <c r="E42" s="47">
        <v>100</v>
      </c>
      <c r="F42" s="15">
        <f t="shared" si="7"/>
        <v>0.48467653588108867</v>
      </c>
      <c r="G42" s="47">
        <v>100</v>
      </c>
      <c r="H42" s="15">
        <f t="shared" si="7"/>
        <v>0.4728447617548026</v>
      </c>
      <c r="I42" s="47">
        <v>100</v>
      </c>
      <c r="J42" s="15">
        <f t="shared" si="2"/>
        <v>0.47567273715683606</v>
      </c>
      <c r="K42" s="50">
        <v>100</v>
      </c>
      <c r="L42" s="15">
        <f t="shared" si="1"/>
        <v>0.47773134493090913</v>
      </c>
      <c r="M42" s="15"/>
      <c r="N42" s="15"/>
      <c r="O42" s="15"/>
      <c r="P42" s="15"/>
      <c r="Q42" s="15"/>
      <c r="R42" s="15"/>
      <c r="S42" s="15"/>
      <c r="T42" s="57"/>
      <c r="U42" s="57"/>
      <c r="V42" s="57"/>
      <c r="W42" s="57"/>
      <c r="X42" s="57"/>
      <c r="Y42" s="57"/>
      <c r="Z42" s="57"/>
      <c r="AA42" s="57"/>
      <c r="AB42" s="47"/>
      <c r="AC42" s="42">
        <f t="shared" si="3"/>
        <v>100</v>
      </c>
      <c r="AD42" s="51">
        <f>SUM(V42,F42)/2</f>
        <v>0.24233826794054433</v>
      </c>
      <c r="AE42" s="42">
        <f t="shared" si="3"/>
        <v>100</v>
      </c>
      <c r="AF42" s="51">
        <f>SUM(X42,H42)/2</f>
        <v>0.2364223808774013</v>
      </c>
      <c r="AG42" s="42">
        <f t="shared" si="3"/>
        <v>100</v>
      </c>
      <c r="AH42" s="51">
        <f>SUM(Z42,J42)/2</f>
        <v>0.23783636857841803</v>
      </c>
      <c r="AI42" s="42">
        <f t="shared" si="3"/>
        <v>100</v>
      </c>
      <c r="AJ42" s="51">
        <f t="shared" si="6"/>
        <v>0.47773134493090913</v>
      </c>
    </row>
    <row r="43" spans="2:36" ht="12.75">
      <c r="B43" s="14" t="s">
        <v>154</v>
      </c>
      <c r="D43" s="14" t="s">
        <v>103</v>
      </c>
      <c r="E43" s="47">
        <v>100</v>
      </c>
      <c r="F43" s="15">
        <f t="shared" si="7"/>
        <v>3.231176905873925</v>
      </c>
      <c r="G43" s="47">
        <v>100</v>
      </c>
      <c r="H43" s="15">
        <f t="shared" si="7"/>
        <v>3.152298411698684</v>
      </c>
      <c r="I43" s="47">
        <v>100</v>
      </c>
      <c r="J43" s="15">
        <f t="shared" si="2"/>
        <v>3.171151581045574</v>
      </c>
      <c r="K43" s="50">
        <v>100</v>
      </c>
      <c r="L43" s="15">
        <f t="shared" si="1"/>
        <v>3.184875632872728</v>
      </c>
      <c r="M43" s="15"/>
      <c r="N43" s="15"/>
      <c r="O43" s="15"/>
      <c r="P43" s="15"/>
      <c r="Q43" s="15"/>
      <c r="R43" s="15"/>
      <c r="S43" s="15"/>
      <c r="T43" s="57"/>
      <c r="U43" s="57"/>
      <c r="V43" s="57"/>
      <c r="W43" s="57"/>
      <c r="X43" s="57"/>
      <c r="Y43" s="57"/>
      <c r="Z43" s="57"/>
      <c r="AA43" s="57"/>
      <c r="AB43" s="47"/>
      <c r="AC43" s="42">
        <f t="shared" si="3"/>
        <v>100</v>
      </c>
      <c r="AD43" s="51">
        <f>SUM(V43,F43/2)</f>
        <v>1.6155884529369624</v>
      </c>
      <c r="AE43" s="42">
        <f t="shared" si="3"/>
        <v>100</v>
      </c>
      <c r="AF43" s="51">
        <f>SUM(X43,H43/2)</f>
        <v>1.576149205849342</v>
      </c>
      <c r="AG43" s="42">
        <f t="shared" si="3"/>
        <v>100</v>
      </c>
      <c r="AH43" s="51">
        <f>SUM(Z43,J43/2)</f>
        <v>1.585575790522787</v>
      </c>
      <c r="AI43" s="42">
        <f t="shared" si="3"/>
        <v>100</v>
      </c>
      <c r="AJ43" s="51">
        <f t="shared" si="6"/>
        <v>3.184875632872728</v>
      </c>
    </row>
    <row r="44" spans="2:36" ht="12.75">
      <c r="B44" s="14" t="s">
        <v>178</v>
      </c>
      <c r="D44" s="14" t="s">
        <v>103</v>
      </c>
      <c r="E44" s="47"/>
      <c r="F44" s="15">
        <f t="shared" si="7"/>
        <v>4.362088822929798</v>
      </c>
      <c r="G44" s="72"/>
      <c r="H44" s="15">
        <f t="shared" si="7"/>
        <v>4.097987935208289</v>
      </c>
      <c r="I44" s="72"/>
      <c r="J44" s="15">
        <f t="shared" si="2"/>
        <v>5.232400108725198</v>
      </c>
      <c r="K44" s="72"/>
      <c r="L44" s="15">
        <f t="shared" si="1"/>
        <v>4.564158955621095</v>
      </c>
      <c r="M44" s="15"/>
      <c r="N44" s="15"/>
      <c r="O44" s="15"/>
      <c r="P44" s="15"/>
      <c r="Q44" s="15"/>
      <c r="R44" s="15"/>
      <c r="S44" s="15"/>
      <c r="T44" s="57"/>
      <c r="U44" s="57"/>
      <c r="V44" s="57"/>
      <c r="W44" s="57"/>
      <c r="X44" s="57"/>
      <c r="Y44" s="57"/>
      <c r="Z44" s="57"/>
      <c r="AA44" s="57"/>
      <c r="AB44" s="47"/>
      <c r="AC44" s="42">
        <f t="shared" si="3"/>
        <v>0</v>
      </c>
      <c r="AD44" s="51">
        <f>SUM(V44,F44)</f>
        <v>4.362088822929798</v>
      </c>
      <c r="AE44" s="42">
        <f t="shared" si="3"/>
        <v>0</v>
      </c>
      <c r="AF44" s="51">
        <f t="shared" si="4"/>
        <v>4.097987935208289</v>
      </c>
      <c r="AG44" s="42">
        <f t="shared" si="3"/>
        <v>0</v>
      </c>
      <c r="AH44" s="51">
        <f t="shared" si="5"/>
        <v>5.232400108725198</v>
      </c>
      <c r="AI44" s="42">
        <f t="shared" si="3"/>
        <v>0</v>
      </c>
      <c r="AJ44" s="51">
        <f t="shared" si="6"/>
        <v>4.564158955621095</v>
      </c>
    </row>
    <row r="45" spans="2:36" ht="12.75">
      <c r="B45" s="14" t="s">
        <v>155</v>
      </c>
      <c r="D45" s="14" t="s">
        <v>103</v>
      </c>
      <c r="E45" s="47">
        <v>100</v>
      </c>
      <c r="F45" s="15">
        <f t="shared" si="7"/>
        <v>6.46235381174785</v>
      </c>
      <c r="G45" s="47">
        <v>100</v>
      </c>
      <c r="H45" s="15">
        <f t="shared" si="7"/>
        <v>6.304596823397368</v>
      </c>
      <c r="I45" s="47">
        <v>100</v>
      </c>
      <c r="J45" s="15">
        <f t="shared" si="2"/>
        <v>6.342303162091148</v>
      </c>
      <c r="K45" s="50">
        <v>100</v>
      </c>
      <c r="L45" s="15">
        <f t="shared" si="1"/>
        <v>6.369751265745456</v>
      </c>
      <c r="M45" s="15"/>
      <c r="N45" s="15"/>
      <c r="O45" s="15"/>
      <c r="P45" s="15"/>
      <c r="Q45" s="15"/>
      <c r="R45" s="15"/>
      <c r="S45" s="15"/>
      <c r="T45" s="57"/>
      <c r="U45" s="57"/>
      <c r="V45" s="57"/>
      <c r="W45" s="57"/>
      <c r="X45" s="57"/>
      <c r="Y45" s="57"/>
      <c r="Z45" s="57"/>
      <c r="AA45" s="57"/>
      <c r="AB45" s="47"/>
      <c r="AC45" s="42">
        <f t="shared" si="3"/>
        <v>100</v>
      </c>
      <c r="AD45" s="51">
        <f>SUM(V45,F45/2)</f>
        <v>3.231176905873925</v>
      </c>
      <c r="AE45" s="42">
        <f t="shared" si="3"/>
        <v>100</v>
      </c>
      <c r="AF45" s="51">
        <f>SUM(X45,H45/2)</f>
        <v>3.152298411698684</v>
      </c>
      <c r="AG45" s="42">
        <f t="shared" si="3"/>
        <v>100</v>
      </c>
      <c r="AH45" s="51">
        <f>SUM(Z45,J45/2)</f>
        <v>3.171151581045574</v>
      </c>
      <c r="AI45" s="42">
        <f t="shared" si="3"/>
        <v>100</v>
      </c>
      <c r="AJ45" s="51">
        <f t="shared" si="6"/>
        <v>6.369751265745456</v>
      </c>
    </row>
    <row r="46" spans="2:36" ht="12.75">
      <c r="B46" s="14" t="s">
        <v>156</v>
      </c>
      <c r="D46" s="14" t="s">
        <v>103</v>
      </c>
      <c r="E46" s="47">
        <v>100</v>
      </c>
      <c r="F46" s="15">
        <f t="shared" si="7"/>
        <v>0.6462353811747849</v>
      </c>
      <c r="G46" s="47">
        <v>100</v>
      </c>
      <c r="H46" s="15">
        <f t="shared" si="7"/>
        <v>0.6304596823397369</v>
      </c>
      <c r="I46" s="47">
        <v>100</v>
      </c>
      <c r="J46" s="15">
        <f t="shared" si="2"/>
        <v>0.6342303162091149</v>
      </c>
      <c r="K46" s="50">
        <v>100</v>
      </c>
      <c r="L46" s="15">
        <f t="shared" si="1"/>
        <v>0.6369751265745456</v>
      </c>
      <c r="M46" s="15"/>
      <c r="N46" s="15"/>
      <c r="O46" s="15"/>
      <c r="P46" s="15"/>
      <c r="Q46" s="15"/>
      <c r="R46" s="15"/>
      <c r="S46" s="15"/>
      <c r="T46" s="57"/>
      <c r="U46" s="57"/>
      <c r="V46" s="51"/>
      <c r="W46" s="57"/>
      <c r="X46" s="57"/>
      <c r="Y46" s="57"/>
      <c r="Z46" s="57"/>
      <c r="AA46" s="57"/>
      <c r="AB46" s="47"/>
      <c r="AC46" s="42">
        <f t="shared" si="3"/>
        <v>100</v>
      </c>
      <c r="AD46" s="51">
        <f>SUM(V46,F46/2)</f>
        <v>0.3231176905873924</v>
      </c>
      <c r="AE46" s="42">
        <f t="shared" si="3"/>
        <v>100</v>
      </c>
      <c r="AF46" s="51">
        <f>SUM(X46,H46/2)</f>
        <v>0.31522984116986846</v>
      </c>
      <c r="AG46" s="42">
        <f t="shared" si="3"/>
        <v>100</v>
      </c>
      <c r="AH46" s="51">
        <f>SUM(Z46,J46/2)</f>
        <v>0.3171151581045574</v>
      </c>
      <c r="AI46" s="42">
        <f t="shared" si="3"/>
        <v>100</v>
      </c>
      <c r="AJ46" s="51">
        <f aca="true" t="shared" si="8" ref="AJ46:AJ54">SUM(AB46,L46)</f>
        <v>0.6369751265745456</v>
      </c>
    </row>
    <row r="47" spans="2:36" ht="12.75">
      <c r="B47" s="14" t="s">
        <v>157</v>
      </c>
      <c r="D47" s="14" t="s">
        <v>103</v>
      </c>
      <c r="E47" s="47">
        <v>100</v>
      </c>
      <c r="F47" s="15">
        <f t="shared" si="7"/>
        <v>16.155884529369622</v>
      </c>
      <c r="G47" s="47">
        <v>100</v>
      </c>
      <c r="H47" s="15">
        <f t="shared" si="7"/>
        <v>15.761492058493422</v>
      </c>
      <c r="I47" s="47">
        <v>100</v>
      </c>
      <c r="J47" s="15">
        <f t="shared" si="2"/>
        <v>15.855757905227868</v>
      </c>
      <c r="K47" s="50">
        <v>100</v>
      </c>
      <c r="L47" s="15">
        <f t="shared" si="1"/>
        <v>15.924378164363638</v>
      </c>
      <c r="M47" s="15"/>
      <c r="N47" s="15"/>
      <c r="O47" s="15"/>
      <c r="P47" s="15"/>
      <c r="Q47" s="15"/>
      <c r="R47" s="15"/>
      <c r="S47" s="15"/>
      <c r="T47" s="57"/>
      <c r="U47" s="57"/>
      <c r="V47" s="57"/>
      <c r="W47" s="57"/>
      <c r="X47" s="57"/>
      <c r="Y47" s="57"/>
      <c r="Z47" s="57"/>
      <c r="AA47" s="57"/>
      <c r="AB47" s="47"/>
      <c r="AC47" s="42">
        <f t="shared" si="3"/>
        <v>100</v>
      </c>
      <c r="AD47" s="51">
        <f>SUM(V47,F47/2)</f>
        <v>8.077942264684811</v>
      </c>
      <c r="AE47" s="42">
        <f t="shared" si="3"/>
        <v>100</v>
      </c>
      <c r="AF47" s="51">
        <f>SUM(X47,H47/2)</f>
        <v>7.880746029246711</v>
      </c>
      <c r="AG47" s="42">
        <f t="shared" si="3"/>
        <v>100</v>
      </c>
      <c r="AH47" s="51">
        <f>SUM(Z47,J47/2)</f>
        <v>7.927878952613934</v>
      </c>
      <c r="AI47" s="42">
        <f t="shared" si="3"/>
        <v>100</v>
      </c>
      <c r="AJ47" s="51">
        <f t="shared" si="8"/>
        <v>15.924378164363638</v>
      </c>
    </row>
    <row r="48" spans="2:36" ht="12.75">
      <c r="B48" s="14" t="s">
        <v>158</v>
      </c>
      <c r="D48" s="14" t="s">
        <v>103</v>
      </c>
      <c r="E48" s="47"/>
      <c r="F48" s="15">
        <f t="shared" si="7"/>
        <v>12.601589932908304</v>
      </c>
      <c r="G48" s="72"/>
      <c r="H48" s="15">
        <f t="shared" si="7"/>
        <v>7.880746029246711</v>
      </c>
      <c r="I48" s="72"/>
      <c r="J48" s="15">
        <f t="shared" si="2"/>
        <v>17.44133369575066</v>
      </c>
      <c r="K48" s="72"/>
      <c r="L48" s="15">
        <f t="shared" si="1"/>
        <v>12.641223219301892</v>
      </c>
      <c r="M48" s="15"/>
      <c r="N48" s="15"/>
      <c r="O48" s="15"/>
      <c r="P48" s="15"/>
      <c r="Q48" s="15"/>
      <c r="R48" s="15"/>
      <c r="S48" s="15"/>
      <c r="T48" s="57"/>
      <c r="U48" s="57"/>
      <c r="V48" s="57"/>
      <c r="W48" s="57"/>
      <c r="X48" s="57"/>
      <c r="Y48" s="57"/>
      <c r="Z48" s="57"/>
      <c r="AA48" s="57"/>
      <c r="AB48" s="47"/>
      <c r="AC48" s="42">
        <f t="shared" si="3"/>
        <v>0</v>
      </c>
      <c r="AD48" s="51">
        <f aca="true" t="shared" si="9" ref="AD48:AD54">SUM(V48,F48)</f>
        <v>12.601589932908304</v>
      </c>
      <c r="AE48" s="42">
        <f t="shared" si="3"/>
        <v>0</v>
      </c>
      <c r="AF48" s="51">
        <f aca="true" t="shared" si="10" ref="AF48:AF54">SUM(X48,H48)</f>
        <v>7.880746029246711</v>
      </c>
      <c r="AG48" s="42">
        <f t="shared" si="3"/>
        <v>0</v>
      </c>
      <c r="AH48" s="51">
        <f aca="true" t="shared" si="11" ref="AH48:AH54">SUM(Z48,J48)</f>
        <v>17.44133369575066</v>
      </c>
      <c r="AI48" s="42">
        <f t="shared" si="3"/>
        <v>0</v>
      </c>
      <c r="AJ48" s="51">
        <f t="shared" si="8"/>
        <v>12.641223219301892</v>
      </c>
    </row>
    <row r="49" spans="2:36" ht="12.75">
      <c r="B49" s="14" t="s">
        <v>159</v>
      </c>
      <c r="D49" s="14" t="s">
        <v>103</v>
      </c>
      <c r="E49" s="47">
        <v>100</v>
      </c>
      <c r="F49" s="15">
        <f t="shared" si="7"/>
        <v>0.9693530717621773</v>
      </c>
      <c r="G49" s="72"/>
      <c r="H49" s="15">
        <f t="shared" si="7"/>
        <v>3.152298411698684</v>
      </c>
      <c r="I49" s="72"/>
      <c r="J49" s="15">
        <f t="shared" si="2"/>
        <v>2.695478843888738</v>
      </c>
      <c r="K49" s="50">
        <f>(E49*F49+G49*H49+I49*J49)/SUM(F49,H49,J49)</f>
        <v>14.219371278164306</v>
      </c>
      <c r="L49" s="15">
        <f t="shared" si="1"/>
        <v>2.2723767757832</v>
      </c>
      <c r="M49" s="15"/>
      <c r="N49" s="15"/>
      <c r="O49" s="15"/>
      <c r="P49" s="15"/>
      <c r="Q49" s="15"/>
      <c r="R49" s="15"/>
      <c r="S49" s="15"/>
      <c r="T49" s="57"/>
      <c r="U49" s="57"/>
      <c r="V49" s="57"/>
      <c r="W49" s="57"/>
      <c r="X49" s="57"/>
      <c r="Y49" s="57"/>
      <c r="Z49" s="57"/>
      <c r="AA49" s="57"/>
      <c r="AB49" s="47"/>
      <c r="AC49" s="42">
        <f t="shared" si="3"/>
        <v>100</v>
      </c>
      <c r="AD49" s="51">
        <f t="shared" si="9"/>
        <v>0.9693530717621773</v>
      </c>
      <c r="AE49" s="42">
        <f t="shared" si="3"/>
        <v>0</v>
      </c>
      <c r="AF49" s="51">
        <f t="shared" si="10"/>
        <v>3.152298411698684</v>
      </c>
      <c r="AG49" s="42">
        <f t="shared" si="3"/>
        <v>0</v>
      </c>
      <c r="AH49" s="51">
        <f t="shared" si="11"/>
        <v>2.695478843888738</v>
      </c>
      <c r="AI49" s="42">
        <f t="shared" si="3"/>
        <v>14.219371278164306</v>
      </c>
      <c r="AJ49" s="51">
        <f t="shared" si="8"/>
        <v>2.2723767757832</v>
      </c>
    </row>
    <row r="50" spans="2:36" ht="12.75">
      <c r="B50" s="14" t="s">
        <v>160</v>
      </c>
      <c r="D50" s="14" t="s">
        <v>103</v>
      </c>
      <c r="E50" s="47">
        <v>100</v>
      </c>
      <c r="F50" s="15">
        <f t="shared" si="7"/>
        <v>6.46235381174785</v>
      </c>
      <c r="G50" s="47">
        <v>100</v>
      </c>
      <c r="H50" s="15">
        <f t="shared" si="7"/>
        <v>6.304596823397368</v>
      </c>
      <c r="I50" s="47">
        <v>100</v>
      </c>
      <c r="J50" s="15">
        <f t="shared" si="2"/>
        <v>6.342303162091148</v>
      </c>
      <c r="K50" s="50">
        <v>100</v>
      </c>
      <c r="L50" s="15">
        <f t="shared" si="1"/>
        <v>6.369751265745456</v>
      </c>
      <c r="M50" s="15"/>
      <c r="N50" s="15"/>
      <c r="O50" s="15"/>
      <c r="P50" s="15"/>
      <c r="Q50" s="15"/>
      <c r="R50" s="15"/>
      <c r="S50" s="15"/>
      <c r="T50" s="57"/>
      <c r="U50" s="57"/>
      <c r="V50" s="57"/>
      <c r="W50" s="57"/>
      <c r="X50" s="57"/>
      <c r="Y50" s="57"/>
      <c r="Z50" s="57"/>
      <c r="AA50" s="57"/>
      <c r="AB50" s="47"/>
      <c r="AC50" s="42">
        <f t="shared" si="3"/>
        <v>100</v>
      </c>
      <c r="AD50" s="51">
        <f t="shared" si="9"/>
        <v>6.46235381174785</v>
      </c>
      <c r="AE50" s="42">
        <f t="shared" si="3"/>
        <v>100</v>
      </c>
      <c r="AF50" s="51">
        <f t="shared" si="10"/>
        <v>6.304596823397368</v>
      </c>
      <c r="AG50" s="42">
        <f t="shared" si="3"/>
        <v>100</v>
      </c>
      <c r="AH50" s="51">
        <f t="shared" si="11"/>
        <v>6.342303162091148</v>
      </c>
      <c r="AI50" s="42">
        <f t="shared" si="3"/>
        <v>100</v>
      </c>
      <c r="AJ50" s="51">
        <f t="shared" si="8"/>
        <v>6.369751265745456</v>
      </c>
    </row>
    <row r="51" spans="2:36" ht="12.75">
      <c r="B51" s="14" t="s">
        <v>180</v>
      </c>
      <c r="D51" s="14" t="s">
        <v>103</v>
      </c>
      <c r="E51" s="47"/>
      <c r="F51" s="15">
        <f t="shared" si="7"/>
        <v>61.39236121160456</v>
      </c>
      <c r="G51" s="72"/>
      <c r="H51" s="15">
        <f t="shared" si="7"/>
        <v>53.589072998877626</v>
      </c>
      <c r="I51" s="72"/>
      <c r="J51" s="15">
        <f t="shared" si="2"/>
        <v>66.59418320195705</v>
      </c>
      <c r="K51" s="50"/>
      <c r="L51" s="15">
        <f t="shared" si="1"/>
        <v>60.52520580414642</v>
      </c>
      <c r="M51" s="15"/>
      <c r="N51" s="15"/>
      <c r="O51" s="15"/>
      <c r="P51" s="15"/>
      <c r="Q51" s="15"/>
      <c r="R51" s="15"/>
      <c r="S51" s="15"/>
      <c r="T51" s="57"/>
      <c r="U51" s="57"/>
      <c r="V51" s="57"/>
      <c r="W51" s="57"/>
      <c r="X51" s="57"/>
      <c r="Y51" s="57"/>
      <c r="Z51" s="57"/>
      <c r="AA51" s="57"/>
      <c r="AB51" s="47"/>
      <c r="AC51" s="42">
        <f t="shared" si="3"/>
        <v>0</v>
      </c>
      <c r="AD51" s="51">
        <f t="shared" si="9"/>
        <v>61.39236121160456</v>
      </c>
      <c r="AE51" s="42">
        <f t="shared" si="3"/>
        <v>0</v>
      </c>
      <c r="AF51" s="51">
        <f t="shared" si="10"/>
        <v>53.589072998877626</v>
      </c>
      <c r="AG51" s="42">
        <f t="shared" si="3"/>
        <v>0</v>
      </c>
      <c r="AH51" s="51">
        <f t="shared" si="11"/>
        <v>66.59418320195705</v>
      </c>
      <c r="AI51" s="42">
        <f t="shared" si="3"/>
        <v>0</v>
      </c>
      <c r="AJ51" s="51">
        <f t="shared" si="8"/>
        <v>60.52520580414642</v>
      </c>
    </row>
    <row r="52" spans="5:36" ht="12.75">
      <c r="E52" s="47"/>
      <c r="F52" s="15"/>
      <c r="G52" s="72"/>
      <c r="H52" s="15"/>
      <c r="I52" s="72"/>
      <c r="J52" s="15"/>
      <c r="K52" s="50"/>
      <c r="L52" s="15"/>
      <c r="M52" s="15"/>
      <c r="N52" s="15"/>
      <c r="O52" s="15"/>
      <c r="P52" s="15"/>
      <c r="Q52" s="15"/>
      <c r="R52" s="15"/>
      <c r="S52" s="15"/>
      <c r="T52" s="57"/>
      <c r="U52" s="57"/>
      <c r="V52" s="57"/>
      <c r="W52" s="57"/>
      <c r="X52" s="57"/>
      <c r="Y52" s="57"/>
      <c r="Z52" s="57"/>
      <c r="AA52" s="57"/>
      <c r="AB52" s="47"/>
      <c r="AD52" s="51"/>
      <c r="AF52" s="51"/>
      <c r="AH52" s="51"/>
      <c r="AJ52" s="51"/>
    </row>
    <row r="53" spans="2:36" ht="12.75">
      <c r="B53" s="14" t="s">
        <v>98</v>
      </c>
      <c r="D53" s="14" t="s">
        <v>103</v>
      </c>
      <c r="E53" s="16">
        <f>(E43*F43+E45*F45)/F53</f>
        <v>100</v>
      </c>
      <c r="F53" s="15">
        <f>(F43+F45)</f>
        <v>9.693530717621774</v>
      </c>
      <c r="G53" s="16">
        <f>(G43*H43+G45*H45)/H53</f>
        <v>99.99999999999999</v>
      </c>
      <c r="H53" s="15">
        <f>(H43+H45)</f>
        <v>9.456895235096052</v>
      </c>
      <c r="I53" s="16">
        <f>(I43*J43+I45*J45)/J53</f>
        <v>100</v>
      </c>
      <c r="J53" s="15">
        <f>(J43+J45)</f>
        <v>9.513454743136721</v>
      </c>
      <c r="K53" s="16">
        <f>(K43*L43+K45*L45)/L53</f>
        <v>100</v>
      </c>
      <c r="L53" s="15">
        <f t="shared" si="1"/>
        <v>9.554626898618183</v>
      </c>
      <c r="M53" s="15"/>
      <c r="N53" s="15"/>
      <c r="O53" s="15"/>
      <c r="P53" s="15"/>
      <c r="Q53" s="15"/>
      <c r="R53" s="15"/>
      <c r="S53" s="15"/>
      <c r="T53" s="57"/>
      <c r="U53" s="57"/>
      <c r="V53" s="57"/>
      <c r="W53" s="57"/>
      <c r="X53" s="57"/>
      <c r="Y53" s="57"/>
      <c r="Z53" s="57"/>
      <c r="AA53" s="57"/>
      <c r="AB53" s="47"/>
      <c r="AC53" s="42">
        <f t="shared" si="3"/>
        <v>100</v>
      </c>
      <c r="AD53" s="51">
        <f t="shared" si="9"/>
        <v>9.693530717621774</v>
      </c>
      <c r="AE53" s="42">
        <f t="shared" si="3"/>
        <v>99.99999999999999</v>
      </c>
      <c r="AF53" s="51">
        <f t="shared" si="10"/>
        <v>9.456895235096052</v>
      </c>
      <c r="AG53" s="52">
        <f t="shared" si="3"/>
        <v>100</v>
      </c>
      <c r="AH53" s="51">
        <f t="shared" si="11"/>
        <v>9.513454743136721</v>
      </c>
      <c r="AI53" s="42">
        <f t="shared" si="3"/>
        <v>100</v>
      </c>
      <c r="AJ53" s="51">
        <f t="shared" si="8"/>
        <v>9.554626898618183</v>
      </c>
    </row>
    <row r="54" spans="2:36" ht="12.75">
      <c r="B54" s="14" t="s">
        <v>99</v>
      </c>
      <c r="D54" s="14" t="s">
        <v>103</v>
      </c>
      <c r="E54" s="16">
        <f>(E40*F40+E42*F42+E44*F44)/F54</f>
        <v>8.849557522123893</v>
      </c>
      <c r="F54" s="15">
        <f>(F40+F42+F44)</f>
        <v>5.476844855456302</v>
      </c>
      <c r="G54" s="16">
        <f>(G40*H40+G42*H42+G44*H44)/H54</f>
        <v>9.230769230769232</v>
      </c>
      <c r="H54" s="15">
        <f>(H40+H42+H44)</f>
        <v>5.122484919010361</v>
      </c>
      <c r="I54" s="16">
        <f>(I40*J40+I42*J42+I44*J44)/J54</f>
        <v>7.712082262210795</v>
      </c>
      <c r="J54" s="15">
        <f>(J40+J42+J44)</f>
        <v>6.167889825133642</v>
      </c>
      <c r="K54" s="16">
        <f>(K40*L40+K42*L42+K44*L44)/L54</f>
        <v>8.547595063566124</v>
      </c>
      <c r="L54" s="15">
        <f t="shared" si="1"/>
        <v>5.589073199866768</v>
      </c>
      <c r="M54" s="15"/>
      <c r="N54" s="15"/>
      <c r="O54" s="15"/>
      <c r="P54" s="15"/>
      <c r="Q54" s="15"/>
      <c r="R54" s="15"/>
      <c r="S54" s="15"/>
      <c r="T54" s="57"/>
      <c r="U54" s="57"/>
      <c r="V54" s="57"/>
      <c r="W54" s="57"/>
      <c r="X54" s="57"/>
      <c r="Y54" s="57"/>
      <c r="Z54" s="57"/>
      <c r="AA54" s="57"/>
      <c r="AB54" s="47"/>
      <c r="AC54" s="52">
        <f t="shared" si="3"/>
        <v>8.849557522123893</v>
      </c>
      <c r="AD54" s="51">
        <f t="shared" si="9"/>
        <v>5.476844855456302</v>
      </c>
      <c r="AE54" s="52">
        <f t="shared" si="3"/>
        <v>9.230769230769232</v>
      </c>
      <c r="AF54" s="51">
        <f t="shared" si="10"/>
        <v>5.122484919010361</v>
      </c>
      <c r="AG54" s="52">
        <f t="shared" si="3"/>
        <v>7.712082262210795</v>
      </c>
      <c r="AH54" s="51">
        <f t="shared" si="11"/>
        <v>6.167889825133642</v>
      </c>
      <c r="AI54" s="52">
        <f t="shared" si="3"/>
        <v>8.547595063566124</v>
      </c>
      <c r="AJ54" s="51">
        <f t="shared" si="8"/>
        <v>5.589073199866768</v>
      </c>
    </row>
    <row r="55" spans="6:12" ht="12.75">
      <c r="F55" s="51"/>
      <c r="G55" s="51"/>
      <c r="H55" s="51"/>
      <c r="I55" s="51"/>
      <c r="J55" s="51"/>
      <c r="K55" s="51"/>
      <c r="L55" s="15"/>
    </row>
    <row r="56" spans="6:12" ht="12.75">
      <c r="F56" s="51"/>
      <c r="G56" s="51"/>
      <c r="H56" s="51"/>
      <c r="I56" s="51"/>
      <c r="J56" s="51"/>
      <c r="K56" s="51"/>
      <c r="L56" s="15"/>
    </row>
    <row r="57" spans="6:12" ht="12.75">
      <c r="F57" s="51"/>
      <c r="G57" s="51"/>
      <c r="H57" s="51"/>
      <c r="I57" s="51"/>
      <c r="J57" s="51"/>
      <c r="K57" s="51"/>
      <c r="L57" s="15"/>
    </row>
    <row r="58" spans="1:28" ht="12.75">
      <c r="A58" s="42" t="s">
        <v>185</v>
      </c>
      <c r="B58" s="56" t="s">
        <v>181</v>
      </c>
      <c r="C58" s="56" t="s">
        <v>182</v>
      </c>
      <c r="F58" s="47" t="s">
        <v>189</v>
      </c>
      <c r="G58" s="47"/>
      <c r="H58" s="47" t="s">
        <v>190</v>
      </c>
      <c r="I58" s="47"/>
      <c r="J58" s="47" t="s">
        <v>191</v>
      </c>
      <c r="K58" s="47"/>
      <c r="L58" s="47" t="s">
        <v>53</v>
      </c>
      <c r="M58" s="47"/>
      <c r="N58" s="47" t="s">
        <v>189</v>
      </c>
      <c r="O58" s="47"/>
      <c r="P58" s="47" t="s">
        <v>190</v>
      </c>
      <c r="Q58" s="47"/>
      <c r="R58" s="47" t="s">
        <v>191</v>
      </c>
      <c r="S58" s="47"/>
      <c r="T58" s="47" t="s">
        <v>53</v>
      </c>
      <c r="U58" s="47"/>
      <c r="V58" s="47" t="s">
        <v>189</v>
      </c>
      <c r="W58" s="47"/>
      <c r="X58" s="47" t="s">
        <v>190</v>
      </c>
      <c r="Y58" s="47"/>
      <c r="Z58" s="47" t="s">
        <v>191</v>
      </c>
      <c r="AA58" s="47"/>
      <c r="AB58" s="47" t="s">
        <v>53</v>
      </c>
    </row>
    <row r="60" spans="2:28" ht="12.75">
      <c r="B60" s="14" t="s">
        <v>210</v>
      </c>
      <c r="F60" s="47" t="s">
        <v>212</v>
      </c>
      <c r="H60" s="47" t="s">
        <v>212</v>
      </c>
      <c r="J60" s="47" t="s">
        <v>212</v>
      </c>
      <c r="L60" s="47" t="s">
        <v>212</v>
      </c>
      <c r="N60" s="47" t="s">
        <v>213</v>
      </c>
      <c r="O60" s="42"/>
      <c r="P60" s="47" t="s">
        <v>213</v>
      </c>
      <c r="Q60" s="42"/>
      <c r="R60" s="47" t="s">
        <v>213</v>
      </c>
      <c r="S60" s="42"/>
      <c r="T60" s="47" t="s">
        <v>213</v>
      </c>
      <c r="V60" s="47" t="s">
        <v>214</v>
      </c>
      <c r="X60" s="47" t="s">
        <v>214</v>
      </c>
      <c r="Z60" s="47" t="s">
        <v>214</v>
      </c>
      <c r="AB60" s="47" t="s">
        <v>214</v>
      </c>
    </row>
    <row r="61" spans="2:28" ht="12.75">
      <c r="B61" s="14" t="s">
        <v>211</v>
      </c>
      <c r="F61" s="47" t="s">
        <v>217</v>
      </c>
      <c r="G61" s="47"/>
      <c r="H61" s="47" t="s">
        <v>217</v>
      </c>
      <c r="I61" s="47"/>
      <c r="J61" s="47" t="s">
        <v>217</v>
      </c>
      <c r="K61" s="47"/>
      <c r="L61" s="47" t="s">
        <v>217</v>
      </c>
      <c r="N61" s="47" t="s">
        <v>216</v>
      </c>
      <c r="O61" s="47"/>
      <c r="P61" s="47" t="s">
        <v>216</v>
      </c>
      <c r="Q61" s="47"/>
      <c r="R61" s="47" t="s">
        <v>216</v>
      </c>
      <c r="S61" s="47"/>
      <c r="T61" s="47" t="s">
        <v>216</v>
      </c>
      <c r="V61" s="47" t="s">
        <v>30</v>
      </c>
      <c r="X61" s="47" t="s">
        <v>30</v>
      </c>
      <c r="Z61" s="47" t="s">
        <v>30</v>
      </c>
      <c r="AB61" s="47" t="s">
        <v>30</v>
      </c>
    </row>
    <row r="62" spans="2:28" ht="12.75">
      <c r="B62" s="14" t="s">
        <v>218</v>
      </c>
      <c r="F62" s="47" t="s">
        <v>97</v>
      </c>
      <c r="G62" s="47"/>
      <c r="H62" s="47" t="s">
        <v>97</v>
      </c>
      <c r="I62" s="47"/>
      <c r="J62" s="47" t="s">
        <v>97</v>
      </c>
      <c r="K62" s="47"/>
      <c r="L62" s="47" t="s">
        <v>97</v>
      </c>
      <c r="N62" s="47" t="s">
        <v>219</v>
      </c>
      <c r="O62" s="47"/>
      <c r="P62" s="47" t="s">
        <v>219</v>
      </c>
      <c r="Q62" s="47"/>
      <c r="R62" s="47" t="s">
        <v>219</v>
      </c>
      <c r="S62" s="47"/>
      <c r="T62" s="47" t="s">
        <v>219</v>
      </c>
      <c r="V62" s="47" t="s">
        <v>30</v>
      </c>
      <c r="X62" s="47" t="s">
        <v>30</v>
      </c>
      <c r="Z62" s="47" t="s">
        <v>30</v>
      </c>
      <c r="AB62" s="47" t="s">
        <v>30</v>
      </c>
    </row>
    <row r="63" spans="2:32" ht="12.75">
      <c r="B63" s="14" t="s">
        <v>54</v>
      </c>
      <c r="F63" s="57" t="s">
        <v>106</v>
      </c>
      <c r="H63" s="57" t="s">
        <v>106</v>
      </c>
      <c r="J63" s="57" t="s">
        <v>106</v>
      </c>
      <c r="L63" s="57" t="s">
        <v>106</v>
      </c>
      <c r="N63" s="57" t="s">
        <v>81</v>
      </c>
      <c r="P63" s="57" t="s">
        <v>81</v>
      </c>
      <c r="R63" s="57" t="s">
        <v>81</v>
      </c>
      <c r="T63" s="57" t="s">
        <v>81</v>
      </c>
      <c r="U63" s="57"/>
      <c r="V63" s="57" t="s">
        <v>30</v>
      </c>
      <c r="X63" s="57" t="s">
        <v>30</v>
      </c>
      <c r="Z63" s="42" t="s">
        <v>30</v>
      </c>
      <c r="AB63" s="42" t="s">
        <v>30</v>
      </c>
      <c r="AD63" s="57"/>
      <c r="AF63" s="57"/>
    </row>
    <row r="64" spans="2:27" ht="12.75">
      <c r="B64" s="14" t="s">
        <v>187</v>
      </c>
      <c r="D64" s="14" t="s">
        <v>69</v>
      </c>
      <c r="F64" s="42">
        <v>2410</v>
      </c>
      <c r="H64" s="42">
        <v>2369</v>
      </c>
      <c r="J64" s="42">
        <v>2369</v>
      </c>
      <c r="L64" s="15">
        <f>AVERAGE(J64,H64,F64)</f>
        <v>2382.6666666666665</v>
      </c>
      <c r="M64" s="15"/>
      <c r="N64" s="15">
        <v>3538</v>
      </c>
      <c r="O64" s="15"/>
      <c r="P64" s="15">
        <v>3538</v>
      </c>
      <c r="Q64" s="15"/>
      <c r="R64" s="15">
        <v>3537</v>
      </c>
      <c r="S64" s="15"/>
      <c r="T64" s="51">
        <v>3537</v>
      </c>
      <c r="U64" s="51"/>
      <c r="V64" s="51"/>
      <c r="W64" s="51"/>
      <c r="X64" s="51"/>
      <c r="Y64" s="51"/>
      <c r="Z64" s="51"/>
      <c r="AA64" s="51"/>
    </row>
    <row r="65" spans="2:28" ht="12.75">
      <c r="B65" s="14" t="s">
        <v>186</v>
      </c>
      <c r="D65" s="14" t="s">
        <v>72</v>
      </c>
      <c r="F65" s="42">
        <v>38</v>
      </c>
      <c r="H65" s="42">
        <v>38</v>
      </c>
      <c r="J65" s="42">
        <v>38</v>
      </c>
      <c r="L65" s="15">
        <v>38</v>
      </c>
      <c r="M65" s="15"/>
      <c r="N65" s="15">
        <f>N64*20000/1000000</f>
        <v>70.76</v>
      </c>
      <c r="O65" s="15"/>
      <c r="P65" s="15">
        <f>P64*20000/1000000</f>
        <v>70.76</v>
      </c>
      <c r="Q65" s="15"/>
      <c r="R65" s="15">
        <f>R64*20000/1000000</f>
        <v>70.74</v>
      </c>
      <c r="S65" s="15"/>
      <c r="T65" s="15">
        <f>T64*20000/1000000</f>
        <v>70.74</v>
      </c>
      <c r="U65" s="51"/>
      <c r="V65" s="15">
        <f>F65+N65</f>
        <v>108.76</v>
      </c>
      <c r="W65" s="57"/>
      <c r="X65" s="15">
        <f>H65+P65</f>
        <v>108.76</v>
      </c>
      <c r="Y65" s="57"/>
      <c r="Z65" s="15">
        <f>J65+R65</f>
        <v>108.74</v>
      </c>
      <c r="AA65" s="57"/>
      <c r="AB65" s="15">
        <f>L65+T65</f>
        <v>108.74</v>
      </c>
    </row>
    <row r="66" spans="2:28" ht="12.75">
      <c r="B66" s="14" t="s">
        <v>61</v>
      </c>
      <c r="D66" s="14" t="s">
        <v>62</v>
      </c>
      <c r="F66" s="42">
        <v>33</v>
      </c>
      <c r="H66" s="42">
        <v>32</v>
      </c>
      <c r="J66" s="42">
        <v>33</v>
      </c>
      <c r="L66" s="57">
        <v>32.7</v>
      </c>
      <c r="V66" s="15"/>
      <c r="W66" s="57"/>
      <c r="X66" s="15"/>
      <c r="Y66" s="57"/>
      <c r="Z66" s="15"/>
      <c r="AA66" s="57"/>
      <c r="AB66" s="15"/>
    </row>
    <row r="67" spans="2:19" ht="12.75">
      <c r="B67" s="14" t="s">
        <v>57</v>
      </c>
      <c r="D67" s="14" t="s">
        <v>58</v>
      </c>
      <c r="F67" s="22">
        <v>16000</v>
      </c>
      <c r="H67" s="22">
        <v>16000</v>
      </c>
      <c r="J67" s="22">
        <v>16000</v>
      </c>
      <c r="L67" s="15">
        <v>16000</v>
      </c>
      <c r="M67" s="15"/>
      <c r="N67" s="15"/>
      <c r="O67" s="15"/>
      <c r="P67" s="15"/>
      <c r="Q67" s="15"/>
      <c r="R67" s="15"/>
      <c r="S67" s="15"/>
    </row>
    <row r="68" spans="2:28" ht="12.75">
      <c r="B68" s="14" t="s">
        <v>70</v>
      </c>
      <c r="D68" s="14" t="s">
        <v>71</v>
      </c>
      <c r="E68" s="47"/>
      <c r="F68" s="57">
        <v>8.9</v>
      </c>
      <c r="G68" s="57"/>
      <c r="H68" s="57">
        <v>8.9</v>
      </c>
      <c r="I68" s="57"/>
      <c r="J68" s="57">
        <v>8.9</v>
      </c>
      <c r="K68" s="47"/>
      <c r="L68" s="57">
        <v>8.9</v>
      </c>
      <c r="T68" s="47"/>
      <c r="U68" s="47"/>
      <c r="V68" s="47"/>
      <c r="W68" s="47"/>
      <c r="X68" s="47"/>
      <c r="Y68" s="47"/>
      <c r="Z68" s="47"/>
      <c r="AA68" s="47"/>
      <c r="AB68" s="47"/>
    </row>
    <row r="69" spans="2:28" ht="12.75">
      <c r="B69" s="14" t="s">
        <v>59</v>
      </c>
      <c r="D69" s="14" t="s">
        <v>69</v>
      </c>
      <c r="E69" s="47"/>
      <c r="F69" s="57">
        <v>0.54</v>
      </c>
      <c r="G69" s="57"/>
      <c r="H69" s="57">
        <v>0.51</v>
      </c>
      <c r="I69" s="57"/>
      <c r="J69" s="57">
        <v>0.59</v>
      </c>
      <c r="K69" s="47"/>
      <c r="L69" s="60">
        <v>0.547</v>
      </c>
      <c r="M69" s="60"/>
      <c r="N69" s="60"/>
      <c r="O69" s="60"/>
      <c r="P69" s="60"/>
      <c r="Q69" s="60"/>
      <c r="R69" s="60"/>
      <c r="S69" s="60"/>
      <c r="T69" s="57"/>
      <c r="U69" s="57"/>
      <c r="V69" s="57"/>
      <c r="W69" s="57"/>
      <c r="X69" s="57"/>
      <c r="Y69" s="57"/>
      <c r="Z69" s="57"/>
      <c r="AA69" s="57"/>
      <c r="AB69" s="57"/>
    </row>
    <row r="70" spans="2:28" ht="12.75">
      <c r="B70" s="14" t="s">
        <v>60</v>
      </c>
      <c r="D70" s="14" t="s">
        <v>69</v>
      </c>
      <c r="E70" s="47"/>
      <c r="F70" s="57">
        <v>0.032</v>
      </c>
      <c r="G70" s="57"/>
      <c r="H70" s="57">
        <v>0.046</v>
      </c>
      <c r="I70" s="57"/>
      <c r="J70" s="57">
        <v>0.035</v>
      </c>
      <c r="K70" s="47"/>
      <c r="L70" s="60">
        <v>0.038</v>
      </c>
      <c r="M70" s="60"/>
      <c r="N70" s="60"/>
      <c r="O70" s="60"/>
      <c r="P70" s="60"/>
      <c r="Q70" s="60"/>
      <c r="R70" s="60"/>
      <c r="S70" s="60"/>
      <c r="T70" s="57"/>
      <c r="U70" s="57"/>
      <c r="V70" s="57"/>
      <c r="W70" s="57"/>
      <c r="X70" s="57"/>
      <c r="Y70" s="57"/>
      <c r="Z70" s="57"/>
      <c r="AA70" s="57"/>
      <c r="AB70" s="57"/>
    </row>
    <row r="71" spans="2:28" ht="12.75">
      <c r="B71" s="14" t="s">
        <v>87</v>
      </c>
      <c r="D71" s="14" t="s">
        <v>56</v>
      </c>
      <c r="E71" s="47"/>
      <c r="F71" s="47"/>
      <c r="G71" s="47"/>
      <c r="H71" s="47"/>
      <c r="I71" s="47"/>
      <c r="J71" s="47"/>
      <c r="K71" s="47"/>
      <c r="L71" s="57">
        <v>190000</v>
      </c>
      <c r="T71" s="57"/>
      <c r="U71" s="57"/>
      <c r="V71" s="57"/>
      <c r="W71" s="57"/>
      <c r="X71" s="57"/>
      <c r="Y71" s="57"/>
      <c r="Z71" s="57"/>
      <c r="AA71" s="57"/>
      <c r="AB71" s="57"/>
    </row>
    <row r="72" spans="5:28" ht="12.75">
      <c r="E72" s="47"/>
      <c r="F72" s="47"/>
      <c r="G72" s="47"/>
      <c r="H72" s="47"/>
      <c r="I72" s="47"/>
      <c r="J72" s="47"/>
      <c r="K72" s="47"/>
      <c r="T72" s="57"/>
      <c r="U72" s="57"/>
      <c r="V72" s="57"/>
      <c r="W72" s="57"/>
      <c r="X72" s="57"/>
      <c r="Y72" s="57"/>
      <c r="Z72" s="57"/>
      <c r="AA72" s="57"/>
      <c r="AB72" s="57"/>
    </row>
    <row r="73" spans="2:28" ht="12.75">
      <c r="B73" s="14" t="s">
        <v>107</v>
      </c>
      <c r="D73" s="14" t="s">
        <v>22</v>
      </c>
      <c r="E73" s="47"/>
      <c r="F73" s="57">
        <f>emiss!G41</f>
        <v>32400</v>
      </c>
      <c r="G73" s="57"/>
      <c r="H73" s="57">
        <f>emiss!I41</f>
        <v>32200</v>
      </c>
      <c r="I73" s="57"/>
      <c r="J73" s="57">
        <f>emiss!K41</f>
        <v>33200</v>
      </c>
      <c r="K73" s="57"/>
      <c r="L73" s="57">
        <f>emiss!M41</f>
        <v>32600</v>
      </c>
      <c r="T73" s="57"/>
      <c r="U73" s="57"/>
      <c r="V73" s="57"/>
      <c r="W73" s="57"/>
      <c r="X73" s="57"/>
      <c r="Y73" s="57"/>
      <c r="Z73" s="57"/>
      <c r="AA73" s="57"/>
      <c r="AB73" s="57"/>
    </row>
    <row r="74" spans="2:28" ht="12.75">
      <c r="B74" s="14" t="s">
        <v>108</v>
      </c>
      <c r="D74" s="14" t="s">
        <v>23</v>
      </c>
      <c r="E74" s="47"/>
      <c r="F74" s="57">
        <f>emiss!$G$19</f>
        <v>5.2</v>
      </c>
      <c r="G74" s="47"/>
      <c r="H74" s="57">
        <f>emiss!$I$19</f>
        <v>5.1</v>
      </c>
      <c r="I74" s="47"/>
      <c r="J74" s="57">
        <f>emiss!$K$19</f>
        <v>5</v>
      </c>
      <c r="K74" s="47"/>
      <c r="L74" s="57">
        <f>emiss!$M$19</f>
        <v>5.1</v>
      </c>
      <c r="T74" s="57"/>
      <c r="U74" s="57"/>
      <c r="V74" s="57"/>
      <c r="W74" s="57"/>
      <c r="X74" s="57"/>
      <c r="Y74" s="57"/>
      <c r="Z74" s="57"/>
      <c r="AA74" s="57"/>
      <c r="AB74" s="57"/>
    </row>
    <row r="75" spans="5:28" ht="12.75">
      <c r="E75" s="47"/>
      <c r="F75" s="47"/>
      <c r="G75" s="47"/>
      <c r="H75" s="47"/>
      <c r="I75" s="47"/>
      <c r="J75" s="47"/>
      <c r="K75" s="47"/>
      <c r="T75" s="57"/>
      <c r="U75" s="57"/>
      <c r="V75" s="57"/>
      <c r="W75" s="57"/>
      <c r="X75" s="57"/>
      <c r="Y75" s="57"/>
      <c r="Z75" s="57"/>
      <c r="AA75" s="57"/>
      <c r="AB75" s="57"/>
    </row>
    <row r="76" spans="2:28" ht="12.75">
      <c r="B76" s="14" t="s">
        <v>220</v>
      </c>
      <c r="D76" s="14" t="s">
        <v>72</v>
      </c>
      <c r="E76" s="47"/>
      <c r="L76" s="42"/>
      <c r="M76" s="15"/>
      <c r="N76" s="15"/>
      <c r="O76" s="15"/>
      <c r="P76" s="15"/>
      <c r="Q76" s="15"/>
      <c r="R76" s="15"/>
      <c r="S76" s="15"/>
      <c r="T76" s="15"/>
      <c r="U76" s="15"/>
      <c r="V76" s="15">
        <f>(F73/9000)*((21-F74)/21)*60</f>
        <v>162.5142857142857</v>
      </c>
      <c r="W76" s="47"/>
      <c r="X76" s="15">
        <f>(H73/9000)*((21-H74)/21)*60</f>
        <v>162.53333333333336</v>
      </c>
      <c r="Y76" s="47"/>
      <c r="Z76" s="15">
        <f>(J73/9000)*((21-J74)/21)*60</f>
        <v>168.63492063492063</v>
      </c>
      <c r="AA76" s="47"/>
      <c r="AB76" s="15">
        <f>(L73/9000)*((21-L74)/21)*60</f>
        <v>164.55238095238093</v>
      </c>
    </row>
    <row r="77" spans="5:28" ht="12.75">
      <c r="E77" s="47"/>
      <c r="F77" s="15"/>
      <c r="G77" s="47"/>
      <c r="H77" s="15"/>
      <c r="I77" s="47"/>
      <c r="J77" s="15"/>
      <c r="K77" s="47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57"/>
    </row>
    <row r="78" spans="2:28" ht="12.75">
      <c r="B78" s="14" t="s">
        <v>59</v>
      </c>
      <c r="D78" s="14" t="s">
        <v>101</v>
      </c>
      <c r="E78" s="47"/>
      <c r="F78" s="15">
        <f>(F69*454/(F73*60*0.0283))*((21-7)/(21-F74))*1000</f>
        <v>3.948552031926367</v>
      </c>
      <c r="G78" s="47"/>
      <c r="H78" s="15">
        <f>(H69*454/(H73*60*0.0283))*((21-7)/(21-H74))*1000</f>
        <v>3.7287509988588607</v>
      </c>
      <c r="I78" s="47"/>
      <c r="J78" s="15">
        <f>(J69*454/(J73*60*0.0283))*((21-7)/(21-J74))*1000</f>
        <v>4.157575531809216</v>
      </c>
      <c r="K78" s="47"/>
      <c r="L78" s="15">
        <f>(L69*454/(L73*60*0.0283))*((21-7)/(21-L74))*1000</f>
        <v>3.950197452381852</v>
      </c>
      <c r="M78" s="15"/>
      <c r="N78" s="15"/>
      <c r="O78" s="15"/>
      <c r="P78" s="15"/>
      <c r="Q78" s="15"/>
      <c r="R78" s="15"/>
      <c r="S78" s="15"/>
      <c r="T78" s="57"/>
      <c r="U78" s="57"/>
      <c r="V78" s="15">
        <f>F78</f>
        <v>3.948552031926367</v>
      </c>
      <c r="W78" s="57"/>
      <c r="X78" s="15">
        <f>H78</f>
        <v>3.7287509988588607</v>
      </c>
      <c r="Y78" s="57"/>
      <c r="Z78" s="15">
        <f>J78</f>
        <v>4.157575531809216</v>
      </c>
      <c r="AA78" s="57"/>
      <c r="AB78" s="15">
        <f>L78</f>
        <v>3.950197452381852</v>
      </c>
    </row>
    <row r="79" spans="2:28" ht="12.75">
      <c r="B79" s="14" t="s">
        <v>60</v>
      </c>
      <c r="D79" s="14" t="s">
        <v>103</v>
      </c>
      <c r="E79" s="47"/>
      <c r="F79" s="16">
        <f>(F70*454/(F$73*60*0.0283))*(14/(21-F$74))*1000000</f>
        <v>233.98826855859951</v>
      </c>
      <c r="G79" s="47"/>
      <c r="H79" s="16">
        <f>(H70*454/(H$73*60*0.0283))*(14/(21-H$74))*1000000</f>
        <v>336.3187175441326</v>
      </c>
      <c r="I79" s="47"/>
      <c r="J79" s="16">
        <f>(J70*454/(J$73*60*0.0283))*(14/(21-J$74))*1000000</f>
        <v>246.63583663275008</v>
      </c>
      <c r="K79" s="47"/>
      <c r="L79" s="16">
        <f>(L70*454/(L$73*60*0.0283))*(14/(21-L$74))*1000000</f>
        <v>274.4195670758873</v>
      </c>
      <c r="M79" s="16"/>
      <c r="N79" s="16"/>
      <c r="O79" s="16"/>
      <c r="P79" s="16"/>
      <c r="Q79" s="16"/>
      <c r="R79" s="16"/>
      <c r="S79" s="16"/>
      <c r="T79" s="57"/>
      <c r="U79" s="57"/>
      <c r="V79" s="15">
        <f>F79</f>
        <v>233.98826855859951</v>
      </c>
      <c r="W79" s="57"/>
      <c r="X79" s="15">
        <f>H79</f>
        <v>336.3187175441326</v>
      </c>
      <c r="Y79" s="57"/>
      <c r="Z79" s="15">
        <f>J79</f>
        <v>246.63583663275008</v>
      </c>
      <c r="AA79" s="57"/>
      <c r="AB79" s="15">
        <f>L79</f>
        <v>274.4195670758873</v>
      </c>
    </row>
    <row r="80" spans="5:28" ht="12.75">
      <c r="E80" s="47"/>
      <c r="F80" s="47"/>
      <c r="G80" s="47"/>
      <c r="H80" s="47"/>
      <c r="I80" s="47"/>
      <c r="J80" s="47"/>
      <c r="K80" s="47"/>
      <c r="L80" s="16"/>
      <c r="M80" s="16"/>
      <c r="N80" s="16"/>
      <c r="O80" s="16"/>
      <c r="P80" s="16"/>
      <c r="Q80" s="16"/>
      <c r="R80" s="16"/>
      <c r="S80" s="16"/>
      <c r="T80" s="57"/>
      <c r="U80" s="57"/>
      <c r="V80" s="57"/>
      <c r="W80" s="57"/>
      <c r="X80" s="57"/>
      <c r="Y80" s="57"/>
      <c r="Z80" s="57"/>
      <c r="AA80" s="57"/>
      <c r="AB80" s="47"/>
    </row>
    <row r="81" spans="5:28" ht="12.75">
      <c r="E81" s="47"/>
      <c r="F81" s="47"/>
      <c r="G81" s="47"/>
      <c r="H81" s="47"/>
      <c r="I81" s="47"/>
      <c r="J81" s="47"/>
      <c r="K81" s="47"/>
      <c r="L81" s="16"/>
      <c r="M81" s="16"/>
      <c r="N81" s="16"/>
      <c r="O81" s="16"/>
      <c r="P81" s="16"/>
      <c r="Q81" s="16"/>
      <c r="R81" s="16"/>
      <c r="S81" s="16"/>
      <c r="T81" s="57"/>
      <c r="U81" s="57"/>
      <c r="V81" s="57"/>
      <c r="W81" s="57"/>
      <c r="X81" s="57"/>
      <c r="Y81" s="57"/>
      <c r="Z81" s="57"/>
      <c r="AA81" s="57"/>
      <c r="AB81" s="47"/>
    </row>
    <row r="82" spans="5:28" ht="12.75">
      <c r="E82" s="47"/>
      <c r="F82" s="47"/>
      <c r="G82" s="47"/>
      <c r="H82" s="47"/>
      <c r="I82" s="47"/>
      <c r="J82" s="47"/>
      <c r="K82" s="47"/>
      <c r="L82" s="16"/>
      <c r="M82" s="16"/>
      <c r="N82" s="16"/>
      <c r="O82" s="16"/>
      <c r="P82" s="16"/>
      <c r="Q82" s="16"/>
      <c r="R82" s="16"/>
      <c r="S82" s="16"/>
      <c r="T82" s="57"/>
      <c r="U82" s="57"/>
      <c r="V82" s="57"/>
      <c r="W82" s="57"/>
      <c r="X82" s="57"/>
      <c r="Y82" s="57"/>
      <c r="Z82" s="57"/>
      <c r="AA82" s="57"/>
      <c r="AB82" s="47"/>
    </row>
    <row r="83" spans="5:28" ht="12.75">
      <c r="E83" s="47"/>
      <c r="F83" s="47"/>
      <c r="G83" s="47"/>
      <c r="H83" s="47"/>
      <c r="I83" s="47"/>
      <c r="J83" s="47"/>
      <c r="K83" s="47"/>
      <c r="L83" s="16"/>
      <c r="M83" s="16"/>
      <c r="N83" s="16"/>
      <c r="O83" s="16"/>
      <c r="P83" s="16"/>
      <c r="Q83" s="16"/>
      <c r="R83" s="16"/>
      <c r="S83" s="16"/>
      <c r="T83" s="57"/>
      <c r="U83" s="57"/>
      <c r="V83" s="57"/>
      <c r="W83" s="57"/>
      <c r="X83" s="57"/>
      <c r="Y83" s="57"/>
      <c r="Z83" s="57"/>
      <c r="AA83" s="57"/>
      <c r="AB83" s="47"/>
    </row>
    <row r="84" spans="1:28" ht="12.75">
      <c r="A84" s="42" t="s">
        <v>185</v>
      </c>
      <c r="B84" s="56" t="s">
        <v>183</v>
      </c>
      <c r="C84" s="56" t="s">
        <v>184</v>
      </c>
      <c r="E84" s="47"/>
      <c r="F84" s="47" t="s">
        <v>189</v>
      </c>
      <c r="G84" s="47"/>
      <c r="H84" s="47" t="s">
        <v>190</v>
      </c>
      <c r="I84" s="47"/>
      <c r="J84" s="47" t="s">
        <v>191</v>
      </c>
      <c r="K84" s="47"/>
      <c r="L84" s="47" t="s">
        <v>53</v>
      </c>
      <c r="M84" s="47"/>
      <c r="N84" s="47" t="s">
        <v>189</v>
      </c>
      <c r="O84" s="47"/>
      <c r="P84" s="47" t="s">
        <v>190</v>
      </c>
      <c r="Q84" s="47"/>
      <c r="R84" s="47" t="s">
        <v>191</v>
      </c>
      <c r="S84" s="47"/>
      <c r="T84" s="47" t="s">
        <v>53</v>
      </c>
      <c r="U84" s="47"/>
      <c r="V84" s="47" t="s">
        <v>189</v>
      </c>
      <c r="W84" s="47"/>
      <c r="X84" s="47" t="s">
        <v>190</v>
      </c>
      <c r="Y84" s="47"/>
      <c r="Z84" s="47" t="s">
        <v>191</v>
      </c>
      <c r="AA84" s="47"/>
      <c r="AB84" s="47" t="s">
        <v>53</v>
      </c>
    </row>
    <row r="85" spans="5:28" ht="12.75">
      <c r="E85" s="47"/>
      <c r="F85" s="47"/>
      <c r="G85" s="47"/>
      <c r="H85" s="47"/>
      <c r="I85" s="47"/>
      <c r="J85" s="47"/>
      <c r="K85" s="47"/>
      <c r="T85" s="57"/>
      <c r="U85" s="57"/>
      <c r="V85" s="57"/>
      <c r="W85" s="57"/>
      <c r="X85" s="57"/>
      <c r="Y85" s="57"/>
      <c r="Z85" s="57"/>
      <c r="AA85" s="57"/>
      <c r="AB85" s="47"/>
    </row>
    <row r="86" spans="2:28" ht="12.75">
      <c r="B86" s="14" t="s">
        <v>210</v>
      </c>
      <c r="F86" s="47" t="s">
        <v>212</v>
      </c>
      <c r="H86" s="47" t="s">
        <v>212</v>
      </c>
      <c r="J86" s="47" t="s">
        <v>212</v>
      </c>
      <c r="L86" s="47" t="s">
        <v>212</v>
      </c>
      <c r="N86" s="47" t="s">
        <v>213</v>
      </c>
      <c r="O86" s="42"/>
      <c r="P86" s="47" t="s">
        <v>213</v>
      </c>
      <c r="Q86" s="42"/>
      <c r="R86" s="47" t="s">
        <v>213</v>
      </c>
      <c r="S86" s="42"/>
      <c r="T86" s="47" t="s">
        <v>213</v>
      </c>
      <c r="U86" s="57"/>
      <c r="V86" s="57" t="s">
        <v>214</v>
      </c>
      <c r="W86" s="57"/>
      <c r="X86" s="57" t="s">
        <v>214</v>
      </c>
      <c r="Y86" s="57"/>
      <c r="Z86" s="57" t="s">
        <v>214</v>
      </c>
      <c r="AA86" s="57"/>
      <c r="AB86" s="47" t="s">
        <v>214</v>
      </c>
    </row>
    <row r="87" spans="2:28" ht="12.75">
      <c r="B87" s="14" t="s">
        <v>211</v>
      </c>
      <c r="F87" s="47" t="s">
        <v>217</v>
      </c>
      <c r="G87" s="47"/>
      <c r="H87" s="47" t="s">
        <v>217</v>
      </c>
      <c r="I87" s="47"/>
      <c r="J87" s="47" t="s">
        <v>217</v>
      </c>
      <c r="K87" s="47"/>
      <c r="L87" s="47" t="s">
        <v>217</v>
      </c>
      <c r="N87" s="47" t="s">
        <v>216</v>
      </c>
      <c r="O87" s="47"/>
      <c r="P87" s="47" t="s">
        <v>216</v>
      </c>
      <c r="Q87" s="47"/>
      <c r="R87" s="47" t="s">
        <v>216</v>
      </c>
      <c r="S87" s="47"/>
      <c r="T87" s="47" t="s">
        <v>216</v>
      </c>
      <c r="U87" s="57"/>
      <c r="V87" s="47" t="s">
        <v>30</v>
      </c>
      <c r="W87" s="47"/>
      <c r="X87" s="47" t="s">
        <v>30</v>
      </c>
      <c r="Y87" s="47"/>
      <c r="Z87" s="47" t="s">
        <v>30</v>
      </c>
      <c r="AA87" s="47"/>
      <c r="AB87" s="47" t="s">
        <v>30</v>
      </c>
    </row>
    <row r="88" spans="2:28" ht="12.75">
      <c r="B88" s="14" t="s">
        <v>218</v>
      </c>
      <c r="F88" s="47" t="s">
        <v>97</v>
      </c>
      <c r="G88" s="47"/>
      <c r="H88" s="47" t="s">
        <v>97</v>
      </c>
      <c r="I88" s="47"/>
      <c r="J88" s="47" t="s">
        <v>97</v>
      </c>
      <c r="K88" s="47"/>
      <c r="L88" s="47" t="s">
        <v>97</v>
      </c>
      <c r="N88" s="47" t="s">
        <v>219</v>
      </c>
      <c r="O88" s="47"/>
      <c r="P88" s="47" t="s">
        <v>219</v>
      </c>
      <c r="Q88" s="47"/>
      <c r="R88" s="47" t="s">
        <v>219</v>
      </c>
      <c r="S88" s="47"/>
      <c r="T88" s="47" t="s">
        <v>219</v>
      </c>
      <c r="U88" s="57"/>
      <c r="V88" s="47" t="s">
        <v>30</v>
      </c>
      <c r="W88" s="47"/>
      <c r="X88" s="47" t="s">
        <v>30</v>
      </c>
      <c r="Y88" s="47"/>
      <c r="Z88" s="47" t="s">
        <v>30</v>
      </c>
      <c r="AA88" s="47"/>
      <c r="AB88" s="47" t="s">
        <v>30</v>
      </c>
    </row>
    <row r="89" spans="2:32" ht="12.75">
      <c r="B89" s="14" t="s">
        <v>54</v>
      </c>
      <c r="F89" s="57" t="s">
        <v>106</v>
      </c>
      <c r="H89" s="57" t="s">
        <v>106</v>
      </c>
      <c r="J89" s="57" t="s">
        <v>106</v>
      </c>
      <c r="L89" s="57" t="s">
        <v>106</v>
      </c>
      <c r="N89" s="57" t="s">
        <v>81</v>
      </c>
      <c r="P89" s="57" t="s">
        <v>81</v>
      </c>
      <c r="R89" s="57" t="s">
        <v>81</v>
      </c>
      <c r="T89" s="57" t="s">
        <v>81</v>
      </c>
      <c r="U89" s="57"/>
      <c r="V89" s="47" t="s">
        <v>30</v>
      </c>
      <c r="W89" s="47"/>
      <c r="X89" s="47" t="s">
        <v>30</v>
      </c>
      <c r="Y89" s="47"/>
      <c r="Z89" s="47" t="s">
        <v>30</v>
      </c>
      <c r="AA89" s="47"/>
      <c r="AB89" s="47" t="s">
        <v>30</v>
      </c>
      <c r="AD89" s="57"/>
      <c r="AF89" s="57"/>
    </row>
    <row r="90" spans="2:30" ht="12.75">
      <c r="B90" s="14" t="s">
        <v>187</v>
      </c>
      <c r="D90" s="14" t="s">
        <v>69</v>
      </c>
      <c r="F90" s="42">
        <v>3186</v>
      </c>
      <c r="H90" s="42">
        <v>3034</v>
      </c>
      <c r="J90" s="42">
        <v>3040</v>
      </c>
      <c r="L90" s="15">
        <f>AVERAGE(J90,H90,F90)</f>
        <v>3086.6666666666665</v>
      </c>
      <c r="M90" s="15"/>
      <c r="N90" s="15">
        <v>1092</v>
      </c>
      <c r="O90" s="15"/>
      <c r="P90" s="15">
        <v>1035</v>
      </c>
      <c r="Q90" s="15"/>
      <c r="R90" s="15">
        <v>983</v>
      </c>
      <c r="S90" s="15"/>
      <c r="T90" s="51">
        <v>1036.7</v>
      </c>
      <c r="U90" s="51"/>
      <c r="V90" s="51"/>
      <c r="W90" s="51"/>
      <c r="X90" s="51"/>
      <c r="Y90" s="51"/>
      <c r="Z90" s="51"/>
      <c r="AA90" s="51"/>
      <c r="AD90" s="51"/>
    </row>
    <row r="91" spans="2:28" ht="12.75">
      <c r="B91" s="14" t="s">
        <v>186</v>
      </c>
      <c r="D91" s="14" t="s">
        <v>72</v>
      </c>
      <c r="F91" s="42">
        <v>50.4</v>
      </c>
      <c r="H91" s="42">
        <v>47.8</v>
      </c>
      <c r="J91" s="42">
        <v>47.9</v>
      </c>
      <c r="L91" s="15">
        <f aca="true" t="shared" si="12" ref="L91:L109">AVERAGE(J91,H91,F91)</f>
        <v>48.699999999999996</v>
      </c>
      <c r="M91" s="15"/>
      <c r="N91" s="15">
        <f>N90*20000/1000000</f>
        <v>21.84</v>
      </c>
      <c r="O91" s="15"/>
      <c r="P91" s="15">
        <f>P90*20000/1000000</f>
        <v>20.7</v>
      </c>
      <c r="Q91" s="15"/>
      <c r="R91" s="15">
        <f>R90*20000/1000000</f>
        <v>19.66</v>
      </c>
      <c r="S91" s="15"/>
      <c r="T91" s="15">
        <f>T90*20000/1000000</f>
        <v>20.734</v>
      </c>
      <c r="V91" s="51">
        <f>F91+N91</f>
        <v>72.24</v>
      </c>
      <c r="X91" s="51">
        <f>H91+P91</f>
        <v>68.5</v>
      </c>
      <c r="Z91" s="51">
        <f>J91+R91</f>
        <v>67.56</v>
      </c>
      <c r="AB91" s="51">
        <f>L91+T91</f>
        <v>69.434</v>
      </c>
    </row>
    <row r="92" spans="2:12" ht="12.75">
      <c r="B92" s="14" t="s">
        <v>61</v>
      </c>
      <c r="D92" s="14" t="s">
        <v>62</v>
      </c>
      <c r="F92" s="42">
        <v>19.8</v>
      </c>
      <c r="H92" s="42">
        <v>21</v>
      </c>
      <c r="J92" s="42">
        <v>18.6</v>
      </c>
      <c r="L92" s="15">
        <f t="shared" si="12"/>
        <v>19.8</v>
      </c>
    </row>
    <row r="93" spans="2:12" ht="12.75">
      <c r="B93" s="14" t="s">
        <v>57</v>
      </c>
      <c r="D93" s="14" t="s">
        <v>58</v>
      </c>
      <c r="F93" s="22">
        <v>15800</v>
      </c>
      <c r="H93" s="22">
        <v>15800</v>
      </c>
      <c r="J93" s="22">
        <v>15800</v>
      </c>
      <c r="L93" s="15">
        <f t="shared" si="12"/>
        <v>15800</v>
      </c>
    </row>
    <row r="94" spans="2:12" ht="12.75">
      <c r="B94" s="14" t="s">
        <v>70</v>
      </c>
      <c r="D94" s="14" t="s">
        <v>71</v>
      </c>
      <c r="F94" s="22">
        <v>8.92</v>
      </c>
      <c r="H94" s="22">
        <v>8.91</v>
      </c>
      <c r="J94" s="22">
        <v>8.93</v>
      </c>
      <c r="L94" s="15">
        <f t="shared" si="12"/>
        <v>8.92</v>
      </c>
    </row>
    <row r="95" spans="2:28" ht="12.75">
      <c r="B95" s="14" t="s">
        <v>59</v>
      </c>
      <c r="D95" s="14" t="s">
        <v>69</v>
      </c>
      <c r="F95" s="22">
        <v>0.685</v>
      </c>
      <c r="H95" s="22">
        <v>0.661</v>
      </c>
      <c r="J95" s="22">
        <v>0.629</v>
      </c>
      <c r="L95" s="59">
        <f t="shared" si="12"/>
        <v>0.6583333333333333</v>
      </c>
      <c r="M95" s="59"/>
      <c r="N95" s="59"/>
      <c r="O95" s="59"/>
      <c r="P95" s="59"/>
      <c r="Q95" s="59"/>
      <c r="R95" s="59"/>
      <c r="S95" s="59"/>
      <c r="T95" s="57"/>
      <c r="U95" s="57"/>
      <c r="V95" s="57"/>
      <c r="W95" s="57"/>
      <c r="X95" s="57"/>
      <c r="Y95" s="57"/>
      <c r="Z95" s="57"/>
      <c r="AA95" s="57"/>
      <c r="AB95" s="57"/>
    </row>
    <row r="96" spans="2:27" ht="12.75">
      <c r="B96" s="14" t="s">
        <v>60</v>
      </c>
      <c r="D96" s="14" t="s">
        <v>69</v>
      </c>
      <c r="F96" s="22">
        <v>0.00956</v>
      </c>
      <c r="H96" s="22">
        <v>0.0121</v>
      </c>
      <c r="J96" s="22">
        <v>0.0122</v>
      </c>
      <c r="L96" s="59">
        <f t="shared" si="12"/>
        <v>0.011286666666666667</v>
      </c>
      <c r="M96" s="60"/>
      <c r="N96" s="60"/>
      <c r="O96" s="60"/>
      <c r="P96" s="60"/>
      <c r="Q96" s="60"/>
      <c r="R96" s="60"/>
      <c r="S96" s="60"/>
      <c r="T96" s="51"/>
      <c r="U96" s="51"/>
      <c r="V96" s="51"/>
      <c r="W96" s="51"/>
      <c r="X96" s="51"/>
      <c r="Y96" s="51"/>
      <c r="Z96" s="51"/>
      <c r="AA96" s="51"/>
    </row>
    <row r="97" spans="2:19" ht="12.75">
      <c r="B97" s="14" t="s">
        <v>150</v>
      </c>
      <c r="D97" s="14" t="s">
        <v>56</v>
      </c>
      <c r="E97" s="42" t="s">
        <v>34</v>
      </c>
      <c r="F97" s="29">
        <v>0.17</v>
      </c>
      <c r="G97" s="57"/>
      <c r="H97" s="29">
        <v>0.766</v>
      </c>
      <c r="I97" s="57"/>
      <c r="J97" s="29">
        <v>0.807</v>
      </c>
      <c r="L97" s="59">
        <f t="shared" si="12"/>
        <v>0.581</v>
      </c>
      <c r="M97" s="60"/>
      <c r="N97" s="60"/>
      <c r="O97" s="60"/>
      <c r="P97" s="60"/>
      <c r="Q97" s="60"/>
      <c r="R97" s="60"/>
      <c r="S97" s="60"/>
    </row>
    <row r="98" spans="2:19" ht="12.75">
      <c r="B98" s="14" t="s">
        <v>151</v>
      </c>
      <c r="D98" s="14" t="s">
        <v>56</v>
      </c>
      <c r="E98" s="42" t="s">
        <v>34</v>
      </c>
      <c r="F98" s="29">
        <v>0.0072</v>
      </c>
      <c r="G98" s="42" t="s">
        <v>34</v>
      </c>
      <c r="H98" s="29">
        <v>0.0069</v>
      </c>
      <c r="I98" s="42" t="s">
        <v>34</v>
      </c>
      <c r="J98" s="29">
        <v>0.0069</v>
      </c>
      <c r="L98" s="59">
        <f t="shared" si="12"/>
        <v>0.006999999999999999</v>
      </c>
      <c r="M98" s="60"/>
      <c r="N98" s="60"/>
      <c r="O98" s="60"/>
      <c r="P98" s="60"/>
      <c r="Q98" s="60"/>
      <c r="R98" s="60"/>
      <c r="S98" s="60"/>
    </row>
    <row r="99" spans="2:27" ht="12.75">
      <c r="B99" s="14" t="s">
        <v>152</v>
      </c>
      <c r="D99" s="14" t="s">
        <v>56</v>
      </c>
      <c r="E99" s="47"/>
      <c r="F99" s="57">
        <v>0.0382</v>
      </c>
      <c r="G99" s="47"/>
      <c r="H99" s="57">
        <v>0.026</v>
      </c>
      <c r="I99" s="47"/>
      <c r="J99" s="57">
        <v>0.0338</v>
      </c>
      <c r="K99" s="47"/>
      <c r="L99" s="59">
        <f t="shared" si="12"/>
        <v>0.03266666666666666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2:27" ht="12.75">
      <c r="B100" s="14" t="s">
        <v>153</v>
      </c>
      <c r="D100" s="14" t="s">
        <v>56</v>
      </c>
      <c r="E100" s="47" t="s">
        <v>34</v>
      </c>
      <c r="F100" s="57">
        <v>0.021</v>
      </c>
      <c r="G100" s="47" t="s">
        <v>34</v>
      </c>
      <c r="H100" s="57">
        <v>0.02</v>
      </c>
      <c r="I100" s="47" t="s">
        <v>34</v>
      </c>
      <c r="J100" s="57">
        <v>0.02</v>
      </c>
      <c r="K100" s="47"/>
      <c r="L100" s="59">
        <f t="shared" si="12"/>
        <v>0.02033333333333333</v>
      </c>
      <c r="M100" s="61"/>
      <c r="N100" s="61"/>
      <c r="O100" s="61"/>
      <c r="P100" s="61"/>
      <c r="Q100" s="61"/>
      <c r="R100" s="61"/>
      <c r="S100" s="61"/>
      <c r="T100" s="57"/>
      <c r="U100" s="57"/>
      <c r="V100" s="57"/>
      <c r="W100" s="57"/>
      <c r="X100" s="57"/>
      <c r="Y100" s="57"/>
      <c r="Z100" s="57"/>
      <c r="AA100" s="57"/>
    </row>
    <row r="101" spans="2:28" ht="12.75">
      <c r="B101" s="14" t="s">
        <v>154</v>
      </c>
      <c r="D101" s="14" t="s">
        <v>56</v>
      </c>
      <c r="E101" s="47" t="s">
        <v>34</v>
      </c>
      <c r="F101" s="57">
        <v>0.11</v>
      </c>
      <c r="G101" s="47" t="s">
        <v>34</v>
      </c>
      <c r="H101" s="57">
        <v>0.11</v>
      </c>
      <c r="I101" s="47" t="s">
        <v>34</v>
      </c>
      <c r="J101" s="57">
        <v>0.11</v>
      </c>
      <c r="K101" s="47"/>
      <c r="L101" s="59">
        <f t="shared" si="12"/>
        <v>0.11</v>
      </c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57"/>
    </row>
    <row r="102" spans="2:27" ht="12.75">
      <c r="B102" s="14" t="s">
        <v>178</v>
      </c>
      <c r="D102" s="14" t="s">
        <v>56</v>
      </c>
      <c r="F102" s="29">
        <v>0.259</v>
      </c>
      <c r="H102" s="29">
        <v>0.292</v>
      </c>
      <c r="J102" s="29">
        <v>0.333</v>
      </c>
      <c r="L102" s="59">
        <f t="shared" si="12"/>
        <v>0.2946666666666667</v>
      </c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2:27" ht="12.75">
      <c r="B103" s="14" t="s">
        <v>155</v>
      </c>
      <c r="D103" s="14" t="s">
        <v>56</v>
      </c>
      <c r="F103" s="29">
        <v>0.33</v>
      </c>
      <c r="H103" s="29">
        <v>0.869</v>
      </c>
      <c r="J103" s="29">
        <v>1.1</v>
      </c>
      <c r="L103" s="59">
        <f t="shared" si="12"/>
        <v>0.7663333333333333</v>
      </c>
      <c r="M103" s="60"/>
      <c r="N103" s="60"/>
      <c r="O103" s="60"/>
      <c r="P103" s="60"/>
      <c r="Q103" s="60"/>
      <c r="R103" s="60"/>
      <c r="S103" s="60"/>
      <c r="T103" s="57"/>
      <c r="U103" s="57"/>
      <c r="V103" s="57"/>
      <c r="W103" s="57"/>
      <c r="X103" s="57"/>
      <c r="Y103" s="57"/>
      <c r="Z103" s="57"/>
      <c r="AA103" s="57"/>
    </row>
    <row r="104" spans="2:19" ht="12.75">
      <c r="B104" s="14" t="s">
        <v>156</v>
      </c>
      <c r="D104" s="14" t="s">
        <v>56</v>
      </c>
      <c r="E104" s="42" t="s">
        <v>34</v>
      </c>
      <c r="F104" s="29">
        <v>0.029</v>
      </c>
      <c r="G104" s="42" t="s">
        <v>34</v>
      </c>
      <c r="H104" s="29">
        <v>0.028</v>
      </c>
      <c r="I104" s="42" t="s">
        <v>34</v>
      </c>
      <c r="J104" s="29">
        <v>0.028</v>
      </c>
      <c r="L104" s="59">
        <f t="shared" si="12"/>
        <v>0.028333333333333335</v>
      </c>
      <c r="M104" s="61"/>
      <c r="N104" s="61"/>
      <c r="O104" s="61"/>
      <c r="P104" s="61"/>
      <c r="Q104" s="61"/>
      <c r="R104" s="61"/>
      <c r="S104" s="61"/>
    </row>
    <row r="105" spans="2:27" ht="12.75">
      <c r="B105" s="14" t="s">
        <v>157</v>
      </c>
      <c r="D105" s="14" t="s">
        <v>56</v>
      </c>
      <c r="E105" s="42" t="s">
        <v>34</v>
      </c>
      <c r="F105" s="29">
        <v>0.69</v>
      </c>
      <c r="G105" s="42" t="s">
        <v>34</v>
      </c>
      <c r="H105" s="29">
        <v>0.66</v>
      </c>
      <c r="I105" s="42" t="s">
        <v>34</v>
      </c>
      <c r="J105" s="29">
        <v>0.66</v>
      </c>
      <c r="L105" s="59">
        <f t="shared" si="12"/>
        <v>0.6699999999999999</v>
      </c>
      <c r="M105" s="59"/>
      <c r="N105" s="59"/>
      <c r="O105" s="59"/>
      <c r="P105" s="59"/>
      <c r="Q105" s="59"/>
      <c r="R105" s="59"/>
      <c r="S105" s="59"/>
      <c r="T105" s="55"/>
      <c r="U105" s="55"/>
      <c r="V105" s="55"/>
      <c r="W105" s="55"/>
      <c r="X105" s="55"/>
      <c r="Y105" s="55"/>
      <c r="Z105" s="55"/>
      <c r="AA105" s="55"/>
    </row>
    <row r="106" spans="2:27" ht="12.75">
      <c r="B106" s="14" t="s">
        <v>158</v>
      </c>
      <c r="D106" s="14" t="s">
        <v>56</v>
      </c>
      <c r="F106" s="29">
        <v>0.538</v>
      </c>
      <c r="G106" s="42" t="s">
        <v>34</v>
      </c>
      <c r="H106" s="29">
        <v>0.29</v>
      </c>
      <c r="I106" s="22" t="s">
        <v>34</v>
      </c>
      <c r="J106" s="29">
        <v>0.576</v>
      </c>
      <c r="L106" s="59">
        <f t="shared" si="12"/>
        <v>0.46799999999999997</v>
      </c>
      <c r="M106" s="60"/>
      <c r="N106" s="60"/>
      <c r="O106" s="60"/>
      <c r="P106" s="60"/>
      <c r="Q106" s="60"/>
      <c r="R106" s="60"/>
      <c r="S106" s="60"/>
      <c r="T106" s="53"/>
      <c r="U106" s="53"/>
      <c r="V106" s="53"/>
      <c r="W106" s="53"/>
      <c r="X106" s="53"/>
      <c r="Y106" s="53"/>
      <c r="Z106" s="53"/>
      <c r="AA106" s="53"/>
    </row>
    <row r="107" spans="2:19" ht="12.75">
      <c r="B107" s="14" t="s">
        <v>159</v>
      </c>
      <c r="D107" s="14" t="s">
        <v>56</v>
      </c>
      <c r="E107" s="42" t="s">
        <v>34</v>
      </c>
      <c r="F107" s="29">
        <v>0.041</v>
      </c>
      <c r="G107" s="42" t="s">
        <v>34</v>
      </c>
      <c r="H107" s="29">
        <v>0.039</v>
      </c>
      <c r="I107" s="42" t="s">
        <v>34</v>
      </c>
      <c r="J107" s="29">
        <v>0.039</v>
      </c>
      <c r="L107" s="59">
        <f t="shared" si="12"/>
        <v>0.03966666666666666</v>
      </c>
      <c r="M107" s="61"/>
      <c r="N107" s="61"/>
      <c r="O107" s="61"/>
      <c r="P107" s="61"/>
      <c r="Q107" s="61"/>
      <c r="R107" s="61"/>
      <c r="S107" s="61"/>
    </row>
    <row r="108" spans="2:19" ht="12.75">
      <c r="B108" s="14" t="s">
        <v>160</v>
      </c>
      <c r="D108" s="14" t="s">
        <v>56</v>
      </c>
      <c r="E108" s="42" t="s">
        <v>34</v>
      </c>
      <c r="F108" s="29">
        <v>0.26</v>
      </c>
      <c r="G108" s="42" t="s">
        <v>34</v>
      </c>
      <c r="H108" s="29">
        <v>0.25</v>
      </c>
      <c r="I108" s="42" t="s">
        <v>34</v>
      </c>
      <c r="J108" s="29">
        <v>0.25</v>
      </c>
      <c r="L108" s="59">
        <f t="shared" si="12"/>
        <v>0.25333333333333335</v>
      </c>
      <c r="M108" s="60"/>
      <c r="N108" s="60"/>
      <c r="O108" s="60"/>
      <c r="P108" s="60"/>
      <c r="Q108" s="60"/>
      <c r="R108" s="60"/>
      <c r="S108" s="60"/>
    </row>
    <row r="109" spans="2:28" ht="12.75">
      <c r="B109" s="14" t="s">
        <v>180</v>
      </c>
      <c r="D109" s="14" t="s">
        <v>56</v>
      </c>
      <c r="F109" s="29">
        <v>0.267</v>
      </c>
      <c r="G109" s="57"/>
      <c r="H109" s="29">
        <v>0.328</v>
      </c>
      <c r="I109" s="57"/>
      <c r="J109" s="29">
        <v>0.258</v>
      </c>
      <c r="L109" s="59">
        <f t="shared" si="12"/>
        <v>0.2843333333333334</v>
      </c>
      <c r="M109" s="60"/>
      <c r="N109" s="60"/>
      <c r="O109" s="60"/>
      <c r="P109" s="60"/>
      <c r="Q109" s="60"/>
      <c r="R109" s="60"/>
      <c r="S109" s="60"/>
      <c r="T109" s="59"/>
      <c r="U109" s="59"/>
      <c r="V109" s="59"/>
      <c r="W109" s="59"/>
      <c r="X109" s="59"/>
      <c r="Y109" s="59"/>
      <c r="Z109" s="59"/>
      <c r="AA109" s="59"/>
      <c r="AB109" s="57"/>
    </row>
    <row r="110" spans="20:27" ht="12.75">
      <c r="T110" s="57"/>
      <c r="U110" s="57"/>
      <c r="V110" s="57"/>
      <c r="W110" s="57"/>
      <c r="X110" s="57"/>
      <c r="Y110" s="57"/>
      <c r="Z110" s="57"/>
      <c r="AA110" s="57"/>
    </row>
    <row r="111" spans="2:27" ht="12.75">
      <c r="B111" s="14" t="s">
        <v>107</v>
      </c>
      <c r="D111" s="14" t="s">
        <v>22</v>
      </c>
      <c r="F111" s="42">
        <f>emiss!G90</f>
        <v>17212</v>
      </c>
      <c r="H111" s="42">
        <f>emiss!I90</f>
        <v>16546</v>
      </c>
      <c r="J111" s="42">
        <f>emiss!K90</f>
        <v>16149</v>
      </c>
      <c r="L111" s="51">
        <f>emiss!M90</f>
        <v>16635.666666666668</v>
      </c>
      <c r="M111" s="15"/>
      <c r="N111" s="15"/>
      <c r="O111" s="15"/>
      <c r="P111" s="15"/>
      <c r="Q111" s="15"/>
      <c r="R111" s="15"/>
      <c r="S111" s="15"/>
      <c r="T111" s="57"/>
      <c r="U111" s="57"/>
      <c r="V111" s="57"/>
      <c r="W111" s="57"/>
      <c r="X111" s="57"/>
      <c r="Y111" s="57"/>
      <c r="Z111" s="57"/>
      <c r="AA111" s="57"/>
    </row>
    <row r="112" spans="2:19" ht="12.75">
      <c r="B112" s="14" t="s">
        <v>108</v>
      </c>
      <c r="D112" s="14" t="s">
        <v>23</v>
      </c>
      <c r="F112" s="42">
        <f>emiss!G97</f>
        <v>7</v>
      </c>
      <c r="H112" s="42">
        <f>emiss!I97</f>
        <v>6.8</v>
      </c>
      <c r="J112" s="42">
        <f>emiss!K97</f>
        <v>6.4</v>
      </c>
      <c r="L112" s="51">
        <f>emiss!M97</f>
        <v>6.733333333333334</v>
      </c>
      <c r="M112" s="15"/>
      <c r="N112" s="15"/>
      <c r="O112" s="15"/>
      <c r="P112" s="15"/>
      <c r="Q112" s="15"/>
      <c r="R112" s="15"/>
      <c r="S112" s="15"/>
    </row>
    <row r="114" spans="2:28" ht="12.75">
      <c r="B114" s="14" t="s">
        <v>220</v>
      </c>
      <c r="D114" s="14" t="s">
        <v>72</v>
      </c>
      <c r="L114" s="42"/>
      <c r="M114" s="15"/>
      <c r="N114" s="15"/>
      <c r="O114" s="15"/>
      <c r="P114" s="15"/>
      <c r="Q114" s="15"/>
      <c r="R114" s="15"/>
      <c r="S114" s="15"/>
      <c r="T114" s="51"/>
      <c r="U114" s="51"/>
      <c r="V114" s="15">
        <f>(F111/9000)*((21-F112)/21)*60</f>
        <v>76.49777777777777</v>
      </c>
      <c r="X114" s="15">
        <f>(H111/9000)*((21-H112)/21)*60</f>
        <v>74.58831746031746</v>
      </c>
      <c r="Z114" s="15">
        <f>(J111/9000)*((21-J112)/21)*60</f>
        <v>74.84933333333333</v>
      </c>
      <c r="AB114" s="15">
        <f>(L111/9000)*((21-L112)/21)*60</f>
        <v>75.34460670194004</v>
      </c>
    </row>
    <row r="115" spans="12:27" ht="12.75">
      <c r="L115" s="15"/>
      <c r="M115" s="15"/>
      <c r="N115" s="15"/>
      <c r="O115" s="15"/>
      <c r="P115" s="15"/>
      <c r="Q115" s="15"/>
      <c r="R115" s="15"/>
      <c r="S115" s="15"/>
      <c r="T115" s="51"/>
      <c r="U115" s="51"/>
      <c r="V115" s="51"/>
      <c r="W115" s="51"/>
      <c r="X115" s="51"/>
      <c r="Y115" s="51"/>
      <c r="Z115" s="51"/>
      <c r="AA115" s="51"/>
    </row>
    <row r="116" spans="2:27" ht="12.75">
      <c r="B116" s="69" t="s">
        <v>132</v>
      </c>
      <c r="C116" s="69"/>
      <c r="L116" s="15"/>
      <c r="M116" s="15"/>
      <c r="N116" s="15"/>
      <c r="O116" s="15"/>
      <c r="P116" s="15"/>
      <c r="Q116" s="15"/>
      <c r="R116" s="15"/>
      <c r="S116" s="15"/>
      <c r="T116" s="51"/>
      <c r="U116" s="51"/>
      <c r="V116" s="51"/>
      <c r="W116" s="51"/>
      <c r="X116" s="51"/>
      <c r="Y116" s="51"/>
      <c r="Z116" s="51"/>
      <c r="AA116" s="51"/>
    </row>
    <row r="117" spans="2:28" ht="12.75">
      <c r="B117" s="14" t="s">
        <v>59</v>
      </c>
      <c r="D117" s="14" t="s">
        <v>101</v>
      </c>
      <c r="F117" s="15">
        <f>(F95*454/(F111*60*0.0283))*((21-7)/(21-F112))*1000</f>
        <v>10.640876458668139</v>
      </c>
      <c r="G117" s="51"/>
      <c r="H117" s="15">
        <f>(H95*454/(H111*60*0.0283))*((21-7)/(21-H112))*1000</f>
        <v>10.53091961574456</v>
      </c>
      <c r="I117" s="51"/>
      <c r="J117" s="15">
        <f>(J95*454/(J111*60*0.0283))*((21-7)/(21-J112))*1000</f>
        <v>9.986156266605578</v>
      </c>
      <c r="K117" s="51"/>
      <c r="L117" s="15">
        <f aca="true" t="shared" si="13" ref="L117:L134">AVERAGE(J117,H117,F117)</f>
        <v>10.385984113672759</v>
      </c>
      <c r="M117" s="15"/>
      <c r="N117" s="15"/>
      <c r="O117" s="15"/>
      <c r="P117" s="15"/>
      <c r="Q117" s="15"/>
      <c r="R117" s="15"/>
      <c r="S117" s="15"/>
      <c r="U117" s="42">
        <f aca="true" t="shared" si="14" ref="U117:AB117">E117</f>
        <v>0</v>
      </c>
      <c r="V117" s="51">
        <f t="shared" si="14"/>
        <v>10.640876458668139</v>
      </c>
      <c r="W117" s="42">
        <f t="shared" si="14"/>
        <v>0</v>
      </c>
      <c r="X117" s="51">
        <f t="shared" si="14"/>
        <v>10.53091961574456</v>
      </c>
      <c r="Y117" s="42">
        <f t="shared" si="14"/>
        <v>0</v>
      </c>
      <c r="Z117" s="51">
        <f t="shared" si="14"/>
        <v>9.986156266605578</v>
      </c>
      <c r="AA117" s="42">
        <f t="shared" si="14"/>
        <v>0</v>
      </c>
      <c r="AB117" s="51">
        <f t="shared" si="14"/>
        <v>10.385984113672759</v>
      </c>
    </row>
    <row r="118" spans="2:28" ht="12.75">
      <c r="B118" s="14" t="s">
        <v>60</v>
      </c>
      <c r="D118" s="14" t="s">
        <v>103</v>
      </c>
      <c r="F118" s="15">
        <f>(F96*454/(F$111*60*0.0283))*(14/(21-F$112))*1000000</f>
        <v>148.50624663484294</v>
      </c>
      <c r="G118" s="51"/>
      <c r="H118" s="15">
        <f>(H96*454/(H$111*60*0.0283))*(14/(21-H$112))*1000000</f>
        <v>192.7747766270941</v>
      </c>
      <c r="I118" s="51"/>
      <c r="J118" s="15">
        <f>(J96*454/(J$111*60*0.0283))*(14/(21-J$112))*1000000</f>
        <v>193.69015334274732</v>
      </c>
      <c r="K118" s="51"/>
      <c r="L118" s="15">
        <f t="shared" si="13"/>
        <v>178.3237255348948</v>
      </c>
      <c r="M118" s="16"/>
      <c r="N118" s="16"/>
      <c r="O118" s="16"/>
      <c r="P118" s="16"/>
      <c r="Q118" s="16"/>
      <c r="R118" s="16"/>
      <c r="S118" s="16"/>
      <c r="T118" s="57"/>
      <c r="U118" s="42">
        <f aca="true" t="shared" si="15" ref="U118:AA134">E118</f>
        <v>0</v>
      </c>
      <c r="V118" s="51">
        <f aca="true" t="shared" si="16" ref="V118:V131">F118</f>
        <v>148.50624663484294</v>
      </c>
      <c r="W118" s="42">
        <f t="shared" si="15"/>
        <v>0</v>
      </c>
      <c r="X118" s="51">
        <f aca="true" t="shared" si="17" ref="X118:X131">H118</f>
        <v>192.7747766270941</v>
      </c>
      <c r="Y118" s="42">
        <f t="shared" si="15"/>
        <v>0</v>
      </c>
      <c r="Z118" s="51">
        <f aca="true" t="shared" si="18" ref="Z118:Z131">J118</f>
        <v>193.69015334274732</v>
      </c>
      <c r="AA118" s="42">
        <f t="shared" si="15"/>
        <v>0</v>
      </c>
      <c r="AB118" s="51">
        <f aca="true" t="shared" si="19" ref="AB118:AB131">L118</f>
        <v>178.3237255348948</v>
      </c>
    </row>
    <row r="119" spans="2:28" ht="12.75">
      <c r="B119" s="14" t="s">
        <v>150</v>
      </c>
      <c r="D119" s="14" t="s">
        <v>103</v>
      </c>
      <c r="E119" s="42">
        <v>100</v>
      </c>
      <c r="F119" s="15">
        <f>(F97/(F$111*60*0.0283))*(14/(21-F$112))*1000000</f>
        <v>5.816743297127187</v>
      </c>
      <c r="G119" s="51"/>
      <c r="H119" s="15">
        <f>(H97/(H$111*60*0.0283))*(14/(21-H$112))*1000000</f>
        <v>26.88052552087124</v>
      </c>
      <c r="I119" s="51"/>
      <c r="J119" s="15">
        <f aca="true" t="shared" si="20" ref="J119:J131">(J97/(J$111*60*0.0283))*(14/(21-J$112))*1000000</f>
        <v>28.22054483779828</v>
      </c>
      <c r="K119" s="50">
        <f>(E119*F119+G119*H119+I119*J119)/SUM(F119,H119,J119)</f>
        <v>9.548509619851872</v>
      </c>
      <c r="L119" s="15">
        <f t="shared" si="13"/>
        <v>20.305937885265568</v>
      </c>
      <c r="M119" s="15"/>
      <c r="N119" s="15"/>
      <c r="O119" s="15"/>
      <c r="P119" s="15"/>
      <c r="Q119" s="15"/>
      <c r="R119" s="15"/>
      <c r="S119" s="15"/>
      <c r="U119" s="42">
        <f t="shared" si="15"/>
        <v>100</v>
      </c>
      <c r="V119" s="51">
        <f t="shared" si="16"/>
        <v>5.816743297127187</v>
      </c>
      <c r="W119" s="42">
        <f t="shared" si="15"/>
        <v>0</v>
      </c>
      <c r="X119" s="51">
        <f t="shared" si="17"/>
        <v>26.88052552087124</v>
      </c>
      <c r="Y119" s="42">
        <f t="shared" si="15"/>
        <v>0</v>
      </c>
      <c r="Z119" s="51">
        <f t="shared" si="18"/>
        <v>28.22054483779828</v>
      </c>
      <c r="AA119" s="42">
        <f t="shared" si="15"/>
        <v>9.548509619851872</v>
      </c>
      <c r="AB119" s="51">
        <f t="shared" si="19"/>
        <v>20.305937885265568</v>
      </c>
    </row>
    <row r="120" spans="2:28" ht="12.75">
      <c r="B120" s="14" t="s">
        <v>151</v>
      </c>
      <c r="D120" s="14" t="s">
        <v>103</v>
      </c>
      <c r="E120" s="42">
        <v>100</v>
      </c>
      <c r="F120" s="15">
        <f aca="true" t="shared" si="21" ref="F120:H131">(F98/(F$111*60*0.0283))*(14/(21-F$112))*1000000</f>
        <v>0.2463561867018573</v>
      </c>
      <c r="G120" s="42">
        <v>100</v>
      </c>
      <c r="H120" s="15">
        <f t="shared" si="21"/>
        <v>0.2421352821070647</v>
      </c>
      <c r="I120" s="42">
        <v>100</v>
      </c>
      <c r="J120" s="15">
        <f t="shared" si="20"/>
        <v>0.24129090381760607</v>
      </c>
      <c r="K120" s="52">
        <v>100</v>
      </c>
      <c r="L120" s="15">
        <f t="shared" si="13"/>
        <v>0.24326079087550936</v>
      </c>
      <c r="M120" s="15"/>
      <c r="N120" s="15"/>
      <c r="O120" s="15"/>
      <c r="P120" s="15"/>
      <c r="Q120" s="15"/>
      <c r="R120" s="15"/>
      <c r="S120" s="15"/>
      <c r="U120" s="42">
        <f t="shared" si="15"/>
        <v>100</v>
      </c>
      <c r="V120" s="51">
        <f t="shared" si="16"/>
        <v>0.2463561867018573</v>
      </c>
      <c r="W120" s="42">
        <f t="shared" si="15"/>
        <v>100</v>
      </c>
      <c r="X120" s="51">
        <f t="shared" si="17"/>
        <v>0.2421352821070647</v>
      </c>
      <c r="Y120" s="42">
        <f t="shared" si="15"/>
        <v>100</v>
      </c>
      <c r="Z120" s="51">
        <f t="shared" si="18"/>
        <v>0.24129090381760607</v>
      </c>
      <c r="AA120" s="42">
        <f t="shared" si="15"/>
        <v>100</v>
      </c>
      <c r="AB120" s="51">
        <f t="shared" si="19"/>
        <v>0.24326079087550936</v>
      </c>
    </row>
    <row r="121" spans="2:28" ht="12.75">
      <c r="B121" s="14" t="s">
        <v>152</v>
      </c>
      <c r="D121" s="14" t="s">
        <v>103</v>
      </c>
      <c r="E121" s="47"/>
      <c r="F121" s="15">
        <f t="shared" si="21"/>
        <v>1.3070564350015206</v>
      </c>
      <c r="G121" s="72"/>
      <c r="H121" s="15">
        <f t="shared" si="21"/>
        <v>0.9123938166353163</v>
      </c>
      <c r="I121" s="72"/>
      <c r="J121" s="15">
        <f t="shared" si="20"/>
        <v>1.1819757317442152</v>
      </c>
      <c r="K121" s="72"/>
      <c r="L121" s="15">
        <f t="shared" si="13"/>
        <v>1.1338086611270173</v>
      </c>
      <c r="M121" s="15"/>
      <c r="N121" s="15"/>
      <c r="O121" s="15"/>
      <c r="P121" s="15"/>
      <c r="Q121" s="15"/>
      <c r="R121" s="15"/>
      <c r="S121" s="15"/>
      <c r="U121" s="42">
        <f t="shared" si="15"/>
        <v>0</v>
      </c>
      <c r="V121" s="51">
        <f t="shared" si="16"/>
        <v>1.3070564350015206</v>
      </c>
      <c r="W121" s="42">
        <f t="shared" si="15"/>
        <v>0</v>
      </c>
      <c r="X121" s="51">
        <f t="shared" si="17"/>
        <v>0.9123938166353163</v>
      </c>
      <c r="Y121" s="42">
        <f t="shared" si="15"/>
        <v>0</v>
      </c>
      <c r="Z121" s="51">
        <f t="shared" si="18"/>
        <v>1.1819757317442152</v>
      </c>
      <c r="AA121" s="42">
        <f t="shared" si="15"/>
        <v>0</v>
      </c>
      <c r="AB121" s="51">
        <f t="shared" si="19"/>
        <v>1.1338086611270173</v>
      </c>
    </row>
    <row r="122" spans="2:28" ht="12.75">
      <c r="B122" s="14" t="s">
        <v>153</v>
      </c>
      <c r="D122" s="14" t="s">
        <v>103</v>
      </c>
      <c r="E122" s="42">
        <v>100</v>
      </c>
      <c r="F122" s="15">
        <f t="shared" si="21"/>
        <v>0.7185388778804171</v>
      </c>
      <c r="G122" s="42">
        <v>100</v>
      </c>
      <c r="H122" s="15">
        <f t="shared" si="21"/>
        <v>0.7018413974117819</v>
      </c>
      <c r="I122" s="42">
        <v>100</v>
      </c>
      <c r="J122" s="15">
        <f t="shared" si="20"/>
        <v>0.6993939241090031</v>
      </c>
      <c r="K122" s="52">
        <v>100</v>
      </c>
      <c r="L122" s="15">
        <f t="shared" si="13"/>
        <v>0.7065913998004006</v>
      </c>
      <c r="M122" s="15"/>
      <c r="N122" s="15"/>
      <c r="O122" s="15"/>
      <c r="P122" s="15"/>
      <c r="Q122" s="15"/>
      <c r="R122" s="15"/>
      <c r="S122" s="15"/>
      <c r="U122" s="42">
        <f t="shared" si="15"/>
        <v>100</v>
      </c>
      <c r="V122" s="51">
        <f t="shared" si="16"/>
        <v>0.7185388778804171</v>
      </c>
      <c r="W122" s="42">
        <f t="shared" si="15"/>
        <v>100</v>
      </c>
      <c r="X122" s="51">
        <f t="shared" si="17"/>
        <v>0.7018413974117819</v>
      </c>
      <c r="Y122" s="42">
        <f t="shared" si="15"/>
        <v>100</v>
      </c>
      <c r="Z122" s="51">
        <f t="shared" si="18"/>
        <v>0.6993939241090031</v>
      </c>
      <c r="AA122" s="42">
        <f t="shared" si="15"/>
        <v>100</v>
      </c>
      <c r="AB122" s="51">
        <f t="shared" si="19"/>
        <v>0.7065913998004006</v>
      </c>
    </row>
    <row r="123" spans="2:28" ht="12.75">
      <c r="B123" s="14" t="s">
        <v>154</v>
      </c>
      <c r="D123" s="14" t="s">
        <v>103</v>
      </c>
      <c r="E123" s="42">
        <v>100</v>
      </c>
      <c r="F123" s="15">
        <f t="shared" si="21"/>
        <v>3.7637750746117082</v>
      </c>
      <c r="G123" s="42">
        <v>100</v>
      </c>
      <c r="H123" s="15">
        <f t="shared" si="21"/>
        <v>3.8601276857648004</v>
      </c>
      <c r="I123" s="42">
        <v>100</v>
      </c>
      <c r="J123" s="15">
        <f t="shared" si="20"/>
        <v>3.8466665825995174</v>
      </c>
      <c r="K123" s="52">
        <v>100</v>
      </c>
      <c r="L123" s="15">
        <f t="shared" si="13"/>
        <v>3.823523114325342</v>
      </c>
      <c r="M123" s="15"/>
      <c r="N123" s="15"/>
      <c r="O123" s="15"/>
      <c r="P123" s="15"/>
      <c r="Q123" s="15"/>
      <c r="R123" s="15"/>
      <c r="S123" s="15"/>
      <c r="U123" s="42">
        <f t="shared" si="15"/>
        <v>100</v>
      </c>
      <c r="V123" s="51">
        <f t="shared" si="16"/>
        <v>3.7637750746117082</v>
      </c>
      <c r="W123" s="42">
        <f t="shared" si="15"/>
        <v>100</v>
      </c>
      <c r="X123" s="51">
        <f t="shared" si="17"/>
        <v>3.8601276857648004</v>
      </c>
      <c r="Y123" s="42">
        <f t="shared" si="15"/>
        <v>100</v>
      </c>
      <c r="Z123" s="51">
        <f t="shared" si="18"/>
        <v>3.8466665825995174</v>
      </c>
      <c r="AA123" s="42">
        <f t="shared" si="15"/>
        <v>100</v>
      </c>
      <c r="AB123" s="51">
        <f t="shared" si="19"/>
        <v>3.823523114325342</v>
      </c>
    </row>
    <row r="124" spans="2:28" ht="12.75">
      <c r="B124" s="14" t="s">
        <v>178</v>
      </c>
      <c r="D124" s="14" t="s">
        <v>103</v>
      </c>
      <c r="F124" s="15">
        <f t="shared" si="21"/>
        <v>8.861979493858477</v>
      </c>
      <c r="G124" s="51"/>
      <c r="H124" s="15">
        <f t="shared" si="21"/>
        <v>10.246884402212014</v>
      </c>
      <c r="I124" s="51"/>
      <c r="J124" s="15">
        <f t="shared" si="20"/>
        <v>11.644908836414903</v>
      </c>
      <c r="K124" s="51"/>
      <c r="L124" s="15">
        <f t="shared" si="13"/>
        <v>10.251257577495132</v>
      </c>
      <c r="M124" s="15"/>
      <c r="N124" s="15"/>
      <c r="O124" s="15"/>
      <c r="P124" s="15"/>
      <c r="Q124" s="15"/>
      <c r="R124" s="15"/>
      <c r="S124" s="15"/>
      <c r="U124" s="42">
        <f t="shared" si="15"/>
        <v>0</v>
      </c>
      <c r="V124" s="51">
        <f t="shared" si="16"/>
        <v>8.861979493858477</v>
      </c>
      <c r="W124" s="42">
        <f t="shared" si="15"/>
        <v>0</v>
      </c>
      <c r="X124" s="51">
        <f t="shared" si="17"/>
        <v>10.246884402212014</v>
      </c>
      <c r="Y124" s="42">
        <f t="shared" si="15"/>
        <v>0</v>
      </c>
      <c r="Z124" s="51">
        <f t="shared" si="18"/>
        <v>11.644908836414903</v>
      </c>
      <c r="AA124" s="42">
        <f t="shared" si="15"/>
        <v>0</v>
      </c>
      <c r="AB124" s="51">
        <f t="shared" si="19"/>
        <v>10.251257577495132</v>
      </c>
    </row>
    <row r="125" spans="2:28" ht="12.75">
      <c r="B125" s="14" t="s">
        <v>155</v>
      </c>
      <c r="D125" s="14" t="s">
        <v>103</v>
      </c>
      <c r="F125" s="15">
        <f t="shared" si="21"/>
        <v>11.291325223835125</v>
      </c>
      <c r="G125" s="51"/>
      <c r="H125" s="15">
        <f t="shared" si="21"/>
        <v>30.495008717541918</v>
      </c>
      <c r="I125" s="51"/>
      <c r="J125" s="15">
        <f t="shared" si="20"/>
        <v>38.46666582599517</v>
      </c>
      <c r="K125" s="51"/>
      <c r="L125" s="15">
        <f t="shared" si="13"/>
        <v>26.750999922457407</v>
      </c>
      <c r="M125" s="15"/>
      <c r="N125" s="15"/>
      <c r="O125" s="15"/>
      <c r="P125" s="15"/>
      <c r="Q125" s="15"/>
      <c r="R125" s="15"/>
      <c r="S125" s="15"/>
      <c r="U125" s="42">
        <f t="shared" si="15"/>
        <v>0</v>
      </c>
      <c r="V125" s="51">
        <f t="shared" si="16"/>
        <v>11.291325223835125</v>
      </c>
      <c r="W125" s="42">
        <f t="shared" si="15"/>
        <v>0</v>
      </c>
      <c r="X125" s="51">
        <f t="shared" si="17"/>
        <v>30.495008717541918</v>
      </c>
      <c r="Y125" s="42">
        <f t="shared" si="15"/>
        <v>0</v>
      </c>
      <c r="Z125" s="51">
        <f t="shared" si="18"/>
        <v>38.46666582599517</v>
      </c>
      <c r="AA125" s="42">
        <f t="shared" si="15"/>
        <v>0</v>
      </c>
      <c r="AB125" s="51">
        <f t="shared" si="19"/>
        <v>26.750999922457407</v>
      </c>
    </row>
    <row r="126" spans="2:28" ht="12.75">
      <c r="B126" s="14" t="s">
        <v>156</v>
      </c>
      <c r="D126" s="14" t="s">
        <v>103</v>
      </c>
      <c r="E126" s="42">
        <v>100</v>
      </c>
      <c r="F126" s="15">
        <f t="shared" si="21"/>
        <v>0.9922679742158141</v>
      </c>
      <c r="G126" s="42">
        <v>100</v>
      </c>
      <c r="H126" s="15">
        <f t="shared" si="21"/>
        <v>0.9825779563764945</v>
      </c>
      <c r="I126" s="42">
        <v>100</v>
      </c>
      <c r="J126" s="15">
        <f t="shared" si="20"/>
        <v>0.9791514937526042</v>
      </c>
      <c r="K126" s="52">
        <v>100</v>
      </c>
      <c r="L126" s="15">
        <f t="shared" si="13"/>
        <v>0.984665808114971</v>
      </c>
      <c r="M126" s="15"/>
      <c r="N126" s="15"/>
      <c r="O126" s="15"/>
      <c r="P126" s="15"/>
      <c r="Q126" s="15"/>
      <c r="R126" s="15"/>
      <c r="S126" s="15"/>
      <c r="U126" s="42">
        <f t="shared" si="15"/>
        <v>100</v>
      </c>
      <c r="V126" s="51">
        <f t="shared" si="16"/>
        <v>0.9922679742158141</v>
      </c>
      <c r="W126" s="42">
        <f t="shared" si="15"/>
        <v>100</v>
      </c>
      <c r="X126" s="51">
        <f t="shared" si="17"/>
        <v>0.9825779563764945</v>
      </c>
      <c r="Y126" s="42">
        <f t="shared" si="15"/>
        <v>100</v>
      </c>
      <c r="Z126" s="51">
        <f t="shared" si="18"/>
        <v>0.9791514937526042</v>
      </c>
      <c r="AA126" s="42">
        <f t="shared" si="15"/>
        <v>100</v>
      </c>
      <c r="AB126" s="51">
        <f t="shared" si="19"/>
        <v>0.984665808114971</v>
      </c>
    </row>
    <row r="127" spans="2:28" ht="12.75">
      <c r="B127" s="14" t="s">
        <v>157</v>
      </c>
      <c r="D127" s="14" t="s">
        <v>103</v>
      </c>
      <c r="E127" s="42">
        <v>100</v>
      </c>
      <c r="F127" s="15">
        <f t="shared" si="21"/>
        <v>23.609134558927988</v>
      </c>
      <c r="G127" s="42">
        <v>100</v>
      </c>
      <c r="H127" s="15">
        <f t="shared" si="21"/>
        <v>23.1607661145888</v>
      </c>
      <c r="I127" s="42">
        <v>100</v>
      </c>
      <c r="J127" s="15">
        <f t="shared" si="20"/>
        <v>23.079999495597104</v>
      </c>
      <c r="K127" s="52">
        <v>100</v>
      </c>
      <c r="L127" s="15">
        <f t="shared" si="13"/>
        <v>23.2833000563713</v>
      </c>
      <c r="M127" s="15"/>
      <c r="N127" s="15"/>
      <c r="O127" s="15"/>
      <c r="P127" s="15"/>
      <c r="Q127" s="15"/>
      <c r="R127" s="15"/>
      <c r="S127" s="15"/>
      <c r="U127" s="42">
        <f t="shared" si="15"/>
        <v>100</v>
      </c>
      <c r="V127" s="51">
        <f t="shared" si="16"/>
        <v>23.609134558927988</v>
      </c>
      <c r="W127" s="42">
        <f t="shared" si="15"/>
        <v>100</v>
      </c>
      <c r="X127" s="51">
        <f t="shared" si="17"/>
        <v>23.1607661145888</v>
      </c>
      <c r="Y127" s="42">
        <f t="shared" si="15"/>
        <v>100</v>
      </c>
      <c r="Z127" s="51">
        <f t="shared" si="18"/>
        <v>23.079999495597104</v>
      </c>
      <c r="AA127" s="42">
        <f t="shared" si="15"/>
        <v>100</v>
      </c>
      <c r="AB127" s="51">
        <f t="shared" si="19"/>
        <v>23.2833000563713</v>
      </c>
    </row>
    <row r="128" spans="2:28" ht="12.75">
      <c r="B128" s="14" t="s">
        <v>158</v>
      </c>
      <c r="D128" s="14" t="s">
        <v>103</v>
      </c>
      <c r="F128" s="15">
        <f t="shared" si="21"/>
        <v>18.40828172855545</v>
      </c>
      <c r="G128" s="51"/>
      <c r="H128" s="15">
        <f t="shared" si="21"/>
        <v>10.176700262470835</v>
      </c>
      <c r="I128" s="42">
        <v>100</v>
      </c>
      <c r="J128" s="15">
        <f t="shared" si="20"/>
        <v>20.142545014339287</v>
      </c>
      <c r="K128" s="51"/>
      <c r="L128" s="15">
        <f t="shared" si="13"/>
        <v>16.242509001788523</v>
      </c>
      <c r="M128" s="15"/>
      <c r="N128" s="15"/>
      <c r="O128" s="15"/>
      <c r="P128" s="15"/>
      <c r="Q128" s="15"/>
      <c r="R128" s="15"/>
      <c r="S128" s="15"/>
      <c r="U128" s="42">
        <f t="shared" si="15"/>
        <v>0</v>
      </c>
      <c r="V128" s="51">
        <f t="shared" si="16"/>
        <v>18.40828172855545</v>
      </c>
      <c r="W128" s="42">
        <f t="shared" si="15"/>
        <v>0</v>
      </c>
      <c r="X128" s="51">
        <f t="shared" si="17"/>
        <v>10.176700262470835</v>
      </c>
      <c r="Y128" s="42">
        <f t="shared" si="15"/>
        <v>100</v>
      </c>
      <c r="Z128" s="51">
        <f t="shared" si="18"/>
        <v>20.142545014339287</v>
      </c>
      <c r="AA128" s="42">
        <f t="shared" si="15"/>
        <v>0</v>
      </c>
      <c r="AB128" s="51">
        <f t="shared" si="19"/>
        <v>16.242509001788523</v>
      </c>
    </row>
    <row r="129" spans="2:28" ht="12.75">
      <c r="B129" s="14" t="s">
        <v>159</v>
      </c>
      <c r="D129" s="14" t="s">
        <v>103</v>
      </c>
      <c r="E129" s="42">
        <v>100</v>
      </c>
      <c r="F129" s="15">
        <f t="shared" si="21"/>
        <v>1.4028616187189096</v>
      </c>
      <c r="G129" s="42">
        <v>100</v>
      </c>
      <c r="H129" s="15">
        <f t="shared" si="21"/>
        <v>1.3685907249529745</v>
      </c>
      <c r="I129" s="42">
        <v>100</v>
      </c>
      <c r="J129" s="15">
        <f t="shared" si="20"/>
        <v>1.363818152012556</v>
      </c>
      <c r="K129" s="52">
        <v>100</v>
      </c>
      <c r="L129" s="15">
        <f t="shared" si="13"/>
        <v>1.37842349856148</v>
      </c>
      <c r="M129" s="15"/>
      <c r="N129" s="15"/>
      <c r="O129" s="15"/>
      <c r="P129" s="15"/>
      <c r="Q129" s="15"/>
      <c r="R129" s="15"/>
      <c r="S129" s="15"/>
      <c r="U129" s="42">
        <f t="shared" si="15"/>
        <v>100</v>
      </c>
      <c r="V129" s="51">
        <f t="shared" si="16"/>
        <v>1.4028616187189096</v>
      </c>
      <c r="W129" s="42">
        <f t="shared" si="15"/>
        <v>100</v>
      </c>
      <c r="X129" s="51">
        <f t="shared" si="17"/>
        <v>1.3685907249529745</v>
      </c>
      <c r="Y129" s="42">
        <f t="shared" si="15"/>
        <v>100</v>
      </c>
      <c r="Z129" s="51">
        <f t="shared" si="18"/>
        <v>1.363818152012556</v>
      </c>
      <c r="AA129" s="42">
        <f t="shared" si="15"/>
        <v>100</v>
      </c>
      <c r="AB129" s="51">
        <f t="shared" si="19"/>
        <v>1.37842349856148</v>
      </c>
    </row>
    <row r="130" spans="2:28" ht="12.75">
      <c r="B130" s="14" t="s">
        <v>160</v>
      </c>
      <c r="D130" s="14" t="s">
        <v>103</v>
      </c>
      <c r="E130" s="42">
        <v>100</v>
      </c>
      <c r="F130" s="15">
        <f t="shared" si="21"/>
        <v>8.896195630900403</v>
      </c>
      <c r="G130" s="42">
        <v>100</v>
      </c>
      <c r="H130" s="15">
        <f t="shared" si="21"/>
        <v>8.773017467647271</v>
      </c>
      <c r="I130" s="42">
        <v>100</v>
      </c>
      <c r="J130" s="15">
        <f t="shared" si="20"/>
        <v>8.742424051362539</v>
      </c>
      <c r="K130" s="52">
        <v>100</v>
      </c>
      <c r="L130" s="15">
        <f t="shared" si="13"/>
        <v>8.803879049970071</v>
      </c>
      <c r="M130" s="15"/>
      <c r="N130" s="15"/>
      <c r="O130" s="15"/>
      <c r="P130" s="15"/>
      <c r="Q130" s="15"/>
      <c r="R130" s="15"/>
      <c r="S130" s="15"/>
      <c r="U130" s="42">
        <f t="shared" si="15"/>
        <v>100</v>
      </c>
      <c r="V130" s="51">
        <f t="shared" si="16"/>
        <v>8.896195630900403</v>
      </c>
      <c r="W130" s="42">
        <f t="shared" si="15"/>
        <v>100</v>
      </c>
      <c r="X130" s="51">
        <f t="shared" si="17"/>
        <v>8.773017467647271</v>
      </c>
      <c r="Y130" s="42">
        <f t="shared" si="15"/>
        <v>100</v>
      </c>
      <c r="Z130" s="51">
        <f t="shared" si="18"/>
        <v>8.742424051362539</v>
      </c>
      <c r="AA130" s="42">
        <f t="shared" si="15"/>
        <v>100</v>
      </c>
      <c r="AB130" s="51">
        <f t="shared" si="19"/>
        <v>8.803879049970071</v>
      </c>
    </row>
    <row r="131" spans="2:28" ht="12.75">
      <c r="B131" s="14" t="s">
        <v>180</v>
      </c>
      <c r="D131" s="14" t="s">
        <v>103</v>
      </c>
      <c r="F131" s="15">
        <f t="shared" si="21"/>
        <v>9.135708590193875</v>
      </c>
      <c r="G131" s="51"/>
      <c r="H131" s="15">
        <f t="shared" si="21"/>
        <v>11.51019891755322</v>
      </c>
      <c r="I131" s="51"/>
      <c r="J131" s="15">
        <f t="shared" si="20"/>
        <v>9.022181621006142</v>
      </c>
      <c r="K131" s="50"/>
      <c r="L131" s="15">
        <f t="shared" si="13"/>
        <v>9.889363042917745</v>
      </c>
      <c r="M131" s="15"/>
      <c r="N131" s="15"/>
      <c r="O131" s="15"/>
      <c r="P131" s="15"/>
      <c r="Q131" s="15"/>
      <c r="R131" s="15"/>
      <c r="S131" s="15"/>
      <c r="U131" s="42">
        <f t="shared" si="15"/>
        <v>0</v>
      </c>
      <c r="V131" s="51">
        <f t="shared" si="16"/>
        <v>9.135708590193875</v>
      </c>
      <c r="W131" s="42">
        <f t="shared" si="15"/>
        <v>0</v>
      </c>
      <c r="X131" s="51">
        <f t="shared" si="17"/>
        <v>11.51019891755322</v>
      </c>
      <c r="Y131" s="42">
        <f t="shared" si="15"/>
        <v>0</v>
      </c>
      <c r="Z131" s="51">
        <f t="shared" si="18"/>
        <v>9.022181621006142</v>
      </c>
      <c r="AA131" s="42">
        <f t="shared" si="15"/>
        <v>0</v>
      </c>
      <c r="AB131" s="51">
        <f t="shared" si="19"/>
        <v>9.889363042917745</v>
      </c>
    </row>
    <row r="132" spans="6:19" ht="12.75">
      <c r="F132" s="15"/>
      <c r="G132" s="51"/>
      <c r="H132" s="15"/>
      <c r="I132" s="51"/>
      <c r="J132" s="15"/>
      <c r="K132" s="51"/>
      <c r="L132" s="15"/>
      <c r="M132" s="15"/>
      <c r="N132" s="15"/>
      <c r="O132" s="15"/>
      <c r="P132" s="15"/>
      <c r="Q132" s="15"/>
      <c r="R132" s="15"/>
      <c r="S132" s="15"/>
    </row>
    <row r="133" spans="2:28" ht="12.75">
      <c r="B133" s="14" t="s">
        <v>98</v>
      </c>
      <c r="D133" s="14" t="s">
        <v>103</v>
      </c>
      <c r="E133" s="16">
        <f>(E123*F123+E125*F125)/F133</f>
        <v>25</v>
      </c>
      <c r="F133" s="15">
        <f>(F123+F125)</f>
        <v>15.055100298446833</v>
      </c>
      <c r="G133" s="16">
        <f>(G123*H123+G125*H125)/H133</f>
        <v>11.235955056179778</v>
      </c>
      <c r="H133" s="15">
        <f>(H123+H125)</f>
        <v>34.355136403306716</v>
      </c>
      <c r="I133" s="16">
        <f>(I123*J123+I125*J125)/J133</f>
        <v>9.090909090909092</v>
      </c>
      <c r="J133" s="15">
        <f>(J123+J125)</f>
        <v>42.31333240859469</v>
      </c>
      <c r="K133" s="16">
        <f>(K123*L123+K125*L125)/L133</f>
        <v>12.505585482806858</v>
      </c>
      <c r="L133" s="15">
        <f t="shared" si="13"/>
        <v>30.574523036782747</v>
      </c>
      <c r="M133" s="15"/>
      <c r="N133" s="15"/>
      <c r="O133" s="15"/>
      <c r="P133" s="15"/>
      <c r="Q133" s="15"/>
      <c r="R133" s="15"/>
      <c r="S133" s="15"/>
      <c r="U133" s="42">
        <f t="shared" si="15"/>
        <v>25</v>
      </c>
      <c r="V133" s="51">
        <f aca="true" t="shared" si="22" ref="V133:AB134">F133</f>
        <v>15.055100298446833</v>
      </c>
      <c r="W133" s="42">
        <f t="shared" si="15"/>
        <v>11.235955056179778</v>
      </c>
      <c r="X133" s="51">
        <f t="shared" si="22"/>
        <v>34.355136403306716</v>
      </c>
      <c r="Y133" s="42">
        <f t="shared" si="15"/>
        <v>9.090909090909092</v>
      </c>
      <c r="Z133" s="51">
        <f t="shared" si="22"/>
        <v>42.31333240859469</v>
      </c>
      <c r="AA133" s="42">
        <f t="shared" si="15"/>
        <v>12.505585482806858</v>
      </c>
      <c r="AB133" s="51">
        <f t="shared" si="22"/>
        <v>30.574523036782747</v>
      </c>
    </row>
    <row r="134" spans="2:28" ht="12.75">
      <c r="B134" s="14" t="s">
        <v>99</v>
      </c>
      <c r="D134" s="14" t="s">
        <v>103</v>
      </c>
      <c r="E134" s="16">
        <f>(E120*F120+E122*F122+E124*F124)/F134</f>
        <v>9.818941504178275</v>
      </c>
      <c r="F134" s="15">
        <f>(F120+F122+F124)</f>
        <v>9.826874558440752</v>
      </c>
      <c r="G134" s="16">
        <f>(G120*H120+G122*H122+G124*H124)/H134</f>
        <v>8.43524615867043</v>
      </c>
      <c r="H134" s="15">
        <f>(H120+H122+H124)</f>
        <v>11.19086108173086</v>
      </c>
      <c r="I134" s="16">
        <f>(I120*J120+I122*J122+I124*J124)/J134</f>
        <v>7.474298416226729</v>
      </c>
      <c r="J134" s="15">
        <f>(J120+J122+J124)</f>
        <v>12.585593664341513</v>
      </c>
      <c r="K134" s="16">
        <f>(K120*L120+K122*L122+K124*L124)/L134</f>
        <v>8.479982879687514</v>
      </c>
      <c r="L134" s="15">
        <f t="shared" si="13"/>
        <v>11.201109768171042</v>
      </c>
      <c r="M134" s="15"/>
      <c r="N134" s="15"/>
      <c r="O134" s="15"/>
      <c r="P134" s="15"/>
      <c r="Q134" s="15"/>
      <c r="R134" s="15"/>
      <c r="S134" s="15"/>
      <c r="U134" s="52">
        <f t="shared" si="15"/>
        <v>9.818941504178275</v>
      </c>
      <c r="V134" s="51">
        <f t="shared" si="22"/>
        <v>9.826874558440752</v>
      </c>
      <c r="W134" s="52">
        <f t="shared" si="15"/>
        <v>8.43524615867043</v>
      </c>
      <c r="X134" s="51">
        <f t="shared" si="22"/>
        <v>11.19086108173086</v>
      </c>
      <c r="Y134" s="52">
        <f t="shared" si="15"/>
        <v>7.474298416226729</v>
      </c>
      <c r="Z134" s="51">
        <f t="shared" si="22"/>
        <v>12.585593664341513</v>
      </c>
      <c r="AA134" s="52">
        <f t="shared" si="15"/>
        <v>8.479982879687514</v>
      </c>
      <c r="AB134" s="51">
        <f t="shared" si="22"/>
        <v>11.201109768171042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10" sqref="D10"/>
    </sheetView>
  </sheetViews>
  <sheetFormatPr defaultColWidth="9.140625" defaultRowHeight="12.75"/>
  <cols>
    <col min="1" max="1" width="25.8515625" style="0" customWidth="1"/>
    <col min="3" max="3" width="12.28125" style="0" customWidth="1"/>
    <col min="4" max="4" width="12.421875" style="0" customWidth="1"/>
  </cols>
  <sheetData>
    <row r="1" spans="1:3" ht="12.75">
      <c r="A1" s="8" t="s">
        <v>118</v>
      </c>
      <c r="B1" s="17"/>
      <c r="C1" s="17"/>
    </row>
    <row r="2" spans="1:3" ht="12.75">
      <c r="A2" s="17"/>
      <c r="B2" s="17"/>
      <c r="C2" s="17" t="s">
        <v>53</v>
      </c>
    </row>
    <row r="3" spans="1:3" ht="12.75">
      <c r="A3" s="8" t="s">
        <v>126</v>
      </c>
      <c r="B3" s="17" t="s">
        <v>182</v>
      </c>
      <c r="C3" s="17"/>
    </row>
    <row r="4" spans="1:3" ht="12.75">
      <c r="A4" s="17"/>
      <c r="B4" s="17"/>
      <c r="C4" s="62"/>
    </row>
    <row r="5" spans="1:3" ht="14.25">
      <c r="A5" s="17" t="s">
        <v>129</v>
      </c>
      <c r="B5" s="9" t="s">
        <v>80</v>
      </c>
      <c r="C5" s="17">
        <v>2182</v>
      </c>
    </row>
    <row r="6" spans="1:3" ht="12.75">
      <c r="A6" s="17" t="s">
        <v>130</v>
      </c>
      <c r="B6" s="17" t="s">
        <v>69</v>
      </c>
      <c r="C6" s="17">
        <v>129377</v>
      </c>
    </row>
    <row r="7" spans="1:3" ht="12.75">
      <c r="A7" s="17" t="s">
        <v>131</v>
      </c>
      <c r="B7" s="17" t="s">
        <v>69</v>
      </c>
      <c r="C7" s="17">
        <v>213645</v>
      </c>
    </row>
    <row r="8" spans="1:3" ht="12.75">
      <c r="A8" s="17"/>
      <c r="B8" s="17"/>
      <c r="C8" s="17"/>
    </row>
    <row r="9" spans="1:3" ht="12.75">
      <c r="A9" s="8" t="s">
        <v>127</v>
      </c>
      <c r="B9" s="17" t="s">
        <v>182</v>
      </c>
      <c r="C9" s="17"/>
    </row>
    <row r="10" spans="1:3" ht="12.75">
      <c r="A10" s="17"/>
      <c r="B10" s="17"/>
      <c r="C10" s="17"/>
    </row>
    <row r="11" spans="1:3" ht="14.25">
      <c r="A11" s="17" t="s">
        <v>129</v>
      </c>
      <c r="B11" s="9" t="s">
        <v>80</v>
      </c>
      <c r="C11" s="54">
        <v>1729</v>
      </c>
    </row>
    <row r="12" spans="1:3" ht="12.75">
      <c r="A12" s="17" t="s">
        <v>130</v>
      </c>
      <c r="B12" s="17" t="s">
        <v>69</v>
      </c>
      <c r="C12" s="54">
        <v>90118</v>
      </c>
    </row>
    <row r="13" spans="1:3" ht="12.75">
      <c r="A13" s="17" t="s">
        <v>131</v>
      </c>
      <c r="B13" s="17" t="s">
        <v>69</v>
      </c>
      <c r="C13" s="54">
        <v>210084</v>
      </c>
    </row>
    <row r="14" spans="1:3" ht="12.75">
      <c r="A14" s="17"/>
      <c r="B14" s="17"/>
      <c r="C14" s="17"/>
    </row>
    <row r="15" spans="1:3" ht="12.75">
      <c r="A15" s="8" t="s">
        <v>128</v>
      </c>
      <c r="B15" s="17" t="s">
        <v>184</v>
      </c>
      <c r="C15" s="17"/>
    </row>
    <row r="16" spans="1:3" ht="12.75">
      <c r="A16" s="17"/>
      <c r="B16" s="17"/>
      <c r="C16" s="17"/>
    </row>
    <row r="17" spans="1:3" ht="12.75" customHeight="1">
      <c r="A17" s="17" t="s">
        <v>129</v>
      </c>
      <c r="B17" s="9" t="s">
        <v>80</v>
      </c>
      <c r="C17" s="17">
        <v>1769.3</v>
      </c>
    </row>
    <row r="18" spans="1:3" ht="12.75">
      <c r="A18" s="17" t="s">
        <v>130</v>
      </c>
      <c r="B18" s="17" t="s">
        <v>69</v>
      </c>
      <c r="C18" s="17">
        <v>58647.7</v>
      </c>
    </row>
    <row r="19" spans="1:3" ht="12.75">
      <c r="A19" s="17" t="s">
        <v>131</v>
      </c>
      <c r="B19" s="17" t="s">
        <v>69</v>
      </c>
      <c r="C19" s="17">
        <v>101584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3">
      <selection activeCell="D10" sqref="D10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4.57421875" style="0" customWidth="1"/>
    <col min="5" max="5" width="8.8515625" style="0" customWidth="1"/>
    <col min="6" max="6" width="9.8515625" style="0" customWidth="1"/>
    <col min="8" max="8" width="9.8515625" style="0" customWidth="1"/>
    <col min="9" max="9" width="5.8515625" style="10" customWidth="1"/>
    <col min="11" max="11" width="10.00390625" style="0" customWidth="1"/>
    <col min="13" max="13" width="10.00390625" style="0" customWidth="1"/>
    <col min="14" max="14" width="6.421875" style="10" customWidth="1"/>
    <col min="15" max="15" width="9.421875" style="0" customWidth="1"/>
  </cols>
  <sheetData>
    <row r="1" spans="1:18" ht="12.75">
      <c r="A1" s="67" t="s">
        <v>119</v>
      </c>
      <c r="B1" s="42"/>
      <c r="C1" s="42"/>
      <c r="D1" s="42"/>
      <c r="E1" s="43"/>
      <c r="F1" s="44"/>
      <c r="G1" s="43"/>
      <c r="H1" s="44"/>
      <c r="I1" s="48"/>
      <c r="J1" s="43"/>
      <c r="K1" s="43"/>
      <c r="L1" s="43"/>
      <c r="M1" s="43"/>
      <c r="N1" s="48"/>
      <c r="O1" s="43"/>
      <c r="P1" s="43"/>
      <c r="Q1" s="43"/>
      <c r="R1" s="43"/>
    </row>
    <row r="2" spans="1:18" ht="12.75">
      <c r="A2" s="42" t="s">
        <v>225</v>
      </c>
      <c r="B2" s="42"/>
      <c r="C2" s="42"/>
      <c r="D2" s="42"/>
      <c r="E2" s="43"/>
      <c r="F2" s="44"/>
      <c r="G2" s="43"/>
      <c r="H2" s="44"/>
      <c r="I2" s="48"/>
      <c r="J2" s="43"/>
      <c r="K2" s="43"/>
      <c r="L2" s="43"/>
      <c r="M2" s="43"/>
      <c r="N2" s="48"/>
      <c r="O2" s="43"/>
      <c r="P2" s="43"/>
      <c r="Q2" s="43"/>
      <c r="R2" s="43"/>
    </row>
    <row r="3" spans="1:18" ht="12.75">
      <c r="A3" s="42" t="s">
        <v>25</v>
      </c>
      <c r="B3" s="42"/>
      <c r="C3" s="14" t="s">
        <v>120</v>
      </c>
      <c r="D3" s="14"/>
      <c r="E3" s="43"/>
      <c r="F3" s="44"/>
      <c r="G3" s="43"/>
      <c r="H3" s="44"/>
      <c r="I3" s="48"/>
      <c r="J3" s="43"/>
      <c r="K3" s="43"/>
      <c r="L3" s="43"/>
      <c r="M3" s="43"/>
      <c r="N3" s="48"/>
      <c r="O3" s="43"/>
      <c r="P3" s="43"/>
      <c r="Q3" s="43"/>
      <c r="R3" s="43"/>
    </row>
    <row r="4" spans="1:18" ht="12.75">
      <c r="A4" s="42" t="s">
        <v>26</v>
      </c>
      <c r="B4" s="42"/>
      <c r="C4" s="14" t="s">
        <v>128</v>
      </c>
      <c r="D4" s="14"/>
      <c r="E4" s="45"/>
      <c r="F4" s="46"/>
      <c r="G4" s="45"/>
      <c r="H4" s="46"/>
      <c r="I4" s="48"/>
      <c r="J4" s="45"/>
      <c r="K4" s="45"/>
      <c r="L4" s="45"/>
      <c r="M4" s="45"/>
      <c r="N4" s="48"/>
      <c r="O4" s="45"/>
      <c r="P4" s="45"/>
      <c r="Q4" s="45"/>
      <c r="R4" s="45"/>
    </row>
    <row r="5" spans="1:18" ht="12.75">
      <c r="A5" s="42" t="s">
        <v>27</v>
      </c>
      <c r="B5" s="42"/>
      <c r="C5" s="17" t="s">
        <v>91</v>
      </c>
      <c r="D5" s="17"/>
      <c r="E5" s="17"/>
      <c r="F5" s="17"/>
      <c r="G5" s="17"/>
      <c r="H5" s="17"/>
      <c r="I5" s="62"/>
      <c r="J5" s="17"/>
      <c r="K5" s="43"/>
      <c r="L5" s="17"/>
      <c r="M5" s="43"/>
      <c r="N5" s="48"/>
      <c r="O5" s="43"/>
      <c r="P5" s="43"/>
      <c r="Q5" s="43"/>
      <c r="R5" s="43"/>
    </row>
    <row r="6" spans="1:18" ht="12.75">
      <c r="A6" s="42"/>
      <c r="B6" s="42"/>
      <c r="C6" s="47"/>
      <c r="D6" s="47"/>
      <c r="E6" s="48"/>
      <c r="F6" s="44"/>
      <c r="G6" s="48"/>
      <c r="H6" s="44"/>
      <c r="I6" s="48"/>
      <c r="J6" s="48"/>
      <c r="K6" s="43"/>
      <c r="L6" s="48"/>
      <c r="M6" s="43"/>
      <c r="N6" s="48"/>
      <c r="O6" s="48"/>
      <c r="P6" s="43"/>
      <c r="Q6" s="48"/>
      <c r="R6" s="43"/>
    </row>
    <row r="7" spans="1:18" ht="12.75">
      <c r="A7" s="42"/>
      <c r="B7" s="42"/>
      <c r="C7" s="47" t="s">
        <v>28</v>
      </c>
      <c r="D7" s="47"/>
      <c r="E7" s="49" t="s">
        <v>75</v>
      </c>
      <c r="F7" s="49"/>
      <c r="G7" s="49"/>
      <c r="H7" s="49"/>
      <c r="I7" s="50"/>
      <c r="J7" s="49" t="s">
        <v>76</v>
      </c>
      <c r="K7" s="49"/>
      <c r="L7" s="49"/>
      <c r="M7" s="49"/>
      <c r="N7" s="50"/>
      <c r="O7" s="49" t="s">
        <v>77</v>
      </c>
      <c r="P7" s="49"/>
      <c r="Q7" s="49"/>
      <c r="R7" s="49"/>
    </row>
    <row r="8" spans="1:18" ht="12.75">
      <c r="A8" s="42"/>
      <c r="B8" s="42"/>
      <c r="C8" s="47" t="s">
        <v>29</v>
      </c>
      <c r="D8" s="42"/>
      <c r="E8" s="48" t="s">
        <v>30</v>
      </c>
      <c r="F8" s="46" t="s">
        <v>31</v>
      </c>
      <c r="G8" s="48" t="s">
        <v>30</v>
      </c>
      <c r="H8" s="46" t="s">
        <v>31</v>
      </c>
      <c r="I8" s="48"/>
      <c r="J8" s="48" t="s">
        <v>30</v>
      </c>
      <c r="K8" s="48" t="s">
        <v>32</v>
      </c>
      <c r="L8" s="48" t="s">
        <v>30</v>
      </c>
      <c r="M8" s="48" t="s">
        <v>32</v>
      </c>
      <c r="N8" s="48"/>
      <c r="O8" s="48" t="s">
        <v>30</v>
      </c>
      <c r="P8" s="48" t="s">
        <v>32</v>
      </c>
      <c r="Q8" s="48" t="s">
        <v>30</v>
      </c>
      <c r="R8" s="48" t="s">
        <v>32</v>
      </c>
    </row>
    <row r="9" spans="1:18" s="76" customFormat="1" ht="12.75">
      <c r="A9" s="42"/>
      <c r="B9" s="42"/>
      <c r="C9" s="47"/>
      <c r="D9" s="42"/>
      <c r="E9" s="48" t="s">
        <v>224</v>
      </c>
      <c r="F9" s="48" t="s">
        <v>224</v>
      </c>
      <c r="G9" s="48" t="s">
        <v>121</v>
      </c>
      <c r="H9" s="46" t="s">
        <v>121</v>
      </c>
      <c r="I9" s="48"/>
      <c r="J9" s="48" t="s">
        <v>224</v>
      </c>
      <c r="K9" s="48" t="s">
        <v>224</v>
      </c>
      <c r="L9" s="48" t="s">
        <v>121</v>
      </c>
      <c r="M9" s="46" t="s">
        <v>121</v>
      </c>
      <c r="N9" s="48"/>
      <c r="O9" s="48" t="s">
        <v>224</v>
      </c>
      <c r="P9" s="48" t="s">
        <v>224</v>
      </c>
      <c r="Q9" s="48" t="s">
        <v>121</v>
      </c>
      <c r="R9" s="46" t="s">
        <v>121</v>
      </c>
    </row>
    <row r="10" spans="1:18" ht="12.75">
      <c r="A10" s="42" t="s">
        <v>73</v>
      </c>
      <c r="B10" s="42"/>
      <c r="C10" s="42"/>
      <c r="D10" s="42"/>
      <c r="E10" s="43"/>
      <c r="F10" s="44"/>
      <c r="G10" s="43"/>
      <c r="H10" s="44"/>
      <c r="I10" s="48"/>
      <c r="J10" s="43"/>
      <c r="K10" s="43"/>
      <c r="L10" s="43"/>
      <c r="M10" s="43"/>
      <c r="N10" s="48"/>
      <c r="O10" s="51"/>
      <c r="P10" s="43"/>
      <c r="Q10" s="43"/>
      <c r="R10" s="43"/>
    </row>
    <row r="11" spans="1:18" ht="12.75">
      <c r="A11" s="42"/>
      <c r="B11" s="42" t="s">
        <v>33</v>
      </c>
      <c r="C11" s="47">
        <v>1</v>
      </c>
      <c r="D11" s="47" t="s">
        <v>34</v>
      </c>
      <c r="E11" s="52">
        <v>4</v>
      </c>
      <c r="F11" s="52">
        <f aca="true" t="shared" si="0" ref="F11:H35">IF(E11="","",E11*$C11)</f>
        <v>4</v>
      </c>
      <c r="G11" s="51">
        <f aca="true" t="shared" si="1" ref="G11:G35">IF(E11=0,"",IF(D11="nd",E11/2,E11))</f>
        <v>2</v>
      </c>
      <c r="H11" s="52">
        <f t="shared" si="0"/>
        <v>2</v>
      </c>
      <c r="I11" s="46" t="s">
        <v>34</v>
      </c>
      <c r="J11" s="17">
        <v>6.5</v>
      </c>
      <c r="K11" s="52">
        <f aca="true" t="shared" si="2" ref="K11:M35">IF(J11="","",J11*$C11)</f>
        <v>6.5</v>
      </c>
      <c r="L11" s="51">
        <f>IF(J11=0,"",IF(I11="nd",J11/2,J11))</f>
        <v>3.25</v>
      </c>
      <c r="M11" s="52">
        <f t="shared" si="2"/>
        <v>3.25</v>
      </c>
      <c r="N11" s="46" t="s">
        <v>34</v>
      </c>
      <c r="O11" s="51">
        <v>5.8</v>
      </c>
      <c r="P11" s="53">
        <f>IF(O11="","",O11*$C11)</f>
        <v>5.8</v>
      </c>
      <c r="Q11" s="51">
        <f>IF(O11=0,"",IF(N11="nd",O11/2,O11))</f>
        <v>2.9</v>
      </c>
      <c r="R11" s="53">
        <f>IF(Q11="","",Q11*$C11)</f>
        <v>2.9</v>
      </c>
    </row>
    <row r="12" spans="1:18" ht="12.75">
      <c r="A12" s="42"/>
      <c r="B12" s="42" t="s">
        <v>226</v>
      </c>
      <c r="C12" s="47">
        <v>0</v>
      </c>
      <c r="D12" s="47"/>
      <c r="E12" s="52">
        <v>23</v>
      </c>
      <c r="F12" s="52">
        <v>0</v>
      </c>
      <c r="G12" s="51">
        <f t="shared" si="1"/>
        <v>23</v>
      </c>
      <c r="H12" s="52">
        <v>0</v>
      </c>
      <c r="I12" s="46" t="s">
        <v>34</v>
      </c>
      <c r="J12" s="32">
        <v>6.9</v>
      </c>
      <c r="K12" s="52">
        <v>0</v>
      </c>
      <c r="L12" s="51">
        <f aca="true" t="shared" si="3" ref="L12:L35">IF(J12=0,"",IF(I12="nd",J12/2,J12))</f>
        <v>3.45</v>
      </c>
      <c r="M12" s="52">
        <v>0</v>
      </c>
      <c r="N12" s="46" t="s">
        <v>34</v>
      </c>
      <c r="O12" s="51">
        <v>5.8</v>
      </c>
      <c r="P12" s="53">
        <v>0</v>
      </c>
      <c r="Q12" s="51">
        <v>0</v>
      </c>
      <c r="R12" s="53">
        <v>0</v>
      </c>
    </row>
    <row r="13" spans="1:18" ht="12.75">
      <c r="A13" s="42"/>
      <c r="B13" s="42" t="s">
        <v>35</v>
      </c>
      <c r="C13" s="47">
        <v>0.5</v>
      </c>
      <c r="D13" s="47" t="s">
        <v>34</v>
      </c>
      <c r="E13" s="51">
        <v>4.6</v>
      </c>
      <c r="F13" s="51">
        <f t="shared" si="0"/>
        <v>2.3</v>
      </c>
      <c r="G13" s="51">
        <f t="shared" si="1"/>
        <v>2.3</v>
      </c>
      <c r="H13" s="51">
        <f t="shared" si="0"/>
        <v>1.15</v>
      </c>
      <c r="I13" s="46" t="s">
        <v>34</v>
      </c>
      <c r="J13" s="17">
        <v>5</v>
      </c>
      <c r="K13" s="53">
        <f t="shared" si="2"/>
        <v>2.5</v>
      </c>
      <c r="L13" s="51">
        <f t="shared" si="3"/>
        <v>2.5</v>
      </c>
      <c r="M13" s="53">
        <f t="shared" si="2"/>
        <v>1.25</v>
      </c>
      <c r="N13" s="46" t="s">
        <v>34</v>
      </c>
      <c r="O13" s="54">
        <v>4.3</v>
      </c>
      <c r="P13" s="53">
        <f aca="true" t="shared" si="4" ref="P13:R35">IF(O13="","",O13*$C13)</f>
        <v>2.15</v>
      </c>
      <c r="Q13" s="51">
        <f aca="true" t="shared" si="5" ref="Q13:Q35">IF(O13=0,"",IF(N13="nd",O13/2,O13))</f>
        <v>2.15</v>
      </c>
      <c r="R13" s="53">
        <f t="shared" si="4"/>
        <v>1.075</v>
      </c>
    </row>
    <row r="14" spans="1:18" ht="12.75">
      <c r="A14" s="42"/>
      <c r="B14" s="42" t="s">
        <v>227</v>
      </c>
      <c r="C14" s="47">
        <v>0</v>
      </c>
      <c r="D14" s="47" t="s">
        <v>34</v>
      </c>
      <c r="E14" s="51">
        <v>4.6</v>
      </c>
      <c r="F14" s="52">
        <v>0</v>
      </c>
      <c r="G14" s="51">
        <f t="shared" si="1"/>
        <v>2.3</v>
      </c>
      <c r="H14" s="52">
        <v>0</v>
      </c>
      <c r="I14" s="46" t="s">
        <v>34</v>
      </c>
      <c r="J14" s="17">
        <v>5</v>
      </c>
      <c r="K14" s="52">
        <v>0</v>
      </c>
      <c r="L14" s="51">
        <f t="shared" si="3"/>
        <v>2.5</v>
      </c>
      <c r="M14" s="52">
        <v>0</v>
      </c>
      <c r="N14" s="46" t="s">
        <v>34</v>
      </c>
      <c r="O14" s="54">
        <v>4.3</v>
      </c>
      <c r="P14" s="53">
        <v>0</v>
      </c>
      <c r="Q14" s="51">
        <v>0</v>
      </c>
      <c r="R14" s="53">
        <v>0</v>
      </c>
    </row>
    <row r="15" spans="1:18" ht="12.75">
      <c r="A15" s="42"/>
      <c r="B15" s="42" t="s">
        <v>36</v>
      </c>
      <c r="C15" s="47">
        <v>0.1</v>
      </c>
      <c r="D15" s="47" t="s">
        <v>34</v>
      </c>
      <c r="E15" s="51">
        <v>7.9</v>
      </c>
      <c r="F15" s="51">
        <f t="shared" si="0"/>
        <v>0.79</v>
      </c>
      <c r="G15" s="51">
        <f t="shared" si="1"/>
        <v>3.95</v>
      </c>
      <c r="H15" s="51">
        <f t="shared" si="0"/>
        <v>0.395</v>
      </c>
      <c r="I15" s="46" t="s">
        <v>34</v>
      </c>
      <c r="J15" s="17">
        <v>11</v>
      </c>
      <c r="K15" s="53">
        <f t="shared" si="2"/>
        <v>1.1</v>
      </c>
      <c r="L15" s="51">
        <f t="shared" si="3"/>
        <v>5.5</v>
      </c>
      <c r="M15" s="53">
        <f t="shared" si="2"/>
        <v>0.55</v>
      </c>
      <c r="N15" s="46" t="s">
        <v>34</v>
      </c>
      <c r="O15" s="54">
        <v>9.7</v>
      </c>
      <c r="P15" s="53">
        <f t="shared" si="4"/>
        <v>0.97</v>
      </c>
      <c r="Q15" s="51">
        <f t="shared" si="5"/>
        <v>4.85</v>
      </c>
      <c r="R15" s="53">
        <f t="shared" si="4"/>
        <v>0.485</v>
      </c>
    </row>
    <row r="16" spans="1:18" ht="12.75">
      <c r="A16" s="42"/>
      <c r="B16" s="42" t="s">
        <v>37</v>
      </c>
      <c r="C16" s="47">
        <v>0.1</v>
      </c>
      <c r="D16" s="47" t="s">
        <v>34</v>
      </c>
      <c r="E16" s="51">
        <v>6.5</v>
      </c>
      <c r="F16" s="51">
        <f t="shared" si="0"/>
        <v>0.65</v>
      </c>
      <c r="G16" s="51">
        <f t="shared" si="1"/>
        <v>3.25</v>
      </c>
      <c r="H16" s="51">
        <f t="shared" si="0"/>
        <v>0.325</v>
      </c>
      <c r="I16" s="46" t="s">
        <v>34</v>
      </c>
      <c r="J16" s="17">
        <v>8.7</v>
      </c>
      <c r="K16" s="53">
        <f t="shared" si="2"/>
        <v>0.87</v>
      </c>
      <c r="L16" s="51">
        <f t="shared" si="3"/>
        <v>4.35</v>
      </c>
      <c r="M16" s="53">
        <f t="shared" si="2"/>
        <v>0.435</v>
      </c>
      <c r="N16" s="46" t="s">
        <v>34</v>
      </c>
      <c r="O16" s="54">
        <v>8</v>
      </c>
      <c r="P16" s="53">
        <f t="shared" si="4"/>
        <v>0.8</v>
      </c>
      <c r="Q16" s="51">
        <f t="shared" si="5"/>
        <v>4</v>
      </c>
      <c r="R16" s="53">
        <f t="shared" si="4"/>
        <v>0.4</v>
      </c>
    </row>
    <row r="17" spans="1:18" ht="12.75">
      <c r="A17" s="42"/>
      <c r="B17" s="42" t="s">
        <v>38</v>
      </c>
      <c r="C17" s="47">
        <v>0.1</v>
      </c>
      <c r="D17" s="47" t="s">
        <v>34</v>
      </c>
      <c r="E17" s="51">
        <v>6.2</v>
      </c>
      <c r="F17" s="51">
        <f t="shared" si="0"/>
        <v>0.6200000000000001</v>
      </c>
      <c r="G17" s="51">
        <f t="shared" si="1"/>
        <v>3.1</v>
      </c>
      <c r="H17" s="51">
        <f t="shared" si="0"/>
        <v>0.31000000000000005</v>
      </c>
      <c r="I17" s="46" t="s">
        <v>34</v>
      </c>
      <c r="J17" s="17">
        <v>8.3</v>
      </c>
      <c r="K17" s="55">
        <f t="shared" si="2"/>
        <v>0.8300000000000001</v>
      </c>
      <c r="L17" s="51">
        <f t="shared" si="3"/>
        <v>4.15</v>
      </c>
      <c r="M17" s="55">
        <f t="shared" si="2"/>
        <v>0.41500000000000004</v>
      </c>
      <c r="N17" s="46" t="s">
        <v>34</v>
      </c>
      <c r="O17" s="54">
        <v>7.6</v>
      </c>
      <c r="P17" s="53">
        <f t="shared" si="4"/>
        <v>0.76</v>
      </c>
      <c r="Q17" s="51">
        <f t="shared" si="5"/>
        <v>3.8</v>
      </c>
      <c r="R17" s="53">
        <f t="shared" si="4"/>
        <v>0.38</v>
      </c>
    </row>
    <row r="18" spans="1:18" ht="12.75">
      <c r="A18" s="42"/>
      <c r="B18" s="42" t="s">
        <v>228</v>
      </c>
      <c r="C18" s="47">
        <v>0</v>
      </c>
      <c r="D18" s="47" t="s">
        <v>34</v>
      </c>
      <c r="E18" s="51">
        <v>7.9</v>
      </c>
      <c r="F18" s="52">
        <f t="shared" si="0"/>
        <v>0</v>
      </c>
      <c r="G18" s="51">
        <f t="shared" si="1"/>
        <v>3.95</v>
      </c>
      <c r="H18" s="52">
        <f t="shared" si="0"/>
        <v>0</v>
      </c>
      <c r="I18" s="46" t="s">
        <v>34</v>
      </c>
      <c r="J18" s="17">
        <v>11</v>
      </c>
      <c r="K18" s="52">
        <f t="shared" si="2"/>
        <v>0</v>
      </c>
      <c r="L18" s="51">
        <f t="shared" si="3"/>
        <v>5.5</v>
      </c>
      <c r="M18" s="52">
        <f t="shared" si="2"/>
        <v>0</v>
      </c>
      <c r="N18" s="46" t="s">
        <v>34</v>
      </c>
      <c r="O18" s="54">
        <v>9.7</v>
      </c>
      <c r="P18" s="53">
        <f t="shared" si="4"/>
        <v>0</v>
      </c>
      <c r="Q18" s="51">
        <f t="shared" si="5"/>
        <v>4.85</v>
      </c>
      <c r="R18" s="53">
        <f t="shared" si="4"/>
        <v>0</v>
      </c>
    </row>
    <row r="19" spans="1:18" ht="12.75">
      <c r="A19" s="42"/>
      <c r="B19" s="42" t="s">
        <v>39</v>
      </c>
      <c r="C19" s="47">
        <v>0.01</v>
      </c>
      <c r="D19" s="47"/>
      <c r="E19" s="52">
        <v>14</v>
      </c>
      <c r="F19" s="53">
        <f t="shared" si="0"/>
        <v>0.14</v>
      </c>
      <c r="G19" s="51">
        <f t="shared" si="1"/>
        <v>14</v>
      </c>
      <c r="H19" s="53">
        <f t="shared" si="0"/>
        <v>0.14</v>
      </c>
      <c r="I19" s="46" t="s">
        <v>34</v>
      </c>
      <c r="J19" s="17">
        <v>13</v>
      </c>
      <c r="K19" s="55">
        <f t="shared" si="2"/>
        <v>0.13</v>
      </c>
      <c r="L19" s="51">
        <f t="shared" si="3"/>
        <v>6.5</v>
      </c>
      <c r="M19" s="55">
        <f t="shared" si="2"/>
        <v>0.065</v>
      </c>
      <c r="N19" s="46" t="s">
        <v>34</v>
      </c>
      <c r="O19" s="54">
        <v>14</v>
      </c>
      <c r="P19" s="53">
        <f t="shared" si="4"/>
        <v>0.14</v>
      </c>
      <c r="Q19" s="51">
        <f t="shared" si="5"/>
        <v>7</v>
      </c>
      <c r="R19" s="53">
        <f t="shared" si="4"/>
        <v>0.07</v>
      </c>
    </row>
    <row r="20" spans="1:18" ht="12.75">
      <c r="A20" s="42"/>
      <c r="B20" s="42" t="s">
        <v>229</v>
      </c>
      <c r="C20" s="47">
        <v>0</v>
      </c>
      <c r="D20" s="47"/>
      <c r="E20" s="52">
        <v>14</v>
      </c>
      <c r="F20" s="52">
        <f t="shared" si="0"/>
        <v>0</v>
      </c>
      <c r="G20" s="51">
        <f t="shared" si="1"/>
        <v>14</v>
      </c>
      <c r="H20" s="52">
        <f t="shared" si="0"/>
        <v>0</v>
      </c>
      <c r="I20" s="46" t="s">
        <v>34</v>
      </c>
      <c r="J20" s="17">
        <v>13</v>
      </c>
      <c r="K20" s="52">
        <f t="shared" si="2"/>
        <v>0</v>
      </c>
      <c r="L20" s="51">
        <f t="shared" si="3"/>
        <v>6.5</v>
      </c>
      <c r="M20" s="52">
        <f t="shared" si="2"/>
        <v>0</v>
      </c>
      <c r="N20" s="46" t="s">
        <v>34</v>
      </c>
      <c r="O20" s="54">
        <v>14</v>
      </c>
      <c r="P20" s="53">
        <f t="shared" si="4"/>
        <v>0</v>
      </c>
      <c r="Q20" s="51">
        <f t="shared" si="5"/>
        <v>7</v>
      </c>
      <c r="R20" s="53">
        <f t="shared" si="4"/>
        <v>0</v>
      </c>
    </row>
    <row r="21" spans="1:18" ht="12.75">
      <c r="A21" s="42"/>
      <c r="B21" s="42" t="s">
        <v>40</v>
      </c>
      <c r="C21" s="47">
        <v>0.001</v>
      </c>
      <c r="D21" s="47"/>
      <c r="E21" s="52">
        <v>110</v>
      </c>
      <c r="F21" s="53">
        <f t="shared" si="0"/>
        <v>0.11</v>
      </c>
      <c r="G21" s="51">
        <f t="shared" si="1"/>
        <v>110</v>
      </c>
      <c r="H21" s="53">
        <f t="shared" si="0"/>
        <v>0.11</v>
      </c>
      <c r="I21" s="46"/>
      <c r="J21" s="17">
        <v>99</v>
      </c>
      <c r="K21" s="55">
        <f t="shared" si="2"/>
        <v>0.099</v>
      </c>
      <c r="L21" s="51">
        <f t="shared" si="3"/>
        <v>99</v>
      </c>
      <c r="M21" s="55">
        <f t="shared" si="2"/>
        <v>0.099</v>
      </c>
      <c r="N21" s="46"/>
      <c r="O21" s="54">
        <v>100</v>
      </c>
      <c r="P21" s="53">
        <f t="shared" si="4"/>
        <v>0.1</v>
      </c>
      <c r="Q21" s="51">
        <f t="shared" si="5"/>
        <v>100</v>
      </c>
      <c r="R21" s="53">
        <f t="shared" si="4"/>
        <v>0.1</v>
      </c>
    </row>
    <row r="22" spans="1:18" ht="12.75">
      <c r="A22" s="42"/>
      <c r="B22" s="42" t="s">
        <v>41</v>
      </c>
      <c r="C22" s="47">
        <v>0.1</v>
      </c>
      <c r="D22" s="47" t="s">
        <v>34</v>
      </c>
      <c r="E22" s="51">
        <v>7.4</v>
      </c>
      <c r="F22" s="51">
        <f t="shared" si="0"/>
        <v>0.7400000000000001</v>
      </c>
      <c r="G22" s="51">
        <f t="shared" si="1"/>
        <v>3.7</v>
      </c>
      <c r="H22" s="51">
        <f t="shared" si="0"/>
        <v>0.37000000000000005</v>
      </c>
      <c r="I22" s="46" t="s">
        <v>34</v>
      </c>
      <c r="J22" s="17">
        <v>6.7</v>
      </c>
      <c r="K22" s="55">
        <f t="shared" si="2"/>
        <v>0.67</v>
      </c>
      <c r="L22" s="51">
        <f t="shared" si="3"/>
        <v>3.35</v>
      </c>
      <c r="M22" s="55">
        <f t="shared" si="2"/>
        <v>0.335</v>
      </c>
      <c r="N22" s="46" t="s">
        <v>34</v>
      </c>
      <c r="O22" s="54">
        <v>7.6</v>
      </c>
      <c r="P22" s="53">
        <f t="shared" si="4"/>
        <v>0.76</v>
      </c>
      <c r="Q22" s="51">
        <f t="shared" si="5"/>
        <v>3.8</v>
      </c>
      <c r="R22" s="53">
        <f t="shared" si="4"/>
        <v>0.38</v>
      </c>
    </row>
    <row r="23" spans="1:18" ht="12.75">
      <c r="A23" s="42"/>
      <c r="B23" s="42" t="s">
        <v>230</v>
      </c>
      <c r="C23" s="47">
        <v>0</v>
      </c>
      <c r="D23" s="47" t="s">
        <v>34</v>
      </c>
      <c r="E23" s="51">
        <v>7.4</v>
      </c>
      <c r="F23" s="51">
        <f t="shared" si="0"/>
        <v>0</v>
      </c>
      <c r="G23" s="51">
        <f t="shared" si="1"/>
        <v>3.7</v>
      </c>
      <c r="H23" s="51">
        <f t="shared" si="0"/>
        <v>0</v>
      </c>
      <c r="I23" s="46" t="s">
        <v>34</v>
      </c>
      <c r="J23" s="17">
        <v>6.7</v>
      </c>
      <c r="K23" s="52">
        <f t="shared" si="2"/>
        <v>0</v>
      </c>
      <c r="L23" s="51">
        <f t="shared" si="3"/>
        <v>3.35</v>
      </c>
      <c r="M23" s="52">
        <f t="shared" si="2"/>
        <v>0</v>
      </c>
      <c r="N23" s="46" t="s">
        <v>34</v>
      </c>
      <c r="O23" s="54">
        <v>7.6</v>
      </c>
      <c r="P23" s="53">
        <f t="shared" si="4"/>
        <v>0</v>
      </c>
      <c r="Q23" s="51">
        <f t="shared" si="5"/>
        <v>3.8</v>
      </c>
      <c r="R23" s="53">
        <f t="shared" si="4"/>
        <v>0</v>
      </c>
    </row>
    <row r="24" spans="1:18" ht="12.75">
      <c r="A24" s="42"/>
      <c r="B24" s="42" t="s">
        <v>42</v>
      </c>
      <c r="C24" s="47">
        <v>0.05</v>
      </c>
      <c r="D24" s="47" t="s">
        <v>34</v>
      </c>
      <c r="E24" s="51">
        <v>7.2</v>
      </c>
      <c r="F24" s="51">
        <f t="shared" si="0"/>
        <v>0.36000000000000004</v>
      </c>
      <c r="G24" s="51">
        <f t="shared" si="1"/>
        <v>3.6</v>
      </c>
      <c r="H24" s="51">
        <f t="shared" si="0"/>
        <v>0.18000000000000002</v>
      </c>
      <c r="I24" s="46" t="s">
        <v>34</v>
      </c>
      <c r="J24" s="17">
        <v>9.1</v>
      </c>
      <c r="K24" s="55">
        <f t="shared" si="2"/>
        <v>0.455</v>
      </c>
      <c r="L24" s="51">
        <f t="shared" si="3"/>
        <v>4.55</v>
      </c>
      <c r="M24" s="55">
        <f t="shared" si="2"/>
        <v>0.2275</v>
      </c>
      <c r="N24" s="46" t="s">
        <v>34</v>
      </c>
      <c r="O24" s="54">
        <v>6</v>
      </c>
      <c r="P24" s="53">
        <f t="shared" si="4"/>
        <v>0.30000000000000004</v>
      </c>
      <c r="Q24" s="51">
        <f t="shared" si="5"/>
        <v>3</v>
      </c>
      <c r="R24" s="53">
        <f t="shared" si="4"/>
        <v>0.15000000000000002</v>
      </c>
    </row>
    <row r="25" spans="1:18" ht="12.75">
      <c r="A25" s="42"/>
      <c r="B25" s="42" t="s">
        <v>43</v>
      </c>
      <c r="C25" s="47">
        <v>0.5</v>
      </c>
      <c r="D25" s="47" t="s">
        <v>34</v>
      </c>
      <c r="E25" s="51">
        <v>6.5</v>
      </c>
      <c r="F25" s="51">
        <f t="shared" si="0"/>
        <v>3.25</v>
      </c>
      <c r="G25" s="51">
        <f t="shared" si="1"/>
        <v>3.25</v>
      </c>
      <c r="H25" s="51">
        <f t="shared" si="0"/>
        <v>1.625</v>
      </c>
      <c r="I25" s="46" t="s">
        <v>34</v>
      </c>
      <c r="J25" s="17">
        <v>8.2</v>
      </c>
      <c r="K25" s="51">
        <f t="shared" si="2"/>
        <v>4.1</v>
      </c>
      <c r="L25" s="51">
        <f t="shared" si="3"/>
        <v>4.1</v>
      </c>
      <c r="M25" s="51">
        <f t="shared" si="2"/>
        <v>2.05</v>
      </c>
      <c r="N25" s="46" t="s">
        <v>34</v>
      </c>
      <c r="O25" s="54">
        <v>5.5</v>
      </c>
      <c r="P25" s="53">
        <f t="shared" si="4"/>
        <v>2.75</v>
      </c>
      <c r="Q25" s="51">
        <f t="shared" si="5"/>
        <v>2.75</v>
      </c>
      <c r="R25" s="53">
        <f t="shared" si="4"/>
        <v>1.375</v>
      </c>
    </row>
    <row r="26" spans="1:18" ht="12.75">
      <c r="A26" s="42"/>
      <c r="B26" s="42" t="s">
        <v>231</v>
      </c>
      <c r="C26" s="47">
        <v>0</v>
      </c>
      <c r="D26" s="47" t="s">
        <v>34</v>
      </c>
      <c r="E26" s="51">
        <v>7.2</v>
      </c>
      <c r="F26" s="51">
        <f t="shared" si="0"/>
        <v>0</v>
      </c>
      <c r="G26" s="51">
        <f t="shared" si="1"/>
        <v>3.6</v>
      </c>
      <c r="H26" s="51">
        <f t="shared" si="0"/>
        <v>0</v>
      </c>
      <c r="I26" s="46" t="s">
        <v>34</v>
      </c>
      <c r="J26" s="17">
        <v>9.1</v>
      </c>
      <c r="K26" s="52">
        <f t="shared" si="2"/>
        <v>0</v>
      </c>
      <c r="L26" s="51">
        <f t="shared" si="3"/>
        <v>4.55</v>
      </c>
      <c r="M26" s="52">
        <f t="shared" si="2"/>
        <v>0</v>
      </c>
      <c r="N26" s="46" t="s">
        <v>34</v>
      </c>
      <c r="O26" s="54">
        <v>6</v>
      </c>
      <c r="P26" s="53">
        <f t="shared" si="4"/>
        <v>0</v>
      </c>
      <c r="Q26" s="51">
        <f t="shared" si="5"/>
        <v>3</v>
      </c>
      <c r="R26" s="53">
        <f t="shared" si="4"/>
        <v>0</v>
      </c>
    </row>
    <row r="27" spans="1:18" ht="12.75">
      <c r="A27" s="42"/>
      <c r="B27" s="42" t="s">
        <v>44</v>
      </c>
      <c r="C27" s="47">
        <v>0.1</v>
      </c>
      <c r="D27" s="47"/>
      <c r="E27" s="51">
        <v>8.4</v>
      </c>
      <c r="F27" s="53">
        <f t="shared" si="0"/>
        <v>0.8400000000000001</v>
      </c>
      <c r="G27" s="51">
        <f t="shared" si="1"/>
        <v>8.4</v>
      </c>
      <c r="H27" s="53">
        <f t="shared" si="0"/>
        <v>0.8400000000000001</v>
      </c>
      <c r="I27" s="46"/>
      <c r="J27" s="17">
        <v>6.6</v>
      </c>
      <c r="K27" s="53">
        <f t="shared" si="2"/>
        <v>0.66</v>
      </c>
      <c r="L27" s="51">
        <f t="shared" si="3"/>
        <v>6.6</v>
      </c>
      <c r="M27" s="53">
        <f t="shared" si="2"/>
        <v>0.66</v>
      </c>
      <c r="N27" s="46" t="s">
        <v>34</v>
      </c>
      <c r="O27" s="54">
        <v>3.5</v>
      </c>
      <c r="P27" s="53">
        <f t="shared" si="4"/>
        <v>0.35000000000000003</v>
      </c>
      <c r="Q27" s="51">
        <f t="shared" si="5"/>
        <v>1.75</v>
      </c>
      <c r="R27" s="53">
        <f t="shared" si="4"/>
        <v>0.17500000000000002</v>
      </c>
    </row>
    <row r="28" spans="1:18" ht="12.75">
      <c r="A28" s="42"/>
      <c r="B28" s="42" t="s">
        <v>45</v>
      </c>
      <c r="C28" s="47">
        <v>0.1</v>
      </c>
      <c r="D28" s="47" t="s">
        <v>34</v>
      </c>
      <c r="E28" s="51">
        <v>3.2</v>
      </c>
      <c r="F28" s="53">
        <f t="shared" si="0"/>
        <v>0.32000000000000006</v>
      </c>
      <c r="G28" s="51">
        <f t="shared" si="1"/>
        <v>1.6</v>
      </c>
      <c r="H28" s="53">
        <f t="shared" si="0"/>
        <v>0.16000000000000003</v>
      </c>
      <c r="I28" s="46" t="s">
        <v>34</v>
      </c>
      <c r="J28" s="17">
        <v>4.6</v>
      </c>
      <c r="K28" s="53">
        <f t="shared" si="2"/>
        <v>0.45999999999999996</v>
      </c>
      <c r="L28" s="51">
        <f t="shared" si="3"/>
        <v>2.3</v>
      </c>
      <c r="M28" s="53">
        <f t="shared" si="2"/>
        <v>0.22999999999999998</v>
      </c>
      <c r="N28" s="46" t="s">
        <v>34</v>
      </c>
      <c r="O28" s="54">
        <v>3.3</v>
      </c>
      <c r="P28" s="53">
        <f t="shared" si="4"/>
        <v>0.33</v>
      </c>
      <c r="Q28" s="51">
        <f t="shared" si="5"/>
        <v>1.65</v>
      </c>
      <c r="R28" s="53">
        <f t="shared" si="4"/>
        <v>0.165</v>
      </c>
    </row>
    <row r="29" spans="1:18" ht="12.75">
      <c r="A29" s="42"/>
      <c r="B29" s="42" t="s">
        <v>47</v>
      </c>
      <c r="C29" s="47">
        <v>0.1</v>
      </c>
      <c r="D29" s="47" t="s">
        <v>34</v>
      </c>
      <c r="E29" s="51">
        <v>3.2</v>
      </c>
      <c r="F29" s="53">
        <f t="shared" si="0"/>
        <v>0.32000000000000006</v>
      </c>
      <c r="G29" s="51">
        <f t="shared" si="1"/>
        <v>1.6</v>
      </c>
      <c r="H29" s="53">
        <f t="shared" si="0"/>
        <v>0.16000000000000003</v>
      </c>
      <c r="I29" s="46" t="s">
        <v>34</v>
      </c>
      <c r="J29" s="17">
        <v>4.6</v>
      </c>
      <c r="K29" s="53">
        <f t="shared" si="2"/>
        <v>0.45999999999999996</v>
      </c>
      <c r="L29" s="51">
        <f t="shared" si="3"/>
        <v>2.3</v>
      </c>
      <c r="M29" s="53">
        <f t="shared" si="2"/>
        <v>0.22999999999999998</v>
      </c>
      <c r="N29" s="46" t="s">
        <v>34</v>
      </c>
      <c r="O29" s="54">
        <v>3.3</v>
      </c>
      <c r="P29" s="53">
        <f t="shared" si="4"/>
        <v>0.33</v>
      </c>
      <c r="Q29" s="51">
        <f t="shared" si="5"/>
        <v>1.65</v>
      </c>
      <c r="R29" s="53">
        <f t="shared" si="4"/>
        <v>0.165</v>
      </c>
    </row>
    <row r="30" spans="1:18" ht="12.75">
      <c r="A30" s="42"/>
      <c r="B30" s="42" t="s">
        <v>46</v>
      </c>
      <c r="C30" s="47">
        <v>0.1</v>
      </c>
      <c r="D30" s="47" t="s">
        <v>34</v>
      </c>
      <c r="E30" s="51">
        <v>3.7</v>
      </c>
      <c r="F30" s="53">
        <f t="shared" si="0"/>
        <v>0.37000000000000005</v>
      </c>
      <c r="G30" s="51">
        <f t="shared" si="1"/>
        <v>1.85</v>
      </c>
      <c r="H30" s="53">
        <f t="shared" si="0"/>
        <v>0.18500000000000003</v>
      </c>
      <c r="I30" s="46" t="s">
        <v>34</v>
      </c>
      <c r="J30" s="17">
        <v>5.3</v>
      </c>
      <c r="K30" s="53">
        <f t="shared" si="2"/>
        <v>0.53</v>
      </c>
      <c r="L30" s="51">
        <f t="shared" si="3"/>
        <v>2.65</v>
      </c>
      <c r="M30" s="53">
        <f t="shared" si="2"/>
        <v>0.265</v>
      </c>
      <c r="N30" s="46" t="s">
        <v>34</v>
      </c>
      <c r="O30" s="54">
        <v>3.9</v>
      </c>
      <c r="P30" s="53">
        <f t="shared" si="4"/>
        <v>0.39</v>
      </c>
      <c r="Q30" s="51">
        <f t="shared" si="5"/>
        <v>1.95</v>
      </c>
      <c r="R30" s="53">
        <f t="shared" si="4"/>
        <v>0.195</v>
      </c>
    </row>
    <row r="31" spans="1:18" ht="12.75">
      <c r="A31" s="42"/>
      <c r="B31" s="42" t="s">
        <v>232</v>
      </c>
      <c r="C31" s="47">
        <v>0</v>
      </c>
      <c r="D31" s="47"/>
      <c r="E31" s="52">
        <v>17</v>
      </c>
      <c r="F31" s="52">
        <f t="shared" si="0"/>
        <v>0</v>
      </c>
      <c r="G31" s="51">
        <f t="shared" si="1"/>
        <v>17</v>
      </c>
      <c r="H31" s="52">
        <f t="shared" si="0"/>
        <v>0</v>
      </c>
      <c r="I31" s="46"/>
      <c r="J31" s="17">
        <v>12</v>
      </c>
      <c r="K31" s="52">
        <f t="shared" si="2"/>
        <v>0</v>
      </c>
      <c r="L31" s="51">
        <f t="shared" si="3"/>
        <v>12</v>
      </c>
      <c r="M31" s="52">
        <f t="shared" si="2"/>
        <v>0</v>
      </c>
      <c r="N31" s="46" t="s">
        <v>34</v>
      </c>
      <c r="O31" s="54">
        <v>3.9</v>
      </c>
      <c r="P31" s="53">
        <f t="shared" si="4"/>
        <v>0</v>
      </c>
      <c r="Q31" s="51">
        <f t="shared" si="5"/>
        <v>1.95</v>
      </c>
      <c r="R31" s="53">
        <f t="shared" si="4"/>
        <v>0</v>
      </c>
    </row>
    <row r="32" spans="1:18" ht="12.75">
      <c r="A32" s="42"/>
      <c r="B32" s="42" t="s">
        <v>48</v>
      </c>
      <c r="C32" s="47">
        <v>0.01</v>
      </c>
      <c r="D32" s="47"/>
      <c r="E32" s="52">
        <v>52</v>
      </c>
      <c r="F32" s="53">
        <f t="shared" si="0"/>
        <v>0.52</v>
      </c>
      <c r="G32" s="51">
        <f t="shared" si="1"/>
        <v>52</v>
      </c>
      <c r="H32" s="53">
        <f t="shared" si="0"/>
        <v>0.52</v>
      </c>
      <c r="I32" s="46"/>
      <c r="J32" s="17">
        <v>29</v>
      </c>
      <c r="K32" s="53">
        <f t="shared" si="2"/>
        <v>0.29</v>
      </c>
      <c r="L32" s="51">
        <f t="shared" si="3"/>
        <v>29</v>
      </c>
      <c r="M32" s="53">
        <f t="shared" si="2"/>
        <v>0.29</v>
      </c>
      <c r="N32" s="46"/>
      <c r="O32" s="54">
        <v>19</v>
      </c>
      <c r="P32" s="53">
        <f t="shared" si="4"/>
        <v>0.19</v>
      </c>
      <c r="Q32" s="51">
        <f t="shared" si="5"/>
        <v>19</v>
      </c>
      <c r="R32" s="53">
        <f t="shared" si="4"/>
        <v>0.19</v>
      </c>
    </row>
    <row r="33" spans="1:18" ht="12.75">
      <c r="A33" s="42"/>
      <c r="B33" s="42" t="s">
        <v>49</v>
      </c>
      <c r="C33" s="47">
        <v>0.01</v>
      </c>
      <c r="D33" s="47" t="s">
        <v>34</v>
      </c>
      <c r="E33" s="51">
        <v>6.9</v>
      </c>
      <c r="F33" s="55">
        <f t="shared" si="0"/>
        <v>0.069</v>
      </c>
      <c r="G33" s="51">
        <f t="shared" si="1"/>
        <v>3.45</v>
      </c>
      <c r="H33" s="55">
        <f t="shared" si="0"/>
        <v>0.0345</v>
      </c>
      <c r="I33" s="46" t="s">
        <v>34</v>
      </c>
      <c r="J33" s="17">
        <v>3.6</v>
      </c>
      <c r="K33" s="55">
        <f t="shared" si="2"/>
        <v>0.036000000000000004</v>
      </c>
      <c r="L33" s="51">
        <f t="shared" si="3"/>
        <v>1.8</v>
      </c>
      <c r="M33" s="55">
        <f t="shared" si="2"/>
        <v>0.018000000000000002</v>
      </c>
      <c r="N33" s="46" t="s">
        <v>34</v>
      </c>
      <c r="O33" s="54">
        <v>4.4</v>
      </c>
      <c r="P33" s="53">
        <f t="shared" si="4"/>
        <v>0.044000000000000004</v>
      </c>
      <c r="Q33" s="51">
        <f t="shared" si="5"/>
        <v>2.2</v>
      </c>
      <c r="R33" s="53">
        <f t="shared" si="4"/>
        <v>0.022000000000000002</v>
      </c>
    </row>
    <row r="34" spans="1:18" ht="12.75">
      <c r="A34" s="42"/>
      <c r="B34" s="42" t="s">
        <v>233</v>
      </c>
      <c r="C34" s="47">
        <v>0</v>
      </c>
      <c r="D34" s="47"/>
      <c r="E34" s="52">
        <v>52</v>
      </c>
      <c r="F34" s="52">
        <f t="shared" si="0"/>
        <v>0</v>
      </c>
      <c r="G34" s="51">
        <f t="shared" si="1"/>
        <v>52</v>
      </c>
      <c r="H34" s="52">
        <f t="shared" si="0"/>
        <v>0</v>
      </c>
      <c r="I34" s="46"/>
      <c r="J34" s="17">
        <v>29</v>
      </c>
      <c r="K34" s="52">
        <f t="shared" si="2"/>
        <v>0</v>
      </c>
      <c r="L34" s="51">
        <f t="shared" si="3"/>
        <v>29</v>
      </c>
      <c r="M34" s="52">
        <f t="shared" si="2"/>
        <v>0</v>
      </c>
      <c r="N34" s="46"/>
      <c r="O34" s="54">
        <v>19</v>
      </c>
      <c r="P34" s="53">
        <f t="shared" si="4"/>
        <v>0</v>
      </c>
      <c r="Q34" s="51">
        <f t="shared" si="5"/>
        <v>19</v>
      </c>
      <c r="R34" s="53">
        <f t="shared" si="4"/>
        <v>0</v>
      </c>
    </row>
    <row r="35" spans="1:18" ht="12.75">
      <c r="A35" s="42"/>
      <c r="B35" s="42" t="s">
        <v>50</v>
      </c>
      <c r="C35" s="47">
        <v>0.001</v>
      </c>
      <c r="D35" s="47"/>
      <c r="E35" s="52">
        <v>230</v>
      </c>
      <c r="F35" s="53">
        <f t="shared" si="0"/>
        <v>0.23</v>
      </c>
      <c r="G35" s="51">
        <f t="shared" si="1"/>
        <v>230</v>
      </c>
      <c r="H35" s="53">
        <f t="shared" si="0"/>
        <v>0.23</v>
      </c>
      <c r="I35" s="46"/>
      <c r="J35" s="17">
        <v>110</v>
      </c>
      <c r="K35" s="53">
        <f t="shared" si="2"/>
        <v>0.11</v>
      </c>
      <c r="L35" s="51">
        <f t="shared" si="3"/>
        <v>110</v>
      </c>
      <c r="M35" s="53">
        <f t="shared" si="2"/>
        <v>0.11</v>
      </c>
      <c r="N35" s="46"/>
      <c r="O35" s="54">
        <v>56</v>
      </c>
      <c r="P35" s="53">
        <f t="shared" si="4"/>
        <v>0.056</v>
      </c>
      <c r="Q35" s="51">
        <f t="shared" si="5"/>
        <v>56</v>
      </c>
      <c r="R35" s="53">
        <f t="shared" si="4"/>
        <v>0.056</v>
      </c>
    </row>
    <row r="36" spans="1:18" ht="12.75">
      <c r="A36" s="42"/>
      <c r="B36" s="42"/>
      <c r="C36" s="42"/>
      <c r="D36" s="42"/>
      <c r="E36" s="53"/>
      <c r="F36" s="44"/>
      <c r="G36" s="53"/>
      <c r="H36" s="44"/>
      <c r="I36" s="64"/>
      <c r="J36" s="17"/>
      <c r="K36" s="51"/>
      <c r="L36" s="51"/>
      <c r="M36" s="51"/>
      <c r="N36" s="64"/>
      <c r="O36" s="17"/>
      <c r="P36" s="43"/>
      <c r="Q36" s="53"/>
      <c r="R36" s="43"/>
    </row>
    <row r="37" spans="1:18" ht="12.75">
      <c r="A37" s="42"/>
      <c r="B37" s="42" t="s">
        <v>51</v>
      </c>
      <c r="C37" s="42"/>
      <c r="D37" s="42"/>
      <c r="E37" s="53"/>
      <c r="F37" s="53">
        <v>133.884</v>
      </c>
      <c r="G37" s="53">
        <v>133.884</v>
      </c>
      <c r="H37" s="53">
        <v>133.884</v>
      </c>
      <c r="I37" s="64"/>
      <c r="J37" s="53"/>
      <c r="K37" s="53">
        <v>136.591</v>
      </c>
      <c r="L37" s="53">
        <v>136.591</v>
      </c>
      <c r="M37" s="53">
        <v>136.591</v>
      </c>
      <c r="N37" s="64"/>
      <c r="O37" s="53"/>
      <c r="P37" s="53">
        <v>131.79</v>
      </c>
      <c r="Q37" s="53">
        <v>131.79</v>
      </c>
      <c r="R37" s="53">
        <v>131.79</v>
      </c>
    </row>
    <row r="38" spans="1:18" ht="12.75">
      <c r="A38" s="42"/>
      <c r="B38" s="42" t="s">
        <v>102</v>
      </c>
      <c r="C38" s="42"/>
      <c r="D38" s="42"/>
      <c r="E38" s="53"/>
      <c r="F38" s="53">
        <v>7</v>
      </c>
      <c r="G38" s="53">
        <v>7</v>
      </c>
      <c r="H38" s="53">
        <v>7</v>
      </c>
      <c r="I38" s="64"/>
      <c r="J38" s="53"/>
      <c r="K38" s="51">
        <v>6.8</v>
      </c>
      <c r="L38" s="51">
        <v>6.8</v>
      </c>
      <c r="M38" s="51">
        <v>6.8</v>
      </c>
      <c r="N38" s="64"/>
      <c r="O38" s="53"/>
      <c r="P38" s="53">
        <v>6.4</v>
      </c>
      <c r="Q38" s="53">
        <v>6.4</v>
      </c>
      <c r="R38" s="53">
        <v>6.4</v>
      </c>
    </row>
    <row r="39" spans="1:18" ht="12.75">
      <c r="A39" s="42"/>
      <c r="B39" s="42"/>
      <c r="C39" s="42"/>
      <c r="D39" s="42"/>
      <c r="E39" s="53"/>
      <c r="F39" s="17"/>
      <c r="G39" s="53"/>
      <c r="H39" s="17"/>
      <c r="I39" s="62"/>
      <c r="J39" s="53"/>
      <c r="K39" s="54"/>
      <c r="L39" s="51"/>
      <c r="M39" s="54"/>
      <c r="N39" s="64"/>
      <c r="O39" s="53"/>
      <c r="P39" s="53"/>
      <c r="Q39" s="53"/>
      <c r="R39" s="53"/>
    </row>
    <row r="40" spans="1:18" ht="12.75">
      <c r="A40" s="42"/>
      <c r="B40" s="42" t="s">
        <v>74</v>
      </c>
      <c r="C40" s="44"/>
      <c r="D40" s="44"/>
      <c r="E40" s="51"/>
      <c r="F40" s="53">
        <f>SUM(F11:F35)</f>
        <v>15.629</v>
      </c>
      <c r="G40" s="51">
        <f>SUM(G35,G34,G31,G26,G23,G21,G20,G18,G14,G12)</f>
        <v>459.55</v>
      </c>
      <c r="H40" s="53">
        <f>SUM(H11:H35)</f>
        <v>8.734499999999999</v>
      </c>
      <c r="I40" s="46"/>
      <c r="J40" s="51"/>
      <c r="K40" s="55">
        <f>SUM(K11:K35)</f>
        <v>19.8</v>
      </c>
      <c r="L40" s="51">
        <f>SUM(L35,L34,L31,L26,L23,L21,L20,L18,L14,L12)</f>
        <v>275.84999999999997</v>
      </c>
      <c r="M40" s="55">
        <f>SUM(M11:M35)</f>
        <v>10.479500000000002</v>
      </c>
      <c r="N40" s="46"/>
      <c r="O40" s="51"/>
      <c r="P40" s="53">
        <f>SUM(P11:P35)</f>
        <v>16.220000000000002</v>
      </c>
      <c r="Q40" s="51">
        <f>SUM(Q35,Q34,Q31,Q26,Q23,Q21,Q20,Q18,Q14,Q12)</f>
        <v>195.6</v>
      </c>
      <c r="R40" s="53">
        <f>SUM(R11:R35)</f>
        <v>8.283</v>
      </c>
    </row>
    <row r="41" spans="1:18" ht="12.75">
      <c r="A41" s="42"/>
      <c r="B41" s="42" t="s">
        <v>52</v>
      </c>
      <c r="C41" s="44"/>
      <c r="D41" s="51">
        <f>(F41-H41)*2/F41*100</f>
        <v>88.22701388444561</v>
      </c>
      <c r="E41" s="53"/>
      <c r="F41" s="44">
        <f>(F40/F37/0.0283*(21-7)/(21-F38))/1000</f>
        <v>0.004124925189708554</v>
      </c>
      <c r="G41" s="44">
        <f>(G40/G37/0.0283*(21-7)/(21-G38))/1000</f>
        <v>0.12128795002434997</v>
      </c>
      <c r="H41" s="44">
        <f>(H40/H37/0.0283*(21-7)/(21-H38))/1000</f>
        <v>0.0023052760297849737</v>
      </c>
      <c r="I41" s="51">
        <f>(K41-M41)*2/K41*100</f>
        <v>94.14646464646464</v>
      </c>
      <c r="J41" s="53"/>
      <c r="K41" s="55">
        <f>K40/K37/0.0283*(21-7)/(21-K38)/1000</f>
        <v>0.005050057946991935</v>
      </c>
      <c r="L41" s="44">
        <f>(L40/L37/0.0283*(21-7)/(21-L38))/1000</f>
        <v>0.07035648912513762</v>
      </c>
      <c r="M41" s="55">
        <f>M40/M37/0.0283*(21-7)/(21-M38)/1000</f>
        <v>0.002672832437146565</v>
      </c>
      <c r="N41" s="51">
        <f>(P41-R41)*2/P41*100</f>
        <v>97.86683107274969</v>
      </c>
      <c r="O41" s="44"/>
      <c r="P41" s="55">
        <f>P40/P37/0.0283*(21-7)/(21-P38)/1000</f>
        <v>0.0041702024227788905</v>
      </c>
      <c r="Q41" s="44">
        <f>(Q40/Q37/0.0283*(21-7)/(21-Q38))/1000</f>
        <v>0.05028924746581696</v>
      </c>
      <c r="R41" s="55">
        <f>R40/R37/0.0283*(21-7)/(21-R38)/1000</f>
        <v>0.0021295799425325246</v>
      </c>
    </row>
    <row r="42" spans="1:18" ht="12.75">
      <c r="A42" s="42"/>
      <c r="B42" s="42"/>
      <c r="C42" s="42"/>
      <c r="D42" s="42"/>
      <c r="E42" s="55"/>
      <c r="F42" s="44"/>
      <c r="G42" s="55"/>
      <c r="H42" s="44"/>
      <c r="I42" s="65"/>
      <c r="J42" s="55"/>
      <c r="K42" s="55"/>
      <c r="L42" s="55"/>
      <c r="M42" s="55"/>
      <c r="N42" s="65"/>
      <c r="O42" s="55"/>
      <c r="P42" s="43"/>
      <c r="Q42" s="55"/>
      <c r="R42" s="43"/>
    </row>
    <row r="43" spans="1:18" ht="12.75">
      <c r="A43" s="53"/>
      <c r="B43" s="42" t="s">
        <v>104</v>
      </c>
      <c r="C43" s="44">
        <f>AVERAGE(H41,M41,R41)</f>
        <v>0.0023692294698213546</v>
      </c>
      <c r="D43" s="53"/>
      <c r="E43" s="53"/>
      <c r="F43" s="44"/>
      <c r="G43" s="53"/>
      <c r="H43" s="44"/>
      <c r="I43" s="64"/>
      <c r="J43" s="53"/>
      <c r="K43" s="53"/>
      <c r="L43" s="53"/>
      <c r="M43" s="53"/>
      <c r="N43" s="64"/>
      <c r="O43" s="53"/>
      <c r="P43" s="43"/>
      <c r="Q43" s="53"/>
      <c r="R43" s="43"/>
    </row>
    <row r="44" spans="1:18" ht="12.75">
      <c r="A44" s="42"/>
      <c r="B44" s="42" t="s">
        <v>105</v>
      </c>
      <c r="C44" s="53">
        <f>AVERAGE(G41,L41,Q41)</f>
        <v>0.08064456220510151</v>
      </c>
      <c r="D44" s="42"/>
      <c r="E44" s="43"/>
      <c r="F44" s="44"/>
      <c r="G44" s="43"/>
      <c r="H44" s="44"/>
      <c r="I44" s="48"/>
      <c r="J44" s="43"/>
      <c r="K44" s="43"/>
      <c r="L44" s="43"/>
      <c r="M44" s="43"/>
      <c r="N44" s="48"/>
      <c r="O44" s="43"/>
      <c r="P44" s="43"/>
      <c r="Q44" s="43"/>
      <c r="R44" s="43"/>
    </row>
    <row r="45" spans="1:18" ht="12.75">
      <c r="A45" s="42"/>
      <c r="B45" s="42"/>
      <c r="C45" s="42"/>
      <c r="D45" s="42"/>
      <c r="E45" s="42"/>
      <c r="F45" s="44"/>
      <c r="G45" s="42"/>
      <c r="H45" s="44"/>
      <c r="I45" s="47"/>
      <c r="J45" s="42"/>
      <c r="K45" s="42"/>
      <c r="L45" s="42"/>
      <c r="M45" s="42"/>
      <c r="N45" s="47"/>
      <c r="O45" s="42"/>
      <c r="P45" s="42"/>
      <c r="Q45" s="42"/>
      <c r="R45" s="42"/>
    </row>
    <row r="46" spans="9:14" ht="12.75">
      <c r="I46"/>
      <c r="N46"/>
    </row>
    <row r="47" spans="9:14" ht="12.75">
      <c r="I47"/>
      <c r="N47"/>
    </row>
    <row r="48" spans="9:14" ht="12.75">
      <c r="I48"/>
      <c r="N48"/>
    </row>
    <row r="49" spans="9:14" ht="12.75">
      <c r="I49"/>
      <c r="N49"/>
    </row>
    <row r="50" spans="9:14" ht="12.75">
      <c r="I50"/>
      <c r="N50"/>
    </row>
    <row r="51" spans="9:14" ht="12.75">
      <c r="I51"/>
      <c r="N51"/>
    </row>
    <row r="52" spans="9:14" ht="12.75">
      <c r="I52"/>
      <c r="N52"/>
    </row>
    <row r="53" spans="9:14" ht="12.75">
      <c r="I53"/>
      <c r="N53"/>
    </row>
    <row r="54" spans="9:14" ht="12.75">
      <c r="I54"/>
      <c r="N54"/>
    </row>
    <row r="55" spans="9:14" ht="12.75">
      <c r="I55"/>
      <c r="N55"/>
    </row>
    <row r="56" spans="9:14" ht="12.75">
      <c r="I56"/>
      <c r="N56"/>
    </row>
    <row r="57" spans="9:14" ht="12.75">
      <c r="I57"/>
      <c r="N57"/>
    </row>
    <row r="58" spans="9:14" ht="12.75">
      <c r="I58"/>
      <c r="N58"/>
    </row>
    <row r="59" spans="9:14" ht="12.75">
      <c r="I59"/>
      <c r="N59"/>
    </row>
    <row r="60" spans="9:14" ht="12.75">
      <c r="I60"/>
      <c r="N60"/>
    </row>
    <row r="61" spans="9:14" ht="12.75">
      <c r="I61"/>
      <c r="N61"/>
    </row>
    <row r="62" spans="9:14" ht="12.75">
      <c r="I62"/>
      <c r="N62"/>
    </row>
    <row r="63" spans="9:14" ht="12.75">
      <c r="I63"/>
      <c r="N63"/>
    </row>
    <row r="64" spans="9:14" ht="12.75">
      <c r="I64"/>
      <c r="N64"/>
    </row>
    <row r="65" spans="9:14" ht="12.75">
      <c r="I65"/>
      <c r="N65"/>
    </row>
    <row r="66" spans="9:14" ht="12.75">
      <c r="I66"/>
      <c r="N66"/>
    </row>
    <row r="67" spans="9:14" ht="12.75">
      <c r="I67"/>
      <c r="N67"/>
    </row>
    <row r="68" spans="9:14" ht="12.75">
      <c r="I68"/>
      <c r="N68"/>
    </row>
    <row r="69" spans="9:14" ht="12.75">
      <c r="I69"/>
      <c r="N69"/>
    </row>
    <row r="70" spans="9:14" ht="12.75">
      <c r="I70"/>
      <c r="N70"/>
    </row>
    <row r="71" spans="9:14" ht="12.75">
      <c r="I71"/>
      <c r="N71"/>
    </row>
    <row r="72" spans="9:14" ht="12.75">
      <c r="I72"/>
      <c r="N72"/>
    </row>
    <row r="73" spans="9:14" ht="12.75">
      <c r="I73"/>
      <c r="N73"/>
    </row>
    <row r="74" spans="9:14" ht="12.75">
      <c r="I74"/>
      <c r="N74"/>
    </row>
    <row r="75" spans="9:14" ht="12.75">
      <c r="I75"/>
      <c r="N75"/>
    </row>
    <row r="76" spans="9:14" ht="12.75">
      <c r="I76"/>
      <c r="N76"/>
    </row>
    <row r="77" spans="9:14" ht="12.75">
      <c r="I77"/>
      <c r="N77"/>
    </row>
    <row r="78" spans="9:14" ht="12.75">
      <c r="I78"/>
      <c r="N78"/>
    </row>
    <row r="79" spans="9:14" ht="12.75">
      <c r="I79"/>
      <c r="N79"/>
    </row>
    <row r="80" spans="9:14" ht="12.75">
      <c r="I80"/>
      <c r="N80"/>
    </row>
    <row r="81" spans="9:14" ht="12.75">
      <c r="I81"/>
      <c r="N81"/>
    </row>
    <row r="82" spans="9:14" ht="12.75">
      <c r="I82"/>
      <c r="N82"/>
    </row>
    <row r="83" spans="1:18" ht="12.75">
      <c r="A83" s="1"/>
      <c r="B83" s="1"/>
      <c r="C83" s="1"/>
      <c r="D83" s="1"/>
      <c r="E83" s="7"/>
      <c r="F83" s="7"/>
      <c r="G83" s="7"/>
      <c r="H83" s="7"/>
      <c r="I83" s="66"/>
      <c r="J83" s="7"/>
      <c r="K83" s="4"/>
      <c r="L83" s="4"/>
      <c r="M83" s="4"/>
      <c r="N83" s="66"/>
      <c r="O83" s="7"/>
      <c r="P83" s="7"/>
      <c r="Q83" s="7"/>
      <c r="R83" s="7"/>
    </row>
    <row r="84" spans="1:18" ht="12.75">
      <c r="A84" s="1"/>
      <c r="B84" s="1"/>
      <c r="C84" s="1"/>
      <c r="D84" s="1"/>
      <c r="E84" s="7"/>
      <c r="F84" s="7"/>
      <c r="G84" s="7"/>
      <c r="H84" s="7"/>
      <c r="I84" s="66"/>
      <c r="J84" s="7"/>
      <c r="K84" s="4"/>
      <c r="L84" s="4"/>
      <c r="M84" s="4"/>
      <c r="N84" s="66"/>
      <c r="O84" s="7"/>
      <c r="P84" s="7"/>
      <c r="Q84" s="7"/>
      <c r="R84" s="7"/>
    </row>
    <row r="85" spans="1:18" ht="12.75">
      <c r="A85" s="1"/>
      <c r="B85" s="1"/>
      <c r="C85" s="1"/>
      <c r="D85" s="1"/>
      <c r="E85" s="7"/>
      <c r="G85" s="7"/>
      <c r="J85" s="7"/>
      <c r="K85" s="6"/>
      <c r="L85" s="4"/>
      <c r="M85" s="6"/>
      <c r="N85" s="66"/>
      <c r="O85" s="7"/>
      <c r="P85" s="7"/>
      <c r="Q85" s="7"/>
      <c r="R85" s="7"/>
    </row>
    <row r="86" spans="1:18" ht="12.75">
      <c r="A86" s="1"/>
      <c r="B86" s="1"/>
      <c r="C86" s="2"/>
      <c r="D86" s="2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2"/>
      <c r="Q86" s="2"/>
      <c r="R86" s="2"/>
    </row>
    <row r="87" spans="1:18" ht="12.75">
      <c r="A87" s="1"/>
      <c r="B87" s="1"/>
      <c r="C87" s="2"/>
      <c r="D87" s="2"/>
      <c r="E87" s="7"/>
      <c r="F87" s="2"/>
      <c r="G87" s="5"/>
      <c r="H87" s="2"/>
      <c r="I87" s="3"/>
      <c r="J87" s="7"/>
      <c r="K87" s="2"/>
      <c r="L87" s="4"/>
      <c r="M87" s="2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2004-02-25T17:27:02Z</cp:lastPrinted>
  <dcterms:created xsi:type="dcterms:W3CDTF">2000-01-10T00:44:42Z</dcterms:created>
  <dcterms:modified xsi:type="dcterms:W3CDTF">2005-03-14T18:16:04Z</dcterms:modified>
  <cp:category/>
  <cp:version/>
  <cp:contentType/>
  <cp:contentStatus/>
</cp:coreProperties>
</file>