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176" yWindow="376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<sst xmlns="http://schemas.openxmlformats.org/spreadsheetml/2006/main" count="768" uniqueCount="148">
  <si>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</si>
  <si>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</si>
  <si>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</si>
  <si>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</si>
  <si>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</si>
  <si>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</si>
  <si>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</si>
  <si>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</si>
  <si>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</si>
  <si>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</si>
  <si>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</si>
  <si>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</si>
  <si>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</si>
  <si>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</si>
  <si>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</si>
  <si>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</si>
  <si>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</si>
  <si>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</si>
  <si>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LAD040776809</t>
  </si>
  <si>
    <t>Facility Name</t>
  </si>
  <si>
    <t>BASF</t>
  </si>
  <si>
    <t>Facility Location</t>
  </si>
  <si>
    <t>Geismar</t>
  </si>
  <si>
    <t>LA</t>
  </si>
  <si>
    <t>Unit ID Name/No.</t>
  </si>
  <si>
    <t>No. 3 Boiler</t>
  </si>
  <si>
    <t>Other Sister Facilities</t>
  </si>
  <si>
    <t>Combustor Characteristics</t>
  </si>
  <si>
    <t>None</t>
  </si>
  <si>
    <t>APCS Characteristics</t>
  </si>
  <si>
    <t>NA</t>
  </si>
  <si>
    <t>Ignitable (D001), methanol, mixed alcohols, from production of THF and PTHF, butanediol light ends, TDA</t>
  </si>
  <si>
    <t>Natural gas</t>
  </si>
  <si>
    <t>Stack Characteristics</t>
  </si>
  <si>
    <t xml:space="preserve">     Report Name/Date</t>
  </si>
  <si>
    <t>BASF Corp. DRE Trial Burn Report, March 1998, Rev. 2</t>
  </si>
  <si>
    <t xml:space="preserve">     Report Prepar</t>
  </si>
  <si>
    <t>?</t>
  </si>
  <si>
    <t xml:space="preserve">     Testing Firm</t>
  </si>
  <si>
    <t>METCO</t>
  </si>
  <si>
    <t xml:space="preserve">     Testing Dates</t>
  </si>
  <si>
    <t>February 12-13, 1997</t>
  </si>
  <si>
    <t>Trial Burn</t>
  </si>
  <si>
    <t xml:space="preserve">     Content</t>
  </si>
  <si>
    <t>DRE, PM, HCl/Cl2, CO; metals, chlorine, ash feeds</t>
  </si>
  <si>
    <t>February 13-14, 1997</t>
  </si>
  <si>
    <t>November 10-11, 1997</t>
  </si>
  <si>
    <t>Units</t>
  </si>
  <si>
    <t>Run</t>
  </si>
  <si>
    <t>Cond Avg</t>
  </si>
  <si>
    <t>835C10</t>
  </si>
  <si>
    <t>y</t>
  </si>
  <si>
    <t>n</t>
  </si>
  <si>
    <t xml:space="preserve">   Stack Gas Flowrate</t>
  </si>
  <si>
    <t xml:space="preserve">   Temperature</t>
  </si>
  <si>
    <t>POHC DRE</t>
  </si>
  <si>
    <t>lb/hr</t>
  </si>
  <si>
    <t>835C11</t>
  </si>
  <si>
    <t>835C12</t>
  </si>
  <si>
    <t>Liquid waste</t>
  </si>
  <si>
    <t>g/hr</t>
  </si>
  <si>
    <t>Density</t>
  </si>
  <si>
    <t>g/ml</t>
  </si>
  <si>
    <t>Btu/lb</t>
  </si>
  <si>
    <t>Chlorine</t>
  </si>
  <si>
    <t>nd</t>
  </si>
  <si>
    <t>Stack Gas Flowrate</t>
  </si>
  <si>
    <t>Tier I BIF Limits</t>
  </si>
  <si>
    <t>Process Information</t>
  </si>
  <si>
    <t>Avg</t>
  </si>
  <si>
    <t>Permitting Status</t>
  </si>
  <si>
    <t>48" x 94"</t>
  </si>
  <si>
    <t>Liq</t>
  </si>
  <si>
    <t>Feedstreams</t>
  </si>
  <si>
    <t>Capacity (MMBtu/hr)</t>
  </si>
  <si>
    <t>Hazardous Wastes</t>
  </si>
  <si>
    <t>Haz Waste Description</t>
  </si>
  <si>
    <t>Supplemental Fuel</t>
  </si>
  <si>
    <t>Feedrate MTEC Calculations</t>
  </si>
  <si>
    <t>7% O2</t>
  </si>
  <si>
    <t>Steam Production</t>
  </si>
  <si>
    <t>Phase II ID No.</t>
  </si>
  <si>
    <t>Source Description</t>
  </si>
  <si>
    <t xml:space="preserve">     Cond Description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</si>
  <si>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</si>
  <si>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</si>
  <si>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</si>
  <si>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</si>
  <si>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</si>
  <si>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</si>
  <si>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</si>
  <si>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</si>
  <si>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PM HCl/Cl2</t>
  </si>
  <si>
    <t>PM, HCl/Cl2</t>
  </si>
  <si>
    <t xml:space="preserve">   O2</t>
  </si>
  <si>
    <t xml:space="preserve">   Moisture</t>
  </si>
  <si>
    <t>Toluene</t>
  </si>
  <si>
    <t>Feedrate</t>
  </si>
  <si>
    <t>Emissions Rate</t>
  </si>
  <si>
    <t>Total Chlorine</t>
  </si>
  <si>
    <t>CO (RA)</t>
  </si>
  <si>
    <t>Sampling Train</t>
  </si>
  <si>
    <t>Arsenic</t>
  </si>
  <si>
    <t>Beryllium</t>
  </si>
  <si>
    <t>Barium</t>
  </si>
  <si>
    <t>Thallium</t>
  </si>
  <si>
    <t>Antimony</t>
  </si>
  <si>
    <t>Lead</t>
  </si>
  <si>
    <t>Nickel</t>
  </si>
  <si>
    <t>Cadmium</t>
  </si>
  <si>
    <t>Silver</t>
  </si>
  <si>
    <t>Chromium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</si>
  <si>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</si>
  <si>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</si>
  <si>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</si>
  <si>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</si>
  <si>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</si>
  <si>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</si>
  <si>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R1</t>
  </si>
  <si>
    <t>R2</t>
  </si>
  <si>
    <t>R3</t>
  </si>
  <si>
    <t>Selenium</t>
  </si>
  <si>
    <t xml:space="preserve">     Cond Dates</t>
  </si>
  <si>
    <t>Watertube boiler. Babcock and Wilcox, D shaped, gas fired watertube field erected boiler with superheater and economizer, 285 MMBtu/hr, 205000 lb/hr steam @ 650 psig and 750°F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</si>
  <si>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</si>
  <si>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</si>
  <si>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</si>
  <si>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</si>
  <si>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</si>
  <si>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</si>
  <si>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>Liquid-fired</t>
  </si>
  <si>
    <t>E1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</si>
  <si>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</si>
  <si>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</si>
  <si>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</si>
  <si>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</si>
  <si>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</si>
  <si>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</si>
  <si>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</si>
  <si>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</si>
  <si>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</si>
  <si>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</si>
  <si>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</si>
  <si>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Total</t>
  </si>
  <si>
    <t>MMBtu/hr</t>
  </si>
  <si>
    <t>Feed Class 2</t>
  </si>
  <si>
    <t>Estimated Firing Rate</t>
  </si>
  <si>
    <t>Heating Value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</si>
</sst>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mmmm\-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1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7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26" sqref="D26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  <row r="4" ht="12.75">
      <c r="A4" t="s">
        <v>136</v>
      </c>
    </row>
    <row r="5" ht="12.75">
      <c r="A5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" sqref="C1"/>
    </sheetView>
  </sheetViews>
  <sheetFormatPr defaultColWidth="9.140625" defaultRowHeight="12.75"/>
  <cols>
    <col min="1" max="1" width="9.140625" style="1" hidden="1" customWidth="1"/>
    <col min="2" max="2" width="23.8515625" style="1" customWidth="1"/>
    <col min="3" max="3" width="56.140625" style="1" customWidth="1"/>
    <col min="4" max="4" width="0.9921875" style="1" hidden="1" customWidth="1"/>
    <col min="5" max="5" width="11.421875" style="1" hidden="1" customWidth="1"/>
    <col min="6" max="16384" width="11.421875" style="1" customWidth="1"/>
  </cols>
  <sheetData>
    <row r="1" ht="12.75">
      <c r="B1" s="7" t="s">
        <v>82</v>
      </c>
    </row>
    <row r="3" spans="2:3" ht="12.75">
      <c r="B3" s="1" t="s">
        <v>81</v>
      </c>
      <c r="C3" s="3">
        <v>835</v>
      </c>
    </row>
    <row r="4" spans="2:3" ht="12.75">
      <c r="B4" s="1" t="s">
        <v>17</v>
      </c>
      <c r="C4" s="1" t="s">
        <v>18</v>
      </c>
    </row>
    <row r="5" spans="2:3" ht="12.75">
      <c r="B5" s="1" t="s">
        <v>19</v>
      </c>
      <c r="C5" s="1" t="s">
        <v>20</v>
      </c>
    </row>
    <row r="6" ht="12.75">
      <c r="B6" s="1" t="s">
        <v>21</v>
      </c>
    </row>
    <row r="7" spans="2:3" ht="12.75">
      <c r="B7" s="1" t="s">
        <v>84</v>
      </c>
      <c r="C7" s="1" t="s">
        <v>22</v>
      </c>
    </row>
    <row r="8" spans="2:3" ht="12.75">
      <c r="B8" s="1" t="s">
        <v>85</v>
      </c>
      <c r="C8" s="1" t="s">
        <v>23</v>
      </c>
    </row>
    <row r="9" spans="2:3" ht="12.75">
      <c r="B9" s="1" t="s">
        <v>24</v>
      </c>
      <c r="C9" s="1" t="s">
        <v>25</v>
      </c>
    </row>
    <row r="10" spans="2:3" ht="12.75">
      <c r="B10" s="1" t="s">
        <v>26</v>
      </c>
      <c r="C10" s="1" t="s">
        <v>28</v>
      </c>
    </row>
    <row r="11" spans="2:3" ht="12.75">
      <c r="B11" s="1" t="s">
        <v>126</v>
      </c>
      <c r="C11" s="3">
        <v>0</v>
      </c>
    </row>
    <row r="12" spans="2:3" ht="12.75">
      <c r="B12" s="1" t="s">
        <v>129</v>
      </c>
      <c r="C12" s="1" t="s">
        <v>124</v>
      </c>
    </row>
    <row r="13" spans="2:3" ht="12.75">
      <c r="B13" s="1" t="s">
        <v>132</v>
      </c>
      <c r="C13" s="1" t="s">
        <v>130</v>
      </c>
    </row>
    <row r="14" spans="2:3" s="8" customFormat="1" ht="38.25">
      <c r="B14" s="8" t="s">
        <v>27</v>
      </c>
      <c r="C14" s="8" t="s">
        <v>123</v>
      </c>
    </row>
    <row r="15" spans="2:3" s="8" customFormat="1" ht="12.75">
      <c r="B15" s="8" t="s">
        <v>74</v>
      </c>
      <c r="C15" s="14">
        <v>285</v>
      </c>
    </row>
    <row r="16" ht="12.75">
      <c r="B16" s="1" t="s">
        <v>86</v>
      </c>
    </row>
    <row r="17" spans="2:3" ht="12.75">
      <c r="B17" s="1" t="s">
        <v>127</v>
      </c>
      <c r="C17" s="1" t="s">
        <v>28</v>
      </c>
    </row>
    <row r="18" ht="12.75">
      <c r="B18" s="1" t="s">
        <v>128</v>
      </c>
    </row>
    <row r="19" spans="2:3" ht="12.75">
      <c r="B19" s="1" t="s">
        <v>29</v>
      </c>
      <c r="C19" s="1" t="s">
        <v>30</v>
      </c>
    </row>
    <row r="20" spans="2:3" ht="12.75">
      <c r="B20" s="1" t="s">
        <v>75</v>
      </c>
      <c r="C20" s="1" t="s">
        <v>72</v>
      </c>
    </row>
    <row r="21" spans="2:3" s="8" customFormat="1" ht="25.5">
      <c r="B21" s="8" t="s">
        <v>76</v>
      </c>
      <c r="C21" s="8" t="s">
        <v>31</v>
      </c>
    </row>
    <row r="22" spans="2:3" ht="12.75">
      <c r="B22" s="1" t="s">
        <v>77</v>
      </c>
      <c r="C22" s="1" t="s">
        <v>32</v>
      </c>
    </row>
    <row r="24" ht="12.75">
      <c r="B24" s="1" t="s">
        <v>33</v>
      </c>
    </row>
    <row r="25" spans="2:3" ht="12.75">
      <c r="B25" s="1" t="s">
        <v>87</v>
      </c>
      <c r="C25" s="3" t="s">
        <v>71</v>
      </c>
    </row>
    <row r="26" spans="2:3" ht="12.75">
      <c r="B26" s="1" t="s">
        <v>88</v>
      </c>
      <c r="C26" s="9">
        <v>70</v>
      </c>
    </row>
    <row r="27" spans="2:3" ht="12.75">
      <c r="B27" s="1" t="s">
        <v>89</v>
      </c>
      <c r="C27" s="10">
        <f>10/0.3048</f>
        <v>32.808398950131235</v>
      </c>
    </row>
    <row r="28" spans="2:3" ht="12.75">
      <c r="B28" s="1" t="s">
        <v>90</v>
      </c>
      <c r="C28" s="3">
        <v>400</v>
      </c>
    </row>
    <row r="29" ht="12.75">
      <c r="C29" s="10"/>
    </row>
    <row r="30" ht="12.75">
      <c r="B30" s="1" t="s">
        <v>70</v>
      </c>
    </row>
    <row r="31" s="18" customFormat="1" ht="25.5">
      <c r="B31" s="18" t="s">
        <v>117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" sqref="C1"/>
    </sheetView>
  </sheetViews>
  <sheetFormatPr defaultColWidth="9.140625" defaultRowHeight="12.75"/>
  <cols>
    <col min="1" max="1" width="9.140625" style="1" hidden="1" customWidth="1"/>
    <col min="2" max="2" width="21.28125" style="1" customWidth="1"/>
    <col min="3" max="3" width="51.7109375" style="1" customWidth="1"/>
    <col min="4" max="16384" width="9.140625" style="1" customWidth="1"/>
  </cols>
  <sheetData>
    <row r="1" ht="12.75">
      <c r="B1" s="7" t="s">
        <v>125</v>
      </c>
    </row>
    <row r="3" ht="12.75">
      <c r="B3" s="19" t="s">
        <v>50</v>
      </c>
    </row>
    <row r="4" ht="12.75">
      <c r="B4" s="19"/>
    </row>
    <row r="5" spans="2:3" ht="12.75">
      <c r="B5" s="1" t="s">
        <v>34</v>
      </c>
      <c r="C5" s="1" t="s">
        <v>35</v>
      </c>
    </row>
    <row r="6" spans="2:3" ht="12.75">
      <c r="B6" s="1" t="s">
        <v>36</v>
      </c>
      <c r="C6" s="1" t="s">
        <v>37</v>
      </c>
    </row>
    <row r="7" spans="2:3" ht="12.75">
      <c r="B7" s="1" t="s">
        <v>38</v>
      </c>
      <c r="C7" s="1" t="s">
        <v>39</v>
      </c>
    </row>
    <row r="8" spans="2:3" ht="12.75">
      <c r="B8" s="1" t="s">
        <v>40</v>
      </c>
      <c r="C8" s="11" t="s">
        <v>41</v>
      </c>
    </row>
    <row r="9" spans="2:3" ht="12.75">
      <c r="B9" s="1" t="s">
        <v>122</v>
      </c>
      <c r="C9" s="17">
        <v>34000</v>
      </c>
    </row>
    <row r="10" spans="2:3" ht="12.75">
      <c r="B10" s="1" t="s">
        <v>83</v>
      </c>
      <c r="C10" s="1" t="s">
        <v>42</v>
      </c>
    </row>
    <row r="11" spans="2:3" ht="12.75">
      <c r="B11" s="1" t="s">
        <v>43</v>
      </c>
      <c r="C11" s="1" t="s">
        <v>44</v>
      </c>
    </row>
    <row r="13" ht="12.75">
      <c r="B13" s="19" t="s">
        <v>57</v>
      </c>
    </row>
    <row r="14" ht="12.75">
      <c r="B14" s="19"/>
    </row>
    <row r="15" spans="2:3" ht="12.75">
      <c r="B15" s="1" t="s">
        <v>34</v>
      </c>
      <c r="C15" s="1" t="s">
        <v>35</v>
      </c>
    </row>
    <row r="16" spans="2:3" ht="12.75">
      <c r="B16" s="1" t="s">
        <v>36</v>
      </c>
      <c r="C16" s="1" t="s">
        <v>37</v>
      </c>
    </row>
    <row r="17" spans="2:3" ht="12.75">
      <c r="B17" s="1" t="s">
        <v>38</v>
      </c>
      <c r="C17" s="1" t="s">
        <v>39</v>
      </c>
    </row>
    <row r="18" spans="2:3" ht="12.75">
      <c r="B18" s="1" t="s">
        <v>40</v>
      </c>
      <c r="C18" s="11" t="s">
        <v>45</v>
      </c>
    </row>
    <row r="19" spans="2:3" ht="12.75">
      <c r="B19" s="1" t="s">
        <v>122</v>
      </c>
      <c r="C19" s="17">
        <v>34000</v>
      </c>
    </row>
    <row r="20" spans="2:3" ht="12.75">
      <c r="B20" s="1" t="s">
        <v>83</v>
      </c>
      <c r="C20" s="1" t="s">
        <v>42</v>
      </c>
    </row>
    <row r="21" spans="2:3" ht="12.75">
      <c r="B21" s="1" t="s">
        <v>43</v>
      </c>
      <c r="C21" s="1" t="s">
        <v>44</v>
      </c>
    </row>
    <row r="23" ht="12.75">
      <c r="B23" s="19" t="s">
        <v>58</v>
      </c>
    </row>
    <row r="24" ht="12.75">
      <c r="B24" s="19"/>
    </row>
    <row r="25" spans="2:3" ht="12.75">
      <c r="B25" s="1" t="s">
        <v>34</v>
      </c>
      <c r="C25" s="1" t="s">
        <v>35</v>
      </c>
    </row>
    <row r="26" spans="2:3" ht="12.75">
      <c r="B26" s="1" t="s">
        <v>36</v>
      </c>
      <c r="C26" s="1" t="s">
        <v>37</v>
      </c>
    </row>
    <row r="27" spans="2:3" ht="12.75">
      <c r="B27" s="1" t="s">
        <v>38</v>
      </c>
      <c r="C27" s="1" t="s">
        <v>39</v>
      </c>
    </row>
    <row r="28" spans="2:3" ht="12.75">
      <c r="B28" s="1" t="s">
        <v>40</v>
      </c>
      <c r="C28" s="27" t="s">
        <v>46</v>
      </c>
    </row>
    <row r="29" spans="2:3" ht="12.75">
      <c r="B29" s="1" t="s">
        <v>122</v>
      </c>
      <c r="C29" s="17">
        <v>34273</v>
      </c>
    </row>
    <row r="30" spans="2:3" ht="12.75">
      <c r="B30" s="1" t="s">
        <v>83</v>
      </c>
      <c r="C30" s="1" t="s">
        <v>42</v>
      </c>
    </row>
    <row r="31" spans="2:3" ht="12.75">
      <c r="B31" s="1" t="s">
        <v>43</v>
      </c>
      <c r="C31" s="1" t="s">
        <v>44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B45">
      <selection activeCell="C1" sqref="C1"/>
    </sheetView>
  </sheetViews>
  <sheetFormatPr defaultColWidth="9.140625" defaultRowHeight="12.75"/>
  <cols>
    <col min="1" max="1" width="9.140625" style="1" hidden="1" customWidth="1"/>
    <col min="2" max="2" width="20.421875" style="1" customWidth="1"/>
    <col min="3" max="3" width="11.421875" style="1" customWidth="1"/>
    <col min="4" max="4" width="9.140625" style="1" customWidth="1"/>
    <col min="5" max="5" width="6.8515625" style="1" customWidth="1"/>
    <col min="6" max="6" width="2.421875" style="1" customWidth="1"/>
    <col min="7" max="7" width="9.421875" style="1" customWidth="1"/>
    <col min="8" max="8" width="2.28125" style="1" customWidth="1"/>
    <col min="9" max="9" width="10.00390625" style="1" customWidth="1"/>
    <col min="10" max="10" width="2.7109375" style="1" customWidth="1"/>
    <col min="11" max="11" width="10.00390625" style="1" customWidth="1"/>
    <col min="12" max="12" width="1.7109375" style="1" customWidth="1"/>
    <col min="13" max="13" width="11.00390625" style="1" customWidth="1"/>
    <col min="14" max="14" width="10.421875" style="1" customWidth="1"/>
    <col min="15" max="15" width="9.8515625" style="1" customWidth="1"/>
    <col min="16" max="16384" width="11.421875" style="1" customWidth="1"/>
  </cols>
  <sheetData>
    <row r="1" spans="2:3" ht="12.75">
      <c r="B1" s="7" t="s">
        <v>0</v>
      </c>
      <c r="C1" s="7"/>
    </row>
    <row r="3" spans="3:15" ht="12.75">
      <c r="C3" s="1" t="s">
        <v>91</v>
      </c>
      <c r="D3" s="1" t="s">
        <v>47</v>
      </c>
      <c r="E3" s="1" t="s">
        <v>79</v>
      </c>
      <c r="G3" s="2"/>
      <c r="H3" s="2"/>
      <c r="I3" s="2"/>
      <c r="J3" s="2"/>
      <c r="K3" s="2"/>
      <c r="L3" s="2"/>
      <c r="M3" s="2"/>
      <c r="O3" s="2"/>
    </row>
    <row r="4" spans="7:12" ht="12.75">
      <c r="G4" s="2"/>
      <c r="H4" s="2"/>
      <c r="I4" s="2"/>
      <c r="J4" s="2"/>
      <c r="K4" s="2"/>
      <c r="L4" s="2"/>
    </row>
    <row r="5" spans="7:12" ht="12.75">
      <c r="G5" s="2"/>
      <c r="H5" s="2"/>
      <c r="I5" s="2"/>
      <c r="J5" s="2"/>
      <c r="K5" s="2"/>
      <c r="L5" s="2"/>
    </row>
    <row r="6" spans="1:13" ht="12.75">
      <c r="A6" s="1">
        <v>10</v>
      </c>
      <c r="B6" s="7" t="s">
        <v>50</v>
      </c>
      <c r="C6" s="7"/>
      <c r="G6" s="2" t="s">
        <v>118</v>
      </c>
      <c r="H6" s="2"/>
      <c r="I6" s="2" t="s">
        <v>119</v>
      </c>
      <c r="J6" s="2"/>
      <c r="K6" s="2" t="s">
        <v>120</v>
      </c>
      <c r="L6" s="2"/>
      <c r="M6" s="1" t="s">
        <v>49</v>
      </c>
    </row>
    <row r="7" spans="2:12" ht="12.75" customHeight="1">
      <c r="B7" s="7"/>
      <c r="C7" s="7"/>
      <c r="G7" s="2"/>
      <c r="H7" s="2"/>
      <c r="I7" s="2"/>
      <c r="J7" s="2"/>
      <c r="K7" s="2"/>
      <c r="L7" s="2"/>
    </row>
    <row r="8" spans="2:13" ht="12.75">
      <c r="B8" s="1" t="s">
        <v>2</v>
      </c>
      <c r="C8" s="1" t="s">
        <v>131</v>
      </c>
      <c r="D8" s="1" t="s">
        <v>10</v>
      </c>
      <c r="E8" s="1" t="s">
        <v>51</v>
      </c>
      <c r="G8" s="1">
        <v>0.0006</v>
      </c>
      <c r="I8" s="1">
        <v>0.0008</v>
      </c>
      <c r="K8" s="1">
        <v>0.0007</v>
      </c>
      <c r="M8" s="1">
        <f>AVERAGE(G8,I8,K8)</f>
        <v>0.0007</v>
      </c>
    </row>
    <row r="9" spans="2:13" ht="12.75">
      <c r="B9" s="1" t="s">
        <v>100</v>
      </c>
      <c r="C9" s="1" t="s">
        <v>131</v>
      </c>
      <c r="D9" s="1" t="s">
        <v>11</v>
      </c>
      <c r="E9" s="1" t="s">
        <v>51</v>
      </c>
      <c r="G9" s="1">
        <v>0</v>
      </c>
      <c r="I9" s="1">
        <v>0</v>
      </c>
      <c r="K9" s="1">
        <v>0</v>
      </c>
      <c r="M9" s="1">
        <f>AVERAGE(G9,I9,K9)</f>
        <v>0</v>
      </c>
    </row>
    <row r="10" spans="2:11" ht="12.75">
      <c r="B10" s="1" t="s">
        <v>3</v>
      </c>
      <c r="D10" s="1" t="s">
        <v>11</v>
      </c>
      <c r="E10" s="1" t="s">
        <v>52</v>
      </c>
      <c r="G10" s="1">
        <v>0.01</v>
      </c>
      <c r="I10" s="1">
        <v>0.01</v>
      </c>
      <c r="K10" s="1">
        <v>0.02</v>
      </c>
    </row>
    <row r="11" spans="2:12" ht="12.75">
      <c r="B11" s="1" t="s">
        <v>4</v>
      </c>
      <c r="D11" s="1" t="s">
        <v>11</v>
      </c>
      <c r="E11" s="1" t="s">
        <v>52</v>
      </c>
      <c r="G11" s="12">
        <v>0.01</v>
      </c>
      <c r="I11" s="12">
        <v>0.01</v>
      </c>
      <c r="K11" s="12">
        <v>0.01</v>
      </c>
      <c r="L11" s="12"/>
    </row>
    <row r="12" ht="12.75" customHeight="1"/>
    <row r="13" spans="2:4" ht="12" customHeight="1">
      <c r="B13" s="1" t="s">
        <v>101</v>
      </c>
      <c r="C13" s="1" t="s">
        <v>92</v>
      </c>
      <c r="D13" s="1" t="s">
        <v>131</v>
      </c>
    </row>
    <row r="14" spans="2:13" ht="12.75">
      <c r="B14" s="1" t="s">
        <v>53</v>
      </c>
      <c r="D14" s="1" t="s">
        <v>14</v>
      </c>
      <c r="G14" s="1">
        <v>32153</v>
      </c>
      <c r="I14" s="1">
        <v>32620</v>
      </c>
      <c r="K14" s="1">
        <v>32932</v>
      </c>
      <c r="M14" s="4">
        <f>AVERAGE(K14,I14,G14)</f>
        <v>32568.333333333332</v>
      </c>
    </row>
    <row r="15" spans="2:13" ht="12.75">
      <c r="B15" s="1" t="s">
        <v>94</v>
      </c>
      <c r="D15" s="1" t="s">
        <v>15</v>
      </c>
      <c r="G15" s="1">
        <v>6.1</v>
      </c>
      <c r="I15" s="1">
        <v>5.8</v>
      </c>
      <c r="K15" s="1">
        <v>5.6</v>
      </c>
      <c r="M15" s="4">
        <f>AVERAGE(K15,I15,G15)</f>
        <v>5.833333333333333</v>
      </c>
    </row>
    <row r="16" spans="2:13" ht="12.75">
      <c r="B16" s="1" t="s">
        <v>95</v>
      </c>
      <c r="D16" s="1" t="s">
        <v>15</v>
      </c>
      <c r="G16" s="1">
        <v>16.2</v>
      </c>
      <c r="I16" s="1">
        <v>16.1</v>
      </c>
      <c r="K16" s="1">
        <v>15.9</v>
      </c>
      <c r="M16" s="4">
        <f>AVERAGE(K16,I16,G16)</f>
        <v>16.066666666666666</v>
      </c>
    </row>
    <row r="17" spans="2:13" ht="12.75">
      <c r="B17" s="1" t="s">
        <v>54</v>
      </c>
      <c r="D17" s="1" t="s">
        <v>16</v>
      </c>
      <c r="G17" s="1">
        <f>(477-273)*1.8+32</f>
        <v>399.2</v>
      </c>
      <c r="I17" s="1">
        <f>(472-273)*1.8+32</f>
        <v>390.2</v>
      </c>
      <c r="K17" s="1">
        <f>(480-273)*1.8+32</f>
        <v>404.6</v>
      </c>
      <c r="M17" s="4">
        <f>AVERAGE(K17,I17,G17)</f>
        <v>398</v>
      </c>
    </row>
    <row r="18" ht="12.75">
      <c r="M18" s="4"/>
    </row>
    <row r="19" spans="2:13" ht="12.75">
      <c r="B19" s="1" t="s">
        <v>3</v>
      </c>
      <c r="C19" s="1" t="s">
        <v>131</v>
      </c>
      <c r="D19" s="1" t="s">
        <v>11</v>
      </c>
      <c r="E19" s="1" t="s">
        <v>51</v>
      </c>
      <c r="G19" s="5">
        <f>G10*(21-7)/(21-G15)</f>
        <v>0.009395973154362417</v>
      </c>
      <c r="I19" s="5">
        <f>I10*(21-7)/(21-I15)</f>
        <v>0.009210526315789475</v>
      </c>
      <c r="K19" s="5">
        <f>K10*(21-7)/(21-K15)</f>
        <v>0.018181818181818184</v>
      </c>
      <c r="L19" s="5"/>
      <c r="M19" s="5">
        <f>AVERAGE(G19,I19,K19)</f>
        <v>0.012262772550656692</v>
      </c>
    </row>
    <row r="20" spans="2:13" ht="12.75">
      <c r="B20" s="1" t="s">
        <v>4</v>
      </c>
      <c r="C20" s="1" t="s">
        <v>131</v>
      </c>
      <c r="D20" s="1" t="s">
        <v>11</v>
      </c>
      <c r="E20" s="1" t="s">
        <v>51</v>
      </c>
      <c r="G20" s="5">
        <f>G11*(21-7)/(21-G15)</f>
        <v>0.009395973154362417</v>
      </c>
      <c r="I20" s="5">
        <f>I11*(21-7)/(21-I15)</f>
        <v>0.009210526315789475</v>
      </c>
      <c r="K20" s="5">
        <f>K11*(21-7)/(21-K15)</f>
        <v>0.009090909090909092</v>
      </c>
      <c r="L20" s="5"/>
      <c r="M20" s="5">
        <f>AVERAGE(G20,I20,K20)</f>
        <v>0.009232469520353661</v>
      </c>
    </row>
    <row r="21" spans="2:13" ht="12.75">
      <c r="B21" s="1" t="s">
        <v>99</v>
      </c>
      <c r="C21" s="1" t="s">
        <v>131</v>
      </c>
      <c r="D21" s="1" t="s">
        <v>11</v>
      </c>
      <c r="E21" s="1" t="s">
        <v>51</v>
      </c>
      <c r="G21" s="5">
        <f>G19+2*G20</f>
        <v>0.02818791946308725</v>
      </c>
      <c r="I21" s="5">
        <f>I19+2*I20</f>
        <v>0.027631578947368424</v>
      </c>
      <c r="K21" s="5">
        <f>K19+2*K20</f>
        <v>0.03636363636363637</v>
      </c>
      <c r="L21" s="5"/>
      <c r="M21" s="5">
        <f>AVERAGE(G21,I21,K21)</f>
        <v>0.030727711591364015</v>
      </c>
    </row>
    <row r="23" spans="2:3" ht="12.75">
      <c r="B23" s="1" t="s">
        <v>55</v>
      </c>
      <c r="C23" s="1" t="s">
        <v>96</v>
      </c>
    </row>
    <row r="24" spans="2:11" ht="12.75">
      <c r="B24" s="1" t="s">
        <v>97</v>
      </c>
      <c r="D24" s="1" t="s">
        <v>56</v>
      </c>
      <c r="G24" s="1">
        <v>206</v>
      </c>
      <c r="I24" s="1">
        <v>206</v>
      </c>
      <c r="K24" s="1">
        <v>216</v>
      </c>
    </row>
    <row r="25" spans="2:11" ht="12.75">
      <c r="B25" s="1" t="s">
        <v>98</v>
      </c>
      <c r="D25" s="1" t="s">
        <v>56</v>
      </c>
      <c r="G25" s="1">
        <f>(100-G26)/100*G24</f>
        <v>0.002060000000009836</v>
      </c>
      <c r="I25" s="1">
        <f>(100-I26)/100*I24</f>
        <v>0.001030000000004918</v>
      </c>
      <c r="K25" s="1">
        <f>(100-K26)/100*K24</f>
        <v>0.0010800000000051567</v>
      </c>
    </row>
    <row r="26" spans="2:11" ht="12.75">
      <c r="B26" s="1" t="s">
        <v>7</v>
      </c>
      <c r="C26" s="1" t="s">
        <v>131</v>
      </c>
      <c r="D26" s="1" t="s">
        <v>15</v>
      </c>
      <c r="G26" s="28">
        <v>99.999</v>
      </c>
      <c r="H26" s="28"/>
      <c r="I26" s="13">
        <v>99.9995</v>
      </c>
      <c r="J26" s="28"/>
      <c r="K26" s="13">
        <v>99.9995</v>
      </c>
    </row>
    <row r="30" spans="1:13" ht="12.75">
      <c r="A30" s="1">
        <v>11</v>
      </c>
      <c r="B30" s="7" t="s">
        <v>57</v>
      </c>
      <c r="C30" s="7"/>
      <c r="G30" s="2" t="s">
        <v>118</v>
      </c>
      <c r="H30" s="2"/>
      <c r="I30" s="2" t="s">
        <v>119</v>
      </c>
      <c r="J30" s="2"/>
      <c r="K30" s="2" t="s">
        <v>120</v>
      </c>
      <c r="L30" s="2"/>
      <c r="M30" s="1" t="s">
        <v>49</v>
      </c>
    </row>
    <row r="31" spans="2:12" ht="12.75" customHeight="1">
      <c r="B31" s="7"/>
      <c r="C31" s="7"/>
      <c r="G31" s="2"/>
      <c r="H31" s="2"/>
      <c r="I31" s="2"/>
      <c r="J31" s="2"/>
      <c r="K31" s="2"/>
      <c r="L31" s="2"/>
    </row>
    <row r="32" spans="2:13" ht="12.75">
      <c r="B32" s="1" t="s">
        <v>2</v>
      </c>
      <c r="C32" s="1" t="s">
        <v>131</v>
      </c>
      <c r="D32" s="1" t="s">
        <v>10</v>
      </c>
      <c r="E32" s="1" t="s">
        <v>51</v>
      </c>
      <c r="G32" s="1">
        <v>0.0004</v>
      </c>
      <c r="I32" s="1">
        <v>0.0004</v>
      </c>
      <c r="K32" s="1">
        <v>0.0004</v>
      </c>
      <c r="M32" s="1">
        <f>AVERAGE(K32,I32,G32)</f>
        <v>0.0004</v>
      </c>
    </row>
    <row r="33" spans="2:13" ht="12.75">
      <c r="B33" s="1" t="s">
        <v>100</v>
      </c>
      <c r="C33" s="1" t="s">
        <v>131</v>
      </c>
      <c r="D33" s="1" t="s">
        <v>11</v>
      </c>
      <c r="E33" s="1" t="s">
        <v>51</v>
      </c>
      <c r="G33" s="1">
        <v>0</v>
      </c>
      <c r="I33" s="1">
        <v>0</v>
      </c>
      <c r="K33" s="1">
        <v>0</v>
      </c>
      <c r="M33" s="1">
        <f>AVERAGE(K33,I33,G33)</f>
        <v>0</v>
      </c>
    </row>
    <row r="34" spans="2:11" ht="12.75">
      <c r="B34" s="1" t="s">
        <v>3</v>
      </c>
      <c r="D34" s="1" t="s">
        <v>11</v>
      </c>
      <c r="E34" s="1" t="s">
        <v>52</v>
      </c>
      <c r="G34" s="1">
        <v>0.02</v>
      </c>
      <c r="I34" s="1">
        <v>0.02</v>
      </c>
      <c r="K34" s="1">
        <v>0.01</v>
      </c>
    </row>
    <row r="35" spans="2:11" ht="12.75">
      <c r="B35" s="1" t="s">
        <v>4</v>
      </c>
      <c r="D35" s="1" t="s">
        <v>11</v>
      </c>
      <c r="E35" s="1" t="s">
        <v>52</v>
      </c>
      <c r="G35" s="1">
        <v>0.01</v>
      </c>
      <c r="I35" s="1">
        <v>0.01</v>
      </c>
      <c r="K35" s="1">
        <v>0.01</v>
      </c>
    </row>
    <row r="36" ht="12.75" customHeight="1"/>
    <row r="37" spans="2:4" ht="12" customHeight="1">
      <c r="B37" s="1" t="s">
        <v>101</v>
      </c>
      <c r="C37" s="1" t="s">
        <v>93</v>
      </c>
      <c r="D37" s="1" t="s">
        <v>131</v>
      </c>
    </row>
    <row r="38" spans="2:13" ht="12.75">
      <c r="B38" s="1" t="s">
        <v>53</v>
      </c>
      <c r="D38" s="1" t="s">
        <v>14</v>
      </c>
      <c r="G38" s="1">
        <v>28710</v>
      </c>
      <c r="I38" s="1">
        <v>27602</v>
      </c>
      <c r="K38" s="1">
        <v>26813</v>
      </c>
      <c r="M38" s="4">
        <f>AVERAGE(K38,I38,G38)</f>
        <v>27708.333333333332</v>
      </c>
    </row>
    <row r="39" spans="2:13" ht="12.75">
      <c r="B39" s="1" t="s">
        <v>94</v>
      </c>
      <c r="D39" s="1" t="s">
        <v>15</v>
      </c>
      <c r="G39" s="1">
        <v>7</v>
      </c>
      <c r="I39" s="1">
        <v>7</v>
      </c>
      <c r="K39" s="1">
        <v>6.8</v>
      </c>
      <c r="M39" s="4">
        <f>AVERAGE(K39,I39,G39)</f>
        <v>6.933333333333334</v>
      </c>
    </row>
    <row r="40" spans="2:13" ht="12.75">
      <c r="B40" s="1" t="s">
        <v>95</v>
      </c>
      <c r="D40" s="1" t="s">
        <v>15</v>
      </c>
      <c r="G40" s="1">
        <v>13.34</v>
      </c>
      <c r="I40" s="1">
        <v>14.4</v>
      </c>
      <c r="K40" s="1">
        <v>14.5</v>
      </c>
      <c r="M40" s="4">
        <f>AVERAGE(K40,I40,G40)</f>
        <v>14.079999999999998</v>
      </c>
    </row>
    <row r="41" spans="2:13" ht="12.75">
      <c r="B41" s="1" t="s">
        <v>54</v>
      </c>
      <c r="D41" s="1" t="s">
        <v>16</v>
      </c>
      <c r="G41" s="1">
        <f>(456-273)*1.8+32</f>
        <v>361.40000000000003</v>
      </c>
      <c r="I41" s="1">
        <f>(450-273)*1.8+32</f>
        <v>350.6</v>
      </c>
      <c r="K41" s="1">
        <f>(449-273)*1.8+32</f>
        <v>348.8</v>
      </c>
      <c r="M41" s="4">
        <f>AVERAGE(K41,I41,G41)</f>
        <v>353.6000000000001</v>
      </c>
    </row>
    <row r="43" spans="2:13" ht="12.75">
      <c r="B43" s="1" t="s">
        <v>3</v>
      </c>
      <c r="C43" s="1" t="s">
        <v>131</v>
      </c>
      <c r="D43" s="1" t="s">
        <v>11</v>
      </c>
      <c r="E43" s="1" t="s">
        <v>51</v>
      </c>
      <c r="G43" s="5">
        <f>G34*(21-7)/(21-G39)</f>
        <v>0.02</v>
      </c>
      <c r="I43" s="5">
        <f>I34*(21-7)/(21-I39)</f>
        <v>0.02</v>
      </c>
      <c r="K43" s="5">
        <f>K34*(21-7)/(21-K39)</f>
        <v>0.009859154929577466</v>
      </c>
      <c r="L43" s="5"/>
      <c r="M43" s="5">
        <f>AVERAGE(G43,I43,K43)</f>
        <v>0.016619718309859154</v>
      </c>
    </row>
    <row r="44" spans="2:13" ht="12.75">
      <c r="B44" s="1" t="s">
        <v>4</v>
      </c>
      <c r="C44" s="1" t="s">
        <v>131</v>
      </c>
      <c r="D44" s="1" t="s">
        <v>11</v>
      </c>
      <c r="E44" s="1" t="s">
        <v>51</v>
      </c>
      <c r="G44" s="5">
        <f>G35*(21-7)/(21-G39)</f>
        <v>0.01</v>
      </c>
      <c r="I44" s="5">
        <f>I35*(21-7)/(21-I39)</f>
        <v>0.01</v>
      </c>
      <c r="K44" s="5">
        <f>K35*(21-7)/(21-K39)</f>
        <v>0.009859154929577466</v>
      </c>
      <c r="L44" s="5"/>
      <c r="M44" s="5">
        <f>AVERAGE(G44,I44,K44)</f>
        <v>0.009953051643192488</v>
      </c>
    </row>
    <row r="45" spans="2:13" ht="12.75">
      <c r="B45" s="1" t="s">
        <v>99</v>
      </c>
      <c r="C45" s="1" t="s">
        <v>131</v>
      </c>
      <c r="D45" s="1" t="s">
        <v>11</v>
      </c>
      <c r="E45" s="1" t="s">
        <v>51</v>
      </c>
      <c r="G45" s="5">
        <f>G43+2*G44</f>
        <v>0.04</v>
      </c>
      <c r="I45" s="5">
        <f>I43+2*I44</f>
        <v>0.04</v>
      </c>
      <c r="K45" s="5">
        <f>K43+2*K44</f>
        <v>0.029577464788732397</v>
      </c>
      <c r="L45" s="5"/>
      <c r="M45" s="5">
        <f>AVERAGE(G45,I45,K45)</f>
        <v>0.03652582159624413</v>
      </c>
    </row>
    <row r="47" spans="2:3" ht="12.75">
      <c r="B47" s="1" t="s">
        <v>55</v>
      </c>
      <c r="C47" s="1" t="s">
        <v>96</v>
      </c>
    </row>
    <row r="48" spans="2:11" ht="12.75">
      <c r="B48" s="1" t="s">
        <v>97</v>
      </c>
      <c r="D48" s="1" t="s">
        <v>56</v>
      </c>
      <c r="G48" s="1">
        <v>210</v>
      </c>
      <c r="I48" s="1">
        <v>205</v>
      </c>
      <c r="K48" s="1">
        <v>209</v>
      </c>
    </row>
    <row r="49" spans="2:11" ht="12.75">
      <c r="B49" s="1" t="s">
        <v>98</v>
      </c>
      <c r="D49" s="1" t="s">
        <v>56</v>
      </c>
      <c r="G49" s="1">
        <f>(100-G50)/100*G48</f>
        <v>0.0004200000000139426</v>
      </c>
      <c r="I49" s="1">
        <f>(100-I50)/100*I48</f>
        <v>0.000266499999997194</v>
      </c>
      <c r="K49" s="1">
        <f>(100-K50)/100*K48</f>
        <v>0.0004180000000138762</v>
      </c>
    </row>
    <row r="50" spans="2:11" ht="12.75">
      <c r="B50" s="1" t="s">
        <v>7</v>
      </c>
      <c r="C50" s="1" t="s">
        <v>131</v>
      </c>
      <c r="D50" s="1" t="s">
        <v>15</v>
      </c>
      <c r="G50" s="1">
        <v>99.9998</v>
      </c>
      <c r="I50" s="1">
        <v>99.99987</v>
      </c>
      <c r="K50" s="1">
        <v>99.9998</v>
      </c>
    </row>
    <row r="53" spans="1:13" ht="12.75">
      <c r="A53" s="1">
        <v>12</v>
      </c>
      <c r="B53" s="7" t="s">
        <v>58</v>
      </c>
      <c r="C53" s="7"/>
      <c r="G53" s="2" t="s">
        <v>118</v>
      </c>
      <c r="H53" s="2"/>
      <c r="I53" s="2" t="s">
        <v>119</v>
      </c>
      <c r="J53" s="2"/>
      <c r="K53" s="2" t="s">
        <v>120</v>
      </c>
      <c r="L53" s="2"/>
      <c r="M53" s="1" t="s">
        <v>49</v>
      </c>
    </row>
    <row r="54" spans="2:12" ht="12.75" customHeight="1">
      <c r="B54" s="7"/>
      <c r="C54" s="7"/>
      <c r="G54" s="2"/>
      <c r="H54" s="2"/>
      <c r="I54" s="2"/>
      <c r="J54" s="2"/>
      <c r="K54" s="2"/>
      <c r="L54" s="2"/>
    </row>
    <row r="55" spans="2:13" ht="12.75">
      <c r="B55" s="1" t="s">
        <v>2</v>
      </c>
      <c r="C55" s="1" t="s">
        <v>131</v>
      </c>
      <c r="D55" s="1" t="s">
        <v>10</v>
      </c>
      <c r="E55" s="1" t="s">
        <v>51</v>
      </c>
      <c r="G55" s="1">
        <v>0.0013</v>
      </c>
      <c r="I55" s="1">
        <v>0.0014</v>
      </c>
      <c r="K55" s="1">
        <v>0.001</v>
      </c>
      <c r="M55" s="13">
        <f>AVERAGE(K55,I55,G55)</f>
        <v>0.0012333333333333335</v>
      </c>
    </row>
    <row r="56" spans="2:13" ht="12.75">
      <c r="B56" s="1" t="s">
        <v>100</v>
      </c>
      <c r="C56" s="1" t="s">
        <v>131</v>
      </c>
      <c r="D56" s="1" t="s">
        <v>11</v>
      </c>
      <c r="E56" s="1" t="s">
        <v>51</v>
      </c>
      <c r="G56" s="1">
        <v>0</v>
      </c>
      <c r="I56" s="1">
        <v>0</v>
      </c>
      <c r="K56" s="1">
        <v>0</v>
      </c>
      <c r="M56" s="1">
        <f>AVERAGE(K56,I56,G56)</f>
        <v>0</v>
      </c>
    </row>
    <row r="57" spans="2:11" ht="12.75">
      <c r="B57" s="1" t="s">
        <v>3</v>
      </c>
      <c r="D57" s="1" t="s">
        <v>11</v>
      </c>
      <c r="E57" s="1" t="s">
        <v>52</v>
      </c>
      <c r="G57" s="1">
        <v>0.12</v>
      </c>
      <c r="I57" s="1">
        <v>0.03</v>
      </c>
      <c r="K57" s="1">
        <v>0.02</v>
      </c>
    </row>
    <row r="58" spans="2:12" ht="12.75">
      <c r="B58" s="1" t="s">
        <v>4</v>
      </c>
      <c r="D58" s="1" t="s">
        <v>11</v>
      </c>
      <c r="E58" s="1" t="s">
        <v>52</v>
      </c>
      <c r="G58" s="12">
        <v>0.07</v>
      </c>
      <c r="I58" s="12">
        <v>0.13</v>
      </c>
      <c r="K58" s="12">
        <v>0.02</v>
      </c>
      <c r="L58" s="12"/>
    </row>
    <row r="59" ht="12.75" customHeight="1"/>
    <row r="60" spans="2:4" ht="12" customHeight="1">
      <c r="B60" s="1" t="s">
        <v>101</v>
      </c>
      <c r="C60" s="1" t="s">
        <v>93</v>
      </c>
      <c r="D60" s="1" t="s">
        <v>131</v>
      </c>
    </row>
    <row r="61" spans="2:13" ht="12.75">
      <c r="B61" s="1" t="s">
        <v>53</v>
      </c>
      <c r="D61" s="1" t="s">
        <v>14</v>
      </c>
      <c r="G61" s="1">
        <v>44216</v>
      </c>
      <c r="I61" s="1">
        <v>45104</v>
      </c>
      <c r="K61" s="1">
        <v>44825</v>
      </c>
      <c r="M61" s="4">
        <f>AVERAGE(K61,I61,G61)</f>
        <v>44715</v>
      </c>
    </row>
    <row r="62" spans="2:13" ht="12.75">
      <c r="B62" s="1" t="s">
        <v>94</v>
      </c>
      <c r="D62" s="1" t="s">
        <v>15</v>
      </c>
      <c r="G62" s="1">
        <v>6.2</v>
      </c>
      <c r="I62" s="1">
        <v>6</v>
      </c>
      <c r="K62" s="1">
        <v>6.3</v>
      </c>
      <c r="M62" s="4">
        <f>AVERAGE(K62,I62,G62)</f>
        <v>6.166666666666667</v>
      </c>
    </row>
    <row r="63" spans="2:13" ht="12.75">
      <c r="B63" s="1" t="s">
        <v>95</v>
      </c>
      <c r="D63" s="1" t="s">
        <v>15</v>
      </c>
      <c r="G63" s="1">
        <v>18.5</v>
      </c>
      <c r="I63" s="1">
        <v>17.9</v>
      </c>
      <c r="K63" s="1">
        <v>18</v>
      </c>
      <c r="M63" s="4">
        <f>AVERAGE(K63,I63,G63)</f>
        <v>18.133333333333333</v>
      </c>
    </row>
    <row r="64" spans="2:13" ht="12.75">
      <c r="B64" s="1" t="s">
        <v>54</v>
      </c>
      <c r="D64" s="1" t="s">
        <v>16</v>
      </c>
      <c r="G64" s="1">
        <f>(575-273)*1.8+32</f>
        <v>575.6</v>
      </c>
      <c r="I64" s="1">
        <f>(570-273)*1.8+32</f>
        <v>566.6</v>
      </c>
      <c r="K64" s="1">
        <f>(572-273)*1.8+32</f>
        <v>570.2</v>
      </c>
      <c r="M64" s="4">
        <f>AVERAGE(K64,I64,G64)</f>
        <v>570.8000000000001</v>
      </c>
    </row>
    <row r="66" spans="2:13" ht="12.75">
      <c r="B66" s="1" t="s">
        <v>3</v>
      </c>
      <c r="C66" s="1" t="s">
        <v>131</v>
      </c>
      <c r="D66" s="1" t="s">
        <v>11</v>
      </c>
      <c r="E66" s="1" t="s">
        <v>51</v>
      </c>
      <c r="G66" s="5">
        <f>G57*(21-7)/(21-G62)</f>
        <v>0.1135135135135135</v>
      </c>
      <c r="I66" s="5">
        <f>I57*(21-7)/(21-I62)</f>
        <v>0.028</v>
      </c>
      <c r="K66" s="5">
        <f>K57*(21-7)/(21-K62)</f>
        <v>0.01904761904761905</v>
      </c>
      <c r="L66" s="5"/>
      <c r="M66" s="5">
        <f>AVERAGE(G66,I66,K66)</f>
        <v>0.05352037752037753</v>
      </c>
    </row>
    <row r="67" spans="2:13" ht="12.75">
      <c r="B67" s="1" t="s">
        <v>4</v>
      </c>
      <c r="C67" s="1" t="s">
        <v>131</v>
      </c>
      <c r="D67" s="1" t="s">
        <v>11</v>
      </c>
      <c r="E67" s="1" t="s">
        <v>51</v>
      </c>
      <c r="G67" s="5">
        <f>G58*(21-7)/(21-G62)</f>
        <v>0.06621621621621622</v>
      </c>
      <c r="I67" s="5">
        <f>I58*(21-7)/(21-I62)</f>
        <v>0.12133333333333333</v>
      </c>
      <c r="K67" s="5">
        <f>K58*(21-7)/(21-K62)</f>
        <v>0.01904761904761905</v>
      </c>
      <c r="L67" s="5"/>
      <c r="M67" s="5">
        <f>AVERAGE(G67,I67,K67)</f>
        <v>0.06886572286572286</v>
      </c>
    </row>
    <row r="68" spans="2:13" ht="12.75">
      <c r="B68" s="1" t="s">
        <v>99</v>
      </c>
      <c r="C68" s="1" t="s">
        <v>131</v>
      </c>
      <c r="D68" s="1" t="s">
        <v>11</v>
      </c>
      <c r="E68" s="1" t="s">
        <v>51</v>
      </c>
      <c r="G68" s="5">
        <f>G66+2*G67</f>
        <v>0.24594594594594593</v>
      </c>
      <c r="I68" s="5">
        <f>I66+2*I67</f>
        <v>0.27066666666666667</v>
      </c>
      <c r="K68" s="5">
        <f>K66+2*K67</f>
        <v>0.05714285714285715</v>
      </c>
      <c r="L68" s="5"/>
      <c r="M68" s="5">
        <f>AVERAGE(G68,I68,K68)</f>
        <v>0.19125182325182324</v>
      </c>
    </row>
    <row r="70" spans="2:3" ht="12.75">
      <c r="B70" s="1" t="s">
        <v>55</v>
      </c>
      <c r="C70" s="1" t="s">
        <v>96</v>
      </c>
    </row>
    <row r="71" spans="2:11" ht="12.75">
      <c r="B71" s="1" t="s">
        <v>97</v>
      </c>
      <c r="D71" s="1" t="s">
        <v>56</v>
      </c>
      <c r="G71" s="1">
        <v>180</v>
      </c>
      <c r="I71" s="1">
        <v>171</v>
      </c>
      <c r="K71" s="1">
        <v>169</v>
      </c>
    </row>
    <row r="72" spans="2:11" ht="12.75">
      <c r="B72" s="1" t="s">
        <v>98</v>
      </c>
      <c r="D72" s="1" t="s">
        <v>56</v>
      </c>
      <c r="G72" s="1">
        <f>(100-G73)/100*G71</f>
        <v>0.0001800000000059754</v>
      </c>
      <c r="I72" s="1">
        <f>(100-I73)/100*I71</f>
        <v>0.00017100000000567662</v>
      </c>
      <c r="K72" s="1">
        <f>(100-K73)/100*K71</f>
        <v>0.00016900000000561025</v>
      </c>
    </row>
    <row r="73" spans="2:12" ht="12.75">
      <c r="B73" s="1" t="s">
        <v>7</v>
      </c>
      <c r="C73" s="1" t="s">
        <v>131</v>
      </c>
      <c r="D73" s="1" t="s">
        <v>15</v>
      </c>
      <c r="G73" s="1">
        <v>99.9999</v>
      </c>
      <c r="I73" s="1">
        <v>99.9999</v>
      </c>
      <c r="K73" s="13">
        <v>99.9999</v>
      </c>
      <c r="L73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71"/>
  <sheetViews>
    <sheetView zoomScale="75" zoomScaleNormal="75" workbookViewId="0" topLeftCell="B1">
      <selection activeCell="C1" sqref="C1"/>
    </sheetView>
  </sheetViews>
  <sheetFormatPr defaultColWidth="9.140625" defaultRowHeight="12.75"/>
  <cols>
    <col min="1" max="1" width="9.140625" style="16" hidden="1" customWidth="1"/>
    <col min="2" max="2" width="25.421875" style="16" customWidth="1"/>
    <col min="3" max="3" width="2.421875" style="16" customWidth="1"/>
    <col min="4" max="4" width="9.421875" style="16" customWidth="1"/>
    <col min="5" max="5" width="4.140625" style="16" customWidth="1"/>
    <col min="6" max="6" width="11.8515625" style="16" customWidth="1"/>
    <col min="7" max="7" width="4.421875" style="16" customWidth="1"/>
    <col min="8" max="8" width="11.421875" style="16" customWidth="1"/>
    <col min="9" max="9" width="4.421875" style="16" customWidth="1"/>
    <col min="10" max="10" width="10.8515625" style="16" customWidth="1"/>
    <col min="11" max="11" width="4.421875" style="21" customWidth="1"/>
    <col min="12" max="12" width="12.140625" style="16" customWidth="1"/>
    <col min="13" max="13" width="5.00390625" style="16" customWidth="1"/>
    <col min="14" max="14" width="12.00390625" style="16" customWidth="1"/>
    <col min="15" max="15" width="3.8515625" style="16" customWidth="1"/>
    <col min="16" max="16" width="11.421875" style="16" customWidth="1"/>
    <col min="17" max="17" width="4.28125" style="16" customWidth="1"/>
    <col min="18" max="18" width="11.421875" style="16" customWidth="1"/>
    <col min="19" max="19" width="4.00390625" style="16" customWidth="1"/>
    <col min="20" max="16384" width="11.421875" style="16" customWidth="1"/>
  </cols>
  <sheetData>
    <row r="1" spans="2:3" ht="12.75">
      <c r="B1" s="20" t="s">
        <v>73</v>
      </c>
      <c r="C1" s="20"/>
    </row>
    <row r="2" ht="12.75">
      <c r="O2" s="21"/>
    </row>
    <row r="3" ht="12.75">
      <c r="O3" s="21"/>
    </row>
    <row r="4" spans="1:20" ht="12.75">
      <c r="A4" s="16" t="s">
        <v>112</v>
      </c>
      <c r="B4" s="20" t="s">
        <v>50</v>
      </c>
      <c r="C4" s="20"/>
      <c r="F4" s="21" t="s">
        <v>118</v>
      </c>
      <c r="G4" s="21"/>
      <c r="H4" s="21" t="s">
        <v>119</v>
      </c>
      <c r="I4" s="21"/>
      <c r="J4" s="21" t="s">
        <v>120</v>
      </c>
      <c r="L4" s="21" t="s">
        <v>49</v>
      </c>
      <c r="M4" s="21"/>
      <c r="N4" s="21" t="s">
        <v>118</v>
      </c>
      <c r="O4" s="21"/>
      <c r="P4" s="21" t="s">
        <v>119</v>
      </c>
      <c r="Q4" s="21"/>
      <c r="R4" s="21" t="s">
        <v>120</v>
      </c>
      <c r="S4" s="21"/>
      <c r="T4" s="21" t="s">
        <v>49</v>
      </c>
    </row>
    <row r="5" ht="12" customHeight="1">
      <c r="K5" s="16"/>
    </row>
    <row r="6" spans="2:20" ht="12" customHeight="1">
      <c r="B6" s="16" t="s">
        <v>138</v>
      </c>
      <c r="F6" s="21" t="s">
        <v>140</v>
      </c>
      <c r="H6" s="21" t="s">
        <v>140</v>
      </c>
      <c r="J6" s="21" t="s">
        <v>140</v>
      </c>
      <c r="L6" s="21" t="s">
        <v>140</v>
      </c>
      <c r="M6" s="21"/>
      <c r="N6" s="16" t="s">
        <v>142</v>
      </c>
      <c r="P6" s="16" t="s">
        <v>142</v>
      </c>
      <c r="R6" s="16" t="s">
        <v>142</v>
      </c>
      <c r="T6" s="16" t="s">
        <v>142</v>
      </c>
    </row>
    <row r="7" spans="2:20" ht="12" customHeight="1">
      <c r="B7" s="16" t="s">
        <v>139</v>
      </c>
      <c r="F7" s="21" t="s">
        <v>141</v>
      </c>
      <c r="H7" s="21" t="s">
        <v>141</v>
      </c>
      <c r="J7" s="21" t="s">
        <v>141</v>
      </c>
      <c r="L7" s="21" t="s">
        <v>141</v>
      </c>
      <c r="M7" s="21"/>
      <c r="N7" s="16" t="s">
        <v>143</v>
      </c>
      <c r="P7" s="16" t="s">
        <v>143</v>
      </c>
      <c r="R7" s="16" t="s">
        <v>143</v>
      </c>
      <c r="T7" s="16" t="s">
        <v>143</v>
      </c>
    </row>
    <row r="8" spans="2:20" ht="12" customHeight="1">
      <c r="B8" s="16" t="s">
        <v>145</v>
      </c>
      <c r="F8" s="21" t="s">
        <v>1</v>
      </c>
      <c r="H8" s="21" t="s">
        <v>1</v>
      </c>
      <c r="J8" s="21" t="s">
        <v>1</v>
      </c>
      <c r="L8" s="21" t="s">
        <v>1</v>
      </c>
      <c r="M8" s="21"/>
      <c r="N8" s="16" t="s">
        <v>143</v>
      </c>
      <c r="P8" s="16" t="s">
        <v>143</v>
      </c>
      <c r="R8" s="16" t="s">
        <v>143</v>
      </c>
      <c r="T8" s="16" t="s">
        <v>143</v>
      </c>
    </row>
    <row r="9" spans="2:20" ht="12.75">
      <c r="B9" s="16" t="s">
        <v>116</v>
      </c>
      <c r="F9" s="16" t="s">
        <v>59</v>
      </c>
      <c r="H9" s="16" t="s">
        <v>59</v>
      </c>
      <c r="J9" s="16" t="s">
        <v>59</v>
      </c>
      <c r="L9" s="16" t="s">
        <v>59</v>
      </c>
      <c r="N9" s="16" t="s">
        <v>143</v>
      </c>
      <c r="P9" s="16" t="s">
        <v>143</v>
      </c>
      <c r="R9" s="16" t="s">
        <v>143</v>
      </c>
      <c r="T9" s="16" t="s">
        <v>143</v>
      </c>
    </row>
    <row r="10" spans="2:12" ht="12.75">
      <c r="B10" s="16" t="s">
        <v>115</v>
      </c>
      <c r="D10" s="16" t="s">
        <v>60</v>
      </c>
      <c r="F10" s="16">
        <v>3600765</v>
      </c>
      <c r="H10" s="16">
        <v>3731798</v>
      </c>
      <c r="J10" s="16">
        <v>3744097</v>
      </c>
      <c r="L10" s="16">
        <f>AVERAGE(F10,H10,J10)</f>
        <v>3692220</v>
      </c>
    </row>
    <row r="11" spans="2:12" ht="12.75">
      <c r="B11" s="16" t="s">
        <v>61</v>
      </c>
      <c r="D11" s="16" t="s">
        <v>62</v>
      </c>
      <c r="F11" s="16">
        <v>0.88</v>
      </c>
      <c r="H11" s="16">
        <v>0.88</v>
      </c>
      <c r="J11" s="16">
        <v>0.88</v>
      </c>
      <c r="L11" s="16">
        <v>0.88</v>
      </c>
    </row>
    <row r="12" spans="2:12" ht="12.75">
      <c r="B12" s="16" t="s">
        <v>147</v>
      </c>
      <c r="D12" s="16" t="s">
        <v>63</v>
      </c>
      <c r="F12" s="16">
        <v>9000</v>
      </c>
      <c r="H12" s="16">
        <v>9000</v>
      </c>
      <c r="J12" s="16">
        <v>9000</v>
      </c>
      <c r="L12" s="16">
        <v>9000</v>
      </c>
    </row>
    <row r="13" spans="2:12" ht="12.75">
      <c r="B13" s="16" t="s">
        <v>8</v>
      </c>
      <c r="D13" s="16" t="s">
        <v>60</v>
      </c>
      <c r="E13" s="16" t="s">
        <v>65</v>
      </c>
      <c r="F13" s="16">
        <v>3.601</v>
      </c>
      <c r="H13" s="16">
        <v>123.15</v>
      </c>
      <c r="J13" s="16">
        <v>48.673</v>
      </c>
      <c r="L13" s="16">
        <v>20</v>
      </c>
    </row>
    <row r="14" spans="2:10" ht="12.75">
      <c r="B14" s="16" t="s">
        <v>64</v>
      </c>
      <c r="D14" s="16" t="s">
        <v>60</v>
      </c>
      <c r="E14" s="16" t="s">
        <v>65</v>
      </c>
      <c r="F14" s="16">
        <v>1.8</v>
      </c>
      <c r="G14" s="16" t="s">
        <v>65</v>
      </c>
      <c r="H14" s="16">
        <v>1.866</v>
      </c>
      <c r="I14" s="16" t="s">
        <v>65</v>
      </c>
      <c r="J14" s="16">
        <v>1.872</v>
      </c>
    </row>
    <row r="15" spans="2:10" ht="12.75">
      <c r="B15" s="16" t="s">
        <v>106</v>
      </c>
      <c r="D15" s="16" t="s">
        <v>60</v>
      </c>
      <c r="E15" s="16" t="s">
        <v>65</v>
      </c>
      <c r="F15" s="16">
        <v>0.148</v>
      </c>
      <c r="G15" s="16" t="s">
        <v>65</v>
      </c>
      <c r="H15" s="16">
        <v>0.153</v>
      </c>
      <c r="I15" s="16" t="s">
        <v>65</v>
      </c>
      <c r="J15" s="16">
        <v>0.154</v>
      </c>
    </row>
    <row r="16" spans="2:10" ht="12.75">
      <c r="B16" s="16" t="s">
        <v>102</v>
      </c>
      <c r="D16" s="16" t="s">
        <v>60</v>
      </c>
      <c r="E16" s="16" t="s">
        <v>65</v>
      </c>
      <c r="F16" s="16">
        <v>0.108</v>
      </c>
      <c r="G16" s="16" t="s">
        <v>65</v>
      </c>
      <c r="H16" s="16">
        <v>0.112</v>
      </c>
      <c r="I16" s="16" t="s">
        <v>65</v>
      </c>
      <c r="J16" s="16">
        <v>0.112</v>
      </c>
    </row>
    <row r="17" spans="2:10" ht="12.75">
      <c r="B17" s="16" t="s">
        <v>104</v>
      </c>
      <c r="D17" s="16" t="s">
        <v>60</v>
      </c>
      <c r="E17" s="16" t="s">
        <v>65</v>
      </c>
      <c r="F17" s="16">
        <v>0.544</v>
      </c>
      <c r="G17" s="16" t="s">
        <v>65</v>
      </c>
      <c r="H17" s="16">
        <v>0.564</v>
      </c>
      <c r="I17" s="16" t="s">
        <v>65</v>
      </c>
      <c r="J17" s="16">
        <v>0.565</v>
      </c>
    </row>
    <row r="18" spans="2:10" ht="12.75">
      <c r="B18" s="16" t="s">
        <v>103</v>
      </c>
      <c r="D18" s="16" t="s">
        <v>60</v>
      </c>
      <c r="E18" s="16" t="s">
        <v>65</v>
      </c>
      <c r="F18" s="16">
        <v>0.007</v>
      </c>
      <c r="G18" s="16" t="s">
        <v>65</v>
      </c>
      <c r="H18" s="16">
        <v>0.007</v>
      </c>
      <c r="I18" s="16" t="s">
        <v>65</v>
      </c>
      <c r="J18" s="16">
        <v>0.007</v>
      </c>
    </row>
    <row r="19" spans="2:10" ht="12.75">
      <c r="B19" s="16" t="s">
        <v>109</v>
      </c>
      <c r="D19" s="16" t="s">
        <v>60</v>
      </c>
      <c r="E19" s="16" t="s">
        <v>65</v>
      </c>
      <c r="F19" s="16">
        <v>0.007</v>
      </c>
      <c r="G19" s="16" t="s">
        <v>65</v>
      </c>
      <c r="H19" s="16">
        <v>0.007</v>
      </c>
      <c r="I19" s="16" t="s">
        <v>65</v>
      </c>
      <c r="J19" s="16">
        <v>0.007</v>
      </c>
    </row>
    <row r="20" spans="2:10" ht="12.75">
      <c r="B20" s="16" t="s">
        <v>111</v>
      </c>
      <c r="D20" s="16" t="s">
        <v>60</v>
      </c>
      <c r="E20" s="16" t="s">
        <v>65</v>
      </c>
      <c r="F20" s="16">
        <v>0.22</v>
      </c>
      <c r="G20" s="16" t="s">
        <v>65</v>
      </c>
      <c r="H20" s="16">
        <v>0.228</v>
      </c>
      <c r="I20" s="16" t="s">
        <v>65</v>
      </c>
      <c r="J20" s="16">
        <v>0.228</v>
      </c>
    </row>
    <row r="21" spans="2:10" ht="12.75">
      <c r="B21" s="16" t="s">
        <v>107</v>
      </c>
      <c r="D21" s="16" t="s">
        <v>60</v>
      </c>
      <c r="E21" s="16" t="s">
        <v>65</v>
      </c>
      <c r="F21" s="16">
        <v>0.072</v>
      </c>
      <c r="G21" s="16" t="s">
        <v>65</v>
      </c>
      <c r="H21" s="16">
        <v>0.075</v>
      </c>
      <c r="I21" s="16" t="s">
        <v>65</v>
      </c>
      <c r="J21" s="16">
        <v>0.075</v>
      </c>
    </row>
    <row r="22" spans="2:10" ht="12.75">
      <c r="B22" s="16" t="s">
        <v>114</v>
      </c>
      <c r="D22" s="16" t="s">
        <v>60</v>
      </c>
      <c r="E22" s="16" t="s">
        <v>65</v>
      </c>
      <c r="F22" s="16">
        <v>0.122</v>
      </c>
      <c r="G22" s="16" t="s">
        <v>65</v>
      </c>
      <c r="H22" s="16">
        <v>0.127</v>
      </c>
      <c r="I22" s="16" t="s">
        <v>65</v>
      </c>
      <c r="J22" s="16">
        <v>0.127</v>
      </c>
    </row>
    <row r="23" spans="2:10" ht="12.75">
      <c r="B23" s="16" t="s">
        <v>108</v>
      </c>
      <c r="D23" s="16" t="s">
        <v>60</v>
      </c>
      <c r="E23" s="16" t="s">
        <v>65</v>
      </c>
      <c r="F23" s="16">
        <v>0.108</v>
      </c>
      <c r="G23" s="16" t="s">
        <v>65</v>
      </c>
      <c r="H23" s="16">
        <v>0.112</v>
      </c>
      <c r="I23" s="16" t="s">
        <v>65</v>
      </c>
      <c r="J23" s="16">
        <v>0.112</v>
      </c>
    </row>
    <row r="24" spans="2:10" ht="12.75">
      <c r="B24" s="16" t="s">
        <v>121</v>
      </c>
      <c r="D24" s="16" t="s">
        <v>60</v>
      </c>
      <c r="E24" s="16" t="s">
        <v>65</v>
      </c>
      <c r="F24" s="16">
        <v>0.184</v>
      </c>
      <c r="G24" s="16" t="s">
        <v>65</v>
      </c>
      <c r="H24" s="16">
        <v>0.19</v>
      </c>
      <c r="I24" s="16" t="s">
        <v>65</v>
      </c>
      <c r="J24" s="16">
        <v>0.191</v>
      </c>
    </row>
    <row r="25" spans="2:10" ht="12.75">
      <c r="B25" s="16" t="s">
        <v>110</v>
      </c>
      <c r="D25" s="16" t="s">
        <v>60</v>
      </c>
      <c r="E25" s="16" t="s">
        <v>65</v>
      </c>
      <c r="F25" s="16">
        <v>0.036</v>
      </c>
      <c r="G25" s="16" t="s">
        <v>65</v>
      </c>
      <c r="H25" s="16">
        <v>0.037</v>
      </c>
      <c r="I25" s="16" t="s">
        <v>65</v>
      </c>
      <c r="J25" s="16">
        <v>0.037</v>
      </c>
    </row>
    <row r="26" spans="2:10" ht="12.75">
      <c r="B26" s="16" t="s">
        <v>105</v>
      </c>
      <c r="D26" s="16" t="s">
        <v>60</v>
      </c>
      <c r="E26" s="16" t="s">
        <v>65</v>
      </c>
      <c r="F26" s="16">
        <v>0.108</v>
      </c>
      <c r="G26" s="16" t="s">
        <v>65</v>
      </c>
      <c r="H26" s="16">
        <v>0.112</v>
      </c>
      <c r="I26" s="16" t="s">
        <v>65</v>
      </c>
      <c r="J26" s="16">
        <v>0.112</v>
      </c>
    </row>
    <row r="28" ht="12.75" customHeight="1"/>
    <row r="29" spans="2:13" ht="12.75">
      <c r="B29" s="16" t="s">
        <v>66</v>
      </c>
      <c r="D29" s="16" t="s">
        <v>14</v>
      </c>
      <c r="F29" s="16">
        <f>emiss!G14</f>
        <v>32153</v>
      </c>
      <c r="H29" s="16">
        <f>emiss!I14</f>
        <v>32620</v>
      </c>
      <c r="J29" s="16">
        <f>emiss!K14</f>
        <v>32932</v>
      </c>
      <c r="L29" s="22">
        <f>emiss!M14</f>
        <v>32568.333333333332</v>
      </c>
      <c r="M29" s="22"/>
    </row>
    <row r="30" spans="2:13" ht="12.75">
      <c r="B30" s="16" t="s">
        <v>9</v>
      </c>
      <c r="D30" s="16" t="s">
        <v>15</v>
      </c>
      <c r="F30" s="16">
        <f>emiss!G15</f>
        <v>6.1</v>
      </c>
      <c r="H30" s="16">
        <f>emiss!I15</f>
        <v>5.8</v>
      </c>
      <c r="J30" s="16">
        <f>emiss!K15</f>
        <v>5.6</v>
      </c>
      <c r="L30" s="22">
        <f>emiss!M15</f>
        <v>5.833333333333333</v>
      </c>
      <c r="M30" s="22"/>
    </row>
    <row r="31" ht="12.75" customHeight="1"/>
    <row r="32" spans="2:20" ht="12.75">
      <c r="B32" s="16" t="s">
        <v>113</v>
      </c>
      <c r="D32" s="16" t="s">
        <v>144</v>
      </c>
      <c r="F32" s="22">
        <f>F10/454*F12/1000000</f>
        <v>71.38080396475772</v>
      </c>
      <c r="H32" s="22">
        <f>H10/454*H12/1000000</f>
        <v>73.97837444933921</v>
      </c>
      <c r="J32" s="22">
        <f>J10/454*J12/1000000</f>
        <v>74.22218722466961</v>
      </c>
      <c r="L32" s="22">
        <f>L10/454*L12/1000000</f>
        <v>73.19378854625552</v>
      </c>
      <c r="M32" s="22"/>
      <c r="N32" s="22">
        <f>F32</f>
        <v>71.38080396475772</v>
      </c>
      <c r="P32" s="22">
        <f>H32</f>
        <v>73.97837444933921</v>
      </c>
      <c r="R32" s="22">
        <f>J32</f>
        <v>74.22218722466961</v>
      </c>
      <c r="T32" s="22">
        <f>L32</f>
        <v>73.19378854625552</v>
      </c>
    </row>
    <row r="33" spans="2:20" ht="12.75">
      <c r="B33" s="16" t="s">
        <v>146</v>
      </c>
      <c r="D33" s="16" t="s">
        <v>144</v>
      </c>
      <c r="F33" s="22">
        <f>F29/9000*(21-F30)/21*60</f>
        <v>152.0887936507937</v>
      </c>
      <c r="H33" s="22">
        <f>H29/9000*(21-H30)/21*60</f>
        <v>157.40444444444444</v>
      </c>
      <c r="J33" s="22">
        <f>J29/9000*(21-J30)/21*60</f>
        <v>161.00088888888888</v>
      </c>
      <c r="L33" s="22">
        <f>L29/9000*(21-L30)/21*60</f>
        <v>156.8104938271605</v>
      </c>
      <c r="M33" s="22"/>
      <c r="T33" s="22">
        <f>L33</f>
        <v>156.8104938271605</v>
      </c>
    </row>
    <row r="34" spans="12:13" ht="12.75">
      <c r="L34" s="22"/>
      <c r="M34" s="22"/>
    </row>
    <row r="35" spans="2:13" ht="12.75">
      <c r="B35" s="23" t="s">
        <v>78</v>
      </c>
      <c r="C35" s="23"/>
      <c r="L35" s="22"/>
      <c r="M35" s="22"/>
    </row>
    <row r="36" spans="2:20" ht="12.75">
      <c r="B36" s="16" t="s">
        <v>8</v>
      </c>
      <c r="D36" s="16" t="s">
        <v>13</v>
      </c>
      <c r="E36" s="16">
        <v>100</v>
      </c>
      <c r="F36" s="22">
        <f>F13/60*1000/(F29*0.0283)*(21-7)/(21-F30)</f>
        <v>0.06197345408853119</v>
      </c>
      <c r="G36" s="22"/>
      <c r="H36" s="22">
        <f>H13/60*1000/(H29*0.0283)*(21-7)/(21-H30)</f>
        <v>2.047845656392152</v>
      </c>
      <c r="I36" s="22"/>
      <c r="J36" s="22">
        <f>J13/60*1000/(J29*0.0283)*(21-7)/(21-J30)</f>
        <v>0.7912972152593877</v>
      </c>
      <c r="K36" s="29">
        <f>(E36*F36+G36*H36+I36*J36)/L36</f>
        <v>6.477768890647875</v>
      </c>
      <c r="L36" s="22">
        <f>AVERAGE(F36/2,H36,J36)</f>
        <v>0.9567098662319351</v>
      </c>
      <c r="M36" s="30">
        <f>E36</f>
        <v>100</v>
      </c>
      <c r="N36" s="15">
        <f>F36/2</f>
        <v>0.030986727044265593</v>
      </c>
      <c r="O36" s="30">
        <f aca="true" t="shared" si="0" ref="O36:T36">G36</f>
        <v>0</v>
      </c>
      <c r="P36" s="15">
        <f t="shared" si="0"/>
        <v>2.047845656392152</v>
      </c>
      <c r="Q36" s="30">
        <f t="shared" si="0"/>
        <v>0</v>
      </c>
      <c r="R36" s="15">
        <f t="shared" si="0"/>
        <v>0.7912972152593877</v>
      </c>
      <c r="S36" s="30">
        <f t="shared" si="0"/>
        <v>6.477768890647875</v>
      </c>
      <c r="T36" s="22">
        <f t="shared" si="0"/>
        <v>0.9567098662319351</v>
      </c>
    </row>
    <row r="37" spans="2:20" ht="12.75">
      <c r="B37" s="16" t="s">
        <v>64</v>
      </c>
      <c r="D37" s="16" t="s">
        <v>12</v>
      </c>
      <c r="E37" s="16">
        <v>100</v>
      </c>
      <c r="F37" s="22">
        <f>F14/60*1000000/(F$29*0.0283)*(21-7)/(21-F$30)</f>
        <v>30.978122010373824</v>
      </c>
      <c r="G37" s="16">
        <v>100</v>
      </c>
      <c r="H37" s="22">
        <f>H14/60*1000000/(H$29*0.0283)*(21-7)/(21-H$30)</f>
        <v>31.029476206477923</v>
      </c>
      <c r="I37" s="16">
        <v>100</v>
      </c>
      <c r="J37" s="22">
        <f aca="true" t="shared" si="1" ref="J37:J49">J14/60*1000000/(J$29*0.0283)*(21-7)/(21-J$30)</f>
        <v>30.433882993971483</v>
      </c>
      <c r="K37" s="16">
        <v>100</v>
      </c>
      <c r="L37" s="15">
        <f>AVERAGE(F37/2,H37/2,J37/2)</f>
        <v>15.406913535137205</v>
      </c>
      <c r="M37" s="30">
        <f aca="true" t="shared" si="2" ref="M37:S52">E37</f>
        <v>100</v>
      </c>
      <c r="N37" s="22">
        <f>F37/2</f>
        <v>15.489061005186912</v>
      </c>
      <c r="O37" s="30">
        <f t="shared" si="2"/>
        <v>100</v>
      </c>
      <c r="P37" s="22">
        <f>H37/2</f>
        <v>15.514738103238962</v>
      </c>
      <c r="Q37" s="30">
        <f t="shared" si="2"/>
        <v>100</v>
      </c>
      <c r="R37" s="22">
        <f>J37/2</f>
        <v>15.216941496985742</v>
      </c>
      <c r="S37" s="30">
        <f t="shared" si="2"/>
        <v>100</v>
      </c>
      <c r="T37" s="15">
        <f>L37</f>
        <v>15.406913535137205</v>
      </c>
    </row>
    <row r="38" spans="2:20" ht="12.75">
      <c r="B38" s="16" t="s">
        <v>106</v>
      </c>
      <c r="D38" s="16" t="s">
        <v>12</v>
      </c>
      <c r="E38" s="16">
        <v>100</v>
      </c>
      <c r="F38" s="22">
        <f aca="true" t="shared" si="3" ref="F38:H49">F15/60*1000000/(F$29*0.0283)*(21-7)/(21-F$30)</f>
        <v>2.54709003196407</v>
      </c>
      <c r="G38" s="16">
        <v>100</v>
      </c>
      <c r="H38" s="22">
        <f t="shared" si="3"/>
        <v>2.5442175024604077</v>
      </c>
      <c r="I38" s="16">
        <v>100</v>
      </c>
      <c r="J38" s="22">
        <f t="shared" si="1"/>
        <v>2.5036420839057736</v>
      </c>
      <c r="K38" s="16">
        <v>100</v>
      </c>
      <c r="L38" s="15">
        <f aca="true" t="shared" si="4" ref="L38:L49">AVERAGE(F38/2,H38/2,J38/2)</f>
        <v>1.2658249363883751</v>
      </c>
      <c r="M38" s="30">
        <f t="shared" si="2"/>
        <v>100</v>
      </c>
      <c r="N38" s="22">
        <f aca="true" t="shared" si="5" ref="N38:N49">F38/2</f>
        <v>1.273545015982035</v>
      </c>
      <c r="O38" s="30">
        <f t="shared" si="2"/>
        <v>100</v>
      </c>
      <c r="P38" s="22">
        <f aca="true" t="shared" si="6" ref="P38:P49">H38/2</f>
        <v>1.2721087512302038</v>
      </c>
      <c r="Q38" s="30">
        <f t="shared" si="2"/>
        <v>100</v>
      </c>
      <c r="R38" s="22">
        <f aca="true" t="shared" si="7" ref="R38:R49">J38/2</f>
        <v>1.2518210419528868</v>
      </c>
      <c r="S38" s="30">
        <f t="shared" si="2"/>
        <v>100</v>
      </c>
      <c r="T38" s="15">
        <f aca="true" t="shared" si="8" ref="T38:T49">L38</f>
        <v>1.2658249363883751</v>
      </c>
    </row>
    <row r="39" spans="2:20" ht="12.75">
      <c r="B39" s="16" t="s">
        <v>102</v>
      </c>
      <c r="D39" s="16" t="s">
        <v>12</v>
      </c>
      <c r="E39" s="16">
        <v>100</v>
      </c>
      <c r="F39" s="22">
        <f t="shared" si="3"/>
        <v>1.8586873206224293</v>
      </c>
      <c r="G39" s="16">
        <v>100</v>
      </c>
      <c r="H39" s="22">
        <f t="shared" si="3"/>
        <v>1.8624337272912794</v>
      </c>
      <c r="I39" s="16">
        <v>100</v>
      </c>
      <c r="J39" s="22">
        <f t="shared" si="1"/>
        <v>1.820830606476926</v>
      </c>
      <c r="K39" s="16">
        <v>100</v>
      </c>
      <c r="L39" s="15">
        <f t="shared" si="4"/>
        <v>0.9236586090651059</v>
      </c>
      <c r="M39" s="30">
        <f t="shared" si="2"/>
        <v>100</v>
      </c>
      <c r="N39" s="22">
        <f t="shared" si="5"/>
        <v>0.9293436603112146</v>
      </c>
      <c r="O39" s="30">
        <f t="shared" si="2"/>
        <v>100</v>
      </c>
      <c r="P39" s="22">
        <f t="shared" si="6"/>
        <v>0.9312168636456397</v>
      </c>
      <c r="Q39" s="30">
        <f t="shared" si="2"/>
        <v>100</v>
      </c>
      <c r="R39" s="22">
        <f t="shared" si="7"/>
        <v>0.910415303238463</v>
      </c>
      <c r="S39" s="30">
        <f t="shared" si="2"/>
        <v>100</v>
      </c>
      <c r="T39" s="15">
        <f t="shared" si="8"/>
        <v>0.9236586090651059</v>
      </c>
    </row>
    <row r="40" spans="2:20" ht="12.75">
      <c r="B40" s="16" t="s">
        <v>104</v>
      </c>
      <c r="D40" s="16" t="s">
        <v>12</v>
      </c>
      <c r="E40" s="16">
        <v>100</v>
      </c>
      <c r="F40" s="22">
        <f t="shared" si="3"/>
        <v>9.362276874246312</v>
      </c>
      <c r="G40" s="16">
        <v>100</v>
      </c>
      <c r="H40" s="22">
        <f t="shared" si="3"/>
        <v>9.378684126716797</v>
      </c>
      <c r="I40" s="16">
        <v>100</v>
      </c>
      <c r="J40" s="22">
        <f t="shared" si="1"/>
        <v>9.185440113030921</v>
      </c>
      <c r="K40" s="16">
        <v>100</v>
      </c>
      <c r="L40" s="15">
        <f t="shared" si="4"/>
        <v>4.654400185665672</v>
      </c>
      <c r="M40" s="30">
        <f t="shared" si="2"/>
        <v>100</v>
      </c>
      <c r="N40" s="22">
        <f t="shared" si="5"/>
        <v>4.681138437123156</v>
      </c>
      <c r="O40" s="30">
        <f t="shared" si="2"/>
        <v>100</v>
      </c>
      <c r="P40" s="22">
        <f t="shared" si="6"/>
        <v>4.689342063358398</v>
      </c>
      <c r="Q40" s="30">
        <f t="shared" si="2"/>
        <v>100</v>
      </c>
      <c r="R40" s="22">
        <f t="shared" si="7"/>
        <v>4.592720056515461</v>
      </c>
      <c r="S40" s="30">
        <f t="shared" si="2"/>
        <v>100</v>
      </c>
      <c r="T40" s="15">
        <f t="shared" si="8"/>
        <v>4.654400185665672</v>
      </c>
    </row>
    <row r="41" spans="2:20" ht="12.75">
      <c r="B41" s="16" t="s">
        <v>103</v>
      </c>
      <c r="D41" s="16" t="s">
        <v>12</v>
      </c>
      <c r="E41" s="16">
        <v>100</v>
      </c>
      <c r="F41" s="22">
        <f t="shared" si="3"/>
        <v>0.12047047448478708</v>
      </c>
      <c r="G41" s="16">
        <v>100</v>
      </c>
      <c r="H41" s="22">
        <f t="shared" si="3"/>
        <v>0.11640210795570496</v>
      </c>
      <c r="I41" s="16">
        <v>100</v>
      </c>
      <c r="J41" s="22">
        <f t="shared" si="1"/>
        <v>0.11380191290480787</v>
      </c>
      <c r="K41" s="16">
        <v>100</v>
      </c>
      <c r="L41" s="15">
        <f t="shared" si="4"/>
        <v>0.05844574922421666</v>
      </c>
      <c r="M41" s="30">
        <f t="shared" si="2"/>
        <v>100</v>
      </c>
      <c r="N41" s="22">
        <f t="shared" si="5"/>
        <v>0.06023523724239354</v>
      </c>
      <c r="O41" s="30">
        <f t="shared" si="2"/>
        <v>100</v>
      </c>
      <c r="P41" s="22">
        <f t="shared" si="6"/>
        <v>0.05820105397785248</v>
      </c>
      <c r="Q41" s="30">
        <f t="shared" si="2"/>
        <v>100</v>
      </c>
      <c r="R41" s="22">
        <f t="shared" si="7"/>
        <v>0.056900956452403936</v>
      </c>
      <c r="S41" s="30">
        <f t="shared" si="2"/>
        <v>100</v>
      </c>
      <c r="T41" s="15">
        <f t="shared" si="8"/>
        <v>0.05844574922421666</v>
      </c>
    </row>
    <row r="42" spans="2:20" ht="12.75">
      <c r="B42" s="16" t="s">
        <v>109</v>
      </c>
      <c r="D42" s="16" t="s">
        <v>12</v>
      </c>
      <c r="E42" s="16">
        <v>100</v>
      </c>
      <c r="F42" s="22">
        <f t="shared" si="3"/>
        <v>0.12047047448478708</v>
      </c>
      <c r="G42" s="16">
        <v>100</v>
      </c>
      <c r="H42" s="22">
        <f t="shared" si="3"/>
        <v>0.11640210795570496</v>
      </c>
      <c r="I42" s="16">
        <v>100</v>
      </c>
      <c r="J42" s="22">
        <f t="shared" si="1"/>
        <v>0.11380191290480787</v>
      </c>
      <c r="K42" s="16">
        <v>100</v>
      </c>
      <c r="L42" s="15">
        <f t="shared" si="4"/>
        <v>0.05844574922421666</v>
      </c>
      <c r="M42" s="30">
        <f t="shared" si="2"/>
        <v>100</v>
      </c>
      <c r="N42" s="22">
        <f t="shared" si="5"/>
        <v>0.06023523724239354</v>
      </c>
      <c r="O42" s="30">
        <f t="shared" si="2"/>
        <v>100</v>
      </c>
      <c r="P42" s="22">
        <f t="shared" si="6"/>
        <v>0.05820105397785248</v>
      </c>
      <c r="Q42" s="30">
        <f t="shared" si="2"/>
        <v>100</v>
      </c>
      <c r="R42" s="22">
        <f t="shared" si="7"/>
        <v>0.056900956452403936</v>
      </c>
      <c r="S42" s="30">
        <f t="shared" si="2"/>
        <v>100</v>
      </c>
      <c r="T42" s="15">
        <f t="shared" si="8"/>
        <v>0.05844574922421666</v>
      </c>
    </row>
    <row r="43" spans="2:20" ht="12.75">
      <c r="B43" s="16" t="s">
        <v>111</v>
      </c>
      <c r="D43" s="16" t="s">
        <v>12</v>
      </c>
      <c r="E43" s="16">
        <v>100</v>
      </c>
      <c r="F43" s="22">
        <f t="shared" si="3"/>
        <v>3.7862149123790223</v>
      </c>
      <c r="G43" s="16">
        <v>100</v>
      </c>
      <c r="H43" s="22">
        <f t="shared" si="3"/>
        <v>3.7913829448429612</v>
      </c>
      <c r="I43" s="16">
        <v>100</v>
      </c>
      <c r="J43" s="22">
        <f t="shared" si="1"/>
        <v>3.706690877470885</v>
      </c>
      <c r="K43" s="16">
        <v>100</v>
      </c>
      <c r="L43" s="15">
        <f t="shared" si="4"/>
        <v>1.880714789115478</v>
      </c>
      <c r="M43" s="30">
        <f t="shared" si="2"/>
        <v>100</v>
      </c>
      <c r="N43" s="22">
        <f t="shared" si="5"/>
        <v>1.8931074561895112</v>
      </c>
      <c r="O43" s="30">
        <f t="shared" si="2"/>
        <v>100</v>
      </c>
      <c r="P43" s="22">
        <f t="shared" si="6"/>
        <v>1.8956914724214806</v>
      </c>
      <c r="Q43" s="30">
        <f t="shared" si="2"/>
        <v>100</v>
      </c>
      <c r="R43" s="22">
        <f t="shared" si="7"/>
        <v>1.8533454387354424</v>
      </c>
      <c r="S43" s="30">
        <f t="shared" si="2"/>
        <v>100</v>
      </c>
      <c r="T43" s="15">
        <f t="shared" si="8"/>
        <v>1.880714789115478</v>
      </c>
    </row>
    <row r="44" spans="2:20" ht="12.75">
      <c r="B44" s="16" t="s">
        <v>107</v>
      </c>
      <c r="D44" s="16" t="s">
        <v>12</v>
      </c>
      <c r="E44" s="16">
        <v>100</v>
      </c>
      <c r="F44" s="22">
        <f t="shared" si="3"/>
        <v>1.2391248804149526</v>
      </c>
      <c r="G44" s="16">
        <v>100</v>
      </c>
      <c r="H44" s="22">
        <f t="shared" si="3"/>
        <v>1.2471654423825531</v>
      </c>
      <c r="I44" s="16">
        <v>100</v>
      </c>
      <c r="J44" s="22">
        <f t="shared" si="1"/>
        <v>1.2193062096943703</v>
      </c>
      <c r="K44" s="16">
        <v>100</v>
      </c>
      <c r="L44" s="15">
        <f t="shared" si="4"/>
        <v>0.6175994220819793</v>
      </c>
      <c r="M44" s="30">
        <f t="shared" si="2"/>
        <v>100</v>
      </c>
      <c r="N44" s="22">
        <f t="shared" si="5"/>
        <v>0.6195624402074763</v>
      </c>
      <c r="O44" s="30">
        <f t="shared" si="2"/>
        <v>100</v>
      </c>
      <c r="P44" s="22">
        <f t="shared" si="6"/>
        <v>0.6235827211912766</v>
      </c>
      <c r="Q44" s="30">
        <f t="shared" si="2"/>
        <v>100</v>
      </c>
      <c r="R44" s="22">
        <f t="shared" si="7"/>
        <v>0.6096531048471852</v>
      </c>
      <c r="S44" s="30">
        <f t="shared" si="2"/>
        <v>100</v>
      </c>
      <c r="T44" s="15">
        <f t="shared" si="8"/>
        <v>0.6175994220819793</v>
      </c>
    </row>
    <row r="45" spans="2:20" ht="12.75">
      <c r="B45" s="16" t="s">
        <v>114</v>
      </c>
      <c r="D45" s="16" t="s">
        <v>12</v>
      </c>
      <c r="E45" s="16">
        <v>100</v>
      </c>
      <c r="F45" s="22">
        <f t="shared" si="3"/>
        <v>2.099628269592003</v>
      </c>
      <c r="G45" s="16">
        <v>100</v>
      </c>
      <c r="H45" s="22">
        <f t="shared" si="3"/>
        <v>2.1118668157677902</v>
      </c>
      <c r="I45" s="16">
        <v>100</v>
      </c>
      <c r="J45" s="22">
        <f t="shared" si="1"/>
        <v>2.0646918484158</v>
      </c>
      <c r="K45" s="16">
        <v>100</v>
      </c>
      <c r="L45" s="15">
        <f t="shared" si="4"/>
        <v>1.0460311556292654</v>
      </c>
      <c r="M45" s="30">
        <f t="shared" si="2"/>
        <v>100</v>
      </c>
      <c r="N45" s="22">
        <f t="shared" si="5"/>
        <v>1.0498141347960015</v>
      </c>
      <c r="O45" s="30">
        <f t="shared" si="2"/>
        <v>100</v>
      </c>
      <c r="P45" s="22">
        <f t="shared" si="6"/>
        <v>1.0559334078838951</v>
      </c>
      <c r="Q45" s="30">
        <f t="shared" si="2"/>
        <v>100</v>
      </c>
      <c r="R45" s="22">
        <f t="shared" si="7"/>
        <v>1.0323459242079</v>
      </c>
      <c r="S45" s="30">
        <f t="shared" si="2"/>
        <v>100</v>
      </c>
      <c r="T45" s="15">
        <f t="shared" si="8"/>
        <v>1.0460311556292654</v>
      </c>
    </row>
    <row r="46" spans="2:20" ht="12.75">
      <c r="B46" s="16" t="s">
        <v>108</v>
      </c>
      <c r="D46" s="16" t="s">
        <v>12</v>
      </c>
      <c r="E46" s="16">
        <v>100</v>
      </c>
      <c r="F46" s="22">
        <f t="shared" si="3"/>
        <v>1.8586873206224293</v>
      </c>
      <c r="G46" s="16">
        <v>100</v>
      </c>
      <c r="H46" s="22">
        <f t="shared" si="3"/>
        <v>1.8624337272912794</v>
      </c>
      <c r="I46" s="16">
        <v>100</v>
      </c>
      <c r="J46" s="22">
        <f t="shared" si="1"/>
        <v>1.820830606476926</v>
      </c>
      <c r="K46" s="16">
        <v>100</v>
      </c>
      <c r="L46" s="15">
        <f t="shared" si="4"/>
        <v>0.9236586090651059</v>
      </c>
      <c r="M46" s="30">
        <f t="shared" si="2"/>
        <v>100</v>
      </c>
      <c r="N46" s="22">
        <f t="shared" si="5"/>
        <v>0.9293436603112146</v>
      </c>
      <c r="O46" s="30">
        <f t="shared" si="2"/>
        <v>100</v>
      </c>
      <c r="P46" s="22">
        <f t="shared" si="6"/>
        <v>0.9312168636456397</v>
      </c>
      <c r="Q46" s="30">
        <f t="shared" si="2"/>
        <v>100</v>
      </c>
      <c r="R46" s="22">
        <f t="shared" si="7"/>
        <v>0.910415303238463</v>
      </c>
      <c r="S46" s="30">
        <f t="shared" si="2"/>
        <v>100</v>
      </c>
      <c r="T46" s="15">
        <f t="shared" si="8"/>
        <v>0.9236586090651059</v>
      </c>
    </row>
    <row r="47" spans="2:20" ht="12.75">
      <c r="B47" s="16" t="s">
        <v>121</v>
      </c>
      <c r="D47" s="16" t="s">
        <v>12</v>
      </c>
      <c r="E47" s="16">
        <v>100</v>
      </c>
      <c r="F47" s="22">
        <f t="shared" si="3"/>
        <v>3.1666524721715463</v>
      </c>
      <c r="G47" s="16">
        <v>100</v>
      </c>
      <c r="H47" s="22">
        <f t="shared" si="3"/>
        <v>3.1594857873691344</v>
      </c>
      <c r="I47" s="16">
        <v>100</v>
      </c>
      <c r="J47" s="22">
        <f t="shared" si="1"/>
        <v>3.1051664806883292</v>
      </c>
      <c r="K47" s="16">
        <v>100</v>
      </c>
      <c r="L47" s="15">
        <f t="shared" si="4"/>
        <v>1.5718841233715015</v>
      </c>
      <c r="M47" s="30">
        <f t="shared" si="2"/>
        <v>100</v>
      </c>
      <c r="N47" s="22">
        <f t="shared" si="5"/>
        <v>1.5833262360857732</v>
      </c>
      <c r="O47" s="30">
        <f t="shared" si="2"/>
        <v>100</v>
      </c>
      <c r="P47" s="22">
        <f t="shared" si="6"/>
        <v>1.5797428936845672</v>
      </c>
      <c r="Q47" s="30">
        <f t="shared" si="2"/>
        <v>100</v>
      </c>
      <c r="R47" s="22">
        <f t="shared" si="7"/>
        <v>1.5525832403441646</v>
      </c>
      <c r="S47" s="30">
        <f t="shared" si="2"/>
        <v>100</v>
      </c>
      <c r="T47" s="15">
        <f t="shared" si="8"/>
        <v>1.5718841233715015</v>
      </c>
    </row>
    <row r="48" spans="2:20" ht="12.75">
      <c r="B48" s="16" t="s">
        <v>110</v>
      </c>
      <c r="D48" s="16" t="s">
        <v>12</v>
      </c>
      <c r="E48" s="16">
        <v>100</v>
      </c>
      <c r="F48" s="22">
        <f t="shared" si="3"/>
        <v>0.6195624402074763</v>
      </c>
      <c r="G48" s="16">
        <v>100</v>
      </c>
      <c r="H48" s="22">
        <f t="shared" si="3"/>
        <v>0.6152682849087262</v>
      </c>
      <c r="I48" s="16">
        <v>100</v>
      </c>
      <c r="J48" s="22">
        <f t="shared" si="1"/>
        <v>0.6015243967825558</v>
      </c>
      <c r="K48" s="16">
        <v>100</v>
      </c>
      <c r="L48" s="15">
        <f t="shared" si="4"/>
        <v>0.3060591869831264</v>
      </c>
      <c r="M48" s="30">
        <f t="shared" si="2"/>
        <v>100</v>
      </c>
      <c r="N48" s="22">
        <f t="shared" si="5"/>
        <v>0.30978122010373815</v>
      </c>
      <c r="O48" s="30">
        <f t="shared" si="2"/>
        <v>100</v>
      </c>
      <c r="P48" s="22">
        <f t="shared" si="6"/>
        <v>0.3076341424543631</v>
      </c>
      <c r="Q48" s="30">
        <f t="shared" si="2"/>
        <v>100</v>
      </c>
      <c r="R48" s="22">
        <f t="shared" si="7"/>
        <v>0.3007621983912779</v>
      </c>
      <c r="S48" s="30">
        <f t="shared" si="2"/>
        <v>100</v>
      </c>
      <c r="T48" s="15">
        <f t="shared" si="8"/>
        <v>0.3060591869831264</v>
      </c>
    </row>
    <row r="49" spans="2:20" ht="12.75">
      <c r="B49" s="16" t="s">
        <v>105</v>
      </c>
      <c r="D49" s="16" t="s">
        <v>12</v>
      </c>
      <c r="E49" s="16">
        <v>100</v>
      </c>
      <c r="F49" s="22">
        <f t="shared" si="3"/>
        <v>1.8586873206224293</v>
      </c>
      <c r="G49" s="16">
        <v>100</v>
      </c>
      <c r="H49" s="22">
        <f t="shared" si="3"/>
        <v>1.8624337272912794</v>
      </c>
      <c r="I49" s="16">
        <v>100</v>
      </c>
      <c r="J49" s="22">
        <f t="shared" si="1"/>
        <v>1.820830606476926</v>
      </c>
      <c r="K49" s="16">
        <v>100</v>
      </c>
      <c r="L49" s="15">
        <f t="shared" si="4"/>
        <v>0.9236586090651059</v>
      </c>
      <c r="M49" s="30">
        <f t="shared" si="2"/>
        <v>100</v>
      </c>
      <c r="N49" s="22">
        <f t="shared" si="5"/>
        <v>0.9293436603112146</v>
      </c>
      <c r="O49" s="30">
        <f t="shared" si="2"/>
        <v>100</v>
      </c>
      <c r="P49" s="22">
        <f t="shared" si="6"/>
        <v>0.9312168636456397</v>
      </c>
      <c r="Q49" s="30">
        <f t="shared" si="2"/>
        <v>100</v>
      </c>
      <c r="R49" s="22">
        <f t="shared" si="7"/>
        <v>0.910415303238463</v>
      </c>
      <c r="S49" s="30">
        <f t="shared" si="2"/>
        <v>100</v>
      </c>
      <c r="T49" s="15">
        <f t="shared" si="8"/>
        <v>0.9236586090651059</v>
      </c>
    </row>
    <row r="51" spans="2:20" ht="12.75">
      <c r="B51" s="16" t="s">
        <v>5</v>
      </c>
      <c r="D51" s="16" t="s">
        <v>12</v>
      </c>
      <c r="E51" s="16">
        <v>100</v>
      </c>
      <c r="F51" s="22">
        <f>F42+F44</f>
        <v>1.3595953548997397</v>
      </c>
      <c r="G51" s="16">
        <v>100</v>
      </c>
      <c r="H51" s="22">
        <f>H42+H44</f>
        <v>1.363567550338258</v>
      </c>
      <c r="I51" s="16">
        <v>100</v>
      </c>
      <c r="J51" s="22">
        <f>J42+J44</f>
        <v>1.333108122599178</v>
      </c>
      <c r="K51" s="16">
        <v>100</v>
      </c>
      <c r="L51" s="22">
        <f>AVERAGE(F51,H51,J51)</f>
        <v>1.352090342612392</v>
      </c>
      <c r="M51" s="30">
        <f t="shared" si="2"/>
        <v>100</v>
      </c>
      <c r="N51" s="22">
        <f>F51</f>
        <v>1.3595953548997397</v>
      </c>
      <c r="O51" s="30">
        <f t="shared" si="2"/>
        <v>100</v>
      </c>
      <c r="P51" s="22">
        <f>H51</f>
        <v>1.363567550338258</v>
      </c>
      <c r="Q51" s="30">
        <f t="shared" si="2"/>
        <v>100</v>
      </c>
      <c r="R51" s="22">
        <f>J51</f>
        <v>1.333108122599178</v>
      </c>
      <c r="S51" s="30">
        <f t="shared" si="2"/>
        <v>100</v>
      </c>
      <c r="T51" s="22">
        <f>L51</f>
        <v>1.352090342612392</v>
      </c>
    </row>
    <row r="52" spans="2:20" ht="12.75">
      <c r="B52" s="16" t="s">
        <v>6</v>
      </c>
      <c r="D52" s="16" t="s">
        <v>12</v>
      </c>
      <c r="E52" s="16">
        <v>100</v>
      </c>
      <c r="F52" s="22">
        <f>F39+F41+F43</f>
        <v>5.765372707486239</v>
      </c>
      <c r="G52" s="16">
        <v>100</v>
      </c>
      <c r="H52" s="22">
        <f>H39+H41+H43</f>
        <v>5.770218780089945</v>
      </c>
      <c r="I52" s="16">
        <v>100</v>
      </c>
      <c r="J52" s="22">
        <f>J39+J41+J43</f>
        <v>5.641323396852618</v>
      </c>
      <c r="K52" s="16">
        <v>100</v>
      </c>
      <c r="L52" s="22">
        <f>AVERAGE(F52,H52,J52)</f>
        <v>5.725638294809602</v>
      </c>
      <c r="M52" s="30">
        <f t="shared" si="2"/>
        <v>100</v>
      </c>
      <c r="N52" s="22">
        <f>F52</f>
        <v>5.765372707486239</v>
      </c>
      <c r="O52" s="30">
        <f t="shared" si="2"/>
        <v>100</v>
      </c>
      <c r="P52" s="22">
        <f>H52</f>
        <v>5.770218780089945</v>
      </c>
      <c r="Q52" s="30">
        <f t="shared" si="2"/>
        <v>100</v>
      </c>
      <c r="R52" s="22">
        <f>J52</f>
        <v>5.641323396852618</v>
      </c>
      <c r="S52" s="30">
        <f t="shared" si="2"/>
        <v>100</v>
      </c>
      <c r="T52" s="22">
        <f>L52</f>
        <v>5.725638294809602</v>
      </c>
    </row>
    <row r="56" spans="1:20" ht="12.75">
      <c r="A56" s="16" t="s">
        <v>112</v>
      </c>
      <c r="B56" s="20" t="s">
        <v>57</v>
      </c>
      <c r="C56" s="20"/>
      <c r="F56" s="16" t="s">
        <v>118</v>
      </c>
      <c r="H56" s="16" t="s">
        <v>119</v>
      </c>
      <c r="J56" s="16" t="s">
        <v>120</v>
      </c>
      <c r="L56" s="16" t="s">
        <v>49</v>
      </c>
      <c r="N56" s="21" t="s">
        <v>118</v>
      </c>
      <c r="O56" s="21"/>
      <c r="P56" s="21" t="s">
        <v>119</v>
      </c>
      <c r="Q56" s="21"/>
      <c r="R56" s="21" t="s">
        <v>120</v>
      </c>
      <c r="S56" s="21"/>
      <c r="T56" s="21" t="s">
        <v>49</v>
      </c>
    </row>
    <row r="57" spans="2:3" ht="12.75">
      <c r="B57" s="20"/>
      <c r="C57" s="20"/>
    </row>
    <row r="58" spans="2:20" ht="12.75">
      <c r="B58" s="16" t="s">
        <v>138</v>
      </c>
      <c r="F58" s="21" t="s">
        <v>140</v>
      </c>
      <c r="H58" s="21" t="s">
        <v>140</v>
      </c>
      <c r="J58" s="21" t="s">
        <v>140</v>
      </c>
      <c r="L58" s="21" t="s">
        <v>140</v>
      </c>
      <c r="M58" s="21"/>
      <c r="N58" s="16" t="s">
        <v>142</v>
      </c>
      <c r="P58" s="16" t="s">
        <v>142</v>
      </c>
      <c r="R58" s="16" t="s">
        <v>142</v>
      </c>
      <c r="T58" s="16" t="s">
        <v>142</v>
      </c>
    </row>
    <row r="59" spans="2:20" ht="12.75">
      <c r="B59" s="16" t="s">
        <v>139</v>
      </c>
      <c r="F59" s="21" t="s">
        <v>141</v>
      </c>
      <c r="H59" s="21" t="s">
        <v>141</v>
      </c>
      <c r="J59" s="21" t="s">
        <v>141</v>
      </c>
      <c r="L59" s="21" t="s">
        <v>141</v>
      </c>
      <c r="M59" s="21"/>
      <c r="N59" s="16" t="s">
        <v>143</v>
      </c>
      <c r="P59" s="16" t="s">
        <v>143</v>
      </c>
      <c r="R59" s="16" t="s">
        <v>143</v>
      </c>
      <c r="T59" s="16" t="s">
        <v>143</v>
      </c>
    </row>
    <row r="60" spans="2:20" ht="12.75">
      <c r="B60" s="16" t="s">
        <v>145</v>
      </c>
      <c r="F60" s="21" t="s">
        <v>1</v>
      </c>
      <c r="H60" s="21" t="s">
        <v>1</v>
      </c>
      <c r="J60" s="21" t="s">
        <v>1</v>
      </c>
      <c r="L60" s="21" t="s">
        <v>1</v>
      </c>
      <c r="M60" s="21"/>
      <c r="N60" s="16" t="s">
        <v>143</v>
      </c>
      <c r="P60" s="16" t="s">
        <v>143</v>
      </c>
      <c r="R60" s="16" t="s">
        <v>143</v>
      </c>
      <c r="T60" s="16" t="s">
        <v>143</v>
      </c>
    </row>
    <row r="61" spans="2:20" ht="12.75">
      <c r="B61" s="16" t="s">
        <v>116</v>
      </c>
      <c r="F61" s="16" t="s">
        <v>59</v>
      </c>
      <c r="H61" s="16" t="s">
        <v>59</v>
      </c>
      <c r="J61" s="16" t="s">
        <v>59</v>
      </c>
      <c r="L61" s="16" t="s">
        <v>59</v>
      </c>
      <c r="N61" s="16" t="s">
        <v>143</v>
      </c>
      <c r="P61" s="16" t="s">
        <v>143</v>
      </c>
      <c r="R61" s="16" t="s">
        <v>143</v>
      </c>
      <c r="T61" s="16" t="s">
        <v>143</v>
      </c>
    </row>
    <row r="62" spans="2:13" ht="12.75">
      <c r="B62" s="16" t="s">
        <v>115</v>
      </c>
      <c r="D62" s="16" t="s">
        <v>60</v>
      </c>
      <c r="F62" s="16">
        <v>2189138</v>
      </c>
      <c r="H62" s="16">
        <v>2163782</v>
      </c>
      <c r="J62" s="16">
        <v>2211634</v>
      </c>
      <c r="L62" s="25">
        <f>AVERAGE(F62,H62,J62)</f>
        <v>2188184.6666666665</v>
      </c>
      <c r="M62" s="25"/>
    </row>
    <row r="63" spans="2:12" ht="12.75">
      <c r="B63" s="16" t="s">
        <v>61</v>
      </c>
      <c r="D63" s="16" t="s">
        <v>62</v>
      </c>
      <c r="F63" s="16">
        <v>0.87</v>
      </c>
      <c r="H63" s="16">
        <v>0.87</v>
      </c>
      <c r="J63" s="16">
        <v>0.87</v>
      </c>
      <c r="L63" s="16">
        <v>0.87</v>
      </c>
    </row>
    <row r="64" spans="2:12" ht="12.75">
      <c r="B64" s="16" t="s">
        <v>147</v>
      </c>
      <c r="D64" s="16" t="s">
        <v>63</v>
      </c>
      <c r="F64" s="16">
        <v>9000</v>
      </c>
      <c r="H64" s="16">
        <v>9000</v>
      </c>
      <c r="J64" s="16">
        <v>9000</v>
      </c>
      <c r="L64" s="16">
        <v>9000</v>
      </c>
    </row>
    <row r="65" spans="2:10" ht="12.75">
      <c r="B65" s="16" t="s">
        <v>8</v>
      </c>
      <c r="D65" s="16" t="s">
        <v>60</v>
      </c>
      <c r="E65" s="16" t="s">
        <v>65</v>
      </c>
      <c r="F65" s="16">
        <v>2.1891</v>
      </c>
      <c r="G65" s="16" t="s">
        <v>65</v>
      </c>
      <c r="H65" s="16">
        <v>2.1638</v>
      </c>
      <c r="I65" s="16" t="s">
        <v>65</v>
      </c>
      <c r="J65" s="16">
        <v>2.2116</v>
      </c>
    </row>
    <row r="66" spans="2:10" ht="12.75">
      <c r="B66" s="16" t="s">
        <v>64</v>
      </c>
      <c r="D66" s="16" t="s">
        <v>60</v>
      </c>
      <c r="E66" s="16" t="s">
        <v>65</v>
      </c>
      <c r="F66" s="16">
        <v>1.095</v>
      </c>
      <c r="G66" s="16" t="s">
        <v>65</v>
      </c>
      <c r="H66" s="16">
        <v>1.082</v>
      </c>
      <c r="I66" s="16" t="s">
        <v>65</v>
      </c>
      <c r="J66" s="16">
        <v>1.106</v>
      </c>
    </row>
    <row r="67" spans="2:10" ht="12.75">
      <c r="B67" s="16" t="s">
        <v>106</v>
      </c>
      <c r="D67" s="16" t="s">
        <v>60</v>
      </c>
      <c r="E67" s="16" t="s">
        <v>65</v>
      </c>
      <c r="F67" s="16">
        <v>0.09</v>
      </c>
      <c r="G67" s="16" t="s">
        <v>65</v>
      </c>
      <c r="H67" s="16">
        <v>0.089</v>
      </c>
      <c r="I67" s="16" t="s">
        <v>65</v>
      </c>
      <c r="J67" s="16">
        <v>0.091</v>
      </c>
    </row>
    <row r="68" spans="2:13" ht="12.75">
      <c r="B68" s="16" t="s">
        <v>102</v>
      </c>
      <c r="D68" s="16" t="s">
        <v>60</v>
      </c>
      <c r="E68" s="16" t="s">
        <v>65</v>
      </c>
      <c r="F68" s="16">
        <v>0.066</v>
      </c>
      <c r="G68" s="16" t="s">
        <v>65</v>
      </c>
      <c r="H68" s="16">
        <v>0.065</v>
      </c>
      <c r="I68" s="16" t="s">
        <v>65</v>
      </c>
      <c r="J68" s="16">
        <v>0.066</v>
      </c>
      <c r="L68" s="22"/>
      <c r="M68" s="22"/>
    </row>
    <row r="69" spans="2:13" ht="12.75">
      <c r="B69" s="16" t="s">
        <v>104</v>
      </c>
      <c r="D69" s="16" t="s">
        <v>60</v>
      </c>
      <c r="E69" s="16" t="s">
        <v>65</v>
      </c>
      <c r="F69" s="16">
        <v>0.3331</v>
      </c>
      <c r="G69" s="16" t="s">
        <v>65</v>
      </c>
      <c r="H69" s="16">
        <v>0.327</v>
      </c>
      <c r="I69" s="16" t="s">
        <v>65</v>
      </c>
      <c r="J69" s="16">
        <v>0.334</v>
      </c>
      <c r="L69" s="22"/>
      <c r="M69" s="22"/>
    </row>
    <row r="70" spans="2:10" ht="12.75" customHeight="1">
      <c r="B70" s="16" t="s">
        <v>103</v>
      </c>
      <c r="D70" s="16" t="s">
        <v>60</v>
      </c>
      <c r="E70" s="16" t="s">
        <v>65</v>
      </c>
      <c r="F70" s="16">
        <v>0.004</v>
      </c>
      <c r="G70" s="16" t="s">
        <v>65</v>
      </c>
      <c r="H70" s="16">
        <v>0.004</v>
      </c>
      <c r="I70" s="16" t="s">
        <v>65</v>
      </c>
      <c r="J70" s="16">
        <v>0.004</v>
      </c>
    </row>
    <row r="71" spans="2:13" ht="12.75">
      <c r="B71" s="16" t="s">
        <v>109</v>
      </c>
      <c r="D71" s="16" t="s">
        <v>60</v>
      </c>
      <c r="E71" s="16" t="s">
        <v>65</v>
      </c>
      <c r="F71" s="16">
        <v>0.004</v>
      </c>
      <c r="G71" s="16" t="s">
        <v>65</v>
      </c>
      <c r="H71" s="16">
        <v>0.004</v>
      </c>
      <c r="I71" s="16" t="s">
        <v>65</v>
      </c>
      <c r="J71" s="16">
        <v>0.004</v>
      </c>
      <c r="L71" s="22"/>
      <c r="M71" s="22"/>
    </row>
    <row r="72" spans="2:13" ht="12.75">
      <c r="B72" s="16" t="s">
        <v>111</v>
      </c>
      <c r="D72" s="16" t="s">
        <v>60</v>
      </c>
      <c r="E72" s="16" t="s">
        <v>65</v>
      </c>
      <c r="F72" s="16">
        <v>0.134</v>
      </c>
      <c r="G72" s="16" t="s">
        <v>65</v>
      </c>
      <c r="H72" s="16">
        <v>0.132</v>
      </c>
      <c r="I72" s="16" t="s">
        <v>65</v>
      </c>
      <c r="J72" s="16">
        <v>0.135</v>
      </c>
      <c r="L72" s="22"/>
      <c r="M72" s="22"/>
    </row>
    <row r="73" spans="2:13" ht="12.75">
      <c r="B73" s="16" t="s">
        <v>107</v>
      </c>
      <c r="D73" s="16" t="s">
        <v>60</v>
      </c>
      <c r="E73" s="16" t="s">
        <v>65</v>
      </c>
      <c r="F73" s="16">
        <v>0.044</v>
      </c>
      <c r="G73" s="16" t="s">
        <v>65</v>
      </c>
      <c r="H73" s="16">
        <v>0.043</v>
      </c>
      <c r="I73" s="16" t="s">
        <v>65</v>
      </c>
      <c r="J73" s="16">
        <v>0.044</v>
      </c>
      <c r="L73" s="22"/>
      <c r="M73" s="22"/>
    </row>
    <row r="74" spans="2:13" ht="12.75">
      <c r="B74" s="16" t="s">
        <v>114</v>
      </c>
      <c r="D74" s="16" t="s">
        <v>60</v>
      </c>
      <c r="E74" s="16" t="s">
        <v>65</v>
      </c>
      <c r="F74" s="16">
        <v>0.074</v>
      </c>
      <c r="G74" s="16" t="s">
        <v>65</v>
      </c>
      <c r="H74" s="16">
        <v>0.0074</v>
      </c>
      <c r="I74" s="16" t="s">
        <v>65</v>
      </c>
      <c r="J74" s="16">
        <v>0.075</v>
      </c>
      <c r="L74" s="22"/>
      <c r="M74" s="22"/>
    </row>
    <row r="75" spans="2:13" ht="12.75">
      <c r="B75" s="16" t="s">
        <v>108</v>
      </c>
      <c r="D75" s="16" t="s">
        <v>60</v>
      </c>
      <c r="E75" s="16" t="s">
        <v>65</v>
      </c>
      <c r="F75" s="16">
        <v>0.066</v>
      </c>
      <c r="G75" s="16" t="s">
        <v>65</v>
      </c>
      <c r="H75" s="16">
        <v>0.065</v>
      </c>
      <c r="I75" s="16" t="s">
        <v>65</v>
      </c>
      <c r="J75" s="16">
        <v>0.066</v>
      </c>
      <c r="L75" s="24"/>
      <c r="M75" s="24"/>
    </row>
    <row r="76" spans="2:13" ht="12.75">
      <c r="B76" s="16" t="s">
        <v>121</v>
      </c>
      <c r="D76" s="16" t="s">
        <v>60</v>
      </c>
      <c r="E76" s="16" t="s">
        <v>65</v>
      </c>
      <c r="F76" s="16">
        <v>0.112</v>
      </c>
      <c r="G76" s="16" t="s">
        <v>65</v>
      </c>
      <c r="H76" s="16">
        <v>0.11</v>
      </c>
      <c r="I76" s="16" t="s">
        <v>65</v>
      </c>
      <c r="J76" s="16">
        <v>0.113</v>
      </c>
      <c r="L76" s="22"/>
      <c r="M76" s="22"/>
    </row>
    <row r="77" spans="2:10" ht="12.75">
      <c r="B77" s="16" t="s">
        <v>110</v>
      </c>
      <c r="D77" s="16" t="s">
        <v>60</v>
      </c>
      <c r="E77" s="16" t="s">
        <v>65</v>
      </c>
      <c r="F77" s="16">
        <v>0.022</v>
      </c>
      <c r="G77" s="16" t="s">
        <v>65</v>
      </c>
      <c r="H77" s="16">
        <v>0.022</v>
      </c>
      <c r="I77" s="16" t="s">
        <v>65</v>
      </c>
      <c r="J77" s="16">
        <v>0.022</v>
      </c>
    </row>
    <row r="78" spans="2:10" ht="12.75">
      <c r="B78" s="16" t="s">
        <v>105</v>
      </c>
      <c r="D78" s="16" t="s">
        <v>60</v>
      </c>
      <c r="E78" s="16" t="s">
        <v>65</v>
      </c>
      <c r="F78" s="16">
        <v>0.066</v>
      </c>
      <c r="G78" s="16" t="s">
        <v>65</v>
      </c>
      <c r="H78" s="16">
        <v>0.065</v>
      </c>
      <c r="I78" s="16" t="s">
        <v>65</v>
      </c>
      <c r="J78" s="16">
        <v>0.066</v>
      </c>
    </row>
    <row r="81" spans="2:13" ht="12.75">
      <c r="B81" s="16" t="s">
        <v>66</v>
      </c>
      <c r="D81" s="16" t="s">
        <v>14</v>
      </c>
      <c r="F81" s="16">
        <f>emiss!G38</f>
        <v>28710</v>
      </c>
      <c r="H81" s="16">
        <f>emiss!I38</f>
        <v>27602</v>
      </c>
      <c r="J81" s="16">
        <f>emiss!K38</f>
        <v>26813</v>
      </c>
      <c r="L81" s="22">
        <f>AVERAGE(F81,H81,J81)</f>
        <v>27708.333333333332</v>
      </c>
      <c r="M81" s="22"/>
    </row>
    <row r="82" spans="2:13" ht="12.75">
      <c r="B82" s="16" t="s">
        <v>9</v>
      </c>
      <c r="D82" s="16" t="s">
        <v>15</v>
      </c>
      <c r="F82" s="22">
        <f>emiss!G39</f>
        <v>7</v>
      </c>
      <c r="H82" s="22">
        <f>emiss!I39</f>
        <v>7</v>
      </c>
      <c r="J82" s="22">
        <f>emiss!K39</f>
        <v>6.8</v>
      </c>
      <c r="L82" s="22">
        <f>AVERAGE(F82,H82,J82)</f>
        <v>6.933333333333334</v>
      </c>
      <c r="M82" s="22"/>
    </row>
    <row r="84" spans="2:20" ht="12.75">
      <c r="B84" s="16" t="s">
        <v>113</v>
      </c>
      <c r="D84" s="16" t="s">
        <v>144</v>
      </c>
      <c r="F84" s="22">
        <f>F62/454*F64/1000000</f>
        <v>43.39700881057269</v>
      </c>
      <c r="H84" s="22">
        <f>H62/454*H64/1000000</f>
        <v>42.89435682819383</v>
      </c>
      <c r="J84" s="22">
        <f>J62/454*J64/1000000</f>
        <v>43.84296475770925</v>
      </c>
      <c r="L84" s="22">
        <f>L62/454*L64/1000000</f>
        <v>43.37811013215858</v>
      </c>
      <c r="M84" s="22"/>
      <c r="N84" s="22">
        <f>F84</f>
        <v>43.39700881057269</v>
      </c>
      <c r="P84" s="22">
        <f>H84</f>
        <v>42.89435682819383</v>
      </c>
      <c r="R84" s="22">
        <f>J84</f>
        <v>43.84296475770925</v>
      </c>
      <c r="T84" s="22">
        <f>L84</f>
        <v>43.37811013215858</v>
      </c>
    </row>
    <row r="85" spans="2:20" ht="12.75">
      <c r="B85" s="16" t="s">
        <v>146</v>
      </c>
      <c r="D85" s="16" t="s">
        <v>144</v>
      </c>
      <c r="F85" s="22">
        <f>F81*60/9000*(21-F82)/21</f>
        <v>127.6</v>
      </c>
      <c r="H85" s="22">
        <f>H81*60/9000*(21-H82)/21</f>
        <v>122.67555555555555</v>
      </c>
      <c r="J85" s="22">
        <f>J81*60/9000*(21-J82)/21</f>
        <v>120.87130158730157</v>
      </c>
      <c r="L85" s="22">
        <f>L81*60/9000*(21-L82)/21</f>
        <v>123.73456790123457</v>
      </c>
      <c r="M85" s="22"/>
      <c r="T85" s="22">
        <f>L85</f>
        <v>123.73456790123457</v>
      </c>
    </row>
    <row r="87" spans="2:3" ht="12.75">
      <c r="B87" s="23" t="s">
        <v>78</v>
      </c>
      <c r="C87" s="23"/>
    </row>
    <row r="88" spans="2:20" ht="12.75">
      <c r="B88" s="16" t="s">
        <v>8</v>
      </c>
      <c r="D88" s="16" t="s">
        <v>13</v>
      </c>
      <c r="E88" s="16">
        <v>100</v>
      </c>
      <c r="F88" s="15">
        <f>F65/60*1000/(F81*0.0283)*(21-7)/(21-F82)</f>
        <v>0.044905002258481</v>
      </c>
      <c r="G88" s="16">
        <v>100</v>
      </c>
      <c r="H88" s="15">
        <f>H65/60*1000/(H81*0.0283)*(21-7)/(21-H82)</f>
        <v>0.046167768010528944</v>
      </c>
      <c r="I88" s="16">
        <v>100</v>
      </c>
      <c r="J88" s="15">
        <f>J65/60*1000/(J81*0.0283)*(21-7)/(21-J82)</f>
        <v>0.04789202256647899</v>
      </c>
      <c r="K88" s="16">
        <v>100</v>
      </c>
      <c r="L88" s="15">
        <f>AVERAGE(F88,H88,J88)/2</f>
        <v>0.02316079880591482</v>
      </c>
      <c r="M88" s="30">
        <f aca="true" t="shared" si="9" ref="M88:T88">E88</f>
        <v>100</v>
      </c>
      <c r="N88" s="15">
        <f t="shared" si="9"/>
        <v>0.044905002258481</v>
      </c>
      <c r="O88" s="30">
        <f t="shared" si="9"/>
        <v>100</v>
      </c>
      <c r="P88" s="15">
        <f t="shared" si="9"/>
        <v>0.046167768010528944</v>
      </c>
      <c r="Q88" s="30">
        <f t="shared" si="9"/>
        <v>100</v>
      </c>
      <c r="R88" s="15">
        <f t="shared" si="9"/>
        <v>0.04789202256647899</v>
      </c>
      <c r="S88" s="30">
        <f t="shared" si="9"/>
        <v>100</v>
      </c>
      <c r="T88" s="24">
        <f t="shared" si="9"/>
        <v>0.02316079880591482</v>
      </c>
    </row>
    <row r="89" spans="2:20" ht="12.75">
      <c r="B89" s="16" t="s">
        <v>64</v>
      </c>
      <c r="D89" s="16" t="s">
        <v>12</v>
      </c>
      <c r="E89" s="16">
        <v>100</v>
      </c>
      <c r="F89" s="22">
        <f>F66/60*1000000/(F$81*0.0283)*(21-7)/(21-F$82)</f>
        <v>22.461731977998586</v>
      </c>
      <c r="G89" s="16">
        <v>100</v>
      </c>
      <c r="H89" s="22">
        <f>H66/60*1000000/(H$81*0.0283)*(21-7)/(21-H$82)</f>
        <v>23.08601764830036</v>
      </c>
      <c r="I89" s="16">
        <v>100</v>
      </c>
      <c r="J89" s="22">
        <f aca="true" t="shared" si="10" ref="J89:J101">J66/60*1000000/(J$81*0.0283)*(21-7)/(21-J$82)</f>
        <v>23.950342267374648</v>
      </c>
      <c r="K89" s="16">
        <v>100</v>
      </c>
      <c r="L89" s="22">
        <f>AVERAGE(F89,H89,J89)/2</f>
        <v>11.583015315612265</v>
      </c>
      <c r="M89" s="30">
        <f aca="true" t="shared" si="11" ref="M89:S104">E89</f>
        <v>100</v>
      </c>
      <c r="N89" s="15">
        <f aca="true" t="shared" si="12" ref="N89:R101">F89</f>
        <v>22.461731977998586</v>
      </c>
      <c r="O89" s="30">
        <f t="shared" si="11"/>
        <v>100</v>
      </c>
      <c r="P89" s="15">
        <f t="shared" si="12"/>
        <v>23.08601764830036</v>
      </c>
      <c r="Q89" s="30">
        <f t="shared" si="11"/>
        <v>100</v>
      </c>
      <c r="R89" s="15">
        <f t="shared" si="12"/>
        <v>23.950342267374648</v>
      </c>
      <c r="S89" s="30">
        <f t="shared" si="11"/>
        <v>100</v>
      </c>
      <c r="T89" s="15">
        <f>L89</f>
        <v>11.583015315612265</v>
      </c>
    </row>
    <row r="90" spans="2:20" ht="12.75">
      <c r="B90" s="16" t="s">
        <v>106</v>
      </c>
      <c r="D90" s="16" t="s">
        <v>12</v>
      </c>
      <c r="E90" s="16">
        <v>100</v>
      </c>
      <c r="F90" s="22">
        <f aca="true" t="shared" si="13" ref="F90:H101">F67/60*1000000/(F$81*0.0283)*(21-7)/(21-F$82)</f>
        <v>1.8461697516163216</v>
      </c>
      <c r="G90" s="16">
        <v>100</v>
      </c>
      <c r="H90" s="22">
        <f t="shared" si="13"/>
        <v>1.8989423019396778</v>
      </c>
      <c r="I90" s="16">
        <v>100</v>
      </c>
      <c r="J90" s="22">
        <f t="shared" si="10"/>
        <v>1.9705977814928504</v>
      </c>
      <c r="K90" s="16">
        <v>100</v>
      </c>
      <c r="L90" s="15">
        <f aca="true" t="shared" si="14" ref="L90:L101">AVERAGE(F90,H90,J90)/2</f>
        <v>0.952618305841475</v>
      </c>
      <c r="M90" s="30">
        <f t="shared" si="11"/>
        <v>100</v>
      </c>
      <c r="N90" s="15">
        <f t="shared" si="12"/>
        <v>1.8461697516163216</v>
      </c>
      <c r="O90" s="30">
        <f t="shared" si="11"/>
        <v>100</v>
      </c>
      <c r="P90" s="15">
        <f t="shared" si="12"/>
        <v>1.8989423019396778</v>
      </c>
      <c r="Q90" s="30">
        <f t="shared" si="11"/>
        <v>100</v>
      </c>
      <c r="R90" s="15">
        <f t="shared" si="12"/>
        <v>1.9705977814928504</v>
      </c>
      <c r="S90" s="30">
        <f t="shared" si="11"/>
        <v>100</v>
      </c>
      <c r="T90" s="15">
        <f>L90</f>
        <v>0.952618305841475</v>
      </c>
    </row>
    <row r="91" spans="2:20" ht="12.75">
      <c r="B91" s="16" t="s">
        <v>102</v>
      </c>
      <c r="D91" s="16" t="s">
        <v>12</v>
      </c>
      <c r="E91" s="16">
        <v>100</v>
      </c>
      <c r="F91" s="22">
        <f t="shared" si="13"/>
        <v>1.3538578178519693</v>
      </c>
      <c r="G91" s="16">
        <v>100</v>
      </c>
      <c r="H91" s="22">
        <f t="shared" si="13"/>
        <v>1.386867973326731</v>
      </c>
      <c r="I91" s="16">
        <v>100</v>
      </c>
      <c r="J91" s="22">
        <f t="shared" si="10"/>
        <v>1.4292247645992102</v>
      </c>
      <c r="K91" s="16">
        <v>100</v>
      </c>
      <c r="L91" s="15">
        <f t="shared" si="14"/>
        <v>0.6949917592963185</v>
      </c>
      <c r="M91" s="30">
        <f t="shared" si="11"/>
        <v>100</v>
      </c>
      <c r="N91" s="15">
        <f t="shared" si="12"/>
        <v>1.3538578178519693</v>
      </c>
      <c r="O91" s="30">
        <f t="shared" si="11"/>
        <v>100</v>
      </c>
      <c r="P91" s="15">
        <f t="shared" si="12"/>
        <v>1.386867973326731</v>
      </c>
      <c r="Q91" s="30">
        <f t="shared" si="11"/>
        <v>100</v>
      </c>
      <c r="R91" s="15">
        <f t="shared" si="12"/>
        <v>1.4292247645992102</v>
      </c>
      <c r="S91" s="30">
        <f t="shared" si="11"/>
        <v>100</v>
      </c>
      <c r="T91" s="15">
        <f aca="true" t="shared" si="15" ref="T91:T101">L91</f>
        <v>0.6949917592963185</v>
      </c>
    </row>
    <row r="92" spans="2:20" ht="12.75">
      <c r="B92" s="16" t="s">
        <v>104</v>
      </c>
      <c r="D92" s="16" t="s">
        <v>12</v>
      </c>
      <c r="E92" s="16">
        <v>100</v>
      </c>
      <c r="F92" s="22">
        <f t="shared" si="13"/>
        <v>6.832879380704408</v>
      </c>
      <c r="G92" s="16">
        <v>100</v>
      </c>
      <c r="H92" s="22">
        <f t="shared" si="13"/>
        <v>6.9770127273514015</v>
      </c>
      <c r="I92" s="16">
        <v>100</v>
      </c>
      <c r="J92" s="22">
        <f t="shared" si="10"/>
        <v>7.232743505699035</v>
      </c>
      <c r="K92" s="16">
        <v>100</v>
      </c>
      <c r="L92" s="15">
        <f t="shared" si="14"/>
        <v>3.507105935625807</v>
      </c>
      <c r="M92" s="30">
        <f t="shared" si="11"/>
        <v>100</v>
      </c>
      <c r="N92" s="15">
        <f t="shared" si="12"/>
        <v>6.832879380704408</v>
      </c>
      <c r="O92" s="30">
        <f t="shared" si="11"/>
        <v>100</v>
      </c>
      <c r="P92" s="15">
        <f t="shared" si="12"/>
        <v>6.9770127273514015</v>
      </c>
      <c r="Q92" s="30">
        <f t="shared" si="11"/>
        <v>100</v>
      </c>
      <c r="R92" s="15">
        <f t="shared" si="12"/>
        <v>7.232743505699035</v>
      </c>
      <c r="S92" s="30">
        <f t="shared" si="11"/>
        <v>100</v>
      </c>
      <c r="T92" s="15">
        <f t="shared" si="15"/>
        <v>3.507105935625807</v>
      </c>
    </row>
    <row r="93" spans="2:20" ht="12.75">
      <c r="B93" s="16" t="s">
        <v>103</v>
      </c>
      <c r="D93" s="16" t="s">
        <v>12</v>
      </c>
      <c r="E93" s="16">
        <v>100</v>
      </c>
      <c r="F93" s="22">
        <f t="shared" si="13"/>
        <v>0.08205198896072542</v>
      </c>
      <c r="G93" s="16">
        <v>100</v>
      </c>
      <c r="H93" s="22">
        <f t="shared" si="13"/>
        <v>0.08534572143549116</v>
      </c>
      <c r="I93" s="16">
        <v>100</v>
      </c>
      <c r="J93" s="22">
        <f t="shared" si="10"/>
        <v>0.08661968270298244</v>
      </c>
      <c r="K93" s="16">
        <v>100</v>
      </c>
      <c r="L93" s="15">
        <f t="shared" si="14"/>
        <v>0.04233623218319984</v>
      </c>
      <c r="M93" s="30">
        <f t="shared" si="11"/>
        <v>100</v>
      </c>
      <c r="N93" s="15">
        <f t="shared" si="12"/>
        <v>0.08205198896072542</v>
      </c>
      <c r="O93" s="30">
        <f t="shared" si="11"/>
        <v>100</v>
      </c>
      <c r="P93" s="15">
        <f t="shared" si="12"/>
        <v>0.08534572143549116</v>
      </c>
      <c r="Q93" s="30">
        <f t="shared" si="11"/>
        <v>100</v>
      </c>
      <c r="R93" s="15">
        <f t="shared" si="12"/>
        <v>0.08661968270298244</v>
      </c>
      <c r="S93" s="30">
        <f t="shared" si="11"/>
        <v>100</v>
      </c>
      <c r="T93" s="15">
        <f t="shared" si="15"/>
        <v>0.04233623218319984</v>
      </c>
    </row>
    <row r="94" spans="2:20" ht="12.75">
      <c r="B94" s="16" t="s">
        <v>109</v>
      </c>
      <c r="D94" s="16" t="s">
        <v>12</v>
      </c>
      <c r="E94" s="16">
        <v>100</v>
      </c>
      <c r="F94" s="22">
        <f t="shared" si="13"/>
        <v>0.08205198896072542</v>
      </c>
      <c r="G94" s="16">
        <v>100</v>
      </c>
      <c r="H94" s="22">
        <f t="shared" si="13"/>
        <v>0.08534572143549116</v>
      </c>
      <c r="I94" s="16">
        <v>100</v>
      </c>
      <c r="J94" s="22">
        <f t="shared" si="10"/>
        <v>0.08661968270298244</v>
      </c>
      <c r="K94" s="16">
        <v>100</v>
      </c>
      <c r="L94" s="15">
        <f t="shared" si="14"/>
        <v>0.04233623218319984</v>
      </c>
      <c r="M94" s="30">
        <f t="shared" si="11"/>
        <v>100</v>
      </c>
      <c r="N94" s="15">
        <f t="shared" si="12"/>
        <v>0.08205198896072542</v>
      </c>
      <c r="O94" s="30">
        <f t="shared" si="11"/>
        <v>100</v>
      </c>
      <c r="P94" s="15">
        <f t="shared" si="12"/>
        <v>0.08534572143549116</v>
      </c>
      <c r="Q94" s="30">
        <f t="shared" si="11"/>
        <v>100</v>
      </c>
      <c r="R94" s="15">
        <f t="shared" si="12"/>
        <v>0.08661968270298244</v>
      </c>
      <c r="S94" s="30">
        <f t="shared" si="11"/>
        <v>100</v>
      </c>
      <c r="T94" s="15">
        <f t="shared" si="15"/>
        <v>0.04233623218319984</v>
      </c>
    </row>
    <row r="95" spans="2:20" ht="12.75">
      <c r="B95" s="16" t="s">
        <v>111</v>
      </c>
      <c r="D95" s="16" t="s">
        <v>12</v>
      </c>
      <c r="E95" s="16">
        <v>100</v>
      </c>
      <c r="F95" s="22">
        <f t="shared" si="13"/>
        <v>2.7487416301843015</v>
      </c>
      <c r="G95" s="16">
        <v>100</v>
      </c>
      <c r="H95" s="22">
        <f t="shared" si="13"/>
        <v>2.8164088073712077</v>
      </c>
      <c r="I95" s="16">
        <v>100</v>
      </c>
      <c r="J95" s="22">
        <f t="shared" si="10"/>
        <v>2.923414291225658</v>
      </c>
      <c r="K95" s="16">
        <v>100</v>
      </c>
      <c r="L95" s="15">
        <f t="shared" si="14"/>
        <v>1.4147607881301945</v>
      </c>
      <c r="M95" s="30">
        <f t="shared" si="11"/>
        <v>100</v>
      </c>
      <c r="N95" s="15">
        <f t="shared" si="12"/>
        <v>2.7487416301843015</v>
      </c>
      <c r="O95" s="30">
        <f t="shared" si="11"/>
        <v>100</v>
      </c>
      <c r="P95" s="15">
        <f t="shared" si="12"/>
        <v>2.8164088073712077</v>
      </c>
      <c r="Q95" s="30">
        <f t="shared" si="11"/>
        <v>100</v>
      </c>
      <c r="R95" s="15">
        <f t="shared" si="12"/>
        <v>2.923414291225658</v>
      </c>
      <c r="S95" s="30">
        <f t="shared" si="11"/>
        <v>100</v>
      </c>
      <c r="T95" s="15">
        <f t="shared" si="15"/>
        <v>1.4147607881301945</v>
      </c>
    </row>
    <row r="96" spans="2:20" ht="12.75">
      <c r="B96" s="16" t="s">
        <v>107</v>
      </c>
      <c r="D96" s="16" t="s">
        <v>12</v>
      </c>
      <c r="E96" s="16">
        <v>100</v>
      </c>
      <c r="F96" s="22">
        <f t="shared" si="13"/>
        <v>0.9025718785679796</v>
      </c>
      <c r="G96" s="16">
        <v>100</v>
      </c>
      <c r="H96" s="22">
        <f t="shared" si="13"/>
        <v>0.9174665054315296</v>
      </c>
      <c r="I96" s="16">
        <v>100</v>
      </c>
      <c r="J96" s="22">
        <f t="shared" si="10"/>
        <v>0.952816509732807</v>
      </c>
      <c r="K96" s="16">
        <v>100</v>
      </c>
      <c r="L96" s="15">
        <f t="shared" si="14"/>
        <v>0.4621424822887194</v>
      </c>
      <c r="M96" s="30">
        <f t="shared" si="11"/>
        <v>100</v>
      </c>
      <c r="N96" s="15">
        <f t="shared" si="12"/>
        <v>0.9025718785679796</v>
      </c>
      <c r="O96" s="30">
        <f t="shared" si="11"/>
        <v>100</v>
      </c>
      <c r="P96" s="15">
        <f t="shared" si="12"/>
        <v>0.9174665054315296</v>
      </c>
      <c r="Q96" s="30">
        <f t="shared" si="11"/>
        <v>100</v>
      </c>
      <c r="R96" s="15">
        <f t="shared" si="12"/>
        <v>0.952816509732807</v>
      </c>
      <c r="S96" s="30">
        <f t="shared" si="11"/>
        <v>100</v>
      </c>
      <c r="T96" s="15">
        <f t="shared" si="15"/>
        <v>0.4621424822887194</v>
      </c>
    </row>
    <row r="97" spans="2:20" ht="12.75">
      <c r="B97" s="16" t="s">
        <v>114</v>
      </c>
      <c r="D97" s="16" t="s">
        <v>12</v>
      </c>
      <c r="E97" s="16">
        <v>100</v>
      </c>
      <c r="F97" s="22">
        <f t="shared" si="13"/>
        <v>1.51796179577342</v>
      </c>
      <c r="G97" s="16">
        <v>100</v>
      </c>
      <c r="H97" s="22">
        <f t="shared" si="13"/>
        <v>0.15788958465565864</v>
      </c>
      <c r="I97" s="16">
        <v>100</v>
      </c>
      <c r="J97" s="22">
        <f t="shared" si="10"/>
        <v>1.6241190506809209</v>
      </c>
      <c r="K97" s="16">
        <v>100</v>
      </c>
      <c r="L97" s="15">
        <f t="shared" si="14"/>
        <v>0.5499950718516665</v>
      </c>
      <c r="M97" s="30">
        <f t="shared" si="11"/>
        <v>100</v>
      </c>
      <c r="N97" s="15">
        <f t="shared" si="12"/>
        <v>1.51796179577342</v>
      </c>
      <c r="O97" s="30">
        <f t="shared" si="11"/>
        <v>100</v>
      </c>
      <c r="P97" s="15">
        <f t="shared" si="12"/>
        <v>0.15788958465565864</v>
      </c>
      <c r="Q97" s="30">
        <f t="shared" si="11"/>
        <v>100</v>
      </c>
      <c r="R97" s="15">
        <f t="shared" si="12"/>
        <v>1.6241190506809209</v>
      </c>
      <c r="S97" s="30">
        <f t="shared" si="11"/>
        <v>100</v>
      </c>
      <c r="T97" s="15">
        <f t="shared" si="15"/>
        <v>0.5499950718516665</v>
      </c>
    </row>
    <row r="98" spans="2:20" ht="12.75">
      <c r="B98" s="16" t="s">
        <v>108</v>
      </c>
      <c r="D98" s="16" t="s">
        <v>12</v>
      </c>
      <c r="E98" s="16">
        <v>100</v>
      </c>
      <c r="F98" s="22">
        <f t="shared" si="13"/>
        <v>1.3538578178519693</v>
      </c>
      <c r="G98" s="16">
        <v>100</v>
      </c>
      <c r="H98" s="22">
        <f t="shared" si="13"/>
        <v>1.386867973326731</v>
      </c>
      <c r="I98" s="16">
        <v>100</v>
      </c>
      <c r="J98" s="22">
        <f t="shared" si="10"/>
        <v>1.4292247645992102</v>
      </c>
      <c r="K98" s="16">
        <v>100</v>
      </c>
      <c r="L98" s="15">
        <f t="shared" si="14"/>
        <v>0.6949917592963185</v>
      </c>
      <c r="M98" s="30">
        <f t="shared" si="11"/>
        <v>100</v>
      </c>
      <c r="N98" s="15">
        <f t="shared" si="12"/>
        <v>1.3538578178519693</v>
      </c>
      <c r="O98" s="30">
        <f t="shared" si="11"/>
        <v>100</v>
      </c>
      <c r="P98" s="15">
        <f t="shared" si="12"/>
        <v>1.386867973326731</v>
      </c>
      <c r="Q98" s="30">
        <f t="shared" si="11"/>
        <v>100</v>
      </c>
      <c r="R98" s="15">
        <f t="shared" si="12"/>
        <v>1.4292247645992102</v>
      </c>
      <c r="S98" s="30">
        <f t="shared" si="11"/>
        <v>100</v>
      </c>
      <c r="T98" s="15">
        <f t="shared" si="15"/>
        <v>0.6949917592963185</v>
      </c>
    </row>
    <row r="99" spans="2:20" ht="12.75">
      <c r="B99" s="16" t="s">
        <v>121</v>
      </c>
      <c r="D99" s="16" t="s">
        <v>12</v>
      </c>
      <c r="E99" s="16">
        <v>100</v>
      </c>
      <c r="F99" s="22">
        <f t="shared" si="13"/>
        <v>2.2974556909003114</v>
      </c>
      <c r="G99" s="16">
        <v>100</v>
      </c>
      <c r="H99" s="22">
        <f t="shared" si="13"/>
        <v>2.3470073394760065</v>
      </c>
      <c r="I99" s="16">
        <v>100</v>
      </c>
      <c r="J99" s="22">
        <f t="shared" si="10"/>
        <v>2.447006036359254</v>
      </c>
      <c r="K99" s="16">
        <v>100</v>
      </c>
      <c r="L99" s="15">
        <f t="shared" si="14"/>
        <v>1.1819115111225953</v>
      </c>
      <c r="M99" s="30">
        <f t="shared" si="11"/>
        <v>100</v>
      </c>
      <c r="N99" s="15">
        <f t="shared" si="12"/>
        <v>2.2974556909003114</v>
      </c>
      <c r="O99" s="30">
        <f t="shared" si="11"/>
        <v>100</v>
      </c>
      <c r="P99" s="15">
        <f t="shared" si="12"/>
        <v>2.3470073394760065</v>
      </c>
      <c r="Q99" s="30">
        <f t="shared" si="11"/>
        <v>100</v>
      </c>
      <c r="R99" s="15">
        <f t="shared" si="12"/>
        <v>2.447006036359254</v>
      </c>
      <c r="S99" s="30">
        <f t="shared" si="11"/>
        <v>100</v>
      </c>
      <c r="T99" s="15">
        <f t="shared" si="15"/>
        <v>1.1819115111225953</v>
      </c>
    </row>
    <row r="100" spans="2:20" ht="12.75">
      <c r="B100" s="16" t="s">
        <v>110</v>
      </c>
      <c r="D100" s="16" t="s">
        <v>12</v>
      </c>
      <c r="E100" s="16">
        <v>100</v>
      </c>
      <c r="F100" s="22">
        <f t="shared" si="13"/>
        <v>0.4512859392839898</v>
      </c>
      <c r="G100" s="16">
        <v>100</v>
      </c>
      <c r="H100" s="22">
        <f t="shared" si="13"/>
        <v>0.4694014678952013</v>
      </c>
      <c r="I100" s="16">
        <v>100</v>
      </c>
      <c r="J100" s="22">
        <f t="shared" si="10"/>
        <v>0.4764082548664035</v>
      </c>
      <c r="K100" s="16">
        <v>100</v>
      </c>
      <c r="L100" s="15">
        <f t="shared" si="14"/>
        <v>0.23284927700759908</v>
      </c>
      <c r="M100" s="30">
        <f t="shared" si="11"/>
        <v>100</v>
      </c>
      <c r="N100" s="15">
        <f t="shared" si="12"/>
        <v>0.4512859392839898</v>
      </c>
      <c r="O100" s="30">
        <f t="shared" si="11"/>
        <v>100</v>
      </c>
      <c r="P100" s="15">
        <f t="shared" si="12"/>
        <v>0.4694014678952013</v>
      </c>
      <c r="Q100" s="30">
        <f t="shared" si="11"/>
        <v>100</v>
      </c>
      <c r="R100" s="15">
        <f t="shared" si="12"/>
        <v>0.4764082548664035</v>
      </c>
      <c r="S100" s="30">
        <f t="shared" si="11"/>
        <v>100</v>
      </c>
      <c r="T100" s="15">
        <f t="shared" si="15"/>
        <v>0.23284927700759908</v>
      </c>
    </row>
    <row r="101" spans="2:20" ht="12.75">
      <c r="B101" s="16" t="s">
        <v>105</v>
      </c>
      <c r="D101" s="16" t="s">
        <v>12</v>
      </c>
      <c r="E101" s="16">
        <v>100</v>
      </c>
      <c r="F101" s="22">
        <f t="shared" si="13"/>
        <v>1.3538578178519693</v>
      </c>
      <c r="G101" s="16">
        <v>100</v>
      </c>
      <c r="H101" s="22">
        <f t="shared" si="13"/>
        <v>1.386867973326731</v>
      </c>
      <c r="I101" s="16">
        <v>100</v>
      </c>
      <c r="J101" s="22">
        <f t="shared" si="10"/>
        <v>1.4292247645992102</v>
      </c>
      <c r="K101" s="16">
        <v>100</v>
      </c>
      <c r="L101" s="15">
        <f t="shared" si="14"/>
        <v>0.6949917592963185</v>
      </c>
      <c r="M101" s="30">
        <f t="shared" si="11"/>
        <v>100</v>
      </c>
      <c r="N101" s="15">
        <f t="shared" si="12"/>
        <v>1.3538578178519693</v>
      </c>
      <c r="O101" s="30">
        <f t="shared" si="11"/>
        <v>100</v>
      </c>
      <c r="P101" s="15">
        <f t="shared" si="12"/>
        <v>1.386867973326731</v>
      </c>
      <c r="Q101" s="30">
        <f t="shared" si="11"/>
        <v>100</v>
      </c>
      <c r="R101" s="15">
        <f t="shared" si="12"/>
        <v>1.4292247645992102</v>
      </c>
      <c r="S101" s="30">
        <f t="shared" si="11"/>
        <v>100</v>
      </c>
      <c r="T101" s="15">
        <f t="shared" si="15"/>
        <v>0.6949917592963185</v>
      </c>
    </row>
    <row r="102" spans="6:19" ht="12.75">
      <c r="F102" s="22"/>
      <c r="G102" s="22"/>
      <c r="H102" s="22"/>
      <c r="I102" s="22"/>
      <c r="J102" s="22"/>
      <c r="K102" s="22"/>
      <c r="L102" s="22"/>
      <c r="M102" s="30"/>
      <c r="O102" s="30"/>
      <c r="Q102" s="30"/>
      <c r="S102" s="30"/>
    </row>
    <row r="103" spans="2:20" ht="12.75">
      <c r="B103" s="16" t="s">
        <v>5</v>
      </c>
      <c r="D103" s="16" t="s">
        <v>12</v>
      </c>
      <c r="E103" s="16">
        <v>100</v>
      </c>
      <c r="F103" s="22">
        <f>F94+F96</f>
        <v>0.984623867528705</v>
      </c>
      <c r="G103" s="16">
        <v>100</v>
      </c>
      <c r="H103" s="22">
        <f>H94+H96</f>
        <v>1.0028122268670208</v>
      </c>
      <c r="I103" s="16">
        <v>100</v>
      </c>
      <c r="J103" s="22">
        <f>J94+J96</f>
        <v>1.0394361924357893</v>
      </c>
      <c r="K103" s="16">
        <v>100</v>
      </c>
      <c r="L103" s="22">
        <f>AVERAGE(F103,H103,J103)</f>
        <v>1.0089574289438383</v>
      </c>
      <c r="M103" s="30">
        <f t="shared" si="11"/>
        <v>100</v>
      </c>
      <c r="N103" s="22">
        <f>F103</f>
        <v>0.984623867528705</v>
      </c>
      <c r="O103" s="30">
        <f t="shared" si="11"/>
        <v>100</v>
      </c>
      <c r="P103" s="22">
        <f>H103</f>
        <v>1.0028122268670208</v>
      </c>
      <c r="Q103" s="30">
        <f t="shared" si="11"/>
        <v>100</v>
      </c>
      <c r="R103" s="22">
        <f>J103</f>
        <v>1.0394361924357893</v>
      </c>
      <c r="S103" s="30">
        <f t="shared" si="11"/>
        <v>100</v>
      </c>
      <c r="T103" s="22">
        <f>L103</f>
        <v>1.0089574289438383</v>
      </c>
    </row>
    <row r="104" spans="2:20" ht="12.75">
      <c r="B104" s="16" t="s">
        <v>6</v>
      </c>
      <c r="D104" s="16" t="s">
        <v>12</v>
      </c>
      <c r="E104" s="16">
        <v>100</v>
      </c>
      <c r="F104" s="22">
        <f>F91+F93+F95</f>
        <v>4.1846514369969965</v>
      </c>
      <c r="G104" s="16">
        <v>100</v>
      </c>
      <c r="H104" s="22">
        <f>H91+H93+H95</f>
        <v>4.28862250213343</v>
      </c>
      <c r="I104" s="16">
        <v>100</v>
      </c>
      <c r="J104" s="22">
        <f>J91+J93+J95</f>
        <v>4.439258738527851</v>
      </c>
      <c r="K104" s="16">
        <v>100</v>
      </c>
      <c r="L104" s="22">
        <f>AVERAGE(F104,H104,J104)</f>
        <v>4.304177559219426</v>
      </c>
      <c r="M104" s="30">
        <f t="shared" si="11"/>
        <v>100</v>
      </c>
      <c r="N104" s="22">
        <f>F104</f>
        <v>4.1846514369969965</v>
      </c>
      <c r="O104" s="30">
        <f t="shared" si="11"/>
        <v>100</v>
      </c>
      <c r="P104" s="22">
        <f>H104</f>
        <v>4.28862250213343</v>
      </c>
      <c r="Q104" s="30">
        <f t="shared" si="11"/>
        <v>100</v>
      </c>
      <c r="R104" s="22">
        <f>J104</f>
        <v>4.439258738527851</v>
      </c>
      <c r="S104" s="30">
        <f t="shared" si="11"/>
        <v>100</v>
      </c>
      <c r="T104" s="22">
        <f>L104</f>
        <v>4.304177559219426</v>
      </c>
    </row>
    <row r="108" spans="1:20" ht="12.75">
      <c r="A108" s="16" t="s">
        <v>112</v>
      </c>
      <c r="B108" s="20" t="s">
        <v>58</v>
      </c>
      <c r="C108" s="20"/>
      <c r="F108" s="16" t="s">
        <v>118</v>
      </c>
      <c r="H108" s="16" t="s">
        <v>119</v>
      </c>
      <c r="J108" s="16" t="s">
        <v>120</v>
      </c>
      <c r="L108" s="16" t="s">
        <v>49</v>
      </c>
      <c r="N108" s="21" t="s">
        <v>118</v>
      </c>
      <c r="O108" s="21"/>
      <c r="P108" s="21" t="s">
        <v>119</v>
      </c>
      <c r="Q108" s="21"/>
      <c r="R108" s="21" t="s">
        <v>120</v>
      </c>
      <c r="S108" s="21"/>
      <c r="T108" s="21" t="s">
        <v>49</v>
      </c>
    </row>
    <row r="109" spans="2:3" ht="12.75">
      <c r="B109" s="20"/>
      <c r="C109" s="20"/>
    </row>
    <row r="110" spans="2:20" ht="12.75">
      <c r="B110" s="16" t="s">
        <v>138</v>
      </c>
      <c r="F110" s="21" t="s">
        <v>140</v>
      </c>
      <c r="H110" s="21" t="s">
        <v>140</v>
      </c>
      <c r="J110" s="21" t="s">
        <v>140</v>
      </c>
      <c r="L110" s="21" t="s">
        <v>140</v>
      </c>
      <c r="M110" s="21"/>
      <c r="N110" s="16" t="s">
        <v>142</v>
      </c>
      <c r="P110" s="16" t="s">
        <v>142</v>
      </c>
      <c r="R110" s="16" t="s">
        <v>142</v>
      </c>
      <c r="T110" s="16" t="s">
        <v>142</v>
      </c>
    </row>
    <row r="111" spans="2:20" ht="12.75">
      <c r="B111" s="16" t="s">
        <v>139</v>
      </c>
      <c r="F111" s="21" t="s">
        <v>141</v>
      </c>
      <c r="H111" s="21" t="s">
        <v>141</v>
      </c>
      <c r="J111" s="21" t="s">
        <v>141</v>
      </c>
      <c r="L111" s="21" t="s">
        <v>141</v>
      </c>
      <c r="M111" s="21"/>
      <c r="N111" s="16" t="s">
        <v>143</v>
      </c>
      <c r="P111" s="16" t="s">
        <v>143</v>
      </c>
      <c r="R111" s="16" t="s">
        <v>143</v>
      </c>
      <c r="T111" s="16" t="s">
        <v>143</v>
      </c>
    </row>
    <row r="112" spans="2:20" ht="12.75">
      <c r="B112" s="16" t="s">
        <v>145</v>
      </c>
      <c r="F112" s="21" t="s">
        <v>1</v>
      </c>
      <c r="H112" s="21" t="s">
        <v>1</v>
      </c>
      <c r="J112" s="21" t="s">
        <v>1</v>
      </c>
      <c r="L112" s="21" t="s">
        <v>1</v>
      </c>
      <c r="M112" s="21"/>
      <c r="N112" s="16" t="s">
        <v>143</v>
      </c>
      <c r="P112" s="16" t="s">
        <v>143</v>
      </c>
      <c r="R112" s="16" t="s">
        <v>143</v>
      </c>
      <c r="T112" s="16" t="s">
        <v>143</v>
      </c>
    </row>
    <row r="113" spans="2:20" ht="12.75">
      <c r="B113" s="16" t="s">
        <v>116</v>
      </c>
      <c r="F113" s="16" t="s">
        <v>59</v>
      </c>
      <c r="H113" s="16" t="s">
        <v>59</v>
      </c>
      <c r="J113" s="16" t="s">
        <v>59</v>
      </c>
      <c r="L113" s="16" t="s">
        <v>59</v>
      </c>
      <c r="N113" s="16" t="s">
        <v>143</v>
      </c>
      <c r="P113" s="16" t="s">
        <v>143</v>
      </c>
      <c r="R113" s="16" t="s">
        <v>143</v>
      </c>
      <c r="T113" s="16" t="s">
        <v>143</v>
      </c>
    </row>
    <row r="114" spans="2:13" ht="12.75">
      <c r="B114" s="16" t="s">
        <v>115</v>
      </c>
      <c r="D114" s="16" t="s">
        <v>60</v>
      </c>
      <c r="F114" s="16">
        <v>4082876</v>
      </c>
      <c r="H114" s="16">
        <v>3964664</v>
      </c>
      <c r="J114" s="16">
        <v>3951026</v>
      </c>
      <c r="L114" s="25">
        <f>AVERAGE(F114,H114,J114)</f>
        <v>3999522</v>
      </c>
      <c r="M114" s="25"/>
    </row>
    <row r="115" spans="2:12" ht="12.75">
      <c r="B115" s="16" t="s">
        <v>61</v>
      </c>
      <c r="D115" s="16" t="s">
        <v>62</v>
      </c>
      <c r="F115" s="16">
        <v>0.89</v>
      </c>
      <c r="H115" s="16">
        <v>0.89</v>
      </c>
      <c r="J115" s="16">
        <v>0.89</v>
      </c>
      <c r="L115" s="16">
        <v>0.89</v>
      </c>
    </row>
    <row r="116" spans="2:12" ht="12.75">
      <c r="B116" s="16" t="s">
        <v>147</v>
      </c>
      <c r="D116" s="16" t="s">
        <v>63</v>
      </c>
      <c r="F116" s="16">
        <v>9000</v>
      </c>
      <c r="H116" s="16">
        <v>9000</v>
      </c>
      <c r="J116" s="16">
        <v>9000</v>
      </c>
      <c r="L116" s="16">
        <v>9000</v>
      </c>
    </row>
    <row r="117" spans="2:10" ht="12.75">
      <c r="B117" s="16" t="s">
        <v>8</v>
      </c>
      <c r="D117" s="16" t="s">
        <v>60</v>
      </c>
      <c r="F117" s="16">
        <v>8.1658</v>
      </c>
      <c r="H117" s="16">
        <v>39.647</v>
      </c>
      <c r="J117" s="16">
        <v>35.559</v>
      </c>
    </row>
    <row r="118" spans="2:10" ht="12.75">
      <c r="B118" s="16" t="s">
        <v>64</v>
      </c>
      <c r="D118" s="16" t="s">
        <v>60</v>
      </c>
      <c r="F118" s="16">
        <v>1.674</v>
      </c>
      <c r="H118" s="16">
        <v>22.083</v>
      </c>
      <c r="J118" s="16">
        <v>16.357</v>
      </c>
    </row>
    <row r="119" spans="2:10" ht="12.75">
      <c r="B119" s="16" t="s">
        <v>106</v>
      </c>
      <c r="D119" s="16" t="s">
        <v>60</v>
      </c>
      <c r="E119" s="16" t="s">
        <v>65</v>
      </c>
      <c r="F119" s="16">
        <v>0.167</v>
      </c>
      <c r="G119" s="16" t="s">
        <v>65</v>
      </c>
      <c r="H119" s="16">
        <v>0.163</v>
      </c>
      <c r="I119" s="16" t="s">
        <v>65</v>
      </c>
      <c r="J119" s="16">
        <v>0.162</v>
      </c>
    </row>
    <row r="120" spans="2:13" ht="12.75">
      <c r="B120" s="16" t="s">
        <v>102</v>
      </c>
      <c r="D120" s="16" t="s">
        <v>60</v>
      </c>
      <c r="E120" s="16" t="s">
        <v>65</v>
      </c>
      <c r="F120" s="16">
        <v>0.122</v>
      </c>
      <c r="G120" s="16" t="s">
        <v>65</v>
      </c>
      <c r="H120" s="16">
        <v>0.119</v>
      </c>
      <c r="I120" s="16" t="s">
        <v>65</v>
      </c>
      <c r="J120" s="16">
        <v>0.119</v>
      </c>
      <c r="L120" s="22"/>
      <c r="M120" s="22"/>
    </row>
    <row r="121" spans="2:13" ht="12.75">
      <c r="B121" s="16" t="s">
        <v>104</v>
      </c>
      <c r="D121" s="16" t="s">
        <v>60</v>
      </c>
      <c r="E121" s="16" t="s">
        <v>65</v>
      </c>
      <c r="F121" s="16">
        <v>0.617</v>
      </c>
      <c r="G121" s="16" t="s">
        <v>65</v>
      </c>
      <c r="H121" s="16">
        <v>0.599</v>
      </c>
      <c r="I121" s="16" t="s">
        <v>65</v>
      </c>
      <c r="J121" s="16">
        <v>0.597</v>
      </c>
      <c r="L121" s="22"/>
      <c r="M121" s="22"/>
    </row>
    <row r="122" spans="2:10" ht="12.75" customHeight="1">
      <c r="B122" s="16" t="s">
        <v>103</v>
      </c>
      <c r="D122" s="16" t="s">
        <v>60</v>
      </c>
      <c r="E122" s="16" t="s">
        <v>65</v>
      </c>
      <c r="F122" s="16">
        <v>0.008</v>
      </c>
      <c r="G122" s="16" t="s">
        <v>65</v>
      </c>
      <c r="H122" s="16">
        <v>0.008</v>
      </c>
      <c r="I122" s="16" t="s">
        <v>65</v>
      </c>
      <c r="J122" s="16">
        <v>0.008</v>
      </c>
    </row>
    <row r="123" spans="2:10" ht="12.75">
      <c r="B123" s="16" t="s">
        <v>109</v>
      </c>
      <c r="D123" s="16" t="s">
        <v>60</v>
      </c>
      <c r="E123" s="16" t="s">
        <v>65</v>
      </c>
      <c r="F123" s="16">
        <v>0.008</v>
      </c>
      <c r="G123" s="16" t="s">
        <v>65</v>
      </c>
      <c r="H123" s="16">
        <v>0.008</v>
      </c>
      <c r="I123" s="16" t="s">
        <v>65</v>
      </c>
      <c r="J123" s="16">
        <v>0.008</v>
      </c>
    </row>
    <row r="124" spans="2:10" ht="12.75">
      <c r="B124" s="16" t="s">
        <v>111</v>
      </c>
      <c r="D124" s="16" t="s">
        <v>60</v>
      </c>
      <c r="E124" s="16" t="s">
        <v>65</v>
      </c>
      <c r="F124" s="16">
        <v>0.249</v>
      </c>
      <c r="G124" s="16" t="s">
        <v>65</v>
      </c>
      <c r="H124" s="16">
        <v>0.242</v>
      </c>
      <c r="I124" s="16" t="s">
        <v>65</v>
      </c>
      <c r="J124" s="16">
        <v>0.241</v>
      </c>
    </row>
    <row r="125" spans="2:13" ht="12.75">
      <c r="B125" s="16" t="s">
        <v>107</v>
      </c>
      <c r="D125" s="16" t="s">
        <v>60</v>
      </c>
      <c r="E125" s="16" t="s">
        <v>65</v>
      </c>
      <c r="F125" s="16">
        <v>0.082</v>
      </c>
      <c r="G125" s="16" t="s">
        <v>65</v>
      </c>
      <c r="H125" s="16">
        <v>0.079</v>
      </c>
      <c r="I125" s="16" t="s">
        <v>65</v>
      </c>
      <c r="J125" s="16">
        <v>0.079</v>
      </c>
      <c r="L125" s="22"/>
      <c r="M125" s="22"/>
    </row>
    <row r="126" spans="2:13" ht="12.75">
      <c r="B126" s="16" t="s">
        <v>114</v>
      </c>
      <c r="D126" s="16" t="s">
        <v>60</v>
      </c>
      <c r="E126" s="16" t="s">
        <v>65</v>
      </c>
      <c r="F126" s="16">
        <v>0.139</v>
      </c>
      <c r="G126" s="16" t="s">
        <v>65</v>
      </c>
      <c r="H126" s="16">
        <v>0.135</v>
      </c>
      <c r="I126" s="16" t="s">
        <v>65</v>
      </c>
      <c r="J126" s="16">
        <v>0.134</v>
      </c>
      <c r="L126" s="22"/>
      <c r="M126" s="22"/>
    </row>
    <row r="127" spans="2:13" ht="12.75">
      <c r="B127" s="16" t="s">
        <v>108</v>
      </c>
      <c r="D127" s="16" t="s">
        <v>60</v>
      </c>
      <c r="E127" s="16" t="s">
        <v>65</v>
      </c>
      <c r="F127" s="16">
        <v>0.122</v>
      </c>
      <c r="G127" s="16" t="s">
        <v>65</v>
      </c>
      <c r="H127" s="16">
        <v>0.119</v>
      </c>
      <c r="I127" s="16" t="s">
        <v>65</v>
      </c>
      <c r="J127" s="16">
        <v>0.119</v>
      </c>
      <c r="L127" s="22"/>
      <c r="M127" s="22"/>
    </row>
    <row r="128" spans="2:13" ht="12.75">
      <c r="B128" s="16" t="s">
        <v>121</v>
      </c>
      <c r="D128" s="16" t="s">
        <v>60</v>
      </c>
      <c r="E128" s="16" t="s">
        <v>65</v>
      </c>
      <c r="F128" s="16">
        <v>0.208</v>
      </c>
      <c r="G128" s="16" t="s">
        <v>65</v>
      </c>
      <c r="H128" s="16">
        <v>0.202</v>
      </c>
      <c r="I128" s="16" t="s">
        <v>65</v>
      </c>
      <c r="J128" s="16">
        <v>0.202</v>
      </c>
      <c r="L128" s="22"/>
      <c r="M128" s="22"/>
    </row>
    <row r="129" spans="2:10" ht="12.75">
      <c r="B129" s="16" t="s">
        <v>110</v>
      </c>
      <c r="D129" s="16" t="s">
        <v>60</v>
      </c>
      <c r="E129" s="16" t="s">
        <v>65</v>
      </c>
      <c r="F129" s="16">
        <v>0.041</v>
      </c>
      <c r="G129" s="16" t="s">
        <v>65</v>
      </c>
      <c r="H129" s="16">
        <v>0.04</v>
      </c>
      <c r="I129" s="16" t="s">
        <v>65</v>
      </c>
      <c r="J129" s="16">
        <v>0.04</v>
      </c>
    </row>
    <row r="130" spans="2:10" ht="12.75">
      <c r="B130" s="16" t="s">
        <v>105</v>
      </c>
      <c r="D130" s="16" t="s">
        <v>60</v>
      </c>
      <c r="E130" s="16" t="s">
        <v>65</v>
      </c>
      <c r="F130" s="16">
        <v>0.122</v>
      </c>
      <c r="G130" s="16" t="s">
        <v>65</v>
      </c>
      <c r="H130" s="16">
        <v>0.119</v>
      </c>
      <c r="I130" s="16" t="s">
        <v>65</v>
      </c>
      <c r="J130" s="16">
        <v>0.119</v>
      </c>
    </row>
    <row r="133" spans="2:12" ht="12.75">
      <c r="B133" s="16" t="s">
        <v>66</v>
      </c>
      <c r="D133" s="16" t="s">
        <v>14</v>
      </c>
      <c r="F133" s="16">
        <f>emiss!G61</f>
        <v>44216</v>
      </c>
      <c r="H133" s="16">
        <f>emiss!I61</f>
        <v>45104</v>
      </c>
      <c r="J133" s="16">
        <f>emiss!K61</f>
        <v>44825</v>
      </c>
      <c r="L133" s="16">
        <f>AVERAGE(F133,H133,J133)</f>
        <v>44715</v>
      </c>
    </row>
    <row r="134" spans="2:20" ht="12.75">
      <c r="B134" s="16" t="s">
        <v>9</v>
      </c>
      <c r="D134" s="16" t="s">
        <v>15</v>
      </c>
      <c r="F134" s="16">
        <f>emiss!G62</f>
        <v>6.2</v>
      </c>
      <c r="H134" s="16">
        <f>emiss!I62</f>
        <v>6</v>
      </c>
      <c r="J134" s="16">
        <f>emiss!K62</f>
        <v>6.3</v>
      </c>
      <c r="L134" s="15">
        <f>AVERAGE(F134,H134,J134)</f>
        <v>6.166666666666667</v>
      </c>
      <c r="M134" s="15"/>
      <c r="T134" s="22"/>
    </row>
    <row r="135" ht="12.75">
      <c r="T135" s="22"/>
    </row>
    <row r="136" spans="2:20" ht="12.75">
      <c r="B136" s="16" t="s">
        <v>113</v>
      </c>
      <c r="D136" s="16" t="s">
        <v>144</v>
      </c>
      <c r="F136" s="22">
        <f>F114/454*F116/1000000</f>
        <v>80.9380704845815</v>
      </c>
      <c r="H136" s="22">
        <f>H114/454*H116/1000000</f>
        <v>78.59466079295156</v>
      </c>
      <c r="J136" s="22">
        <f>J114/454*J116/1000000</f>
        <v>78.32430396475772</v>
      </c>
      <c r="L136" s="22">
        <f>L114/454*L116/1000000</f>
        <v>79.28567841409692</v>
      </c>
      <c r="M136" s="22"/>
      <c r="N136" s="22">
        <f>F136</f>
        <v>80.9380704845815</v>
      </c>
      <c r="P136" s="22">
        <f>H136</f>
        <v>78.59466079295156</v>
      </c>
      <c r="R136" s="22">
        <f>J136</f>
        <v>78.32430396475772</v>
      </c>
      <c r="T136" s="22">
        <f>L136</f>
        <v>79.28567841409692</v>
      </c>
    </row>
    <row r="137" spans="2:20" ht="12.75">
      <c r="B137" s="16" t="s">
        <v>146</v>
      </c>
      <c r="D137" s="16" t="s">
        <v>144</v>
      </c>
      <c r="L137" s="22">
        <f>L133/9000*(21-L121)/21*60</f>
        <v>298.1</v>
      </c>
      <c r="M137" s="22"/>
      <c r="T137" s="22">
        <f>L137</f>
        <v>298.1</v>
      </c>
    </row>
    <row r="138" spans="14:20" ht="12.75">
      <c r="N138" s="15"/>
      <c r="P138" s="15"/>
      <c r="R138" s="15"/>
      <c r="T138" s="24"/>
    </row>
    <row r="139" spans="2:20" ht="12.75">
      <c r="B139" s="23" t="s">
        <v>78</v>
      </c>
      <c r="C139" s="23"/>
      <c r="N139" s="22"/>
      <c r="P139" s="22"/>
      <c r="R139" s="22"/>
      <c r="T139" s="15"/>
    </row>
    <row r="140" spans="2:20" ht="12.75">
      <c r="B140" s="16" t="s">
        <v>8</v>
      </c>
      <c r="D140" s="16" t="s">
        <v>13</v>
      </c>
      <c r="F140" s="22">
        <f>F117/60*1000/(F133*0.0283)*(21-7)/(21-F134)</f>
        <v>0.10288401915978969</v>
      </c>
      <c r="G140" s="22"/>
      <c r="H140" s="22">
        <f>H117/60*1000/(H133*0.0283)*(21-7)/(21-H134)</f>
        <v>0.4831637718866857</v>
      </c>
      <c r="I140" s="22"/>
      <c r="J140" s="22">
        <f>J117/60*1000/(J133*0.0283)*(21-7)/(21-J134)</f>
        <v>0.44494082517885336</v>
      </c>
      <c r="K140" s="26"/>
      <c r="L140" s="22">
        <f>AVERAGE(F140,H140,J140)</f>
        <v>0.3436628720751096</v>
      </c>
      <c r="M140" s="30">
        <f aca="true" t="shared" si="16" ref="M140:T141">E140</f>
        <v>0</v>
      </c>
      <c r="N140" s="15">
        <f t="shared" si="16"/>
        <v>0.10288401915978969</v>
      </c>
      <c r="O140" s="30">
        <f t="shared" si="16"/>
        <v>0</v>
      </c>
      <c r="P140" s="15">
        <f t="shared" si="16"/>
        <v>0.4831637718866857</v>
      </c>
      <c r="Q140" s="30">
        <f t="shared" si="16"/>
        <v>0</v>
      </c>
      <c r="R140" s="15">
        <f t="shared" si="16"/>
        <v>0.44494082517885336</v>
      </c>
      <c r="S140" s="30">
        <f t="shared" si="16"/>
        <v>0</v>
      </c>
      <c r="T140" s="24">
        <f t="shared" si="16"/>
        <v>0.3436628720751096</v>
      </c>
    </row>
    <row r="141" spans="2:20" ht="12.75">
      <c r="B141" s="16" t="s">
        <v>64</v>
      </c>
      <c r="D141" s="16" t="s">
        <v>12</v>
      </c>
      <c r="F141" s="22">
        <f>F118/60*1000000/(F$133*0.0283)*(21-7)/(21-F$134)</f>
        <v>21.09136252093952</v>
      </c>
      <c r="G141" s="22"/>
      <c r="H141" s="22">
        <f>H118/60*1000000/(H$133*0.0283)*(21-7)/(21-H$134)</f>
        <v>269.1176022037905</v>
      </c>
      <c r="I141" s="22"/>
      <c r="J141" s="22">
        <f aca="true" t="shared" si="17" ref="J141:J153">J118/60*1000000/(J$133*0.0283)*(21-7)/(21-J$134)</f>
        <v>204.6710277974776</v>
      </c>
      <c r="K141" s="26"/>
      <c r="L141" s="22">
        <f>AVERAGE(F141,H141,J141)</f>
        <v>164.95999750740256</v>
      </c>
      <c r="M141" s="30">
        <f t="shared" si="16"/>
        <v>0</v>
      </c>
      <c r="N141" s="22">
        <f t="shared" si="16"/>
        <v>21.09136252093952</v>
      </c>
      <c r="O141" s="30">
        <f t="shared" si="16"/>
        <v>0</v>
      </c>
      <c r="P141" s="22">
        <f t="shared" si="16"/>
        <v>269.1176022037905</v>
      </c>
      <c r="Q141" s="30">
        <f t="shared" si="16"/>
        <v>0</v>
      </c>
      <c r="R141" s="22">
        <f t="shared" si="16"/>
        <v>204.6710277974776</v>
      </c>
      <c r="S141" s="30">
        <f t="shared" si="16"/>
        <v>0</v>
      </c>
      <c r="T141" s="15">
        <f t="shared" si="16"/>
        <v>164.95999750740256</v>
      </c>
    </row>
    <row r="142" spans="2:20" ht="12.75">
      <c r="B142" s="16" t="s">
        <v>106</v>
      </c>
      <c r="D142" s="16" t="s">
        <v>12</v>
      </c>
      <c r="E142" s="16">
        <v>100</v>
      </c>
      <c r="F142" s="22">
        <f aca="true" t="shared" si="18" ref="F142:H153">F119/60*1000000/(F$133*0.0283)*(21-7)/(21-F$134)</f>
        <v>2.1040964999981484</v>
      </c>
      <c r="G142" s="16">
        <v>100</v>
      </c>
      <c r="H142" s="22">
        <f t="shared" si="18"/>
        <v>1.986422549437026</v>
      </c>
      <c r="I142" s="16">
        <v>100</v>
      </c>
      <c r="J142" s="22">
        <f t="shared" si="17"/>
        <v>2.0270652627738195</v>
      </c>
      <c r="K142" s="16">
        <v>100</v>
      </c>
      <c r="L142" s="22">
        <f>AVERAGE(F142,H142,J142)/2</f>
        <v>1.0195973853681657</v>
      </c>
      <c r="M142" s="30">
        <f>E142</f>
        <v>100</v>
      </c>
      <c r="N142" s="22">
        <f>F142/2</f>
        <v>1.0520482499990742</v>
      </c>
      <c r="O142" s="30">
        <f>G142</f>
        <v>100</v>
      </c>
      <c r="P142" s="22">
        <f>H142/2</f>
        <v>0.993211274718513</v>
      </c>
      <c r="Q142" s="30">
        <f>I142</f>
        <v>100</v>
      </c>
      <c r="R142" s="22">
        <f>J142/2</f>
        <v>1.0135326313869097</v>
      </c>
      <c r="S142" s="30">
        <f>K142</f>
        <v>100</v>
      </c>
      <c r="T142" s="15">
        <f>L142</f>
        <v>1.0195973853681657</v>
      </c>
    </row>
    <row r="143" spans="2:20" ht="12.75">
      <c r="B143" s="16" t="s">
        <v>102</v>
      </c>
      <c r="D143" s="16" t="s">
        <v>12</v>
      </c>
      <c r="E143" s="16">
        <v>100</v>
      </c>
      <c r="F143" s="22">
        <f t="shared" si="18"/>
        <v>1.5371243892202042</v>
      </c>
      <c r="G143" s="16">
        <v>100</v>
      </c>
      <c r="H143" s="22">
        <f t="shared" si="18"/>
        <v>1.4502103275031046</v>
      </c>
      <c r="I143" s="16">
        <v>100</v>
      </c>
      <c r="J143" s="22">
        <f t="shared" si="17"/>
        <v>1.4890170757412622</v>
      </c>
      <c r="K143" s="16">
        <v>100</v>
      </c>
      <c r="L143" s="22">
        <f aca="true" t="shared" si="19" ref="L143:L153">AVERAGE(F143,H143,J143)/2</f>
        <v>0.7460586320774286</v>
      </c>
      <c r="M143" s="30">
        <f aca="true" t="shared" si="20" ref="M143:S156">E143</f>
        <v>100</v>
      </c>
      <c r="N143" s="22">
        <f aca="true" t="shared" si="21" ref="N143:N153">F143/2</f>
        <v>0.7685621946101021</v>
      </c>
      <c r="O143" s="30">
        <f t="shared" si="20"/>
        <v>100</v>
      </c>
      <c r="P143" s="22">
        <f aca="true" t="shared" si="22" ref="P143:P153">H143/2</f>
        <v>0.7251051637515523</v>
      </c>
      <c r="Q143" s="30">
        <f t="shared" si="20"/>
        <v>100</v>
      </c>
      <c r="R143" s="22">
        <f aca="true" t="shared" si="23" ref="R143:R153">J143/2</f>
        <v>0.7445085378706311</v>
      </c>
      <c r="S143" s="30">
        <f t="shared" si="20"/>
        <v>100</v>
      </c>
      <c r="T143" s="15">
        <f aca="true" t="shared" si="24" ref="T143:T153">L143</f>
        <v>0.7460586320774286</v>
      </c>
    </row>
    <row r="144" spans="2:20" ht="12.75">
      <c r="B144" s="16" t="s">
        <v>104</v>
      </c>
      <c r="D144" s="16" t="s">
        <v>12</v>
      </c>
      <c r="E144" s="16">
        <v>100</v>
      </c>
      <c r="F144" s="22">
        <f t="shared" si="18"/>
        <v>7.77381760777759</v>
      </c>
      <c r="G144" s="16">
        <v>100</v>
      </c>
      <c r="H144" s="22">
        <f t="shared" si="18"/>
        <v>7.2997982031458815</v>
      </c>
      <c r="I144" s="16">
        <v>100</v>
      </c>
      <c r="J144" s="22">
        <f t="shared" si="17"/>
        <v>7.470110875777593</v>
      </c>
      <c r="K144" s="16">
        <v>100</v>
      </c>
      <c r="L144" s="22">
        <f t="shared" si="19"/>
        <v>3.757287781116844</v>
      </c>
      <c r="M144" s="30">
        <f t="shared" si="20"/>
        <v>100</v>
      </c>
      <c r="N144" s="22">
        <f t="shared" si="21"/>
        <v>3.886908803888795</v>
      </c>
      <c r="O144" s="30">
        <f t="shared" si="20"/>
        <v>100</v>
      </c>
      <c r="P144" s="22">
        <f t="shared" si="22"/>
        <v>3.6498991015729407</v>
      </c>
      <c r="Q144" s="30">
        <f t="shared" si="20"/>
        <v>100</v>
      </c>
      <c r="R144" s="22">
        <f t="shared" si="23"/>
        <v>3.7350554378887963</v>
      </c>
      <c r="S144" s="30">
        <f t="shared" si="20"/>
        <v>100</v>
      </c>
      <c r="T144" s="15">
        <f t="shared" si="24"/>
        <v>3.757287781116844</v>
      </c>
    </row>
    <row r="145" spans="2:20" ht="12.75">
      <c r="B145" s="16" t="s">
        <v>103</v>
      </c>
      <c r="D145" s="16" t="s">
        <v>12</v>
      </c>
      <c r="E145" s="16">
        <v>100</v>
      </c>
      <c r="F145" s="22">
        <f t="shared" si="18"/>
        <v>0.10079504191607896</v>
      </c>
      <c r="G145" s="16">
        <v>100</v>
      </c>
      <c r="H145" s="22">
        <f t="shared" si="18"/>
        <v>0.09749313126071295</v>
      </c>
      <c r="I145" s="16">
        <v>100</v>
      </c>
      <c r="J145" s="22">
        <f t="shared" si="17"/>
        <v>0.1001019882851269</v>
      </c>
      <c r="K145" s="16">
        <v>100</v>
      </c>
      <c r="L145" s="22">
        <f t="shared" si="19"/>
        <v>0.04973169357698647</v>
      </c>
      <c r="M145" s="30">
        <f t="shared" si="20"/>
        <v>100</v>
      </c>
      <c r="N145" s="22">
        <f t="shared" si="21"/>
        <v>0.05039752095803948</v>
      </c>
      <c r="O145" s="30">
        <f t="shared" si="20"/>
        <v>100</v>
      </c>
      <c r="P145" s="22">
        <f t="shared" si="22"/>
        <v>0.048746565630356474</v>
      </c>
      <c r="Q145" s="30">
        <f t="shared" si="20"/>
        <v>100</v>
      </c>
      <c r="R145" s="22">
        <f t="shared" si="23"/>
        <v>0.05005099414256345</v>
      </c>
      <c r="S145" s="30">
        <f t="shared" si="20"/>
        <v>100</v>
      </c>
      <c r="T145" s="15">
        <f t="shared" si="24"/>
        <v>0.04973169357698647</v>
      </c>
    </row>
    <row r="146" spans="2:20" ht="12.75">
      <c r="B146" s="16" t="s">
        <v>109</v>
      </c>
      <c r="D146" s="16" t="s">
        <v>12</v>
      </c>
      <c r="E146" s="16">
        <v>100</v>
      </c>
      <c r="F146" s="22">
        <f t="shared" si="18"/>
        <v>0.10079504191607896</v>
      </c>
      <c r="G146" s="16">
        <v>100</v>
      </c>
      <c r="H146" s="22">
        <f t="shared" si="18"/>
        <v>0.09749313126071295</v>
      </c>
      <c r="I146" s="16">
        <v>100</v>
      </c>
      <c r="J146" s="22">
        <f t="shared" si="17"/>
        <v>0.1001019882851269</v>
      </c>
      <c r="K146" s="16">
        <v>100</v>
      </c>
      <c r="L146" s="22">
        <f t="shared" si="19"/>
        <v>0.04973169357698647</v>
      </c>
      <c r="M146" s="30">
        <f t="shared" si="20"/>
        <v>100</v>
      </c>
      <c r="N146" s="22">
        <f t="shared" si="21"/>
        <v>0.05039752095803948</v>
      </c>
      <c r="O146" s="30">
        <f t="shared" si="20"/>
        <v>100</v>
      </c>
      <c r="P146" s="22">
        <f t="shared" si="22"/>
        <v>0.048746565630356474</v>
      </c>
      <c r="Q146" s="30">
        <f t="shared" si="20"/>
        <v>100</v>
      </c>
      <c r="R146" s="22">
        <f t="shared" si="23"/>
        <v>0.05005099414256345</v>
      </c>
      <c r="S146" s="30">
        <f t="shared" si="20"/>
        <v>100</v>
      </c>
      <c r="T146" s="15">
        <f t="shared" si="24"/>
        <v>0.04973169357698647</v>
      </c>
    </row>
    <row r="147" spans="2:20" ht="12.75">
      <c r="B147" s="16" t="s">
        <v>111</v>
      </c>
      <c r="D147" s="16" t="s">
        <v>12</v>
      </c>
      <c r="E147" s="16">
        <v>100</v>
      </c>
      <c r="F147" s="22">
        <f t="shared" si="18"/>
        <v>3.1372456796379575</v>
      </c>
      <c r="G147" s="16">
        <v>100</v>
      </c>
      <c r="H147" s="22">
        <f t="shared" si="18"/>
        <v>2.949167220636566</v>
      </c>
      <c r="I147" s="16">
        <v>100</v>
      </c>
      <c r="J147" s="22">
        <f t="shared" si="17"/>
        <v>3.0155723970894472</v>
      </c>
      <c r="K147" s="16">
        <v>100</v>
      </c>
      <c r="L147" s="22">
        <f t="shared" si="19"/>
        <v>1.5169975495606618</v>
      </c>
      <c r="M147" s="30">
        <f t="shared" si="20"/>
        <v>100</v>
      </c>
      <c r="N147" s="22">
        <f t="shared" si="21"/>
        <v>1.5686228398189788</v>
      </c>
      <c r="O147" s="30">
        <f t="shared" si="20"/>
        <v>100</v>
      </c>
      <c r="P147" s="22">
        <f t="shared" si="22"/>
        <v>1.474583610318283</v>
      </c>
      <c r="Q147" s="30">
        <f t="shared" si="20"/>
        <v>100</v>
      </c>
      <c r="R147" s="22">
        <f t="shared" si="23"/>
        <v>1.5077861985447236</v>
      </c>
      <c r="S147" s="30">
        <f t="shared" si="20"/>
        <v>100</v>
      </c>
      <c r="T147" s="15">
        <f t="shared" si="24"/>
        <v>1.5169975495606618</v>
      </c>
    </row>
    <row r="148" spans="2:20" ht="12.75">
      <c r="B148" s="16" t="s">
        <v>107</v>
      </c>
      <c r="D148" s="16" t="s">
        <v>12</v>
      </c>
      <c r="E148" s="16">
        <v>100</v>
      </c>
      <c r="F148" s="22">
        <f t="shared" si="18"/>
        <v>1.0331491796398093</v>
      </c>
      <c r="G148" s="16">
        <v>100</v>
      </c>
      <c r="H148" s="22">
        <f t="shared" si="18"/>
        <v>0.9627446711995403</v>
      </c>
      <c r="I148" s="16">
        <v>100</v>
      </c>
      <c r="J148" s="22">
        <f t="shared" si="17"/>
        <v>0.9885071343156281</v>
      </c>
      <c r="K148" s="16">
        <v>100</v>
      </c>
      <c r="L148" s="22">
        <f t="shared" si="19"/>
        <v>0.49740016419249633</v>
      </c>
      <c r="M148" s="30">
        <f t="shared" si="20"/>
        <v>100</v>
      </c>
      <c r="N148" s="22">
        <f t="shared" si="21"/>
        <v>0.5165745898199047</v>
      </c>
      <c r="O148" s="30">
        <f t="shared" si="20"/>
        <v>100</v>
      </c>
      <c r="P148" s="22">
        <f t="shared" si="22"/>
        <v>0.48137233559977016</v>
      </c>
      <c r="Q148" s="30">
        <f t="shared" si="20"/>
        <v>100</v>
      </c>
      <c r="R148" s="22">
        <f t="shared" si="23"/>
        <v>0.49425356715781404</v>
      </c>
      <c r="S148" s="30">
        <f t="shared" si="20"/>
        <v>100</v>
      </c>
      <c r="T148" s="15">
        <f t="shared" si="24"/>
        <v>0.49740016419249633</v>
      </c>
    </row>
    <row r="149" spans="2:20" ht="12.75">
      <c r="B149" s="16" t="s">
        <v>114</v>
      </c>
      <c r="D149" s="16" t="s">
        <v>12</v>
      </c>
      <c r="E149" s="16">
        <v>100</v>
      </c>
      <c r="F149" s="22">
        <f t="shared" si="18"/>
        <v>1.7513138532918722</v>
      </c>
      <c r="G149" s="16">
        <v>100</v>
      </c>
      <c r="H149" s="22">
        <f t="shared" si="18"/>
        <v>1.6451965900245311</v>
      </c>
      <c r="I149" s="16">
        <v>100</v>
      </c>
      <c r="J149" s="22">
        <f t="shared" si="17"/>
        <v>1.6767083037758754</v>
      </c>
      <c r="K149" s="16">
        <v>100</v>
      </c>
      <c r="L149" s="22">
        <f t="shared" si="19"/>
        <v>0.8455364578487131</v>
      </c>
      <c r="M149" s="30">
        <f t="shared" si="20"/>
        <v>100</v>
      </c>
      <c r="N149" s="22">
        <f t="shared" si="21"/>
        <v>0.8756569266459361</v>
      </c>
      <c r="O149" s="30">
        <f t="shared" si="20"/>
        <v>100</v>
      </c>
      <c r="P149" s="22">
        <f t="shared" si="22"/>
        <v>0.8225982950122656</v>
      </c>
      <c r="Q149" s="30">
        <f t="shared" si="20"/>
        <v>100</v>
      </c>
      <c r="R149" s="22">
        <f t="shared" si="23"/>
        <v>0.8383541518879377</v>
      </c>
      <c r="S149" s="30">
        <f t="shared" si="20"/>
        <v>100</v>
      </c>
      <c r="T149" s="15">
        <f t="shared" si="24"/>
        <v>0.8455364578487131</v>
      </c>
    </row>
    <row r="150" spans="2:20" ht="12.75">
      <c r="B150" s="16" t="s">
        <v>108</v>
      </c>
      <c r="D150" s="16" t="s">
        <v>12</v>
      </c>
      <c r="E150" s="16">
        <v>100</v>
      </c>
      <c r="F150" s="22">
        <f t="shared" si="18"/>
        <v>1.5371243892202042</v>
      </c>
      <c r="G150" s="16">
        <v>100</v>
      </c>
      <c r="H150" s="22">
        <f t="shared" si="18"/>
        <v>1.4502103275031046</v>
      </c>
      <c r="I150" s="16">
        <v>100</v>
      </c>
      <c r="J150" s="22">
        <f t="shared" si="17"/>
        <v>1.4890170757412622</v>
      </c>
      <c r="K150" s="16">
        <v>100</v>
      </c>
      <c r="L150" s="22">
        <f t="shared" si="19"/>
        <v>0.7460586320774286</v>
      </c>
      <c r="M150" s="30">
        <f t="shared" si="20"/>
        <v>100</v>
      </c>
      <c r="N150" s="22">
        <f t="shared" si="21"/>
        <v>0.7685621946101021</v>
      </c>
      <c r="O150" s="30">
        <f t="shared" si="20"/>
        <v>100</v>
      </c>
      <c r="P150" s="22">
        <f t="shared" si="22"/>
        <v>0.7251051637515523</v>
      </c>
      <c r="Q150" s="30">
        <f t="shared" si="20"/>
        <v>100</v>
      </c>
      <c r="R150" s="22">
        <f t="shared" si="23"/>
        <v>0.7445085378706311</v>
      </c>
      <c r="S150" s="30">
        <f t="shared" si="20"/>
        <v>100</v>
      </c>
      <c r="T150" s="15">
        <f t="shared" si="24"/>
        <v>0.7460586320774286</v>
      </c>
    </row>
    <row r="151" spans="2:20" ht="12.75">
      <c r="B151" s="16" t="s">
        <v>121</v>
      </c>
      <c r="D151" s="16" t="s">
        <v>12</v>
      </c>
      <c r="E151" s="16">
        <v>100</v>
      </c>
      <c r="F151" s="22">
        <f t="shared" si="18"/>
        <v>2.6206710898180527</v>
      </c>
      <c r="G151" s="16">
        <v>100</v>
      </c>
      <c r="H151" s="22">
        <f t="shared" si="18"/>
        <v>2.461701564333002</v>
      </c>
      <c r="I151" s="16">
        <v>100</v>
      </c>
      <c r="J151" s="22">
        <f t="shared" si="17"/>
        <v>2.5275752041994544</v>
      </c>
      <c r="K151" s="16">
        <v>100</v>
      </c>
      <c r="L151" s="22">
        <f t="shared" si="19"/>
        <v>1.268324643058418</v>
      </c>
      <c r="M151" s="30">
        <f t="shared" si="20"/>
        <v>100</v>
      </c>
      <c r="N151" s="22">
        <f t="shared" si="21"/>
        <v>1.3103355449090264</v>
      </c>
      <c r="O151" s="30">
        <f t="shared" si="20"/>
        <v>100</v>
      </c>
      <c r="P151" s="22">
        <f t="shared" si="22"/>
        <v>1.230850782166501</v>
      </c>
      <c r="Q151" s="30">
        <f t="shared" si="20"/>
        <v>100</v>
      </c>
      <c r="R151" s="22">
        <f t="shared" si="23"/>
        <v>1.2637876020997272</v>
      </c>
      <c r="S151" s="30">
        <f t="shared" si="20"/>
        <v>100</v>
      </c>
      <c r="T151" s="15">
        <f t="shared" si="24"/>
        <v>1.268324643058418</v>
      </c>
    </row>
    <row r="152" spans="2:20" ht="12.75">
      <c r="B152" s="16" t="s">
        <v>110</v>
      </c>
      <c r="D152" s="16" t="s">
        <v>12</v>
      </c>
      <c r="E152" s="16">
        <v>100</v>
      </c>
      <c r="F152" s="22">
        <f t="shared" si="18"/>
        <v>0.5165745898199047</v>
      </c>
      <c r="G152" s="16">
        <v>100</v>
      </c>
      <c r="H152" s="22">
        <f t="shared" si="18"/>
        <v>0.48746565630356464</v>
      </c>
      <c r="I152" s="16">
        <v>100</v>
      </c>
      <c r="J152" s="22">
        <f t="shared" si="17"/>
        <v>0.5005099414256344</v>
      </c>
      <c r="K152" s="16">
        <v>100</v>
      </c>
      <c r="L152" s="22">
        <f t="shared" si="19"/>
        <v>0.2507583645915173</v>
      </c>
      <c r="M152" s="30">
        <f t="shared" si="20"/>
        <v>100</v>
      </c>
      <c r="N152" s="22">
        <f t="shared" si="21"/>
        <v>0.25828729490995234</v>
      </c>
      <c r="O152" s="30">
        <f t="shared" si="20"/>
        <v>100</v>
      </c>
      <c r="P152" s="22">
        <f t="shared" si="22"/>
        <v>0.24373282815178232</v>
      </c>
      <c r="Q152" s="30">
        <f t="shared" si="20"/>
        <v>100</v>
      </c>
      <c r="R152" s="22">
        <f t="shared" si="23"/>
        <v>0.2502549707128172</v>
      </c>
      <c r="S152" s="30">
        <f t="shared" si="20"/>
        <v>100</v>
      </c>
      <c r="T152" s="15">
        <f t="shared" si="24"/>
        <v>0.2507583645915173</v>
      </c>
    </row>
    <row r="153" spans="2:20" ht="12.75">
      <c r="B153" s="16" t="s">
        <v>105</v>
      </c>
      <c r="D153" s="16" t="s">
        <v>12</v>
      </c>
      <c r="E153" s="16">
        <v>100</v>
      </c>
      <c r="F153" s="22">
        <f t="shared" si="18"/>
        <v>1.5371243892202042</v>
      </c>
      <c r="G153" s="16">
        <v>100</v>
      </c>
      <c r="H153" s="22">
        <f t="shared" si="18"/>
        <v>1.4502103275031046</v>
      </c>
      <c r="I153" s="16">
        <v>100</v>
      </c>
      <c r="J153" s="22">
        <f t="shared" si="17"/>
        <v>1.4890170757412622</v>
      </c>
      <c r="K153" s="16">
        <v>100</v>
      </c>
      <c r="L153" s="22">
        <f t="shared" si="19"/>
        <v>0.7460586320774286</v>
      </c>
      <c r="M153" s="30">
        <f t="shared" si="20"/>
        <v>100</v>
      </c>
      <c r="N153" s="22">
        <f t="shared" si="21"/>
        <v>0.7685621946101021</v>
      </c>
      <c r="O153" s="30">
        <f t="shared" si="20"/>
        <v>100</v>
      </c>
      <c r="P153" s="22">
        <f t="shared" si="22"/>
        <v>0.7251051637515523</v>
      </c>
      <c r="Q153" s="30">
        <f t="shared" si="20"/>
        <v>100</v>
      </c>
      <c r="R153" s="22">
        <f t="shared" si="23"/>
        <v>0.7445085378706311</v>
      </c>
      <c r="S153" s="30">
        <f t="shared" si="20"/>
        <v>100</v>
      </c>
      <c r="T153" s="15">
        <f t="shared" si="24"/>
        <v>0.7460586320774286</v>
      </c>
    </row>
    <row r="154" spans="6:20" ht="12.75">
      <c r="F154" s="22"/>
      <c r="G154" s="22"/>
      <c r="H154" s="22"/>
      <c r="I154" s="22"/>
      <c r="J154" s="22"/>
      <c r="K154" s="26"/>
      <c r="L154" s="22"/>
      <c r="M154" s="30"/>
      <c r="N154" s="22"/>
      <c r="O154" s="30"/>
      <c r="P154" s="22"/>
      <c r="Q154" s="30"/>
      <c r="R154" s="22"/>
      <c r="S154" s="30"/>
      <c r="T154" s="22"/>
    </row>
    <row r="155" spans="2:20" ht="12.75">
      <c r="B155" s="16" t="s">
        <v>5</v>
      </c>
      <c r="D155" s="16" t="s">
        <v>12</v>
      </c>
      <c r="E155" s="16">
        <v>100</v>
      </c>
      <c r="F155" s="22">
        <f>F146+F148</f>
        <v>1.1339442215558884</v>
      </c>
      <c r="G155" s="16">
        <v>100</v>
      </c>
      <c r="H155" s="22">
        <f>H146+H148</f>
        <v>1.0602378024602532</v>
      </c>
      <c r="I155" s="16">
        <v>100</v>
      </c>
      <c r="J155" s="22">
        <f>J146+J148</f>
        <v>1.088609122600755</v>
      </c>
      <c r="K155" s="16">
        <v>100</v>
      </c>
      <c r="L155" s="22">
        <f>AVERAGE(F155,H155,J155)</f>
        <v>1.0942637155389656</v>
      </c>
      <c r="M155" s="30">
        <f t="shared" si="20"/>
        <v>100</v>
      </c>
      <c r="N155" s="22">
        <f>F155</f>
        <v>1.1339442215558884</v>
      </c>
      <c r="O155" s="30">
        <f t="shared" si="20"/>
        <v>100</v>
      </c>
      <c r="P155" s="22">
        <f>H155</f>
        <v>1.0602378024602532</v>
      </c>
      <c r="Q155" s="30">
        <f t="shared" si="20"/>
        <v>100</v>
      </c>
      <c r="R155" s="22">
        <f>J155</f>
        <v>1.088609122600755</v>
      </c>
      <c r="S155" s="30">
        <f t="shared" si="20"/>
        <v>100</v>
      </c>
      <c r="T155" s="22">
        <f>L155</f>
        <v>1.0942637155389656</v>
      </c>
    </row>
    <row r="156" spans="2:20" ht="12.75">
      <c r="B156" s="16" t="s">
        <v>6</v>
      </c>
      <c r="D156" s="16" t="s">
        <v>12</v>
      </c>
      <c r="E156" s="16">
        <v>100</v>
      </c>
      <c r="F156" s="22">
        <f>F143+F145+F147</f>
        <v>4.775165110774241</v>
      </c>
      <c r="G156" s="16">
        <v>100</v>
      </c>
      <c r="H156" s="22">
        <f>H143+H145+H147</f>
        <v>4.496870679400383</v>
      </c>
      <c r="I156" s="16">
        <v>100</v>
      </c>
      <c r="J156" s="22">
        <f>J143+J145+J147</f>
        <v>4.604691461115836</v>
      </c>
      <c r="K156" s="16">
        <v>100</v>
      </c>
      <c r="L156" s="22">
        <f>AVERAGE(F156,H156,J156)</f>
        <v>4.625575750430153</v>
      </c>
      <c r="M156" s="30">
        <f t="shared" si="20"/>
        <v>100</v>
      </c>
      <c r="N156" s="22">
        <f>F156</f>
        <v>4.775165110774241</v>
      </c>
      <c r="O156" s="30">
        <f t="shared" si="20"/>
        <v>100</v>
      </c>
      <c r="P156" s="22">
        <f>H156</f>
        <v>4.496870679400383</v>
      </c>
      <c r="Q156" s="30">
        <f t="shared" si="20"/>
        <v>100</v>
      </c>
      <c r="R156" s="22">
        <f>J156</f>
        <v>4.604691461115836</v>
      </c>
      <c r="S156" s="30">
        <f t="shared" si="20"/>
        <v>100</v>
      </c>
      <c r="T156" s="22">
        <f>L156</f>
        <v>4.625575750430153</v>
      </c>
    </row>
    <row r="159" spans="2:3" ht="12.75">
      <c r="B159" s="20" t="s">
        <v>67</v>
      </c>
      <c r="C159" s="20"/>
    </row>
    <row r="160" spans="2:3" ht="12.75">
      <c r="B160" s="20"/>
      <c r="C160" s="20"/>
    </row>
    <row r="161" spans="2:6" ht="12.75">
      <c r="B161" s="16" t="s">
        <v>106</v>
      </c>
      <c r="D161" s="16" t="s">
        <v>60</v>
      </c>
      <c r="F161" s="16">
        <v>196</v>
      </c>
    </row>
    <row r="162" spans="2:6" ht="12.75">
      <c r="B162" s="16" t="s">
        <v>102</v>
      </c>
      <c r="D162" s="16" t="s">
        <v>60</v>
      </c>
      <c r="F162" s="16">
        <v>1.3</v>
      </c>
    </row>
    <row r="163" spans="2:6" ht="12.75">
      <c r="B163" s="16" t="s">
        <v>104</v>
      </c>
      <c r="D163" s="16" t="s">
        <v>60</v>
      </c>
      <c r="F163" s="16">
        <v>29381</v>
      </c>
    </row>
    <row r="164" spans="2:6" ht="12.75">
      <c r="B164" s="16" t="s">
        <v>103</v>
      </c>
      <c r="D164" s="16" t="s">
        <v>60</v>
      </c>
      <c r="F164" s="16">
        <v>0.34</v>
      </c>
    </row>
    <row r="165" spans="2:6" ht="12.75">
      <c r="B165" s="16" t="s">
        <v>109</v>
      </c>
      <c r="D165" s="16" t="s">
        <v>60</v>
      </c>
      <c r="F165" s="16">
        <v>0.64</v>
      </c>
    </row>
    <row r="166" spans="2:6" ht="12.75">
      <c r="B166" s="16" t="s">
        <v>64</v>
      </c>
      <c r="D166" s="16" t="s">
        <v>60</v>
      </c>
      <c r="F166" s="16">
        <v>483</v>
      </c>
    </row>
    <row r="167" spans="2:6" ht="12.75">
      <c r="B167" s="16" t="s">
        <v>111</v>
      </c>
      <c r="D167" s="16" t="s">
        <v>60</v>
      </c>
      <c r="F167" s="16">
        <v>1.95</v>
      </c>
    </row>
    <row r="168" spans="2:6" ht="12.75">
      <c r="B168" s="16" t="s">
        <v>107</v>
      </c>
      <c r="D168" s="16" t="s">
        <v>60</v>
      </c>
      <c r="F168" s="16">
        <v>218</v>
      </c>
    </row>
    <row r="169" spans="2:6" ht="12.75">
      <c r="B169" s="16" t="s">
        <v>114</v>
      </c>
      <c r="D169" s="16" t="s">
        <v>60</v>
      </c>
      <c r="F169" s="16">
        <v>218</v>
      </c>
    </row>
    <row r="170" spans="2:6" ht="12.75">
      <c r="B170" s="16" t="s">
        <v>110</v>
      </c>
      <c r="D170" s="16" t="s">
        <v>60</v>
      </c>
      <c r="F170" s="16">
        <v>3017</v>
      </c>
    </row>
    <row r="171" spans="2:6" ht="12.75">
      <c r="B171" s="16" t="s">
        <v>105</v>
      </c>
      <c r="D171" s="16" t="s">
        <v>60</v>
      </c>
      <c r="F171" s="16">
        <v>409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" sqref="C1"/>
    </sheetView>
  </sheetViews>
  <sheetFormatPr defaultColWidth="9.140625" defaultRowHeight="12.75"/>
  <cols>
    <col min="1" max="1" width="21.8515625" style="1" customWidth="1"/>
    <col min="2" max="2" width="7.00390625" style="1" customWidth="1"/>
    <col min="3" max="3" width="8.140625" style="1" customWidth="1"/>
    <col min="4" max="4" width="8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7" t="s">
        <v>68</v>
      </c>
    </row>
    <row r="3" spans="2:6" ht="12.75">
      <c r="B3" s="1" t="s">
        <v>47</v>
      </c>
      <c r="C3" s="2" t="s">
        <v>48</v>
      </c>
      <c r="D3" s="2" t="s">
        <v>48</v>
      </c>
      <c r="E3" s="2" t="s">
        <v>48</v>
      </c>
      <c r="F3" s="2" t="s">
        <v>69</v>
      </c>
    </row>
    <row r="4" spans="3:6" ht="12.75">
      <c r="C4" s="2">
        <v>1</v>
      </c>
      <c r="D4" s="2">
        <v>2</v>
      </c>
      <c r="E4" s="2">
        <v>3</v>
      </c>
      <c r="F4" s="2"/>
    </row>
    <row r="5" spans="1:6" ht="12.75">
      <c r="A5" s="7" t="s">
        <v>50</v>
      </c>
      <c r="C5" s="2"/>
      <c r="D5" s="2"/>
      <c r="E5" s="2"/>
      <c r="F5" s="2"/>
    </row>
    <row r="6" spans="1:6" ht="12.75">
      <c r="A6" s="7"/>
      <c r="C6" s="2"/>
      <c r="D6" s="2"/>
      <c r="E6" s="2"/>
      <c r="F6" s="2"/>
    </row>
    <row r="7" spans="1:6" ht="12.75">
      <c r="A7" s="1" t="s">
        <v>80</v>
      </c>
      <c r="B7" s="1" t="s">
        <v>56</v>
      </c>
      <c r="C7" s="1">
        <v>116230</v>
      </c>
      <c r="D7" s="6">
        <v>119270</v>
      </c>
      <c r="E7" s="1">
        <v>118830</v>
      </c>
      <c r="F7" s="6">
        <f>AVERAGE(C7,D7,E7)</f>
        <v>118110</v>
      </c>
    </row>
    <row r="9" ht="12.75">
      <c r="A9" s="7" t="s">
        <v>57</v>
      </c>
    </row>
    <row r="10" ht="12.75">
      <c r="A10" s="7"/>
    </row>
    <row r="11" spans="1:6" ht="12.75">
      <c r="A11" s="1" t="s">
        <v>80</v>
      </c>
      <c r="B11" s="1" t="s">
        <v>56</v>
      </c>
      <c r="C11" s="1">
        <v>89700</v>
      </c>
      <c r="D11" s="1">
        <v>88320</v>
      </c>
      <c r="E11" s="1">
        <v>88110</v>
      </c>
      <c r="F11" s="6">
        <f>AVERAGE(C11,D11,E11)</f>
        <v>88710</v>
      </c>
    </row>
    <row r="13" ht="12.75">
      <c r="A13" s="7" t="s">
        <v>58</v>
      </c>
    </row>
    <row r="14" ht="12.75">
      <c r="A14" s="7"/>
    </row>
    <row r="15" spans="1:6" ht="12.75">
      <c r="A15" s="1" t="s">
        <v>80</v>
      </c>
      <c r="B15" s="1" t="s">
        <v>56</v>
      </c>
      <c r="C15" s="1">
        <v>170200</v>
      </c>
      <c r="D15" s="1">
        <v>177200</v>
      </c>
      <c r="E15" s="1">
        <v>170200</v>
      </c>
      <c r="F15" s="6">
        <f>AVERAGE(C15,D15,E15)</f>
        <v>172533.33333333334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2004-02-25T17:54:02Z</cp:lastPrinted>
  <dcterms:created xsi:type="dcterms:W3CDTF">2000-11-28T22:00:32Z</dcterms:created>
  <dcterms:modified xsi:type="dcterms:W3CDTF">2004-02-25T17:54:06Z</dcterms:modified>
  <cp:category/>
  <cp:version/>
  <cp:contentType/>
  <cp:contentStatus/>
</cp:coreProperties>
</file>