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5" yWindow="322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1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<sst xmlns="http://schemas.openxmlformats.org/spreadsheetml/2006/main" count="639" uniqueCount="205">
  <si>
    <t>Stack Gas Emissions</t>
  </si>
  <si>
    <t>HW</t>
  </si>
  <si>
    <t>PM</t>
  </si>
  <si>
    <t>HCl</t>
  </si>
  <si>
    <t>Cl2</t>
  </si>
  <si>
    <t>SVM</t>
  </si>
  <si>
    <t>LVM</t>
  </si>
  <si>
    <t>DRE</t>
  </si>
  <si>
    <t>Ash</t>
  </si>
  <si>
    <t>O2</t>
  </si>
  <si>
    <t>gr/dscf</t>
  </si>
  <si>
    <t>ppmv</t>
  </si>
  <si>
    <t>µg/dscm</t>
  </si>
  <si>
    <t>mg/dscm</t>
  </si>
  <si>
    <t>dscfm</t>
  </si>
  <si>
    <t>%</t>
  </si>
  <si>
    <t>°F</t>
  </si>
  <si>
    <t>EPA ID No.</t>
  </si>
  <si>
    <t>LAD040776809</t>
  </si>
  <si>
    <t>Facility Name</t>
  </si>
  <si>
    <t>BASF</t>
  </si>
  <si>
    <t>Facility Location</t>
  </si>
  <si>
    <t>Geismar</t>
  </si>
  <si>
    <t>LA</t>
  </si>
  <si>
    <t>Unit ID Name/No.</t>
  </si>
  <si>
    <t>Amines</t>
  </si>
  <si>
    <t>Other Sister Facilities</t>
  </si>
  <si>
    <t>Combustor Characteristics</t>
  </si>
  <si>
    <t>None</t>
  </si>
  <si>
    <t>APCS Characteristics</t>
  </si>
  <si>
    <t>NA</t>
  </si>
  <si>
    <t>Liq ignitable wastes (DOO1) from amines production, methanol (F003), process vent gases, butanediol light ends</t>
  </si>
  <si>
    <t>Natural gas</t>
  </si>
  <si>
    <t>Stack Characteristics</t>
  </si>
  <si>
    <t>Permitting Status</t>
  </si>
  <si>
    <t>Tier I for all metals</t>
  </si>
  <si>
    <t xml:space="preserve">     Report Name/Date</t>
  </si>
  <si>
    <t>BASF Corp. DRE Trial Burn Report, March 1998, Rev. 2</t>
  </si>
  <si>
    <t xml:space="preserve">     Report Prepar</t>
  </si>
  <si>
    <t>?</t>
  </si>
  <si>
    <t xml:space="preserve">     Testing Firm</t>
  </si>
  <si>
    <t>METCO</t>
  </si>
  <si>
    <t xml:space="preserve">     Testing Dates</t>
  </si>
  <si>
    <t>Feburary 28 - March 2, 1997</t>
  </si>
  <si>
    <t xml:space="preserve">     Content</t>
  </si>
  <si>
    <t>DRE, PM, HCl/Cl2, CO; metals, chlorine, ash feeds</t>
  </si>
  <si>
    <t>Risk Burn Report Amines Boiler, Number 6 Utility Boiler, March 1998</t>
  </si>
  <si>
    <t>ICF Kaiser/BASF</t>
  </si>
  <si>
    <t>March 3-5, 1997</t>
  </si>
  <si>
    <t>PM, chlorine, D/F, organics (metals in feedstream only)</t>
  </si>
  <si>
    <t>Units</t>
  </si>
  <si>
    <t>Run</t>
  </si>
  <si>
    <t>Cond Avg</t>
  </si>
  <si>
    <t>y</t>
  </si>
  <si>
    <t>n</t>
  </si>
  <si>
    <t>nd</t>
  </si>
  <si>
    <t xml:space="preserve">   Stack Gas Flowrate</t>
  </si>
  <si>
    <t xml:space="preserve">   Temperature</t>
  </si>
  <si>
    <t>POHC DRE</t>
  </si>
  <si>
    <t>lb/hr</t>
  </si>
  <si>
    <t>Feedstreams</t>
  </si>
  <si>
    <t>834C10</t>
  </si>
  <si>
    <t>Liquid waste</t>
  </si>
  <si>
    <t>g/hr</t>
  </si>
  <si>
    <t>Density</t>
  </si>
  <si>
    <t>g/ml</t>
  </si>
  <si>
    <t>Heat Content</t>
  </si>
  <si>
    <t>Btu/lb</t>
  </si>
  <si>
    <t>Chlorine</t>
  </si>
  <si>
    <t>Stack Gas Flowrate</t>
  </si>
  <si>
    <t>Tier I BIF Limits</t>
  </si>
  <si>
    <t>Process Information</t>
  </si>
  <si>
    <t>Avg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</si>
  <si>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</si>
  <si>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</si>
  <si>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</si>
  <si>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</si>
  <si>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</si>
  <si>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</si>
  <si>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</si>
  <si>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</si>
  <si>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</si>
  <si>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</si>
  <si>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</si>
  <si>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</si>
  <si>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</si>
  <si>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</si>
  <si>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</si>
  <si>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</si>
  <si>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</si>
  <si>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</si>
  <si>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</si>
  <si>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</si>
  <si>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</si>
  <si>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</si>
  <si>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</si>
  <si>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</si>
  <si>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</si>
  <si>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</si>
  <si>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</si>
  <si>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</si>
  <si>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</si>
  <si>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</si>
  <si>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</si>
  <si>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</si>
  <si>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</si>
  <si>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</si>
  <si>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</si>
  <si>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</si>
  <si>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(ng in sample)</t>
  </si>
  <si>
    <t>PCDD/PCDF (ng/dscm @ 7% O2)</t>
  </si>
  <si>
    <t>No</t>
  </si>
  <si>
    <t>Liq</t>
  </si>
  <si>
    <t>1/2 ND</t>
  </si>
  <si>
    <t>PCDD/PCDF</t>
  </si>
  <si>
    <t>TEQ Cond Avg</t>
  </si>
  <si>
    <t>Total Cond Avg</t>
  </si>
  <si>
    <t>Trial burn</t>
  </si>
  <si>
    <t>834C11</t>
  </si>
  <si>
    <t>Risk burn, worst case op cond (max temp, feedrates, prod rates)</t>
  </si>
  <si>
    <t>Capacity (MMBtu/hr)</t>
  </si>
  <si>
    <t>Hazardous Wastes</t>
  </si>
  <si>
    <t>Haz Waste Description</t>
  </si>
  <si>
    <t>Supplemental Fuel</t>
  </si>
  <si>
    <t>Feedrate MTEC Calculations</t>
  </si>
  <si>
    <t>7% O2</t>
  </si>
  <si>
    <t>Temp Zone 1</t>
  </si>
  <si>
    <t>Phase II ID No.</t>
  </si>
  <si>
    <t>Source Description</t>
  </si>
  <si>
    <t xml:space="preserve">     Cond Description</t>
  </si>
  <si>
    <t xml:space="preserve">    City</t>
  </si>
  <si>
    <t xml:space="preserve">    State</t>
  </si>
  <si>
    <t>Soot Blowing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</si>
  <si>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</si>
  <si>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</si>
  <si>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</si>
  <si>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</si>
  <si>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</si>
  <si>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trial burn</t>
  </si>
  <si>
    <t>PM, HCl/Cl2</t>
  </si>
  <si>
    <t xml:space="preserve">   O2</t>
  </si>
  <si>
    <t xml:space="preserve">   Moisture</t>
  </si>
  <si>
    <t>Toluene</t>
  </si>
  <si>
    <t>Feedrate</t>
  </si>
  <si>
    <t>Emissions Rate</t>
  </si>
  <si>
    <t>Total Chlorine</t>
  </si>
  <si>
    <t>CO (RA)</t>
  </si>
  <si>
    <t>Sampling Train</t>
  </si>
  <si>
    <t>Arsenic</t>
  </si>
  <si>
    <t>Beryllium</t>
  </si>
  <si>
    <t>Barium</t>
  </si>
  <si>
    <t>Thallium</t>
  </si>
  <si>
    <t>Antimony</t>
  </si>
  <si>
    <t>Lead</t>
  </si>
  <si>
    <t>Nickel</t>
  </si>
  <si>
    <t>Cadmium</t>
  </si>
  <si>
    <t>Silver</t>
  </si>
  <si>
    <t>Chromium</t>
  </si>
  <si>
    <t>(trial burn)</t>
  </si>
  <si>
    <t xml:space="preserve">834C11 </t>
  </si>
  <si>
    <t>(risk burn)</t>
  </si>
  <si>
    <t>*</t>
  </si>
  <si>
    <t>Thermal Feedrate</t>
  </si>
  <si>
    <t>Mercury</t>
  </si>
  <si>
    <t>Feed Rate</t>
  </si>
  <si>
    <t>Feedstream Description</t>
  </si>
  <si>
    <t>HWC Burn Status (Date if Terminated)</t>
  </si>
  <si>
    <t>R1</t>
  </si>
  <si>
    <t>R2</t>
  </si>
  <si>
    <t>R3</t>
  </si>
  <si>
    <t>Selenium</t>
  </si>
  <si>
    <t xml:space="preserve">     Cond Dates</t>
  </si>
  <si>
    <t>Combustor/waste heat boiler. McGill Envir. 3 zone low NOx combustor (oxidizing chamber, reducing chamber, reoxidation chamber), waste heat boiler, economizer, 9000 lb/hr steam @ 650 psig and 650°F</t>
  </si>
  <si>
    <t>Liquid-fired boiler</t>
  </si>
  <si>
    <t>Cond Description</t>
  </si>
  <si>
    <t>Number of Sister Facilities</t>
  </si>
  <si>
    <t>APCS Detailed Acronym</t>
  </si>
  <si>
    <t>APCS General Class</t>
  </si>
  <si>
    <t>Liquid-fired</t>
  </si>
  <si>
    <t>E1</t>
  </si>
  <si>
    <t>Worst case risk burn</t>
  </si>
  <si>
    <t>Combustor Class</t>
  </si>
  <si>
    <t>Combustor Type</t>
  </si>
  <si>
    <t>source</t>
  </si>
  <si>
    <t>cond</t>
  </si>
  <si>
    <t>emiss</t>
  </si>
  <si>
    <t>feed</t>
  </si>
  <si>
    <t>process</t>
  </si>
  <si>
    <t>Feedstream Number</t>
  </si>
  <si>
    <t>Feed Class</t>
  </si>
  <si>
    <t xml:space="preserve"> F1</t>
  </si>
  <si>
    <t>Liq HW</t>
  </si>
  <si>
    <t>F2</t>
  </si>
  <si>
    <t>MMBtu/hr</t>
  </si>
  <si>
    <t>Feed Class 2</t>
  </si>
  <si>
    <t>Estimated Firing Rate</t>
  </si>
  <si>
    <t>df c11</t>
  </si>
  <si>
    <t>Full ND</t>
  </si>
  <si>
    <t xml:space="preserve">Facility Name and ID:  </t>
  </si>
  <si>
    <t>BASF, Geismar, LA, Amines Boiler</t>
  </si>
  <si>
    <t xml:space="preserve">Condition ID:  </t>
  </si>
  <si>
    <t xml:space="preserve">Condition/Test Date:  </t>
  </si>
  <si>
    <t>Risk burn worst case conditions, March 3-5, 1997</t>
  </si>
  <si>
    <t>N</t>
  </si>
  <si>
    <t>Heating Value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</si>
</sst>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mmmm\-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1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1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16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D21" sqref="D21"/>
    </sheetView>
  </sheetViews>
  <sheetFormatPr defaultColWidth="9.140625" defaultRowHeight="12.75"/>
  <sheetData>
    <row r="1" ht="12.75">
      <c r="A1" t="s">
        <v>183</v>
      </c>
    </row>
    <row r="2" ht="12.75">
      <c r="A2" t="s">
        <v>184</v>
      </c>
    </row>
    <row r="3" ht="12.75">
      <c r="A3" t="s">
        <v>185</v>
      </c>
    </row>
    <row r="4" ht="12.75">
      <c r="A4" t="s">
        <v>186</v>
      </c>
    </row>
    <row r="5" ht="12.75">
      <c r="A5" t="s">
        <v>187</v>
      </c>
    </row>
    <row r="6" ht="12.75">
      <c r="A6" t="s">
        <v>196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7" sqref="C17"/>
    </sheetView>
  </sheetViews>
  <sheetFormatPr defaultColWidth="9.140625" defaultRowHeight="12.75"/>
  <cols>
    <col min="1" max="1" width="9.140625" style="1" hidden="1" customWidth="1"/>
    <col min="2" max="2" width="24.00390625" style="1" customWidth="1"/>
    <col min="3" max="3" width="61.57421875" style="1" customWidth="1"/>
    <col min="4" max="4" width="9.00390625" style="1" customWidth="1"/>
    <col min="5" max="16384" width="11.421875" style="1" customWidth="1"/>
  </cols>
  <sheetData>
    <row r="1" ht="12.75">
      <c r="B1" s="10" t="s">
        <v>128</v>
      </c>
    </row>
    <row r="3" spans="2:3" ht="12.75">
      <c r="B3" s="1" t="s">
        <v>127</v>
      </c>
      <c r="C3" s="3">
        <v>834</v>
      </c>
    </row>
    <row r="4" spans="2:3" ht="12.75">
      <c r="B4" s="1" t="s">
        <v>17</v>
      </c>
      <c r="C4" s="1" t="s">
        <v>18</v>
      </c>
    </row>
    <row r="5" spans="2:3" ht="12.75">
      <c r="B5" s="1" t="s">
        <v>19</v>
      </c>
      <c r="C5" s="1" t="s">
        <v>20</v>
      </c>
    </row>
    <row r="6" ht="12.75">
      <c r="B6" s="1" t="s">
        <v>21</v>
      </c>
    </row>
    <row r="7" spans="2:3" ht="12.75">
      <c r="B7" s="1" t="s">
        <v>130</v>
      </c>
      <c r="C7" s="1" t="s">
        <v>22</v>
      </c>
    </row>
    <row r="8" spans="2:3" ht="12.75">
      <c r="B8" s="1" t="s">
        <v>131</v>
      </c>
      <c r="C8" s="1" t="s">
        <v>23</v>
      </c>
    </row>
    <row r="9" spans="2:3" ht="12.75">
      <c r="B9" s="1" t="s">
        <v>24</v>
      </c>
      <c r="C9" s="1" t="s">
        <v>25</v>
      </c>
    </row>
    <row r="10" spans="2:3" ht="12.75">
      <c r="B10" s="1" t="s">
        <v>26</v>
      </c>
      <c r="C10" s="1" t="s">
        <v>28</v>
      </c>
    </row>
    <row r="11" spans="2:3" ht="12.75">
      <c r="B11" s="1" t="s">
        <v>175</v>
      </c>
      <c r="C11" s="3">
        <v>0</v>
      </c>
    </row>
    <row r="12" spans="2:3" ht="12.75">
      <c r="B12" s="1" t="s">
        <v>181</v>
      </c>
      <c r="C12" s="1" t="s">
        <v>173</v>
      </c>
    </row>
    <row r="13" spans="2:3" ht="12.75">
      <c r="B13" s="1" t="s">
        <v>182</v>
      </c>
      <c r="C13" s="1" t="s">
        <v>178</v>
      </c>
    </row>
    <row r="14" spans="2:3" ht="38.25">
      <c r="B14" s="11" t="s">
        <v>27</v>
      </c>
      <c r="C14" s="12" t="s">
        <v>172</v>
      </c>
    </row>
    <row r="15" spans="2:3" ht="12.75">
      <c r="B15" s="11" t="s">
        <v>120</v>
      </c>
      <c r="C15" s="29">
        <v>15</v>
      </c>
    </row>
    <row r="16" spans="2:3" ht="12.75">
      <c r="B16" s="1" t="s">
        <v>132</v>
      </c>
      <c r="C16" s="1" t="s">
        <v>111</v>
      </c>
    </row>
    <row r="17" spans="2:3" ht="12.75">
      <c r="B17" s="1" t="s">
        <v>176</v>
      </c>
      <c r="C17" s="1" t="s">
        <v>28</v>
      </c>
    </row>
    <row r="18" ht="12.75">
      <c r="B18" s="1" t="s">
        <v>177</v>
      </c>
    </row>
    <row r="19" spans="2:3" ht="12.75">
      <c r="B19" s="1" t="s">
        <v>29</v>
      </c>
      <c r="C19" s="1" t="s">
        <v>30</v>
      </c>
    </row>
    <row r="20" spans="2:3" ht="12.75">
      <c r="B20" s="1" t="s">
        <v>121</v>
      </c>
      <c r="C20" s="1" t="s">
        <v>112</v>
      </c>
    </row>
    <row r="21" spans="2:3" ht="25.5">
      <c r="B21" s="11" t="s">
        <v>122</v>
      </c>
      <c r="C21" s="12" t="s">
        <v>31</v>
      </c>
    </row>
    <row r="22" spans="2:3" ht="12.75">
      <c r="B22" s="1" t="s">
        <v>123</v>
      </c>
      <c r="C22" s="1" t="s">
        <v>32</v>
      </c>
    </row>
    <row r="23" ht="12.75" customHeight="1"/>
    <row r="24" ht="12.75">
      <c r="B24" s="1" t="s">
        <v>33</v>
      </c>
    </row>
    <row r="25" spans="2:3" ht="12.75">
      <c r="B25" s="1" t="s">
        <v>133</v>
      </c>
      <c r="C25" s="3">
        <v>1</v>
      </c>
    </row>
    <row r="26" spans="2:3" ht="12.75">
      <c r="B26" s="1" t="s">
        <v>134</v>
      </c>
      <c r="C26" s="13">
        <f>24/(0.0283^0.33333)</f>
        <v>78.75484283617854</v>
      </c>
    </row>
    <row r="27" spans="2:3" ht="12.75">
      <c r="B27" s="1" t="s">
        <v>135</v>
      </c>
      <c r="C27" s="14">
        <f>30/0.3048</f>
        <v>98.42519685039369</v>
      </c>
    </row>
    <row r="28" spans="2:3" ht="12.75">
      <c r="B28" s="1" t="s">
        <v>136</v>
      </c>
      <c r="C28" s="3">
        <v>330</v>
      </c>
    </row>
    <row r="29" ht="12.75" customHeight="1"/>
    <row r="30" spans="2:3" ht="12.75">
      <c r="B30" s="1" t="s">
        <v>34</v>
      </c>
      <c r="C30" s="1" t="s">
        <v>35</v>
      </c>
    </row>
    <row r="31" s="12" customFormat="1" ht="25.5">
      <c r="B31" s="12" t="s">
        <v>166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C17" sqref="C17"/>
    </sheetView>
  </sheetViews>
  <sheetFormatPr defaultColWidth="9.140625" defaultRowHeight="12.75"/>
  <cols>
    <col min="1" max="1" width="9.140625" style="1" hidden="1" customWidth="1"/>
    <col min="2" max="2" width="24.421875" style="1" customWidth="1"/>
    <col min="3" max="3" width="59.7109375" style="1" customWidth="1"/>
    <col min="4" max="16384" width="9.140625" style="1" customWidth="1"/>
  </cols>
  <sheetData>
    <row r="1" ht="12.75">
      <c r="B1" s="10" t="s">
        <v>174</v>
      </c>
    </row>
    <row r="3" ht="12.75">
      <c r="B3" s="30" t="s">
        <v>61</v>
      </c>
    </row>
    <row r="5" spans="2:3" ht="12.75">
      <c r="B5" s="1" t="s">
        <v>36</v>
      </c>
      <c r="C5" s="1" t="s">
        <v>37</v>
      </c>
    </row>
    <row r="6" spans="2:3" ht="12.75">
      <c r="B6" s="1" t="s">
        <v>38</v>
      </c>
      <c r="C6" s="1" t="s">
        <v>39</v>
      </c>
    </row>
    <row r="7" spans="2:3" ht="12.75">
      <c r="B7" s="1" t="s">
        <v>40</v>
      </c>
      <c r="C7" s="1" t="s">
        <v>41</v>
      </c>
    </row>
    <row r="8" spans="2:3" ht="12.75">
      <c r="B8" s="1" t="s">
        <v>42</v>
      </c>
      <c r="C8" s="8" t="s">
        <v>43</v>
      </c>
    </row>
    <row r="9" spans="2:3" ht="12.75">
      <c r="B9" s="1" t="s">
        <v>171</v>
      </c>
      <c r="C9" s="35">
        <v>34028</v>
      </c>
    </row>
    <row r="10" spans="2:3" ht="12.75">
      <c r="B10" s="1" t="s">
        <v>129</v>
      </c>
      <c r="C10" s="1" t="s">
        <v>117</v>
      </c>
    </row>
    <row r="11" spans="2:3" ht="12.75">
      <c r="B11" s="1" t="s">
        <v>44</v>
      </c>
      <c r="C11" s="1" t="s">
        <v>45</v>
      </c>
    </row>
    <row r="13" ht="12.75">
      <c r="B13" s="30" t="s">
        <v>118</v>
      </c>
    </row>
    <row r="14" ht="12.75">
      <c r="B14" s="30"/>
    </row>
    <row r="15" spans="2:3" ht="12.75">
      <c r="B15" s="1" t="s">
        <v>36</v>
      </c>
      <c r="C15" s="1" t="s">
        <v>46</v>
      </c>
    </row>
    <row r="16" spans="2:3" ht="12.75">
      <c r="B16" s="1" t="s">
        <v>38</v>
      </c>
      <c r="C16" s="7" t="s">
        <v>47</v>
      </c>
    </row>
    <row r="17" spans="2:3" ht="12.75">
      <c r="B17" s="1" t="s">
        <v>40</v>
      </c>
      <c r="C17" s="1" t="s">
        <v>41</v>
      </c>
    </row>
    <row r="18" spans="2:3" ht="12.75">
      <c r="B18" s="1" t="s">
        <v>42</v>
      </c>
      <c r="C18" s="1" t="s">
        <v>48</v>
      </c>
    </row>
    <row r="19" spans="2:3" ht="12.75">
      <c r="B19" s="1" t="s">
        <v>171</v>
      </c>
      <c r="C19" s="35">
        <v>34028</v>
      </c>
    </row>
    <row r="20" spans="2:3" ht="12.75">
      <c r="B20" s="1" t="s">
        <v>129</v>
      </c>
      <c r="C20" s="8" t="s">
        <v>119</v>
      </c>
    </row>
    <row r="21" spans="2:3" ht="12.75">
      <c r="B21" s="1" t="s">
        <v>44</v>
      </c>
      <c r="C21" s="1" t="s">
        <v>49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B16">
      <selection activeCell="C17" sqref="C17"/>
    </sheetView>
  </sheetViews>
  <sheetFormatPr defaultColWidth="9.140625" defaultRowHeight="12.75"/>
  <cols>
    <col min="1" max="1" width="9.140625" style="1" hidden="1" customWidth="1"/>
    <col min="2" max="3" width="18.421875" style="1" customWidth="1"/>
    <col min="4" max="4" width="9.140625" style="1" customWidth="1"/>
    <col min="5" max="5" width="6.7109375" style="1" customWidth="1"/>
    <col min="6" max="6" width="2.421875" style="1" customWidth="1"/>
    <col min="7" max="7" width="9.8515625" style="1" customWidth="1"/>
    <col min="8" max="8" width="2.28125" style="1" customWidth="1"/>
    <col min="9" max="9" width="9.00390625" style="1" customWidth="1"/>
    <col min="10" max="10" width="2.7109375" style="1" customWidth="1"/>
    <col min="11" max="11" width="8.8515625" style="1" customWidth="1"/>
    <col min="12" max="12" width="2.00390625" style="1" customWidth="1"/>
    <col min="13" max="13" width="9.8515625" style="1" customWidth="1"/>
    <col min="14" max="14" width="10.421875" style="1" customWidth="1"/>
    <col min="15" max="15" width="9.8515625" style="1" customWidth="1"/>
    <col min="16" max="16384" width="11.421875" style="1" customWidth="1"/>
  </cols>
  <sheetData>
    <row r="1" spans="2:3" ht="12.75">
      <c r="B1" s="10" t="s">
        <v>0</v>
      </c>
      <c r="C1" s="10"/>
    </row>
    <row r="2" ht="12" customHeight="1"/>
    <row r="3" spans="3:15" ht="12.75">
      <c r="C3" s="1" t="s">
        <v>137</v>
      </c>
      <c r="D3" s="1" t="s">
        <v>50</v>
      </c>
      <c r="E3" s="1" t="s">
        <v>125</v>
      </c>
      <c r="G3" s="2"/>
      <c r="H3" s="2"/>
      <c r="I3" s="2"/>
      <c r="J3" s="2"/>
      <c r="K3" s="2"/>
      <c r="L3" s="2"/>
      <c r="M3" s="2"/>
      <c r="O3" s="2"/>
    </row>
    <row r="4" spans="7:13" ht="12.75">
      <c r="G4" s="2"/>
      <c r="H4" s="2"/>
      <c r="I4" s="2"/>
      <c r="J4" s="2"/>
      <c r="K4" s="2"/>
      <c r="L4" s="2"/>
      <c r="M4" s="2"/>
    </row>
    <row r="5" spans="7:13" ht="12.75">
      <c r="G5" s="2"/>
      <c r="H5" s="2"/>
      <c r="I5" s="2"/>
      <c r="J5" s="2"/>
      <c r="K5" s="2"/>
      <c r="L5" s="2"/>
      <c r="M5" s="2"/>
    </row>
    <row r="6" spans="1:13" ht="12.75">
      <c r="A6" s="1">
        <v>10</v>
      </c>
      <c r="B6" s="10" t="s">
        <v>61</v>
      </c>
      <c r="C6" s="10" t="s">
        <v>138</v>
      </c>
      <c r="G6" s="2" t="s">
        <v>167</v>
      </c>
      <c r="H6" s="2"/>
      <c r="I6" s="2" t="s">
        <v>168</v>
      </c>
      <c r="J6" s="2"/>
      <c r="K6" s="2" t="s">
        <v>169</v>
      </c>
      <c r="L6" s="2"/>
      <c r="M6" s="2" t="s">
        <v>52</v>
      </c>
    </row>
    <row r="7" spans="2:12" ht="12.75" customHeight="1">
      <c r="B7" s="10"/>
      <c r="C7" s="10"/>
      <c r="G7" s="2"/>
      <c r="H7" s="2"/>
      <c r="I7" s="2"/>
      <c r="J7" s="2"/>
      <c r="K7" s="2"/>
      <c r="L7" s="2"/>
    </row>
    <row r="8" spans="2:13" ht="12.75">
      <c r="B8" s="1" t="s">
        <v>2</v>
      </c>
      <c r="C8" s="1" t="s">
        <v>179</v>
      </c>
      <c r="D8" s="1" t="s">
        <v>10</v>
      </c>
      <c r="E8" s="1" t="s">
        <v>53</v>
      </c>
      <c r="G8" s="1">
        <v>0.0057</v>
      </c>
      <c r="I8" s="1">
        <v>0.0047</v>
      </c>
      <c r="K8" s="1">
        <v>0.0031</v>
      </c>
      <c r="M8" s="1">
        <f>AVERAGE(K8,I8,G8)</f>
        <v>0.0045</v>
      </c>
    </row>
    <row r="9" spans="2:13" ht="12.75">
      <c r="B9" s="1" t="s">
        <v>146</v>
      </c>
      <c r="C9" s="1" t="s">
        <v>179</v>
      </c>
      <c r="D9" s="1" t="s">
        <v>11</v>
      </c>
      <c r="E9" s="1" t="s">
        <v>53</v>
      </c>
      <c r="G9" s="1">
        <v>0.1</v>
      </c>
      <c r="I9" s="1">
        <v>0.9</v>
      </c>
      <c r="K9" s="1">
        <v>3.3</v>
      </c>
      <c r="M9" s="6">
        <f>AVERAGE(K9,I9,G9)</f>
        <v>1.4333333333333333</v>
      </c>
    </row>
    <row r="10" spans="2:13" ht="12.75">
      <c r="B10" s="1" t="s">
        <v>3</v>
      </c>
      <c r="D10" s="1" t="s">
        <v>11</v>
      </c>
      <c r="E10" s="1" t="s">
        <v>54</v>
      </c>
      <c r="G10" s="1">
        <v>0.02</v>
      </c>
      <c r="I10" s="1">
        <v>0.01</v>
      </c>
      <c r="K10" s="1">
        <v>0.01</v>
      </c>
      <c r="M10" s="4">
        <f>AVERAGE(K10,I10,G10)</f>
        <v>0.013333333333333334</v>
      </c>
    </row>
    <row r="11" spans="2:13" ht="12.75">
      <c r="B11" s="1" t="s">
        <v>4</v>
      </c>
      <c r="D11" s="1" t="s">
        <v>11</v>
      </c>
      <c r="E11" s="1" t="s">
        <v>54</v>
      </c>
      <c r="F11" s="1" t="s">
        <v>55</v>
      </c>
      <c r="G11" s="5">
        <v>0</v>
      </c>
      <c r="H11" s="1" t="s">
        <v>55</v>
      </c>
      <c r="I11" s="5">
        <v>0</v>
      </c>
      <c r="J11" s="1" t="s">
        <v>55</v>
      </c>
      <c r="K11" s="5">
        <v>0</v>
      </c>
      <c r="L11" s="5"/>
      <c r="M11" s="5" t="s">
        <v>55</v>
      </c>
    </row>
    <row r="12" ht="12.75" customHeight="1"/>
    <row r="13" spans="2:3" ht="12.75">
      <c r="B13" s="1" t="s">
        <v>58</v>
      </c>
      <c r="C13" s="1" t="s">
        <v>142</v>
      </c>
    </row>
    <row r="14" spans="2:11" ht="12.75">
      <c r="B14" s="1" t="s">
        <v>143</v>
      </c>
      <c r="D14" s="1" t="s">
        <v>59</v>
      </c>
      <c r="G14" s="1">
        <v>32.2</v>
      </c>
      <c r="I14" s="1">
        <v>26</v>
      </c>
      <c r="K14" s="1">
        <v>30.7</v>
      </c>
    </row>
    <row r="15" spans="2:11" ht="12.75">
      <c r="B15" s="1" t="s">
        <v>144</v>
      </c>
      <c r="D15" s="1" t="s">
        <v>59</v>
      </c>
      <c r="G15" s="1">
        <f>(100-G16)/100*G14</f>
        <v>2.2539999998002718E-05</v>
      </c>
      <c r="I15" s="1">
        <f>(100-I16)/100*I14</f>
        <v>1.8199999998387285E-05</v>
      </c>
      <c r="K15" s="1">
        <f>(100-K16)/100*K14</f>
        <v>1.535000000050957E-05</v>
      </c>
    </row>
    <row r="16" spans="2:11" ht="12.75">
      <c r="B16" s="1" t="s">
        <v>7</v>
      </c>
      <c r="C16" s="1" t="s">
        <v>179</v>
      </c>
      <c r="D16" s="1" t="s">
        <v>15</v>
      </c>
      <c r="G16" s="1">
        <v>99.99993</v>
      </c>
      <c r="I16" s="1">
        <v>99.99993</v>
      </c>
      <c r="K16" s="1">
        <v>99.99995</v>
      </c>
    </row>
    <row r="18" spans="2:4" ht="12" customHeight="1">
      <c r="B18" s="1" t="s">
        <v>147</v>
      </c>
      <c r="C18" s="1" t="s">
        <v>139</v>
      </c>
      <c r="D18" s="1" t="s">
        <v>179</v>
      </c>
    </row>
    <row r="19" spans="2:13" ht="12.75">
      <c r="B19" s="1" t="s">
        <v>56</v>
      </c>
      <c r="D19" s="1" t="s">
        <v>14</v>
      </c>
      <c r="G19" s="1">
        <v>2047</v>
      </c>
      <c r="I19" s="1">
        <v>2109</v>
      </c>
      <c r="K19" s="1">
        <v>2006</v>
      </c>
      <c r="M19" s="1">
        <f>AVERAGE(K19,I19,G19)</f>
        <v>2054</v>
      </c>
    </row>
    <row r="20" spans="2:13" ht="12.75">
      <c r="B20" s="1" t="s">
        <v>140</v>
      </c>
      <c r="D20" s="1" t="s">
        <v>15</v>
      </c>
      <c r="G20" s="1">
        <v>3</v>
      </c>
      <c r="I20" s="1">
        <v>3</v>
      </c>
      <c r="K20" s="1">
        <v>3</v>
      </c>
      <c r="M20" s="6">
        <f>AVERAGE(K20,I20,G20)</f>
        <v>3</v>
      </c>
    </row>
    <row r="21" spans="2:13" ht="12.75">
      <c r="B21" s="1" t="s">
        <v>141</v>
      </c>
      <c r="D21" s="1" t="s">
        <v>15</v>
      </c>
      <c r="G21" s="1">
        <v>30.1</v>
      </c>
      <c r="I21" s="1">
        <v>29.9</v>
      </c>
      <c r="K21" s="1">
        <v>30.3</v>
      </c>
      <c r="M21" s="6">
        <f>AVERAGE(K21,I21,G21)</f>
        <v>30.100000000000005</v>
      </c>
    </row>
    <row r="22" spans="2:13" ht="12.75">
      <c r="B22" s="1" t="s">
        <v>57</v>
      </c>
      <c r="D22" s="1" t="s">
        <v>16</v>
      </c>
      <c r="G22" s="1">
        <f>(445-273)*1.8+32</f>
        <v>341.6</v>
      </c>
      <c r="I22" s="1">
        <f>((445-273))*1.8+32</f>
        <v>341.6</v>
      </c>
      <c r="K22" s="1">
        <f>(445-273)*1.8+32</f>
        <v>341.6</v>
      </c>
      <c r="M22" s="6">
        <f>AVERAGE(K22,I22,G22)</f>
        <v>341.6000000000001</v>
      </c>
    </row>
    <row r="24" spans="2:13" ht="12.75">
      <c r="B24" s="1" t="s">
        <v>3</v>
      </c>
      <c r="C24" s="1" t="s">
        <v>179</v>
      </c>
      <c r="D24" s="1" t="s">
        <v>11</v>
      </c>
      <c r="E24" s="1" t="s">
        <v>53</v>
      </c>
      <c r="G24" s="4">
        <f>G10*(21-7)/(21-G20)</f>
        <v>0.015555555555555557</v>
      </c>
      <c r="H24" s="4"/>
      <c r="I24" s="4">
        <f>I10*(21-7)/(21-I20)</f>
        <v>0.007777777777777778</v>
      </c>
      <c r="J24" s="4"/>
      <c r="K24" s="4">
        <f>K10*(21-7)/(21-K20)</f>
        <v>0.007777777777777778</v>
      </c>
      <c r="L24" s="4"/>
      <c r="M24" s="4">
        <f>AVERAGE(K24,I24,G24)</f>
        <v>0.010370370370370372</v>
      </c>
    </row>
    <row r="25" spans="2:13" ht="12.75">
      <c r="B25" s="1" t="s">
        <v>4</v>
      </c>
      <c r="C25" s="1" t="s">
        <v>179</v>
      </c>
      <c r="D25" s="1" t="s">
        <v>11</v>
      </c>
      <c r="E25" s="1" t="s">
        <v>53</v>
      </c>
      <c r="G25" s="4">
        <v>0</v>
      </c>
      <c r="H25" s="4"/>
      <c r="I25" s="4">
        <v>0</v>
      </c>
      <c r="J25" s="4"/>
      <c r="K25" s="4">
        <v>0</v>
      </c>
      <c r="L25" s="4"/>
      <c r="M25" s="4">
        <f>AVERAGE(K25,I25,G25)</f>
        <v>0</v>
      </c>
    </row>
    <row r="26" spans="2:13" ht="12.75">
      <c r="B26" s="1" t="s">
        <v>145</v>
      </c>
      <c r="C26" s="1" t="s">
        <v>179</v>
      </c>
      <c r="D26" s="1" t="s">
        <v>11</v>
      </c>
      <c r="E26" s="1" t="s">
        <v>53</v>
      </c>
      <c r="G26" s="4">
        <f>G24</f>
        <v>0.015555555555555557</v>
      </c>
      <c r="H26" s="4"/>
      <c r="I26" s="4">
        <f>I24</f>
        <v>0.007777777777777778</v>
      </c>
      <c r="J26" s="4"/>
      <c r="K26" s="4">
        <f>K24</f>
        <v>0.007777777777777778</v>
      </c>
      <c r="L26" s="4"/>
      <c r="M26" s="4">
        <f>AVERAGE(K26,I26,G26)</f>
        <v>0.010370370370370372</v>
      </c>
    </row>
    <row r="29" spans="1:13" ht="12.75">
      <c r="A29" s="1">
        <v>11</v>
      </c>
      <c r="B29" s="10" t="s">
        <v>118</v>
      </c>
      <c r="C29" s="10" t="s">
        <v>180</v>
      </c>
      <c r="G29" s="2" t="s">
        <v>167</v>
      </c>
      <c r="H29" s="2"/>
      <c r="I29" s="2" t="s">
        <v>168</v>
      </c>
      <c r="J29" s="2"/>
      <c r="K29" s="2" t="s">
        <v>169</v>
      </c>
      <c r="L29" s="2"/>
      <c r="M29" s="2" t="s">
        <v>52</v>
      </c>
    </row>
    <row r="30" spans="2:12" ht="12" customHeight="1">
      <c r="B30" s="10"/>
      <c r="C30" s="10"/>
      <c r="G30" s="2"/>
      <c r="H30" s="2"/>
      <c r="I30" s="2"/>
      <c r="J30" s="2"/>
      <c r="K30" s="2"/>
      <c r="L30" s="2"/>
    </row>
    <row r="31" spans="2:13" ht="12.75">
      <c r="B31" s="1" t="s">
        <v>2</v>
      </c>
      <c r="C31" s="1" t="s">
        <v>179</v>
      </c>
      <c r="D31" s="1" t="s">
        <v>10</v>
      </c>
      <c r="E31" s="1" t="s">
        <v>53</v>
      </c>
      <c r="G31" s="1">
        <v>0.0171</v>
      </c>
      <c r="I31" s="1">
        <v>0.0144</v>
      </c>
      <c r="K31" s="1">
        <v>0.0127</v>
      </c>
      <c r="M31" s="9">
        <f>AVERAGE(K31,I31,G31)</f>
        <v>0.014733333333333334</v>
      </c>
    </row>
    <row r="32" spans="2:13" ht="12.75">
      <c r="B32" s="1" t="s">
        <v>146</v>
      </c>
      <c r="C32" s="1" t="s">
        <v>179</v>
      </c>
      <c r="D32" s="1" t="s">
        <v>11</v>
      </c>
      <c r="E32" s="1" t="s">
        <v>53</v>
      </c>
      <c r="G32" s="1">
        <v>0.1</v>
      </c>
      <c r="I32" s="1">
        <v>0.4</v>
      </c>
      <c r="K32" s="1">
        <v>0.1</v>
      </c>
      <c r="M32" s="1">
        <f>AVERAGE(K32,I32,G32)</f>
        <v>0.19999999999999998</v>
      </c>
    </row>
    <row r="33" spans="2:13" ht="12.75">
      <c r="B33" s="1" t="s">
        <v>3</v>
      </c>
      <c r="D33" s="1" t="s">
        <v>11</v>
      </c>
      <c r="E33" s="1" t="s">
        <v>54</v>
      </c>
      <c r="G33" s="1">
        <v>0.01</v>
      </c>
      <c r="I33" s="1">
        <v>0.01</v>
      </c>
      <c r="K33" s="1">
        <v>0.03</v>
      </c>
      <c r="M33" s="4">
        <f>AVERAGE(K33,I33,G33)</f>
        <v>0.016666666666666666</v>
      </c>
    </row>
    <row r="34" spans="2:13" ht="12.75">
      <c r="B34" s="1" t="s">
        <v>4</v>
      </c>
      <c r="D34" s="1" t="s">
        <v>11</v>
      </c>
      <c r="E34" s="1" t="s">
        <v>54</v>
      </c>
      <c r="F34" s="1" t="s">
        <v>55</v>
      </c>
      <c r="G34" s="5">
        <v>0</v>
      </c>
      <c r="H34" s="1" t="s">
        <v>55</v>
      </c>
      <c r="I34" s="5">
        <v>0</v>
      </c>
      <c r="J34" s="1" t="s">
        <v>55</v>
      </c>
      <c r="K34" s="5">
        <v>0</v>
      </c>
      <c r="L34" s="5"/>
      <c r="M34" s="5" t="s">
        <v>55</v>
      </c>
    </row>
    <row r="35" ht="12.75" customHeight="1"/>
    <row r="36" spans="2:4" ht="12" customHeight="1">
      <c r="B36" s="1" t="s">
        <v>147</v>
      </c>
      <c r="C36" s="1" t="s">
        <v>139</v>
      </c>
      <c r="D36" s="1" t="s">
        <v>179</v>
      </c>
    </row>
    <row r="37" spans="2:13" ht="12.75">
      <c r="B37" s="1" t="s">
        <v>56</v>
      </c>
      <c r="D37" s="1" t="s">
        <v>14</v>
      </c>
      <c r="G37" s="1">
        <v>2229</v>
      </c>
      <c r="I37" s="1">
        <v>2224</v>
      </c>
      <c r="K37" s="1">
        <v>2148</v>
      </c>
      <c r="M37" s="7">
        <f>AVERAGE(K37,I37,G37)</f>
        <v>2200.3333333333335</v>
      </c>
    </row>
    <row r="38" spans="2:13" ht="12.75">
      <c r="B38" s="1" t="s">
        <v>140</v>
      </c>
      <c r="D38" s="1" t="s">
        <v>15</v>
      </c>
      <c r="G38" s="1">
        <v>4.4</v>
      </c>
      <c r="I38" s="1">
        <v>4.1</v>
      </c>
      <c r="K38" s="1">
        <v>4</v>
      </c>
      <c r="M38" s="6">
        <f>AVERAGE(K38,I38,G38)</f>
        <v>4.166666666666667</v>
      </c>
    </row>
    <row r="39" spans="2:13" ht="12.75">
      <c r="B39" s="1" t="s">
        <v>141</v>
      </c>
      <c r="D39" s="1" t="s">
        <v>15</v>
      </c>
      <c r="G39" s="1">
        <v>25.8</v>
      </c>
      <c r="I39" s="1">
        <v>25.1</v>
      </c>
      <c r="K39" s="1">
        <v>26</v>
      </c>
      <c r="M39" s="6">
        <f>AVERAGE(K39,I39,G39)</f>
        <v>25.633333333333336</v>
      </c>
    </row>
    <row r="40" spans="2:13" ht="12.75">
      <c r="B40" s="1" t="s">
        <v>57</v>
      </c>
      <c r="D40" s="1" t="s">
        <v>16</v>
      </c>
      <c r="G40" s="1">
        <f>((438-273))*1.8+32</f>
        <v>329</v>
      </c>
      <c r="I40" s="1">
        <f>((438-273))*1.8+32</f>
        <v>329</v>
      </c>
      <c r="K40" s="1">
        <f>(435-273)*1.8+32</f>
        <v>323.6</v>
      </c>
      <c r="M40" s="6">
        <f>AVERAGE(K40,I40,G40)</f>
        <v>327.2</v>
      </c>
    </row>
    <row r="42" spans="2:13" ht="12.75">
      <c r="B42" s="1" t="s">
        <v>3</v>
      </c>
      <c r="C42" s="1" t="s">
        <v>179</v>
      </c>
      <c r="D42" s="1" t="s">
        <v>11</v>
      </c>
      <c r="E42" s="1" t="s">
        <v>53</v>
      </c>
      <c r="G42" s="4">
        <f>G33*(21-7)/(21-G38)</f>
        <v>0.008433734939759036</v>
      </c>
      <c r="H42" s="4"/>
      <c r="I42" s="4">
        <f>I33*(21-7)/(21-I38)</f>
        <v>0.008284023668639055</v>
      </c>
      <c r="J42" s="4"/>
      <c r="K42" s="4">
        <f>K33*(21-7)/(21-K38)</f>
        <v>0.024705882352941175</v>
      </c>
      <c r="L42" s="4"/>
      <c r="M42" s="4">
        <f>AVERAGE(K42,I42,G42)</f>
        <v>0.013807880320446423</v>
      </c>
    </row>
    <row r="43" spans="2:13" ht="12.75">
      <c r="B43" s="1" t="s">
        <v>4</v>
      </c>
      <c r="C43" s="1" t="s">
        <v>179</v>
      </c>
      <c r="D43" s="1" t="s">
        <v>11</v>
      </c>
      <c r="E43" s="1" t="s">
        <v>53</v>
      </c>
      <c r="G43" s="4">
        <v>0</v>
      </c>
      <c r="H43" s="4"/>
      <c r="I43" s="4">
        <v>0</v>
      </c>
      <c r="J43" s="4"/>
      <c r="K43" s="4">
        <v>0</v>
      </c>
      <c r="L43" s="4"/>
      <c r="M43" s="4">
        <f>AVERAGE(K43,I43,G43)</f>
        <v>0</v>
      </c>
    </row>
    <row r="44" spans="2:13" ht="12.75">
      <c r="B44" s="1" t="s">
        <v>145</v>
      </c>
      <c r="C44" s="1" t="s">
        <v>179</v>
      </c>
      <c r="D44" s="1" t="s">
        <v>11</v>
      </c>
      <c r="E44" s="1" t="s">
        <v>53</v>
      </c>
      <c r="G44" s="4">
        <f>G42</f>
        <v>0.008433734939759036</v>
      </c>
      <c r="I44" s="4">
        <f>I42</f>
        <v>0.008284023668639055</v>
      </c>
      <c r="K44" s="4">
        <f>K42</f>
        <v>0.024705882352941175</v>
      </c>
      <c r="L44" s="4"/>
      <c r="M44" s="4">
        <f>AVERAGE(K44,I44,G44)</f>
        <v>0.013807880320446423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18"/>
  <sheetViews>
    <sheetView zoomScale="75" zoomScaleNormal="75" workbookViewId="0" topLeftCell="B79">
      <selection activeCell="C17" sqref="C17"/>
    </sheetView>
  </sheetViews>
  <sheetFormatPr defaultColWidth="9.140625" defaultRowHeight="12.75"/>
  <cols>
    <col min="1" max="1" width="9.140625" style="16" hidden="1" customWidth="1"/>
    <col min="2" max="2" width="20.28125" style="16" customWidth="1"/>
    <col min="3" max="3" width="4.28125" style="16" customWidth="1"/>
    <col min="4" max="4" width="9.7109375" style="16" customWidth="1"/>
    <col min="5" max="5" width="4.57421875" style="16" customWidth="1"/>
    <col min="6" max="6" width="10.421875" style="16" customWidth="1"/>
    <col min="7" max="7" width="3.8515625" style="16" customWidth="1"/>
    <col min="8" max="8" width="10.7109375" style="16" customWidth="1"/>
    <col min="9" max="9" width="4.8515625" style="16" customWidth="1"/>
    <col min="10" max="10" width="10.7109375" style="16" customWidth="1"/>
    <col min="11" max="11" width="5.00390625" style="20" customWidth="1"/>
    <col min="12" max="12" width="12.00390625" style="16" customWidth="1"/>
    <col min="13" max="13" width="4.00390625" style="16" customWidth="1"/>
    <col min="14" max="14" width="11.7109375" style="16" customWidth="1"/>
    <col min="15" max="15" width="4.421875" style="16" customWidth="1"/>
    <col min="16" max="16" width="11.421875" style="16" customWidth="1"/>
    <col min="17" max="17" width="4.57421875" style="16" customWidth="1"/>
    <col min="18" max="18" width="11.421875" style="16" customWidth="1"/>
    <col min="19" max="19" width="3.8515625" style="16" customWidth="1"/>
    <col min="20" max="16384" width="11.421875" style="16" customWidth="1"/>
  </cols>
  <sheetData>
    <row r="1" spans="2:3" ht="12.75">
      <c r="B1" s="15" t="s">
        <v>60</v>
      </c>
      <c r="C1" s="15"/>
    </row>
    <row r="2" ht="12.75" customHeight="1">
      <c r="N2" s="20"/>
    </row>
    <row r="3" spans="1:20" ht="12.75">
      <c r="A3" s="16" t="s">
        <v>161</v>
      </c>
      <c r="B3" s="15" t="s">
        <v>61</v>
      </c>
      <c r="C3" s="15" t="s">
        <v>158</v>
      </c>
      <c r="F3" s="16" t="s">
        <v>167</v>
      </c>
      <c r="H3" s="16" t="s">
        <v>168</v>
      </c>
      <c r="J3" s="16" t="s">
        <v>169</v>
      </c>
      <c r="L3" s="16" t="s">
        <v>52</v>
      </c>
      <c r="N3" s="16" t="s">
        <v>167</v>
      </c>
      <c r="P3" s="16" t="s">
        <v>168</v>
      </c>
      <c r="R3" s="16" t="s">
        <v>169</v>
      </c>
      <c r="S3" s="20"/>
      <c r="T3" s="16" t="s">
        <v>52</v>
      </c>
    </row>
    <row r="4" ht="12.75" customHeight="1">
      <c r="S4" s="20"/>
    </row>
    <row r="5" spans="2:20" ht="12.75" customHeight="1">
      <c r="B5" s="16" t="s">
        <v>188</v>
      </c>
      <c r="F5" s="20" t="s">
        <v>190</v>
      </c>
      <c r="H5" s="20" t="s">
        <v>190</v>
      </c>
      <c r="J5" s="20" t="s">
        <v>190</v>
      </c>
      <c r="L5" s="20" t="s">
        <v>190</v>
      </c>
      <c r="N5" s="20" t="s">
        <v>192</v>
      </c>
      <c r="P5" s="20" t="s">
        <v>192</v>
      </c>
      <c r="R5" s="20" t="s">
        <v>192</v>
      </c>
      <c r="S5" s="20"/>
      <c r="T5" s="20" t="s">
        <v>192</v>
      </c>
    </row>
    <row r="6" spans="2:20" ht="12.75" customHeight="1">
      <c r="B6" s="16" t="s">
        <v>189</v>
      </c>
      <c r="F6" s="20" t="s">
        <v>191</v>
      </c>
      <c r="H6" s="20" t="s">
        <v>191</v>
      </c>
      <c r="J6" s="20" t="s">
        <v>191</v>
      </c>
      <c r="L6" s="20" t="s">
        <v>191</v>
      </c>
      <c r="N6" s="20" t="s">
        <v>78</v>
      </c>
      <c r="P6" s="20" t="s">
        <v>78</v>
      </c>
      <c r="R6" s="20" t="s">
        <v>78</v>
      </c>
      <c r="S6" s="20"/>
      <c r="T6" s="20" t="s">
        <v>78</v>
      </c>
    </row>
    <row r="7" spans="2:20" ht="12.75" customHeight="1">
      <c r="B7" s="16" t="s">
        <v>194</v>
      </c>
      <c r="F7" s="20" t="s">
        <v>1</v>
      </c>
      <c r="H7" s="20" t="s">
        <v>1</v>
      </c>
      <c r="J7" s="20" t="s">
        <v>1</v>
      </c>
      <c r="L7" s="20" t="s">
        <v>1</v>
      </c>
      <c r="N7" s="20" t="s">
        <v>78</v>
      </c>
      <c r="P7" s="20" t="s">
        <v>78</v>
      </c>
      <c r="R7" s="20" t="s">
        <v>78</v>
      </c>
      <c r="S7" s="20"/>
      <c r="T7" s="20" t="s">
        <v>78</v>
      </c>
    </row>
    <row r="8" spans="2:20" ht="12.75">
      <c r="B8" s="16" t="s">
        <v>165</v>
      </c>
      <c r="F8" s="16" t="s">
        <v>62</v>
      </c>
      <c r="H8" s="16" t="s">
        <v>62</v>
      </c>
      <c r="J8" s="16" t="s">
        <v>62</v>
      </c>
      <c r="L8" s="16" t="s">
        <v>62</v>
      </c>
      <c r="N8" s="20" t="s">
        <v>78</v>
      </c>
      <c r="P8" s="20" t="s">
        <v>78</v>
      </c>
      <c r="R8" s="20" t="s">
        <v>78</v>
      </c>
      <c r="S8" s="20"/>
      <c r="T8" s="20" t="s">
        <v>78</v>
      </c>
    </row>
    <row r="9" spans="2:19" ht="12.75">
      <c r="B9" s="16" t="s">
        <v>164</v>
      </c>
      <c r="D9" s="16" t="s">
        <v>63</v>
      </c>
      <c r="F9" s="16">
        <v>542621</v>
      </c>
      <c r="H9" s="16">
        <v>549435</v>
      </c>
      <c r="J9" s="16">
        <v>550207</v>
      </c>
      <c r="L9" s="16">
        <f>AVERAGE(F9,H9,J9)</f>
        <v>547421</v>
      </c>
      <c r="S9" s="20"/>
    </row>
    <row r="10" spans="2:19" ht="12.75">
      <c r="B10" s="16" t="s">
        <v>64</v>
      </c>
      <c r="D10" s="16" t="s">
        <v>65</v>
      </c>
      <c r="F10" s="16">
        <v>0.92</v>
      </c>
      <c r="H10" s="16">
        <v>0.92</v>
      </c>
      <c r="J10" s="16">
        <v>0.92</v>
      </c>
      <c r="L10" s="16">
        <v>0.92</v>
      </c>
      <c r="S10" s="20"/>
    </row>
    <row r="11" spans="2:19" ht="12.75">
      <c r="B11" s="16" t="s">
        <v>204</v>
      </c>
      <c r="D11" s="16" t="s">
        <v>67</v>
      </c>
      <c r="F11" s="16">
        <v>7700</v>
      </c>
      <c r="H11" s="16">
        <v>7700</v>
      </c>
      <c r="J11" s="16">
        <v>7700</v>
      </c>
      <c r="L11" s="16">
        <v>7700</v>
      </c>
      <c r="S11" s="20"/>
    </row>
    <row r="12" spans="2:19" ht="12.75">
      <c r="B12" s="16" t="s">
        <v>8</v>
      </c>
      <c r="D12" s="16" t="s">
        <v>63</v>
      </c>
      <c r="E12" s="16" t="s">
        <v>55</v>
      </c>
      <c r="F12" s="16">
        <v>0.543</v>
      </c>
      <c r="H12" s="16">
        <v>15.934</v>
      </c>
      <c r="J12" s="16">
        <v>7.153</v>
      </c>
      <c r="M12" s="16" t="s">
        <v>55</v>
      </c>
      <c r="S12" s="20"/>
    </row>
    <row r="13" spans="2:19" ht="12.75">
      <c r="B13" s="16" t="s">
        <v>68</v>
      </c>
      <c r="D13" s="16" t="s">
        <v>63</v>
      </c>
      <c r="E13" s="16" t="s">
        <v>55</v>
      </c>
      <c r="F13" s="16">
        <v>0.271</v>
      </c>
      <c r="G13" s="16" t="s">
        <v>55</v>
      </c>
      <c r="H13" s="16">
        <v>0.275</v>
      </c>
      <c r="I13" s="16" t="s">
        <v>55</v>
      </c>
      <c r="J13" s="16">
        <v>0.275</v>
      </c>
      <c r="M13" s="16" t="s">
        <v>55</v>
      </c>
      <c r="S13" s="20"/>
    </row>
    <row r="14" spans="2:19" ht="12.75">
      <c r="B14" s="16" t="s">
        <v>152</v>
      </c>
      <c r="D14" s="16" t="s">
        <v>63</v>
      </c>
      <c r="F14" s="16">
        <v>0.014</v>
      </c>
      <c r="H14" s="16">
        <v>0.014</v>
      </c>
      <c r="J14" s="16">
        <v>0.014</v>
      </c>
      <c r="S14" s="20"/>
    </row>
    <row r="15" spans="2:19" ht="12.75">
      <c r="B15" s="16" t="s">
        <v>148</v>
      </c>
      <c r="D15" s="16" t="s">
        <v>63</v>
      </c>
      <c r="F15" s="16">
        <v>0.01</v>
      </c>
      <c r="H15" s="16">
        <v>0.01</v>
      </c>
      <c r="J15" s="16">
        <v>0.01</v>
      </c>
      <c r="S15" s="20"/>
    </row>
    <row r="16" spans="2:19" ht="12.75">
      <c r="B16" s="16" t="s">
        <v>150</v>
      </c>
      <c r="D16" s="16" t="s">
        <v>63</v>
      </c>
      <c r="F16" s="16">
        <v>0.054</v>
      </c>
      <c r="H16" s="16">
        <v>0.055</v>
      </c>
      <c r="J16" s="16">
        <v>0.055</v>
      </c>
      <c r="S16" s="20"/>
    </row>
    <row r="17" spans="2:19" ht="12.75">
      <c r="B17" s="16" t="s">
        <v>149</v>
      </c>
      <c r="D17" s="16" t="s">
        <v>63</v>
      </c>
      <c r="F17" s="16">
        <v>0.001</v>
      </c>
      <c r="H17" s="16">
        <v>0.001</v>
      </c>
      <c r="J17" s="16">
        <v>0.001</v>
      </c>
      <c r="S17" s="20"/>
    </row>
    <row r="18" spans="2:19" ht="12.75">
      <c r="B18" s="16" t="s">
        <v>155</v>
      </c>
      <c r="D18" s="16" t="s">
        <v>63</v>
      </c>
      <c r="F18" s="16">
        <v>0.002</v>
      </c>
      <c r="H18" s="16">
        <v>0.002</v>
      </c>
      <c r="J18" s="16">
        <v>0.002</v>
      </c>
      <c r="S18" s="20"/>
    </row>
    <row r="19" spans="2:19" ht="12.75">
      <c r="B19" s="16" t="s">
        <v>157</v>
      </c>
      <c r="D19" s="16" t="s">
        <v>63</v>
      </c>
      <c r="F19" s="16">
        <v>0.022</v>
      </c>
      <c r="H19" s="16">
        <v>0.022</v>
      </c>
      <c r="J19" s="16">
        <v>0.022</v>
      </c>
      <c r="S19" s="20"/>
    </row>
    <row r="20" spans="2:19" ht="12.75">
      <c r="B20" s="16" t="s">
        <v>153</v>
      </c>
      <c r="D20" s="16" t="s">
        <v>63</v>
      </c>
      <c r="F20" s="16">
        <v>0.007</v>
      </c>
      <c r="H20" s="16">
        <v>0.007</v>
      </c>
      <c r="J20" s="16">
        <v>0.007</v>
      </c>
      <c r="S20" s="20"/>
    </row>
    <row r="21" spans="2:19" ht="12.75">
      <c r="B21" s="16" t="s">
        <v>163</v>
      </c>
      <c r="D21" s="16" t="s">
        <v>63</v>
      </c>
      <c r="F21" s="16">
        <v>0.023</v>
      </c>
      <c r="H21" s="16">
        <v>0.024</v>
      </c>
      <c r="J21" s="16">
        <v>0.024</v>
      </c>
      <c r="S21" s="20"/>
    </row>
    <row r="22" spans="2:19" ht="12.75">
      <c r="B22" s="16" t="s">
        <v>154</v>
      </c>
      <c r="D22" s="16" t="s">
        <v>63</v>
      </c>
      <c r="F22" s="16">
        <v>0.028</v>
      </c>
      <c r="H22" s="16">
        <v>0.029</v>
      </c>
      <c r="J22" s="16">
        <v>0.029</v>
      </c>
      <c r="S22" s="20"/>
    </row>
    <row r="23" spans="2:19" ht="12.75" customHeight="1">
      <c r="B23" s="16" t="s">
        <v>170</v>
      </c>
      <c r="D23" s="16" t="s">
        <v>63</v>
      </c>
      <c r="F23" s="16">
        <v>0.017</v>
      </c>
      <c r="H23" s="16">
        <v>0.018</v>
      </c>
      <c r="J23" s="16">
        <v>0.018</v>
      </c>
      <c r="S23" s="20"/>
    </row>
    <row r="24" spans="2:19" ht="12.75">
      <c r="B24" s="16" t="s">
        <v>156</v>
      </c>
      <c r="D24" s="16" t="s">
        <v>63</v>
      </c>
      <c r="F24" s="16">
        <v>0.003</v>
      </c>
      <c r="H24" s="16">
        <v>0.003</v>
      </c>
      <c r="J24" s="16">
        <v>0.003</v>
      </c>
      <c r="S24" s="20"/>
    </row>
    <row r="25" spans="2:19" ht="12.75">
      <c r="B25" s="16" t="s">
        <v>151</v>
      </c>
      <c r="D25" s="16" t="s">
        <v>63</v>
      </c>
      <c r="F25" s="16">
        <v>0.01</v>
      </c>
      <c r="H25" s="16">
        <v>0.01</v>
      </c>
      <c r="J25" s="16">
        <v>0.01</v>
      </c>
      <c r="S25" s="20"/>
    </row>
    <row r="26" ht="12.75" customHeight="1">
      <c r="S26" s="20"/>
    </row>
    <row r="27" spans="12:20" ht="12.75">
      <c r="L27" s="25"/>
      <c r="S27" s="20"/>
      <c r="T27" s="25"/>
    </row>
    <row r="28" spans="2:20" ht="12.75">
      <c r="B28" s="16" t="s">
        <v>69</v>
      </c>
      <c r="D28" s="16" t="s">
        <v>14</v>
      </c>
      <c r="F28" s="16">
        <f>emiss!G19</f>
        <v>2047</v>
      </c>
      <c r="H28" s="16">
        <f>emiss!I19</f>
        <v>2109</v>
      </c>
      <c r="J28" s="16">
        <f>emiss!K19</f>
        <v>2006</v>
      </c>
      <c r="L28" s="16">
        <f>emiss!M19</f>
        <v>2054</v>
      </c>
      <c r="N28" s="16">
        <v>2047</v>
      </c>
      <c r="P28" s="16">
        <v>2109</v>
      </c>
      <c r="R28" s="16">
        <v>2006</v>
      </c>
      <c r="S28" s="20"/>
      <c r="T28" s="16">
        <v>2054</v>
      </c>
    </row>
    <row r="29" spans="2:20" ht="12.75">
      <c r="B29" s="16" t="s">
        <v>9</v>
      </c>
      <c r="D29" s="16" t="s">
        <v>15</v>
      </c>
      <c r="F29" s="31">
        <f>emiss!G20</f>
        <v>3</v>
      </c>
      <c r="H29" s="31">
        <f>emiss!I20</f>
        <v>3</v>
      </c>
      <c r="J29" s="31">
        <f>emiss!K20</f>
        <v>3</v>
      </c>
      <c r="L29" s="31">
        <f>emiss!M20</f>
        <v>3</v>
      </c>
      <c r="N29" s="31">
        <v>3</v>
      </c>
      <c r="P29" s="31">
        <v>3</v>
      </c>
      <c r="R29" s="31">
        <v>3</v>
      </c>
      <c r="S29" s="20"/>
      <c r="T29" s="31">
        <v>3</v>
      </c>
    </row>
    <row r="30" spans="12:20" ht="12.75">
      <c r="L30" s="25"/>
      <c r="S30" s="20"/>
      <c r="T30" s="25"/>
    </row>
    <row r="31" spans="2:20" ht="12.75">
      <c r="B31" s="16" t="s">
        <v>162</v>
      </c>
      <c r="D31" s="16" t="s">
        <v>193</v>
      </c>
      <c r="F31" s="31">
        <f>F9/454*F11/1000000</f>
        <v>9.203043392070484</v>
      </c>
      <c r="H31" s="31">
        <f>H9/454*H11/1000000</f>
        <v>9.318611233480176</v>
      </c>
      <c r="J31" s="31">
        <f>J9/454*J11/1000000</f>
        <v>9.33170462555066</v>
      </c>
      <c r="L31" s="31">
        <f>L9/454*L11/1000000</f>
        <v>9.284453083700441</v>
      </c>
      <c r="N31" s="31">
        <f>F31</f>
        <v>9.203043392070484</v>
      </c>
      <c r="P31" s="31">
        <f>H31</f>
        <v>9.318611233480176</v>
      </c>
      <c r="R31" s="31">
        <f>J31</f>
        <v>9.33170462555066</v>
      </c>
      <c r="S31" s="20"/>
      <c r="T31" s="31">
        <v>9.284453083700441</v>
      </c>
    </row>
    <row r="32" spans="2:20" ht="12.75">
      <c r="B32" s="16" t="s">
        <v>195</v>
      </c>
      <c r="D32" s="16" t="s">
        <v>193</v>
      </c>
      <c r="S32" s="20"/>
      <c r="T32" s="31">
        <f>L28*60/9000*(21-L29)/21</f>
        <v>11.737142857142857</v>
      </c>
    </row>
    <row r="33" spans="12:20" ht="12.75">
      <c r="L33" s="31"/>
      <c r="S33" s="20"/>
      <c r="T33" s="31"/>
    </row>
    <row r="34" spans="2:20" ht="12.75">
      <c r="B34" s="32" t="s">
        <v>124</v>
      </c>
      <c r="C34" s="32"/>
      <c r="L34" s="31"/>
      <c r="S34" s="20"/>
      <c r="T34" s="31"/>
    </row>
    <row r="35" spans="2:20" ht="12.75">
      <c r="B35" s="16" t="s">
        <v>8</v>
      </c>
      <c r="D35" s="16" t="s">
        <v>13</v>
      </c>
      <c r="E35" s="34">
        <v>100</v>
      </c>
      <c r="F35" s="31">
        <f>F12/60*1000/(F28*0.0283)*(21-7)/(21-F29)</f>
        <v>0.12150658964664121</v>
      </c>
      <c r="G35" s="31"/>
      <c r="H35" s="31">
        <f>H12/60*1000/(H28*0.0283)*(21-7)/(21-H29)</f>
        <v>3.460716931673475</v>
      </c>
      <c r="I35" s="31"/>
      <c r="J35" s="31">
        <f>J12/60*1000/(J28*0.0283)*(21-7)/(21-J29)</f>
        <v>1.633334520714783</v>
      </c>
      <c r="K35" s="24">
        <f>AVERAGE(E35*F35,G35*H35,I35*J35)/L35</f>
        <v>2.329694898750168</v>
      </c>
      <c r="L35" s="31">
        <f>AVERAGE(F35,H35,J35)</f>
        <v>1.7385193473449665</v>
      </c>
      <c r="M35" s="34">
        <f>E35</f>
        <v>100</v>
      </c>
      <c r="N35" s="31">
        <f>F35</f>
        <v>0.12150658964664121</v>
      </c>
      <c r="O35" s="34"/>
      <c r="P35" s="31">
        <f>H35</f>
        <v>3.460716931673475</v>
      </c>
      <c r="Q35" s="34"/>
      <c r="R35" s="31">
        <f>J35</f>
        <v>1.633334520714783</v>
      </c>
      <c r="S35" s="34">
        <f>K35</f>
        <v>2.329694898750168</v>
      </c>
      <c r="T35" s="31">
        <f>AVERAGE(N35,P35,R35)</f>
        <v>1.7385193473449665</v>
      </c>
    </row>
    <row r="36" spans="2:20" ht="12.75">
      <c r="B36" s="16" t="s">
        <v>68</v>
      </c>
      <c r="D36" s="16" t="s">
        <v>12</v>
      </c>
      <c r="E36" s="34">
        <v>100</v>
      </c>
      <c r="F36" s="31">
        <f>F13/60*1000000/(F$28*0.0283)*(21-7)/(21-F$29)</f>
        <v>60.64141030246734</v>
      </c>
      <c r="G36" s="34">
        <v>100</v>
      </c>
      <c r="H36" s="31">
        <f>H13/60*1000000/(H$28*0.0283)*(21-7)/(21-H$29)</f>
        <v>59.72744798608043</v>
      </c>
      <c r="I36" s="34">
        <v>100</v>
      </c>
      <c r="J36" s="31">
        <f aca="true" t="shared" si="0" ref="J36:J48">J13/60*1000000/(J$28*0.0283)*(21-7)/(21-J$29)</f>
        <v>62.79421126751926</v>
      </c>
      <c r="K36" s="24">
        <v>100</v>
      </c>
      <c r="L36" s="31">
        <f aca="true" t="shared" si="1" ref="L36:L48">AVERAGE(F36,H36,J36)</f>
        <v>61.05435651868901</v>
      </c>
      <c r="M36" s="34">
        <f>E36</f>
        <v>100</v>
      </c>
      <c r="N36" s="31">
        <f>F36</f>
        <v>60.64141030246734</v>
      </c>
      <c r="O36" s="34">
        <f>G36</f>
        <v>100</v>
      </c>
      <c r="P36" s="31">
        <f>H36</f>
        <v>59.72744798608043</v>
      </c>
      <c r="Q36" s="34">
        <f>I36</f>
        <v>100</v>
      </c>
      <c r="R36" s="31">
        <f>J36</f>
        <v>62.79421126751926</v>
      </c>
      <c r="S36" s="34">
        <f>K36</f>
        <v>100</v>
      </c>
      <c r="T36" s="31">
        <f>AVERAGE(N36,P36,R36)</f>
        <v>61.05435651868901</v>
      </c>
    </row>
    <row r="37" spans="2:20" ht="12.75">
      <c r="B37" s="16" t="s">
        <v>152</v>
      </c>
      <c r="D37" s="16" t="s">
        <v>12</v>
      </c>
      <c r="F37" s="31">
        <f aca="true" t="shared" si="2" ref="F37:H48">F14/60*1000000/(F$28*0.0283)*(21-7)/(21-F$29)</f>
        <v>3.1327665838913017</v>
      </c>
      <c r="G37" s="31"/>
      <c r="H37" s="31">
        <f t="shared" si="2"/>
        <v>3.0406700792913677</v>
      </c>
      <c r="I37" s="31"/>
      <c r="J37" s="31">
        <f t="shared" si="0"/>
        <v>3.1967962099827987</v>
      </c>
      <c r="K37" s="33"/>
      <c r="L37" s="31">
        <f t="shared" si="1"/>
        <v>3.123410957721823</v>
      </c>
      <c r="N37" s="31">
        <f>F37</f>
        <v>3.1327665838913017</v>
      </c>
      <c r="O37" s="31"/>
      <c r="P37" s="31">
        <f>H37</f>
        <v>3.0406700792913677</v>
      </c>
      <c r="Q37" s="31"/>
      <c r="R37" s="31">
        <f>J37</f>
        <v>3.1967962099827987</v>
      </c>
      <c r="S37" s="33"/>
      <c r="T37" s="31">
        <f aca="true" t="shared" si="3" ref="T37:T48">AVERAGE(N37,P37,R37)</f>
        <v>3.123410957721823</v>
      </c>
    </row>
    <row r="38" spans="2:20" ht="12.75">
      <c r="B38" s="16" t="s">
        <v>148</v>
      </c>
      <c r="D38" s="16" t="s">
        <v>12</v>
      </c>
      <c r="F38" s="31">
        <f t="shared" si="2"/>
        <v>2.237690417065215</v>
      </c>
      <c r="G38" s="31"/>
      <c r="H38" s="31">
        <f t="shared" si="2"/>
        <v>2.171907199493834</v>
      </c>
      <c r="I38" s="31"/>
      <c r="J38" s="31">
        <f t="shared" si="0"/>
        <v>2.2834258642734278</v>
      </c>
      <c r="K38" s="33"/>
      <c r="L38" s="31">
        <f t="shared" si="1"/>
        <v>2.231007826944159</v>
      </c>
      <c r="N38" s="31">
        <f aca="true" t="shared" si="4" ref="N38:N47">F38</f>
        <v>2.237690417065215</v>
      </c>
      <c r="O38" s="31"/>
      <c r="P38" s="31">
        <f aca="true" t="shared" si="5" ref="P38:P47">H38</f>
        <v>2.171907199493834</v>
      </c>
      <c r="Q38" s="31"/>
      <c r="R38" s="31">
        <f aca="true" t="shared" si="6" ref="R38:R47">J38</f>
        <v>2.2834258642734278</v>
      </c>
      <c r="S38" s="33"/>
      <c r="T38" s="31">
        <f t="shared" si="3"/>
        <v>2.231007826944159</v>
      </c>
    </row>
    <row r="39" spans="2:20" ht="12.75">
      <c r="B39" s="16" t="s">
        <v>150</v>
      </c>
      <c r="D39" s="16" t="s">
        <v>12</v>
      </c>
      <c r="F39" s="31">
        <f t="shared" si="2"/>
        <v>12.083528252152165</v>
      </c>
      <c r="G39" s="31"/>
      <c r="H39" s="31">
        <f t="shared" si="2"/>
        <v>11.945489597216087</v>
      </c>
      <c r="I39" s="31"/>
      <c r="J39" s="31">
        <f t="shared" si="0"/>
        <v>12.558842253503853</v>
      </c>
      <c r="K39" s="33"/>
      <c r="L39" s="31">
        <f t="shared" si="1"/>
        <v>12.195953367624035</v>
      </c>
      <c r="N39" s="31">
        <f t="shared" si="4"/>
        <v>12.083528252152165</v>
      </c>
      <c r="O39" s="31"/>
      <c r="P39" s="31">
        <f t="shared" si="5"/>
        <v>11.945489597216087</v>
      </c>
      <c r="Q39" s="31"/>
      <c r="R39" s="31">
        <f t="shared" si="6"/>
        <v>12.558842253503853</v>
      </c>
      <c r="S39" s="33"/>
      <c r="T39" s="31">
        <f t="shared" si="3"/>
        <v>12.195953367624035</v>
      </c>
    </row>
    <row r="40" spans="2:20" ht="12.75">
      <c r="B40" s="16" t="s">
        <v>149</v>
      </c>
      <c r="D40" s="16" t="s">
        <v>12</v>
      </c>
      <c r="F40" s="31">
        <f t="shared" si="2"/>
        <v>0.22376904170652157</v>
      </c>
      <c r="G40" s="31"/>
      <c r="H40" s="31">
        <f>H17/60*1000000/(H$28*0.0283)*(21-7)/(21-H$29)</f>
        <v>0.2171907199493834</v>
      </c>
      <c r="I40" s="31"/>
      <c r="J40" s="31">
        <f t="shared" si="0"/>
        <v>0.22834258642734284</v>
      </c>
      <c r="K40" s="33"/>
      <c r="L40" s="31">
        <f t="shared" si="1"/>
        <v>0.22310078269441594</v>
      </c>
      <c r="N40" s="31">
        <f t="shared" si="4"/>
        <v>0.22376904170652157</v>
      </c>
      <c r="O40" s="31"/>
      <c r="P40" s="31">
        <f t="shared" si="5"/>
        <v>0.2171907199493834</v>
      </c>
      <c r="Q40" s="31"/>
      <c r="R40" s="31">
        <f t="shared" si="6"/>
        <v>0.22834258642734284</v>
      </c>
      <c r="S40" s="33"/>
      <c r="T40" s="31">
        <f t="shared" si="3"/>
        <v>0.22310078269441594</v>
      </c>
    </row>
    <row r="41" spans="2:20" ht="12.75">
      <c r="B41" s="16" t="s">
        <v>155</v>
      </c>
      <c r="D41" s="16" t="s">
        <v>12</v>
      </c>
      <c r="F41" s="31">
        <f t="shared" si="2"/>
        <v>0.44753808341304313</v>
      </c>
      <c r="G41" s="31"/>
      <c r="H41" s="31">
        <f>H18/60*1000000/(H$28*0.0283)*(21-7)/(21-H$29)</f>
        <v>0.4343814398987668</v>
      </c>
      <c r="I41" s="31"/>
      <c r="J41" s="31">
        <f t="shared" si="0"/>
        <v>0.4566851728546857</v>
      </c>
      <c r="K41" s="33"/>
      <c r="L41" s="31">
        <f t="shared" si="1"/>
        <v>0.4462015653888319</v>
      </c>
      <c r="N41" s="31">
        <f t="shared" si="4"/>
        <v>0.44753808341304313</v>
      </c>
      <c r="O41" s="31"/>
      <c r="P41" s="31">
        <f t="shared" si="5"/>
        <v>0.4343814398987668</v>
      </c>
      <c r="Q41" s="31"/>
      <c r="R41" s="31">
        <f t="shared" si="6"/>
        <v>0.4566851728546857</v>
      </c>
      <c r="S41" s="33"/>
      <c r="T41" s="31">
        <f t="shared" si="3"/>
        <v>0.4462015653888319</v>
      </c>
    </row>
    <row r="42" spans="2:20" ht="12.75">
      <c r="B42" s="16" t="s">
        <v>157</v>
      </c>
      <c r="D42" s="16" t="s">
        <v>12</v>
      </c>
      <c r="F42" s="31">
        <f t="shared" si="2"/>
        <v>4.922918917543474</v>
      </c>
      <c r="G42" s="31"/>
      <c r="H42" s="31">
        <f t="shared" si="2"/>
        <v>4.778195838886435</v>
      </c>
      <c r="I42" s="31"/>
      <c r="J42" s="31">
        <f t="shared" si="0"/>
        <v>5.023536901401541</v>
      </c>
      <c r="K42" s="33"/>
      <c r="L42" s="31">
        <f t="shared" si="1"/>
        <v>4.908217219277151</v>
      </c>
      <c r="N42" s="31">
        <f t="shared" si="4"/>
        <v>4.922918917543474</v>
      </c>
      <c r="O42" s="31"/>
      <c r="P42" s="31">
        <f t="shared" si="5"/>
        <v>4.778195838886435</v>
      </c>
      <c r="Q42" s="31"/>
      <c r="R42" s="31">
        <f t="shared" si="6"/>
        <v>5.023536901401541</v>
      </c>
      <c r="S42" s="33"/>
      <c r="T42" s="31">
        <f t="shared" si="3"/>
        <v>4.908217219277151</v>
      </c>
    </row>
    <row r="43" spans="2:20" ht="12.75">
      <c r="B43" s="16" t="s">
        <v>153</v>
      </c>
      <c r="D43" s="16" t="s">
        <v>12</v>
      </c>
      <c r="F43" s="31">
        <f t="shared" si="2"/>
        <v>1.5663832919456508</v>
      </c>
      <c r="G43" s="31"/>
      <c r="H43" s="31">
        <f t="shared" si="2"/>
        <v>1.5203350396456838</v>
      </c>
      <c r="I43" s="31"/>
      <c r="J43" s="31">
        <f t="shared" si="0"/>
        <v>1.5983981049913993</v>
      </c>
      <c r="K43" s="33"/>
      <c r="L43" s="31">
        <f t="shared" si="1"/>
        <v>1.5617054788609115</v>
      </c>
      <c r="N43" s="31">
        <f t="shared" si="4"/>
        <v>1.5663832919456508</v>
      </c>
      <c r="O43" s="31"/>
      <c r="P43" s="31">
        <f t="shared" si="5"/>
        <v>1.5203350396456838</v>
      </c>
      <c r="Q43" s="31"/>
      <c r="R43" s="31">
        <f t="shared" si="6"/>
        <v>1.5983981049913993</v>
      </c>
      <c r="S43" s="33"/>
      <c r="T43" s="31">
        <f t="shared" si="3"/>
        <v>1.5617054788609115</v>
      </c>
    </row>
    <row r="44" spans="2:20" ht="12.75">
      <c r="B44" s="16" t="s">
        <v>163</v>
      </c>
      <c r="D44" s="16" t="s">
        <v>12</v>
      </c>
      <c r="F44" s="31">
        <f t="shared" si="2"/>
        <v>5.146687959249996</v>
      </c>
      <c r="G44" s="31"/>
      <c r="H44" s="31">
        <f t="shared" si="2"/>
        <v>5.212577278785201</v>
      </c>
      <c r="I44" s="31"/>
      <c r="J44" s="31">
        <f t="shared" si="0"/>
        <v>5.480222074256226</v>
      </c>
      <c r="K44" s="33"/>
      <c r="L44" s="31">
        <f t="shared" si="1"/>
        <v>5.27982910409714</v>
      </c>
      <c r="N44" s="31">
        <f t="shared" si="4"/>
        <v>5.146687959249996</v>
      </c>
      <c r="O44" s="31"/>
      <c r="P44" s="31">
        <f t="shared" si="5"/>
        <v>5.212577278785201</v>
      </c>
      <c r="Q44" s="31"/>
      <c r="R44" s="31">
        <f t="shared" si="6"/>
        <v>5.480222074256226</v>
      </c>
      <c r="S44" s="33"/>
      <c r="T44" s="31">
        <f t="shared" si="3"/>
        <v>5.27982910409714</v>
      </c>
    </row>
    <row r="45" spans="2:20" ht="12.75">
      <c r="B45" s="16" t="s">
        <v>154</v>
      </c>
      <c r="D45" s="16" t="s">
        <v>12</v>
      </c>
      <c r="F45" s="31">
        <f t="shared" si="2"/>
        <v>6.265533167782603</v>
      </c>
      <c r="G45" s="31"/>
      <c r="H45" s="31">
        <f t="shared" si="2"/>
        <v>6.298530878532118</v>
      </c>
      <c r="I45" s="31"/>
      <c r="J45" s="31">
        <f t="shared" si="0"/>
        <v>6.621935006392941</v>
      </c>
      <c r="K45" s="33"/>
      <c r="L45" s="31">
        <f t="shared" si="1"/>
        <v>6.395333017569221</v>
      </c>
      <c r="N45" s="31">
        <f t="shared" si="4"/>
        <v>6.265533167782603</v>
      </c>
      <c r="O45" s="31"/>
      <c r="P45" s="31">
        <f t="shared" si="5"/>
        <v>6.298530878532118</v>
      </c>
      <c r="Q45" s="31"/>
      <c r="R45" s="31">
        <f t="shared" si="6"/>
        <v>6.621935006392941</v>
      </c>
      <c r="S45" s="33"/>
      <c r="T45" s="31">
        <f t="shared" si="3"/>
        <v>6.395333017569221</v>
      </c>
    </row>
    <row r="46" spans="2:20" ht="12.75">
      <c r="B46" s="16" t="s">
        <v>170</v>
      </c>
      <c r="D46" s="16" t="s">
        <v>12</v>
      </c>
      <c r="F46" s="31">
        <f t="shared" si="2"/>
        <v>3.8040737090108667</v>
      </c>
      <c r="G46" s="31"/>
      <c r="H46" s="31">
        <f t="shared" si="2"/>
        <v>3.9094329590889014</v>
      </c>
      <c r="I46" s="31"/>
      <c r="J46" s="31">
        <f t="shared" si="0"/>
        <v>4.11016655569217</v>
      </c>
      <c r="K46" s="33"/>
      <c r="L46" s="31">
        <f t="shared" si="1"/>
        <v>3.941224407930646</v>
      </c>
      <c r="N46" s="31">
        <f t="shared" si="4"/>
        <v>3.8040737090108667</v>
      </c>
      <c r="O46" s="31"/>
      <c r="P46" s="31">
        <f t="shared" si="5"/>
        <v>3.9094329590889014</v>
      </c>
      <c r="Q46" s="31"/>
      <c r="R46" s="31">
        <f t="shared" si="6"/>
        <v>4.11016655569217</v>
      </c>
      <c r="S46" s="33"/>
      <c r="T46" s="31">
        <f t="shared" si="3"/>
        <v>3.941224407930646</v>
      </c>
    </row>
    <row r="47" spans="2:20" ht="12.75">
      <c r="B47" s="16" t="s">
        <v>156</v>
      </c>
      <c r="D47" s="16" t="s">
        <v>12</v>
      </c>
      <c r="F47" s="31">
        <f t="shared" si="2"/>
        <v>0.6713071251195646</v>
      </c>
      <c r="G47" s="31"/>
      <c r="H47" s="31">
        <f t="shared" si="2"/>
        <v>0.6515721598481501</v>
      </c>
      <c r="I47" s="31"/>
      <c r="J47" s="31">
        <f t="shared" si="0"/>
        <v>0.6850277592820283</v>
      </c>
      <c r="K47" s="33"/>
      <c r="L47" s="31">
        <f t="shared" si="1"/>
        <v>0.6693023480832476</v>
      </c>
      <c r="N47" s="31">
        <f t="shared" si="4"/>
        <v>0.6713071251195646</v>
      </c>
      <c r="O47" s="31"/>
      <c r="P47" s="31">
        <f t="shared" si="5"/>
        <v>0.6515721598481501</v>
      </c>
      <c r="Q47" s="31"/>
      <c r="R47" s="31">
        <f t="shared" si="6"/>
        <v>0.6850277592820283</v>
      </c>
      <c r="S47" s="33"/>
      <c r="T47" s="31">
        <f t="shared" si="3"/>
        <v>0.6693023480832476</v>
      </c>
    </row>
    <row r="48" spans="2:20" ht="12.75">
      <c r="B48" s="16" t="s">
        <v>151</v>
      </c>
      <c r="D48" s="16" t="s">
        <v>12</v>
      </c>
      <c r="F48" s="31">
        <f t="shared" si="2"/>
        <v>2.237690417065215</v>
      </c>
      <c r="G48" s="31"/>
      <c r="H48" s="31">
        <f t="shared" si="2"/>
        <v>2.171907199493834</v>
      </c>
      <c r="I48" s="31"/>
      <c r="J48" s="31">
        <f t="shared" si="0"/>
        <v>2.2834258642734278</v>
      </c>
      <c r="K48" s="33"/>
      <c r="L48" s="31">
        <f t="shared" si="1"/>
        <v>2.231007826944159</v>
      </c>
      <c r="N48" s="31">
        <f>F48</f>
        <v>2.237690417065215</v>
      </c>
      <c r="O48" s="31"/>
      <c r="P48" s="31">
        <f>H48</f>
        <v>2.171907199493834</v>
      </c>
      <c r="Q48" s="31"/>
      <c r="R48" s="31">
        <f>J48</f>
        <v>2.2834258642734278</v>
      </c>
      <c r="S48" s="33"/>
      <c r="T48" s="31">
        <f t="shared" si="3"/>
        <v>2.231007826944159</v>
      </c>
    </row>
    <row r="49" spans="6:20" ht="12.75">
      <c r="F49" s="31"/>
      <c r="G49" s="31"/>
      <c r="H49" s="31"/>
      <c r="I49" s="31"/>
      <c r="J49" s="31"/>
      <c r="K49" s="33"/>
      <c r="L49" s="31"/>
      <c r="N49" s="31"/>
      <c r="O49" s="31"/>
      <c r="P49" s="31"/>
      <c r="Q49" s="31"/>
      <c r="R49" s="31"/>
      <c r="S49" s="33"/>
      <c r="T49" s="31"/>
    </row>
    <row r="50" spans="2:20" ht="12.75">
      <c r="B50" s="16" t="s">
        <v>5</v>
      </c>
      <c r="D50" s="16" t="s">
        <v>12</v>
      </c>
      <c r="F50" s="31">
        <f>F41+F43</f>
        <v>2.013921375358694</v>
      </c>
      <c r="G50" s="31"/>
      <c r="H50" s="31">
        <f>H41+H43</f>
        <v>1.9547164795444507</v>
      </c>
      <c r="I50" s="31"/>
      <c r="J50" s="31">
        <f>J41+J43</f>
        <v>2.055083277846085</v>
      </c>
      <c r="K50" s="33"/>
      <c r="L50" s="31">
        <f>AVERAGE(F50,H50,J50)</f>
        <v>2.0079070442497433</v>
      </c>
      <c r="N50" s="31">
        <f>F50</f>
        <v>2.013921375358694</v>
      </c>
      <c r="O50" s="31"/>
      <c r="P50" s="31">
        <f>H50</f>
        <v>1.9547164795444507</v>
      </c>
      <c r="Q50" s="31"/>
      <c r="R50" s="31">
        <f>J50</f>
        <v>2.055083277846085</v>
      </c>
      <c r="S50" s="33"/>
      <c r="T50" s="31">
        <f>L50</f>
        <v>2.0079070442497433</v>
      </c>
    </row>
    <row r="51" spans="2:20" ht="12.75">
      <c r="B51" s="16" t="s">
        <v>6</v>
      </c>
      <c r="D51" s="16" t="s">
        <v>12</v>
      </c>
      <c r="F51" s="31">
        <f>F38+F40+F42</f>
        <v>7.384378376315211</v>
      </c>
      <c r="G51" s="31"/>
      <c r="H51" s="31">
        <f>H38+H40+H42</f>
        <v>7.167293758329652</v>
      </c>
      <c r="I51" s="31"/>
      <c r="J51" s="31">
        <f>J38+J40+J42</f>
        <v>7.535305352102311</v>
      </c>
      <c r="K51" s="33"/>
      <c r="L51" s="31">
        <f>AVERAGE(F51,H51,J51)</f>
        <v>7.362325828915725</v>
      </c>
      <c r="N51" s="31">
        <f>F51</f>
        <v>7.384378376315211</v>
      </c>
      <c r="O51" s="31"/>
      <c r="P51" s="31">
        <f>H51</f>
        <v>7.167293758329652</v>
      </c>
      <c r="Q51" s="31"/>
      <c r="R51" s="31">
        <f>J51</f>
        <v>7.535305352102311</v>
      </c>
      <c r="S51" s="33"/>
      <c r="T51" s="31">
        <f>L51</f>
        <v>7.362325828915725</v>
      </c>
    </row>
    <row r="52" spans="12:20" ht="12.75">
      <c r="L52" s="31"/>
      <c r="S52" s="20"/>
      <c r="T52" s="31"/>
    </row>
    <row r="53" ht="12.75">
      <c r="S53" s="20"/>
    </row>
    <row r="54" ht="12.75">
      <c r="S54" s="20"/>
    </row>
    <row r="55" spans="1:20" ht="12.75">
      <c r="A55" s="16" t="s">
        <v>161</v>
      </c>
      <c r="B55" s="15" t="s">
        <v>159</v>
      </c>
      <c r="C55" s="15" t="s">
        <v>160</v>
      </c>
      <c r="F55" s="16" t="s">
        <v>167</v>
      </c>
      <c r="H55" s="16" t="s">
        <v>168</v>
      </c>
      <c r="J55" s="16" t="s">
        <v>169</v>
      </c>
      <c r="L55" s="16" t="s">
        <v>52</v>
      </c>
      <c r="N55" s="16" t="s">
        <v>167</v>
      </c>
      <c r="P55" s="16" t="s">
        <v>168</v>
      </c>
      <c r="R55" s="16" t="s">
        <v>169</v>
      </c>
      <c r="S55" s="20"/>
      <c r="T55" s="16" t="s">
        <v>52</v>
      </c>
    </row>
    <row r="56" spans="4:11" ht="12.75" customHeight="1">
      <c r="D56" s="16" t="s">
        <v>50</v>
      </c>
      <c r="K56" s="16"/>
    </row>
    <row r="57" spans="2:20" ht="12.75" customHeight="1">
      <c r="B57" s="16" t="s">
        <v>188</v>
      </c>
      <c r="F57" s="20" t="s">
        <v>190</v>
      </c>
      <c r="H57" s="20" t="s">
        <v>190</v>
      </c>
      <c r="J57" s="20" t="s">
        <v>190</v>
      </c>
      <c r="L57" s="20" t="s">
        <v>190</v>
      </c>
      <c r="N57" s="20" t="s">
        <v>192</v>
      </c>
      <c r="P57" s="20" t="s">
        <v>192</v>
      </c>
      <c r="R57" s="20" t="s">
        <v>192</v>
      </c>
      <c r="S57" s="20"/>
      <c r="T57" s="20" t="s">
        <v>192</v>
      </c>
    </row>
    <row r="58" spans="2:20" ht="12.75" customHeight="1">
      <c r="B58" s="16" t="s">
        <v>189</v>
      </c>
      <c r="F58" s="20" t="s">
        <v>191</v>
      </c>
      <c r="H58" s="20" t="s">
        <v>191</v>
      </c>
      <c r="J58" s="20" t="s">
        <v>191</v>
      </c>
      <c r="L58" s="20" t="s">
        <v>191</v>
      </c>
      <c r="N58" s="20" t="s">
        <v>78</v>
      </c>
      <c r="P58" s="20" t="s">
        <v>78</v>
      </c>
      <c r="R58" s="20" t="s">
        <v>78</v>
      </c>
      <c r="S58" s="20"/>
      <c r="T58" s="20" t="s">
        <v>78</v>
      </c>
    </row>
    <row r="59" spans="2:20" ht="12.75" customHeight="1">
      <c r="B59" s="16" t="s">
        <v>194</v>
      </c>
      <c r="F59" s="20" t="s">
        <v>1</v>
      </c>
      <c r="H59" s="20" t="s">
        <v>1</v>
      </c>
      <c r="J59" s="20" t="s">
        <v>1</v>
      </c>
      <c r="L59" s="20" t="s">
        <v>1</v>
      </c>
      <c r="N59" s="20" t="s">
        <v>78</v>
      </c>
      <c r="P59" s="20" t="s">
        <v>78</v>
      </c>
      <c r="R59" s="20" t="s">
        <v>78</v>
      </c>
      <c r="S59" s="20"/>
      <c r="T59" s="20" t="s">
        <v>78</v>
      </c>
    </row>
    <row r="60" spans="2:20" ht="12.75">
      <c r="B60" s="16" t="s">
        <v>165</v>
      </c>
      <c r="F60" s="16" t="s">
        <v>62</v>
      </c>
      <c r="H60" s="16" t="s">
        <v>62</v>
      </c>
      <c r="J60" s="16" t="s">
        <v>62</v>
      </c>
      <c r="L60" s="16" t="s">
        <v>62</v>
      </c>
      <c r="N60" s="20" t="s">
        <v>78</v>
      </c>
      <c r="P60" s="20" t="s">
        <v>78</v>
      </c>
      <c r="R60" s="20" t="s">
        <v>78</v>
      </c>
      <c r="S60" s="20"/>
      <c r="T60" s="20" t="s">
        <v>78</v>
      </c>
    </row>
    <row r="61" spans="2:19" ht="12.75">
      <c r="B61" s="16" t="s">
        <v>164</v>
      </c>
      <c r="D61" s="16" t="s">
        <v>63</v>
      </c>
      <c r="F61" s="16">
        <v>533609</v>
      </c>
      <c r="H61" s="16">
        <v>545549</v>
      </c>
      <c r="J61" s="16">
        <v>527689</v>
      </c>
      <c r="L61" s="34">
        <f>AVERAGE(F61,H61,J61)</f>
        <v>535615.6666666666</v>
      </c>
      <c r="S61" s="20"/>
    </row>
    <row r="62" spans="2:19" ht="12.75">
      <c r="B62" s="16" t="s">
        <v>64</v>
      </c>
      <c r="D62" s="16" t="s">
        <v>65</v>
      </c>
      <c r="F62" s="16">
        <v>0.86</v>
      </c>
      <c r="H62" s="16">
        <v>0.86</v>
      </c>
      <c r="J62" s="16">
        <v>0.86</v>
      </c>
      <c r="L62" s="16">
        <v>0.86</v>
      </c>
      <c r="S62" s="20"/>
    </row>
    <row r="63" spans="2:19" ht="12.75">
      <c r="B63" s="16" t="s">
        <v>66</v>
      </c>
      <c r="D63" s="16" t="s">
        <v>67</v>
      </c>
      <c r="F63" s="16">
        <v>9886</v>
      </c>
      <c r="H63" s="16">
        <v>9886</v>
      </c>
      <c r="J63" s="16">
        <v>9886</v>
      </c>
      <c r="L63" s="16">
        <v>9886</v>
      </c>
      <c r="S63" s="20"/>
    </row>
    <row r="64" spans="2:19" ht="12.75">
      <c r="B64" s="16" t="s">
        <v>8</v>
      </c>
      <c r="D64" s="16" t="s">
        <v>63</v>
      </c>
      <c r="E64" s="16" t="s">
        <v>55</v>
      </c>
      <c r="F64" s="16">
        <v>0.53</v>
      </c>
      <c r="G64" s="16" t="s">
        <v>55</v>
      </c>
      <c r="H64" s="16">
        <v>0.55</v>
      </c>
      <c r="I64" s="16" t="s">
        <v>55</v>
      </c>
      <c r="J64" s="16">
        <v>0.53</v>
      </c>
      <c r="M64" s="16" t="s">
        <v>55</v>
      </c>
      <c r="S64" s="20"/>
    </row>
    <row r="65" spans="2:19" ht="12.75">
      <c r="B65" s="16" t="s">
        <v>68</v>
      </c>
      <c r="D65" s="16" t="s">
        <v>63</v>
      </c>
      <c r="F65" s="16">
        <v>3.61</v>
      </c>
      <c r="H65" s="16">
        <v>2.32</v>
      </c>
      <c r="I65" s="16" t="s">
        <v>55</v>
      </c>
      <c r="J65" s="16">
        <v>0.26</v>
      </c>
      <c r="S65" s="20"/>
    </row>
    <row r="66" spans="2:19" ht="12.75">
      <c r="B66" s="16" t="s">
        <v>152</v>
      </c>
      <c r="D66" s="16" t="s">
        <v>63</v>
      </c>
      <c r="E66" s="16" t="s">
        <v>55</v>
      </c>
      <c r="F66" s="16">
        <v>0.013</v>
      </c>
      <c r="G66" s="16" t="s">
        <v>55</v>
      </c>
      <c r="H66" s="16">
        <v>0.014</v>
      </c>
      <c r="I66" s="16" t="s">
        <v>55</v>
      </c>
      <c r="J66" s="16">
        <v>0.013</v>
      </c>
      <c r="M66" s="16" t="s">
        <v>55</v>
      </c>
      <c r="S66" s="20"/>
    </row>
    <row r="67" spans="2:19" ht="12.75">
      <c r="B67" s="16" t="s">
        <v>148</v>
      </c>
      <c r="D67" s="16" t="s">
        <v>63</v>
      </c>
      <c r="E67" s="16" t="s">
        <v>55</v>
      </c>
      <c r="F67" s="16">
        <v>0.01</v>
      </c>
      <c r="G67" s="16" t="s">
        <v>55</v>
      </c>
      <c r="H67" s="16">
        <v>0.01</v>
      </c>
      <c r="I67" s="16" t="s">
        <v>55</v>
      </c>
      <c r="J67" s="16">
        <v>0.01</v>
      </c>
      <c r="M67" s="16" t="s">
        <v>55</v>
      </c>
      <c r="S67" s="20"/>
    </row>
    <row r="68" spans="2:19" ht="12.75">
      <c r="B68" s="16" t="s">
        <v>150</v>
      </c>
      <c r="D68" s="16" t="s">
        <v>63</v>
      </c>
      <c r="E68" s="16" t="s">
        <v>55</v>
      </c>
      <c r="F68" s="16">
        <v>0.048</v>
      </c>
      <c r="G68" s="16" t="s">
        <v>55</v>
      </c>
      <c r="H68" s="16">
        <v>0.049</v>
      </c>
      <c r="I68" s="16" t="s">
        <v>55</v>
      </c>
      <c r="J68" s="16">
        <v>0.053</v>
      </c>
      <c r="M68" s="16" t="s">
        <v>55</v>
      </c>
      <c r="S68" s="20"/>
    </row>
    <row r="69" spans="2:19" ht="12.75">
      <c r="B69" s="16" t="s">
        <v>149</v>
      </c>
      <c r="D69" s="16" t="s">
        <v>63</v>
      </c>
      <c r="E69" s="16" t="s">
        <v>55</v>
      </c>
      <c r="F69" s="16">
        <v>0.001</v>
      </c>
      <c r="G69" s="16" t="s">
        <v>55</v>
      </c>
      <c r="H69" s="16">
        <v>0.001</v>
      </c>
      <c r="I69" s="16" t="s">
        <v>55</v>
      </c>
      <c r="J69" s="16">
        <v>0.001</v>
      </c>
      <c r="M69" s="16" t="s">
        <v>55</v>
      </c>
      <c r="S69" s="20"/>
    </row>
    <row r="70" spans="2:19" ht="12.75">
      <c r="B70" s="16" t="s">
        <v>155</v>
      </c>
      <c r="D70" s="16" t="s">
        <v>63</v>
      </c>
      <c r="F70" s="16">
        <v>0.002</v>
      </c>
      <c r="G70" s="16" t="s">
        <v>55</v>
      </c>
      <c r="H70" s="16">
        <v>0.001</v>
      </c>
      <c r="I70" s="16" t="s">
        <v>55</v>
      </c>
      <c r="J70" s="16">
        <v>0.001</v>
      </c>
      <c r="S70" s="20"/>
    </row>
    <row r="71" spans="2:19" ht="12.75">
      <c r="B71" s="16" t="s">
        <v>157</v>
      </c>
      <c r="D71" s="16" t="s">
        <v>63</v>
      </c>
      <c r="E71" s="16" t="s">
        <v>55</v>
      </c>
      <c r="F71" s="16">
        <v>0.021</v>
      </c>
      <c r="G71" s="16" t="s">
        <v>55</v>
      </c>
      <c r="H71" s="16">
        <v>0.022</v>
      </c>
      <c r="I71" s="16" t="s">
        <v>55</v>
      </c>
      <c r="J71" s="16">
        <v>0.021</v>
      </c>
      <c r="M71" s="16" t="s">
        <v>55</v>
      </c>
      <c r="S71" s="20"/>
    </row>
    <row r="72" spans="2:19" ht="12.75">
      <c r="B72" s="16" t="s">
        <v>153</v>
      </c>
      <c r="D72" s="16" t="s">
        <v>63</v>
      </c>
      <c r="E72" s="16" t="s">
        <v>55</v>
      </c>
      <c r="F72" s="16">
        <v>0.007</v>
      </c>
      <c r="G72" s="16" t="s">
        <v>55</v>
      </c>
      <c r="H72" s="16">
        <v>0.007</v>
      </c>
      <c r="I72" s="16" t="s">
        <v>55</v>
      </c>
      <c r="J72" s="16">
        <v>0.007</v>
      </c>
      <c r="M72" s="16" t="s">
        <v>55</v>
      </c>
      <c r="S72" s="20"/>
    </row>
    <row r="73" spans="2:19" ht="12.75">
      <c r="B73" s="16" t="s">
        <v>163</v>
      </c>
      <c r="D73" s="16" t="s">
        <v>63</v>
      </c>
      <c r="E73" s="16" t="s">
        <v>55</v>
      </c>
      <c r="F73" s="16">
        <v>0.022</v>
      </c>
      <c r="G73" s="16" t="s">
        <v>55</v>
      </c>
      <c r="H73" s="16">
        <v>0.023</v>
      </c>
      <c r="I73" s="16" t="s">
        <v>55</v>
      </c>
      <c r="J73" s="16">
        <v>0.022</v>
      </c>
      <c r="M73" s="16" t="s">
        <v>55</v>
      </c>
      <c r="S73" s="20"/>
    </row>
    <row r="74" spans="2:19" ht="12.75">
      <c r="B74" s="16" t="s">
        <v>154</v>
      </c>
      <c r="D74" s="16" t="s">
        <v>63</v>
      </c>
      <c r="F74" s="16">
        <v>0.028</v>
      </c>
      <c r="G74" s="16" t="s">
        <v>55</v>
      </c>
      <c r="H74" s="16">
        <v>0.01</v>
      </c>
      <c r="I74" s="16" t="s">
        <v>55</v>
      </c>
      <c r="J74" s="16">
        <v>0.01</v>
      </c>
      <c r="S74" s="20"/>
    </row>
    <row r="75" spans="2:19" ht="12.75" customHeight="1">
      <c r="B75" s="16" t="s">
        <v>170</v>
      </c>
      <c r="D75" s="16" t="s">
        <v>63</v>
      </c>
      <c r="E75" s="16" t="s">
        <v>55</v>
      </c>
      <c r="F75" s="16">
        <v>0.017</v>
      </c>
      <c r="G75" s="16" t="s">
        <v>55</v>
      </c>
      <c r="H75" s="16">
        <v>0.017</v>
      </c>
      <c r="I75" s="16" t="s">
        <v>55</v>
      </c>
      <c r="J75" s="16">
        <v>0.017</v>
      </c>
      <c r="M75" s="16" t="s">
        <v>55</v>
      </c>
      <c r="S75" s="20"/>
    </row>
    <row r="76" spans="2:19" ht="12.75">
      <c r="B76" s="16" t="s">
        <v>156</v>
      </c>
      <c r="D76" s="16" t="s">
        <v>63</v>
      </c>
      <c r="E76" s="16" t="s">
        <v>55</v>
      </c>
      <c r="F76" s="16">
        <v>0.003</v>
      </c>
      <c r="G76" s="16" t="s">
        <v>55</v>
      </c>
      <c r="H76" s="16">
        <v>0.003</v>
      </c>
      <c r="I76" s="16" t="s">
        <v>55</v>
      </c>
      <c r="J76" s="16">
        <v>0.003</v>
      </c>
      <c r="M76" s="16" t="s">
        <v>55</v>
      </c>
      <c r="S76" s="20"/>
    </row>
    <row r="77" spans="2:19" ht="12.75">
      <c r="B77" s="16" t="s">
        <v>151</v>
      </c>
      <c r="D77" s="16" t="s">
        <v>63</v>
      </c>
      <c r="E77" s="16" t="s">
        <v>55</v>
      </c>
      <c r="F77" s="16">
        <v>0.01</v>
      </c>
      <c r="G77" s="16" t="s">
        <v>55</v>
      </c>
      <c r="H77" s="16">
        <v>0.01</v>
      </c>
      <c r="I77" s="16" t="s">
        <v>55</v>
      </c>
      <c r="J77" s="16">
        <v>0.01</v>
      </c>
      <c r="M77" s="16" t="s">
        <v>55</v>
      </c>
      <c r="S77" s="20"/>
    </row>
    <row r="78" ht="12.75" customHeight="1">
      <c r="S78" s="20"/>
    </row>
    <row r="79" spans="12:20" ht="12.75">
      <c r="L79" s="25"/>
      <c r="S79" s="20"/>
      <c r="T79" s="25"/>
    </row>
    <row r="80" spans="2:20" ht="12.75">
      <c r="B80" s="16" t="s">
        <v>69</v>
      </c>
      <c r="D80" s="16" t="s">
        <v>14</v>
      </c>
      <c r="F80" s="16">
        <f>emiss!G37</f>
        <v>2229</v>
      </c>
      <c r="H80" s="16">
        <f>emiss!I37</f>
        <v>2224</v>
      </c>
      <c r="J80" s="16">
        <f>emiss!K37</f>
        <v>2148</v>
      </c>
      <c r="L80" s="34">
        <f>emiss!M37</f>
        <v>2200.3333333333335</v>
      </c>
      <c r="N80" s="16">
        <v>2229</v>
      </c>
      <c r="P80" s="16">
        <v>2224</v>
      </c>
      <c r="R80" s="16">
        <v>2148</v>
      </c>
      <c r="S80" s="20"/>
      <c r="T80" s="34">
        <v>2200.3333333333335</v>
      </c>
    </row>
    <row r="81" spans="2:20" ht="12.75">
      <c r="B81" s="16" t="s">
        <v>9</v>
      </c>
      <c r="D81" s="16" t="s">
        <v>15</v>
      </c>
      <c r="F81" s="16">
        <f>emiss!G38</f>
        <v>4.4</v>
      </c>
      <c r="H81" s="16">
        <f>emiss!I38</f>
        <v>4.1</v>
      </c>
      <c r="J81" s="31">
        <f>emiss!K38</f>
        <v>4</v>
      </c>
      <c r="L81" s="31">
        <f>emiss!M38</f>
        <v>4.166666666666667</v>
      </c>
      <c r="N81" s="16">
        <v>4.4</v>
      </c>
      <c r="P81" s="16">
        <v>4.1</v>
      </c>
      <c r="R81" s="31">
        <v>4</v>
      </c>
      <c r="S81" s="20"/>
      <c r="T81" s="31">
        <v>4.166666666666667</v>
      </c>
    </row>
    <row r="82" spans="12:20" ht="12.75">
      <c r="L82" s="25"/>
      <c r="S82" s="20"/>
      <c r="T82" s="25"/>
    </row>
    <row r="83" spans="2:20" ht="12.75">
      <c r="B83" s="16" t="s">
        <v>162</v>
      </c>
      <c r="D83" s="16" t="s">
        <v>193</v>
      </c>
      <c r="F83" s="31">
        <f>F61/454*F63/1000000</f>
        <v>11.619512277533039</v>
      </c>
      <c r="H83" s="31">
        <f>H61/454*H63/1000000</f>
        <v>11.87950972246696</v>
      </c>
      <c r="J83" s="31">
        <f>J61/454*J63/1000000</f>
        <v>11.490602321585904</v>
      </c>
      <c r="L83" s="31">
        <f>L61/454*L63/1000000</f>
        <v>11.6632081071953</v>
      </c>
      <c r="N83" s="31">
        <f>F83</f>
        <v>11.619512277533039</v>
      </c>
      <c r="P83" s="31">
        <f>H83</f>
        <v>11.87950972246696</v>
      </c>
      <c r="R83" s="31">
        <f>J83</f>
        <v>11.490602321585904</v>
      </c>
      <c r="S83" s="20"/>
      <c r="T83" s="31">
        <v>11.6632081071953</v>
      </c>
    </row>
    <row r="84" spans="2:20" ht="12.75">
      <c r="B84" s="16" t="s">
        <v>195</v>
      </c>
      <c r="D84" s="16" t="s">
        <v>193</v>
      </c>
      <c r="S84" s="20"/>
      <c r="T84" s="31">
        <f>L80*60/9000*(21-L81)/21</f>
        <v>11.758395061728393</v>
      </c>
    </row>
    <row r="85" spans="12:20" ht="12.75">
      <c r="L85" s="31"/>
      <c r="S85" s="20"/>
      <c r="T85" s="31"/>
    </row>
    <row r="86" spans="2:20" ht="12.75">
      <c r="B86" s="32" t="s">
        <v>124</v>
      </c>
      <c r="C86" s="32"/>
      <c r="L86" s="31"/>
      <c r="S86" s="20"/>
      <c r="T86" s="31"/>
    </row>
    <row r="87" spans="2:20" ht="12.75">
      <c r="B87" s="16" t="s">
        <v>8</v>
      </c>
      <c r="D87" s="16" t="s">
        <v>13</v>
      </c>
      <c r="E87" s="16">
        <v>100</v>
      </c>
      <c r="F87" s="27">
        <f>F64/60*1000/(F80*0.0283)*(21-7)/(21-F81)</f>
        <v>0.11809950106430568</v>
      </c>
      <c r="G87" s="16">
        <v>100</v>
      </c>
      <c r="H87" s="27">
        <f>H64/60*1000/(H80*0.0283)*(21-7)/(21-H81)</f>
        <v>0.1206511738776332</v>
      </c>
      <c r="I87" s="16">
        <v>100</v>
      </c>
      <c r="J87" s="27">
        <f>J64/60*1000/(J80*0.0283)*(21-7)/(21-J81)</f>
        <v>0.11966937448463144</v>
      </c>
      <c r="K87" s="20">
        <f aca="true" t="shared" si="7" ref="K87:K100">AVERAGE(E87*F87,G87*H87,I87*J87)/L87</f>
        <v>100</v>
      </c>
      <c r="L87" s="25">
        <f>AVERAGE(F87,H87,J87)</f>
        <v>0.11947334980885678</v>
      </c>
      <c r="M87" s="16">
        <f aca="true" t="shared" si="8" ref="M87:S87">E87</f>
        <v>100</v>
      </c>
      <c r="N87" s="27">
        <f t="shared" si="8"/>
        <v>0.11809950106430568</v>
      </c>
      <c r="O87" s="16">
        <f t="shared" si="8"/>
        <v>100</v>
      </c>
      <c r="P87" s="27">
        <f t="shared" si="8"/>
        <v>0.1206511738776332</v>
      </c>
      <c r="Q87" s="16">
        <f t="shared" si="8"/>
        <v>100</v>
      </c>
      <c r="R87" s="27">
        <f t="shared" si="8"/>
        <v>0.11966937448463144</v>
      </c>
      <c r="S87" s="16">
        <f t="shared" si="8"/>
        <v>100</v>
      </c>
      <c r="T87" s="31">
        <f>AVERAGE(N87,P87,R87)</f>
        <v>0.11947334980885678</v>
      </c>
    </row>
    <row r="88" spans="2:20" ht="12.75">
      <c r="B88" s="16" t="s">
        <v>68</v>
      </c>
      <c r="D88" s="16" t="s">
        <v>12</v>
      </c>
      <c r="F88" s="31">
        <f>F65/60*1000000/(F$80*0.0283)*(21-7)/(21-F$81)</f>
        <v>804.4135827210255</v>
      </c>
      <c r="H88" s="31">
        <f>H65/60*1000000/(H$80*0.0283)*(21-7)/(21-H$81)</f>
        <v>508.9285879929255</v>
      </c>
      <c r="I88" s="16">
        <v>100</v>
      </c>
      <c r="J88" s="31">
        <f aca="true" t="shared" si="9" ref="J88:J100">J65/60*1000000/(J$80*0.0283)*(21-7)/(21-J$81)</f>
        <v>58.705730879253146</v>
      </c>
      <c r="K88" s="24">
        <f t="shared" si="7"/>
        <v>4.2786939735183305</v>
      </c>
      <c r="L88" s="31">
        <f>AVERAGE(F88,H88,J88)</f>
        <v>457.3493005310681</v>
      </c>
      <c r="M88" s="16">
        <f aca="true" t="shared" si="10" ref="M88:S103">E88</f>
        <v>0</v>
      </c>
      <c r="N88" s="31">
        <f aca="true" t="shared" si="11" ref="N88:N100">F88</f>
        <v>804.4135827210255</v>
      </c>
      <c r="O88" s="16">
        <f t="shared" si="10"/>
        <v>0</v>
      </c>
      <c r="P88" s="31">
        <f>H88</f>
        <v>508.9285879929255</v>
      </c>
      <c r="Q88" s="16">
        <f t="shared" si="10"/>
        <v>100</v>
      </c>
      <c r="R88" s="31">
        <f>J88</f>
        <v>58.705730879253146</v>
      </c>
      <c r="S88" s="34">
        <f t="shared" si="10"/>
        <v>4.2786939735183305</v>
      </c>
      <c r="T88" s="31">
        <f aca="true" t="shared" si="12" ref="T88:T100">AVERAGE(N88,P88,R88)</f>
        <v>457.3493005310681</v>
      </c>
    </row>
    <row r="89" spans="2:20" ht="12.75">
      <c r="B89" s="16" t="s">
        <v>152</v>
      </c>
      <c r="D89" s="16" t="s">
        <v>12</v>
      </c>
      <c r="E89" s="16">
        <v>100</v>
      </c>
      <c r="F89" s="31">
        <f aca="true" t="shared" si="13" ref="F89:H100">F66/60*1000000/(F$80*0.0283)*(21-7)/(21-F$81)</f>
        <v>2.8967802147848563</v>
      </c>
      <c r="G89" s="16">
        <v>100</v>
      </c>
      <c r="H89" s="31">
        <f t="shared" si="13"/>
        <v>3.071120789612482</v>
      </c>
      <c r="I89" s="16">
        <v>100</v>
      </c>
      <c r="J89" s="31">
        <f t="shared" si="9"/>
        <v>2.9352865439626576</v>
      </c>
      <c r="K89" s="24">
        <f t="shared" si="7"/>
        <v>99.99999999999999</v>
      </c>
      <c r="L89" s="31">
        <f aca="true" t="shared" si="14" ref="L89:L100">AVERAGE(F89,H89,J89)</f>
        <v>2.9677291827866656</v>
      </c>
      <c r="M89" s="16">
        <f t="shared" si="10"/>
        <v>100</v>
      </c>
      <c r="N89" s="31">
        <f t="shared" si="11"/>
        <v>2.8967802147848563</v>
      </c>
      <c r="O89" s="16">
        <f t="shared" si="10"/>
        <v>100</v>
      </c>
      <c r="P89" s="31">
        <f aca="true" t="shared" si="15" ref="P89:P100">H89</f>
        <v>3.071120789612482</v>
      </c>
      <c r="Q89" s="16">
        <f t="shared" si="10"/>
        <v>100</v>
      </c>
      <c r="R89" s="31">
        <f aca="true" t="shared" si="16" ref="R89:R100">J89</f>
        <v>2.9352865439626576</v>
      </c>
      <c r="S89" s="16">
        <f t="shared" si="10"/>
        <v>99.99999999999999</v>
      </c>
      <c r="T89" s="31">
        <f t="shared" si="12"/>
        <v>2.9677291827866656</v>
      </c>
    </row>
    <row r="90" spans="2:20" ht="12.75">
      <c r="B90" s="16" t="s">
        <v>148</v>
      </c>
      <c r="D90" s="16" t="s">
        <v>12</v>
      </c>
      <c r="E90" s="16">
        <v>100</v>
      </c>
      <c r="F90" s="31">
        <f t="shared" si="13"/>
        <v>2.228292472911428</v>
      </c>
      <c r="G90" s="16">
        <v>100</v>
      </c>
      <c r="H90" s="31">
        <f t="shared" si="13"/>
        <v>2.1936577068660585</v>
      </c>
      <c r="I90" s="16">
        <v>100</v>
      </c>
      <c r="J90" s="31">
        <f t="shared" si="9"/>
        <v>2.257912726125121</v>
      </c>
      <c r="K90" s="24">
        <f t="shared" si="7"/>
        <v>100.00000000000001</v>
      </c>
      <c r="L90" s="31">
        <f t="shared" si="14"/>
        <v>2.2266209686342022</v>
      </c>
      <c r="M90" s="16">
        <f t="shared" si="10"/>
        <v>100</v>
      </c>
      <c r="N90" s="31">
        <f t="shared" si="11"/>
        <v>2.228292472911428</v>
      </c>
      <c r="O90" s="16">
        <f t="shared" si="10"/>
        <v>100</v>
      </c>
      <c r="P90" s="31">
        <f t="shared" si="15"/>
        <v>2.1936577068660585</v>
      </c>
      <c r="Q90" s="16">
        <f t="shared" si="10"/>
        <v>100</v>
      </c>
      <c r="R90" s="31">
        <f t="shared" si="16"/>
        <v>2.257912726125121</v>
      </c>
      <c r="S90" s="16">
        <f t="shared" si="10"/>
        <v>100.00000000000001</v>
      </c>
      <c r="T90" s="31">
        <f t="shared" si="12"/>
        <v>2.2266209686342022</v>
      </c>
    </row>
    <row r="91" spans="2:20" ht="12.75">
      <c r="B91" s="16" t="s">
        <v>150</v>
      </c>
      <c r="D91" s="16" t="s">
        <v>12</v>
      </c>
      <c r="E91" s="16">
        <v>100</v>
      </c>
      <c r="F91" s="31">
        <f t="shared" si="13"/>
        <v>10.695803869974855</v>
      </c>
      <c r="G91" s="16">
        <v>100</v>
      </c>
      <c r="H91" s="31">
        <f t="shared" si="13"/>
        <v>10.748922763643687</v>
      </c>
      <c r="I91" s="16">
        <v>100</v>
      </c>
      <c r="J91" s="31">
        <f t="shared" si="9"/>
        <v>11.966937448463142</v>
      </c>
      <c r="K91" s="24">
        <f t="shared" si="7"/>
        <v>99.99999999999999</v>
      </c>
      <c r="L91" s="31">
        <f t="shared" si="14"/>
        <v>11.137221360693895</v>
      </c>
      <c r="M91" s="16">
        <f t="shared" si="10"/>
        <v>100</v>
      </c>
      <c r="N91" s="31">
        <f t="shared" si="11"/>
        <v>10.695803869974855</v>
      </c>
      <c r="O91" s="16">
        <f t="shared" si="10"/>
        <v>100</v>
      </c>
      <c r="P91" s="31">
        <f t="shared" si="15"/>
        <v>10.748922763643687</v>
      </c>
      <c r="Q91" s="16">
        <f t="shared" si="10"/>
        <v>100</v>
      </c>
      <c r="R91" s="31">
        <f t="shared" si="16"/>
        <v>11.966937448463142</v>
      </c>
      <c r="S91" s="16">
        <f t="shared" si="10"/>
        <v>99.99999999999999</v>
      </c>
      <c r="T91" s="31">
        <f t="shared" si="12"/>
        <v>11.137221360693895</v>
      </c>
    </row>
    <row r="92" spans="2:20" ht="12.75">
      <c r="B92" s="16" t="s">
        <v>149</v>
      </c>
      <c r="D92" s="16" t="s">
        <v>12</v>
      </c>
      <c r="E92" s="16">
        <v>100</v>
      </c>
      <c r="F92" s="31">
        <f t="shared" si="13"/>
        <v>0.22282924729114287</v>
      </c>
      <c r="G92" s="16">
        <v>100</v>
      </c>
      <c r="H92" s="31">
        <f t="shared" si="13"/>
        <v>0.2193657706866059</v>
      </c>
      <c r="I92" s="16">
        <v>100</v>
      </c>
      <c r="J92" s="31">
        <f t="shared" si="9"/>
        <v>0.22579127261251217</v>
      </c>
      <c r="K92" s="24">
        <f t="shared" si="7"/>
        <v>100.00000000000001</v>
      </c>
      <c r="L92" s="31">
        <f t="shared" si="14"/>
        <v>0.2226620968634203</v>
      </c>
      <c r="M92" s="16">
        <f t="shared" si="10"/>
        <v>100</v>
      </c>
      <c r="N92" s="31">
        <f t="shared" si="11"/>
        <v>0.22282924729114287</v>
      </c>
      <c r="O92" s="16">
        <f t="shared" si="10"/>
        <v>100</v>
      </c>
      <c r="P92" s="31">
        <f t="shared" si="15"/>
        <v>0.2193657706866059</v>
      </c>
      <c r="Q92" s="16">
        <f t="shared" si="10"/>
        <v>100</v>
      </c>
      <c r="R92" s="31">
        <f t="shared" si="16"/>
        <v>0.22579127261251217</v>
      </c>
      <c r="S92" s="16">
        <f t="shared" si="10"/>
        <v>100.00000000000001</v>
      </c>
      <c r="T92" s="31">
        <f t="shared" si="12"/>
        <v>0.2226620968634203</v>
      </c>
    </row>
    <row r="93" spans="2:20" ht="12.75">
      <c r="B93" s="16" t="s">
        <v>155</v>
      </c>
      <c r="D93" s="16" t="s">
        <v>12</v>
      </c>
      <c r="F93" s="31">
        <f t="shared" si="13"/>
        <v>0.44565849458228574</v>
      </c>
      <c r="G93" s="16">
        <v>100</v>
      </c>
      <c r="H93" s="31">
        <f t="shared" si="13"/>
        <v>0.2193657706866059</v>
      </c>
      <c r="I93" s="16">
        <v>100</v>
      </c>
      <c r="J93" s="31">
        <f t="shared" si="9"/>
        <v>0.22579127261251217</v>
      </c>
      <c r="K93" s="24">
        <f t="shared" si="7"/>
        <v>49.97185437041431</v>
      </c>
      <c r="L93" s="31">
        <f t="shared" si="14"/>
        <v>0.2969385126271346</v>
      </c>
      <c r="M93" s="16">
        <f t="shared" si="10"/>
        <v>0</v>
      </c>
      <c r="N93" s="31">
        <f t="shared" si="11"/>
        <v>0.44565849458228574</v>
      </c>
      <c r="O93" s="16">
        <f t="shared" si="10"/>
        <v>100</v>
      </c>
      <c r="P93" s="31">
        <f t="shared" si="15"/>
        <v>0.2193657706866059</v>
      </c>
      <c r="Q93" s="16">
        <f t="shared" si="10"/>
        <v>100</v>
      </c>
      <c r="R93" s="31">
        <f t="shared" si="16"/>
        <v>0.22579127261251217</v>
      </c>
      <c r="S93" s="16">
        <f t="shared" si="10"/>
        <v>49.97185437041431</v>
      </c>
      <c r="T93" s="31">
        <f t="shared" si="12"/>
        <v>0.2969385126271346</v>
      </c>
    </row>
    <row r="94" spans="2:20" ht="12.75">
      <c r="B94" s="16" t="s">
        <v>157</v>
      </c>
      <c r="D94" s="16" t="s">
        <v>12</v>
      </c>
      <c r="E94" s="16">
        <v>100</v>
      </c>
      <c r="F94" s="31">
        <f t="shared" si="13"/>
        <v>4.679414193113999</v>
      </c>
      <c r="G94" s="16">
        <v>100</v>
      </c>
      <c r="H94" s="31">
        <f t="shared" si="13"/>
        <v>4.826046955105329</v>
      </c>
      <c r="I94" s="16">
        <v>100</v>
      </c>
      <c r="J94" s="31">
        <f t="shared" si="9"/>
        <v>4.741616724862755</v>
      </c>
      <c r="K94" s="24">
        <f t="shared" si="7"/>
        <v>100.00000000000001</v>
      </c>
      <c r="L94" s="31">
        <f t="shared" si="14"/>
        <v>4.749025957694028</v>
      </c>
      <c r="M94" s="16">
        <f t="shared" si="10"/>
        <v>100</v>
      </c>
      <c r="N94" s="31">
        <f t="shared" si="11"/>
        <v>4.679414193113999</v>
      </c>
      <c r="O94" s="16">
        <f t="shared" si="10"/>
        <v>100</v>
      </c>
      <c r="P94" s="31">
        <f t="shared" si="15"/>
        <v>4.826046955105329</v>
      </c>
      <c r="Q94" s="16">
        <f t="shared" si="10"/>
        <v>100</v>
      </c>
      <c r="R94" s="31">
        <f t="shared" si="16"/>
        <v>4.741616724862755</v>
      </c>
      <c r="S94" s="16">
        <f t="shared" si="10"/>
        <v>100.00000000000001</v>
      </c>
      <c r="T94" s="31">
        <f t="shared" si="12"/>
        <v>4.749025957694028</v>
      </c>
    </row>
    <row r="95" spans="2:20" ht="12.75">
      <c r="B95" s="16" t="s">
        <v>153</v>
      </c>
      <c r="D95" s="16" t="s">
        <v>12</v>
      </c>
      <c r="E95" s="16">
        <v>100</v>
      </c>
      <c r="F95" s="31">
        <f t="shared" si="13"/>
        <v>1.5598047310379997</v>
      </c>
      <c r="G95" s="16">
        <v>100</v>
      </c>
      <c r="H95" s="31">
        <f t="shared" si="13"/>
        <v>1.535560394806241</v>
      </c>
      <c r="I95" s="16">
        <v>100</v>
      </c>
      <c r="J95" s="31">
        <f t="shared" si="9"/>
        <v>1.580538908287585</v>
      </c>
      <c r="K95" s="24">
        <f t="shared" si="7"/>
        <v>99.99999999999999</v>
      </c>
      <c r="L95" s="31">
        <f t="shared" si="14"/>
        <v>1.5586346780439417</v>
      </c>
      <c r="M95" s="16">
        <f t="shared" si="10"/>
        <v>100</v>
      </c>
      <c r="N95" s="31">
        <f t="shared" si="11"/>
        <v>1.5598047310379997</v>
      </c>
      <c r="O95" s="16">
        <f t="shared" si="10"/>
        <v>100</v>
      </c>
      <c r="P95" s="31">
        <f t="shared" si="15"/>
        <v>1.535560394806241</v>
      </c>
      <c r="Q95" s="16">
        <f t="shared" si="10"/>
        <v>100</v>
      </c>
      <c r="R95" s="31">
        <f t="shared" si="16"/>
        <v>1.580538908287585</v>
      </c>
      <c r="S95" s="16">
        <f t="shared" si="10"/>
        <v>99.99999999999999</v>
      </c>
      <c r="T95" s="31">
        <f t="shared" si="12"/>
        <v>1.5586346780439417</v>
      </c>
    </row>
    <row r="96" spans="2:20" ht="12.75">
      <c r="B96" s="16" t="s">
        <v>163</v>
      </c>
      <c r="D96" s="16" t="s">
        <v>12</v>
      </c>
      <c r="E96" s="16">
        <v>100</v>
      </c>
      <c r="F96" s="31">
        <f t="shared" si="13"/>
        <v>4.902243440405142</v>
      </c>
      <c r="G96" s="16">
        <v>100</v>
      </c>
      <c r="H96" s="31">
        <f t="shared" si="13"/>
        <v>5.045412725791936</v>
      </c>
      <c r="I96" s="16">
        <v>100</v>
      </c>
      <c r="J96" s="31">
        <f t="shared" si="9"/>
        <v>4.967407997475267</v>
      </c>
      <c r="K96" s="24">
        <f t="shared" si="7"/>
        <v>100.00000000000001</v>
      </c>
      <c r="L96" s="31">
        <f t="shared" si="14"/>
        <v>4.971688054557448</v>
      </c>
      <c r="M96" s="16">
        <f t="shared" si="10"/>
        <v>100</v>
      </c>
      <c r="N96" s="31">
        <f t="shared" si="11"/>
        <v>4.902243440405142</v>
      </c>
      <c r="O96" s="16">
        <f t="shared" si="10"/>
        <v>100</v>
      </c>
      <c r="P96" s="31">
        <f t="shared" si="15"/>
        <v>5.045412725791936</v>
      </c>
      <c r="Q96" s="16">
        <f t="shared" si="10"/>
        <v>100</v>
      </c>
      <c r="R96" s="31">
        <f t="shared" si="16"/>
        <v>4.967407997475267</v>
      </c>
      <c r="S96" s="16">
        <f t="shared" si="10"/>
        <v>100.00000000000001</v>
      </c>
      <c r="T96" s="31">
        <f t="shared" si="12"/>
        <v>4.971688054557448</v>
      </c>
    </row>
    <row r="97" spans="2:20" ht="12.75">
      <c r="B97" s="16" t="s">
        <v>154</v>
      </c>
      <c r="D97" s="16" t="s">
        <v>12</v>
      </c>
      <c r="F97" s="31">
        <f t="shared" si="13"/>
        <v>6.239218924151999</v>
      </c>
      <c r="G97" s="16">
        <v>100</v>
      </c>
      <c r="H97" s="31">
        <f t="shared" si="13"/>
        <v>2.1936577068660585</v>
      </c>
      <c r="I97" s="16">
        <v>100</v>
      </c>
      <c r="J97" s="31">
        <f t="shared" si="9"/>
        <v>2.257912726125121</v>
      </c>
      <c r="K97" s="24">
        <f t="shared" si="7"/>
        <v>41.639305427122736</v>
      </c>
      <c r="L97" s="31">
        <f t="shared" si="14"/>
        <v>3.5635964523810593</v>
      </c>
      <c r="M97" s="16">
        <f t="shared" si="10"/>
        <v>0</v>
      </c>
      <c r="N97" s="31">
        <f t="shared" si="11"/>
        <v>6.239218924151999</v>
      </c>
      <c r="O97" s="16">
        <f t="shared" si="10"/>
        <v>100</v>
      </c>
      <c r="P97" s="31">
        <f t="shared" si="15"/>
        <v>2.1936577068660585</v>
      </c>
      <c r="Q97" s="16">
        <f t="shared" si="10"/>
        <v>100</v>
      </c>
      <c r="R97" s="31">
        <f t="shared" si="16"/>
        <v>2.257912726125121</v>
      </c>
      <c r="S97" s="16">
        <f t="shared" si="10"/>
        <v>41.639305427122736</v>
      </c>
      <c r="T97" s="31">
        <f t="shared" si="12"/>
        <v>3.5635964523810593</v>
      </c>
    </row>
    <row r="98" spans="2:20" ht="12.75">
      <c r="B98" s="16" t="s">
        <v>170</v>
      </c>
      <c r="D98" s="16" t="s">
        <v>12</v>
      </c>
      <c r="E98" s="16">
        <v>100</v>
      </c>
      <c r="F98" s="31">
        <f t="shared" si="13"/>
        <v>3.788097203949428</v>
      </c>
      <c r="G98" s="16">
        <v>100</v>
      </c>
      <c r="H98" s="31">
        <f t="shared" si="13"/>
        <v>3.7292181016723003</v>
      </c>
      <c r="I98" s="16">
        <v>100</v>
      </c>
      <c r="J98" s="31">
        <f t="shared" si="9"/>
        <v>3.8384516344127064</v>
      </c>
      <c r="K98" s="24">
        <f t="shared" si="7"/>
        <v>99.99999999999999</v>
      </c>
      <c r="L98" s="31">
        <f t="shared" si="14"/>
        <v>3.785255646678145</v>
      </c>
      <c r="M98" s="16">
        <f t="shared" si="10"/>
        <v>100</v>
      </c>
      <c r="N98" s="31">
        <f t="shared" si="11"/>
        <v>3.788097203949428</v>
      </c>
      <c r="O98" s="16">
        <f t="shared" si="10"/>
        <v>100</v>
      </c>
      <c r="P98" s="31">
        <f t="shared" si="15"/>
        <v>3.7292181016723003</v>
      </c>
      <c r="Q98" s="16">
        <f t="shared" si="10"/>
        <v>100</v>
      </c>
      <c r="R98" s="31">
        <f t="shared" si="16"/>
        <v>3.8384516344127064</v>
      </c>
      <c r="S98" s="16">
        <f t="shared" si="10"/>
        <v>99.99999999999999</v>
      </c>
      <c r="T98" s="31">
        <f t="shared" si="12"/>
        <v>3.785255646678145</v>
      </c>
    </row>
    <row r="99" spans="2:20" ht="12.75">
      <c r="B99" s="16" t="s">
        <v>156</v>
      </c>
      <c r="D99" s="16" t="s">
        <v>12</v>
      </c>
      <c r="E99" s="16">
        <v>100</v>
      </c>
      <c r="F99" s="31">
        <f t="shared" si="13"/>
        <v>0.6684877418734284</v>
      </c>
      <c r="G99" s="16">
        <v>100</v>
      </c>
      <c r="H99" s="31">
        <f t="shared" si="13"/>
        <v>0.6580973120598176</v>
      </c>
      <c r="I99" s="16">
        <v>100</v>
      </c>
      <c r="J99" s="31">
        <f t="shared" si="9"/>
        <v>0.6773738178375364</v>
      </c>
      <c r="K99" s="24">
        <f t="shared" si="7"/>
        <v>100</v>
      </c>
      <c r="L99" s="31">
        <f t="shared" si="14"/>
        <v>0.6679862905902608</v>
      </c>
      <c r="M99" s="16">
        <f t="shared" si="10"/>
        <v>100</v>
      </c>
      <c r="N99" s="31">
        <f t="shared" si="11"/>
        <v>0.6684877418734284</v>
      </c>
      <c r="O99" s="16">
        <f t="shared" si="10"/>
        <v>100</v>
      </c>
      <c r="P99" s="31">
        <f t="shared" si="15"/>
        <v>0.6580973120598176</v>
      </c>
      <c r="Q99" s="16">
        <f t="shared" si="10"/>
        <v>100</v>
      </c>
      <c r="R99" s="31">
        <f t="shared" si="16"/>
        <v>0.6773738178375364</v>
      </c>
      <c r="S99" s="16">
        <f t="shared" si="10"/>
        <v>100</v>
      </c>
      <c r="T99" s="31">
        <f t="shared" si="12"/>
        <v>0.6679862905902608</v>
      </c>
    </row>
    <row r="100" spans="2:20" ht="12.75">
      <c r="B100" s="16" t="s">
        <v>151</v>
      </c>
      <c r="D100" s="16" t="s">
        <v>12</v>
      </c>
      <c r="E100" s="16">
        <v>100</v>
      </c>
      <c r="F100" s="31">
        <f t="shared" si="13"/>
        <v>2.228292472911428</v>
      </c>
      <c r="G100" s="16">
        <v>100</v>
      </c>
      <c r="H100" s="31">
        <f t="shared" si="13"/>
        <v>2.1936577068660585</v>
      </c>
      <c r="I100" s="16">
        <v>100</v>
      </c>
      <c r="J100" s="31">
        <f t="shared" si="9"/>
        <v>2.257912726125121</v>
      </c>
      <c r="K100" s="24">
        <f t="shared" si="7"/>
        <v>100.00000000000001</v>
      </c>
      <c r="L100" s="31">
        <f t="shared" si="14"/>
        <v>2.2266209686342022</v>
      </c>
      <c r="M100" s="16">
        <f t="shared" si="10"/>
        <v>100</v>
      </c>
      <c r="N100" s="31">
        <f t="shared" si="11"/>
        <v>2.228292472911428</v>
      </c>
      <c r="O100" s="16">
        <f t="shared" si="10"/>
        <v>100</v>
      </c>
      <c r="P100" s="31">
        <f t="shared" si="15"/>
        <v>2.1936577068660585</v>
      </c>
      <c r="Q100" s="16">
        <f t="shared" si="10"/>
        <v>100</v>
      </c>
      <c r="R100" s="31">
        <f t="shared" si="16"/>
        <v>2.257912726125121</v>
      </c>
      <c r="S100" s="16">
        <f t="shared" si="10"/>
        <v>100.00000000000001</v>
      </c>
      <c r="T100" s="31">
        <f t="shared" si="12"/>
        <v>2.2266209686342022</v>
      </c>
    </row>
    <row r="101" spans="12:20" ht="12.75">
      <c r="L101" s="31"/>
      <c r="N101" s="31"/>
      <c r="P101" s="31"/>
      <c r="R101" s="31"/>
      <c r="S101" s="20"/>
      <c r="T101" s="31"/>
    </row>
    <row r="102" spans="2:20" ht="12.75">
      <c r="B102" s="16" t="s">
        <v>5</v>
      </c>
      <c r="D102" s="16" t="s">
        <v>12</v>
      </c>
      <c r="E102" s="34">
        <f>(E93*F93+E95*F95)/F102</f>
        <v>77.77777777777777</v>
      </c>
      <c r="F102" s="31">
        <f>F93+F95</f>
        <v>2.0054632256202853</v>
      </c>
      <c r="G102" s="34">
        <f>(G93*H93+G95*H95)/H102</f>
        <v>100</v>
      </c>
      <c r="H102" s="31">
        <f>H93+H95</f>
        <v>1.754926165492847</v>
      </c>
      <c r="I102" s="34">
        <f>(I93*J93+I95*J95)/J102</f>
        <v>100</v>
      </c>
      <c r="J102" s="31">
        <f>J93+J95</f>
        <v>1.8063301809000971</v>
      </c>
      <c r="K102" s="34">
        <f>(K93*L93+K95*L95)/L102</f>
        <v>91.99423486638628</v>
      </c>
      <c r="L102" s="31">
        <f>AVERAGE(F102,H102,J102)</f>
        <v>1.8555731906710762</v>
      </c>
      <c r="M102" s="16">
        <f t="shared" si="10"/>
        <v>77.77777777777777</v>
      </c>
      <c r="N102" s="31">
        <f>F102</f>
        <v>2.0054632256202853</v>
      </c>
      <c r="O102" s="16">
        <f t="shared" si="10"/>
        <v>100</v>
      </c>
      <c r="P102" s="31">
        <f>H102</f>
        <v>1.754926165492847</v>
      </c>
      <c r="Q102" s="16">
        <f t="shared" si="10"/>
        <v>100</v>
      </c>
      <c r="R102" s="31">
        <f>J102</f>
        <v>1.8063301809000971</v>
      </c>
      <c r="S102" s="16">
        <f t="shared" si="10"/>
        <v>91.99423486638628</v>
      </c>
      <c r="T102" s="31">
        <f>L102</f>
        <v>1.8555731906710762</v>
      </c>
    </row>
    <row r="103" spans="2:20" ht="12.75">
      <c r="B103" s="16" t="s">
        <v>6</v>
      </c>
      <c r="D103" s="16" t="s">
        <v>12</v>
      </c>
      <c r="E103" s="34">
        <f>(E90*F90+E92*F92+E94*F94)/F103</f>
        <v>100</v>
      </c>
      <c r="F103" s="31">
        <f>F90+F92+F94</f>
        <v>7.13053591331657</v>
      </c>
      <c r="G103" s="34">
        <f>(G90*H90+G92*H92+G94*H94)/H103</f>
        <v>100</v>
      </c>
      <c r="H103" s="31">
        <f>H90+H92+H94</f>
        <v>7.239070432657993</v>
      </c>
      <c r="I103" s="34">
        <f>(I90*J90+I92*J92+I94*J94)/J103</f>
        <v>100</v>
      </c>
      <c r="J103" s="31">
        <f>J90+J92+J94</f>
        <v>7.2253207236003885</v>
      </c>
      <c r="K103" s="34">
        <f>(K90*L90+K92*L92+K94*L94)/L103</f>
        <v>100.00000000000001</v>
      </c>
      <c r="L103" s="31">
        <f>AVERAGE(F103,H103,J103)</f>
        <v>7.1983090231916504</v>
      </c>
      <c r="M103" s="16">
        <f t="shared" si="10"/>
        <v>100</v>
      </c>
      <c r="N103" s="31">
        <f>F103</f>
        <v>7.13053591331657</v>
      </c>
      <c r="O103" s="16">
        <f t="shared" si="10"/>
        <v>100</v>
      </c>
      <c r="P103" s="31">
        <f>H103</f>
        <v>7.239070432657993</v>
      </c>
      <c r="Q103" s="16">
        <f t="shared" si="10"/>
        <v>100</v>
      </c>
      <c r="R103" s="31">
        <f>J103</f>
        <v>7.2253207236003885</v>
      </c>
      <c r="S103" s="16">
        <f t="shared" si="10"/>
        <v>100.00000000000001</v>
      </c>
      <c r="T103" s="31">
        <f>L103</f>
        <v>7.1983090231916504</v>
      </c>
    </row>
    <row r="104" spans="6:10" ht="12.75">
      <c r="F104" s="31"/>
      <c r="G104" s="31"/>
      <c r="H104" s="31"/>
      <c r="I104" s="31"/>
      <c r="J104" s="31"/>
    </row>
    <row r="106" spans="2:3" ht="12.75">
      <c r="B106" s="15" t="s">
        <v>70</v>
      </c>
      <c r="C106" s="15"/>
    </row>
    <row r="107" spans="2:3" ht="12.75" customHeight="1">
      <c r="B107" s="15"/>
      <c r="C107" s="15"/>
    </row>
    <row r="108" spans="2:6" ht="12.75">
      <c r="B108" s="16" t="s">
        <v>152</v>
      </c>
      <c r="D108" s="16" t="s">
        <v>63</v>
      </c>
      <c r="F108" s="16">
        <v>153</v>
      </c>
    </row>
    <row r="109" spans="2:6" ht="12.75">
      <c r="B109" s="16" t="s">
        <v>148</v>
      </c>
      <c r="D109" s="16" t="s">
        <v>63</v>
      </c>
      <c r="F109" s="16">
        <v>0.16</v>
      </c>
    </row>
    <row r="110" spans="2:6" ht="12.75">
      <c r="B110" s="16" t="s">
        <v>150</v>
      </c>
      <c r="D110" s="16" t="s">
        <v>63</v>
      </c>
      <c r="F110" s="16">
        <v>25458</v>
      </c>
    </row>
    <row r="111" spans="2:6" ht="12.75">
      <c r="B111" s="16" t="s">
        <v>149</v>
      </c>
      <c r="D111" s="16" t="s">
        <v>63</v>
      </c>
      <c r="F111" s="16">
        <v>0.12</v>
      </c>
    </row>
    <row r="112" spans="2:6" ht="12.75">
      <c r="B112" s="16" t="s">
        <v>155</v>
      </c>
      <c r="D112" s="16" t="s">
        <v>63</v>
      </c>
      <c r="F112" s="16">
        <v>0.15</v>
      </c>
    </row>
    <row r="113" spans="2:6" ht="12.75">
      <c r="B113" s="16" t="s">
        <v>68</v>
      </c>
      <c r="D113" s="16" t="s">
        <v>63</v>
      </c>
      <c r="F113" s="16">
        <v>96</v>
      </c>
    </row>
    <row r="114" spans="2:6" ht="12.75">
      <c r="B114" s="16" t="s">
        <v>157</v>
      </c>
      <c r="D114" s="16" t="s">
        <v>63</v>
      </c>
      <c r="F114" s="16">
        <v>0.34</v>
      </c>
    </row>
    <row r="115" spans="2:6" ht="12.75">
      <c r="B115" s="16" t="s">
        <v>153</v>
      </c>
      <c r="D115" s="16" t="s">
        <v>63</v>
      </c>
      <c r="F115" s="16">
        <v>40</v>
      </c>
    </row>
    <row r="116" spans="2:6" ht="12.75">
      <c r="B116" s="16" t="s">
        <v>163</v>
      </c>
      <c r="D116" s="16" t="s">
        <v>63</v>
      </c>
      <c r="F116" s="16">
        <v>36</v>
      </c>
    </row>
    <row r="117" spans="2:6" ht="12.75">
      <c r="B117" s="16" t="s">
        <v>156</v>
      </c>
      <c r="D117" s="16" t="s">
        <v>63</v>
      </c>
      <c r="F117" s="16">
        <v>1500</v>
      </c>
    </row>
    <row r="118" spans="2:6" ht="12.75">
      <c r="B118" s="16" t="s">
        <v>151</v>
      </c>
      <c r="D118" s="16" t="s">
        <v>63</v>
      </c>
      <c r="F118" s="16">
        <v>253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7" sqref="C17"/>
    </sheetView>
  </sheetViews>
  <sheetFormatPr defaultColWidth="9.140625" defaultRowHeight="12.75"/>
  <cols>
    <col min="1" max="1" width="21.8515625" style="1" customWidth="1"/>
    <col min="2" max="2" width="7.00390625" style="1" customWidth="1"/>
    <col min="3" max="3" width="8.140625" style="1" customWidth="1"/>
    <col min="4" max="4" width="7.421875" style="1" customWidth="1"/>
    <col min="5" max="5" width="7.8515625" style="1" customWidth="1"/>
    <col min="6" max="6" width="8.28125" style="1" customWidth="1"/>
    <col min="7" max="16384" width="11.421875" style="1" customWidth="1"/>
  </cols>
  <sheetData>
    <row r="1" ht="12.75">
      <c r="A1" s="10" t="s">
        <v>71</v>
      </c>
    </row>
    <row r="3" spans="2:6" ht="12.75">
      <c r="B3" s="1" t="s">
        <v>50</v>
      </c>
      <c r="C3" s="2" t="s">
        <v>51</v>
      </c>
      <c r="D3" s="2" t="s">
        <v>51</v>
      </c>
      <c r="E3" s="2" t="s">
        <v>51</v>
      </c>
      <c r="F3" s="2" t="s">
        <v>72</v>
      </c>
    </row>
    <row r="4" spans="3:6" ht="12.75">
      <c r="C4" s="2">
        <v>1</v>
      </c>
      <c r="D4" s="2">
        <v>2</v>
      </c>
      <c r="E4" s="2">
        <v>3</v>
      </c>
      <c r="F4" s="2"/>
    </row>
    <row r="5" spans="1:6" ht="12.75">
      <c r="A5" s="10" t="s">
        <v>61</v>
      </c>
      <c r="C5" s="2"/>
      <c r="D5" s="2"/>
      <c r="E5" s="2"/>
      <c r="F5" s="2"/>
    </row>
    <row r="6" spans="1:6" ht="12.75">
      <c r="A6" s="10"/>
      <c r="C6" s="2"/>
      <c r="D6" s="2"/>
      <c r="E6" s="2"/>
      <c r="F6" s="2"/>
    </row>
    <row r="7" spans="1:5" ht="12.75">
      <c r="A7" s="1" t="s">
        <v>126</v>
      </c>
      <c r="B7" s="1" t="s">
        <v>16</v>
      </c>
      <c r="C7" s="1">
        <v>1990</v>
      </c>
      <c r="D7" s="1">
        <v>1990</v>
      </c>
      <c r="E7" s="1">
        <v>1990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C17" sqref="C17"/>
    </sheetView>
  </sheetViews>
  <sheetFormatPr defaultColWidth="9.140625" defaultRowHeight="12.75"/>
  <cols>
    <col min="1" max="1" width="0.9921875" style="16" customWidth="1"/>
    <col min="2" max="2" width="25.8515625" style="16" customWidth="1"/>
    <col min="3" max="3" width="7.8515625" style="16" customWidth="1"/>
    <col min="4" max="4" width="4.57421875" style="16" bestFit="1" customWidth="1"/>
    <col min="5" max="5" width="7.421875" style="17" customWidth="1"/>
    <col min="6" max="6" width="8.140625" style="18" customWidth="1"/>
    <col min="7" max="7" width="7.8515625" style="17" customWidth="1"/>
    <col min="8" max="8" width="8.140625" style="18" customWidth="1"/>
    <col min="9" max="9" width="4.57421875" style="19" bestFit="1" customWidth="1"/>
    <col min="10" max="10" width="7.00390625" style="17" customWidth="1"/>
    <col min="11" max="11" width="8.7109375" style="17" customWidth="1"/>
    <col min="12" max="12" width="7.8515625" style="17" customWidth="1"/>
    <col min="13" max="13" width="8.7109375" style="17" customWidth="1"/>
    <col min="14" max="14" width="5.28125" style="19" customWidth="1"/>
    <col min="15" max="15" width="7.8515625" style="17" customWidth="1"/>
    <col min="16" max="16" width="10.00390625" style="17" customWidth="1"/>
    <col min="17" max="17" width="8.7109375" style="17" customWidth="1"/>
    <col min="18" max="18" width="10.00390625" style="17" customWidth="1"/>
    <col min="19" max="19" width="7.7109375" style="16" customWidth="1"/>
    <col min="20" max="20" width="7.8515625" style="16" customWidth="1"/>
    <col min="21" max="21" width="7.7109375" style="16" customWidth="1"/>
    <col min="22" max="22" width="7.00390625" style="16" customWidth="1"/>
    <col min="23" max="23" width="7.421875" style="16" customWidth="1"/>
    <col min="24" max="16384" width="10.8515625" style="16" customWidth="1"/>
  </cols>
  <sheetData>
    <row r="1" ht="12.75">
      <c r="A1" s="15" t="s">
        <v>114</v>
      </c>
    </row>
    <row r="2" ht="12.75">
      <c r="A2" s="16" t="s">
        <v>203</v>
      </c>
    </row>
    <row r="3" spans="1:3" ht="12.75">
      <c r="A3" s="16" t="s">
        <v>198</v>
      </c>
      <c r="C3" s="16" t="s">
        <v>199</v>
      </c>
    </row>
    <row r="4" spans="1:18" ht="12.75">
      <c r="A4" s="16" t="s">
        <v>200</v>
      </c>
      <c r="C4" s="20" t="s">
        <v>118</v>
      </c>
      <c r="D4" s="20"/>
      <c r="E4" s="21"/>
      <c r="F4" s="22"/>
      <c r="G4" s="21"/>
      <c r="H4" s="22"/>
      <c r="J4" s="21"/>
      <c r="K4" s="21"/>
      <c r="L4" s="21"/>
      <c r="M4" s="21"/>
      <c r="O4" s="21"/>
      <c r="P4" s="21"/>
      <c r="Q4" s="21"/>
      <c r="R4" s="21"/>
    </row>
    <row r="5" spans="1:4" ht="12.75">
      <c r="A5" s="16" t="s">
        <v>201</v>
      </c>
      <c r="C5" s="36" t="s">
        <v>202</v>
      </c>
      <c r="D5" s="20"/>
    </row>
    <row r="6" spans="3:17" ht="12.75">
      <c r="C6" s="20"/>
      <c r="D6" s="20"/>
      <c r="E6" s="19"/>
      <c r="G6" s="19"/>
      <c r="J6" s="19"/>
      <c r="L6" s="19"/>
      <c r="O6" s="19"/>
      <c r="Q6" s="19"/>
    </row>
    <row r="7" spans="3:18" ht="12.75">
      <c r="C7" s="20" t="s">
        <v>73</v>
      </c>
      <c r="D7" s="20"/>
      <c r="E7" s="23" t="s">
        <v>74</v>
      </c>
      <c r="F7" s="23"/>
      <c r="G7" s="23"/>
      <c r="H7" s="23"/>
      <c r="I7" s="24"/>
      <c r="J7" s="23" t="s">
        <v>75</v>
      </c>
      <c r="K7" s="23"/>
      <c r="L7" s="23"/>
      <c r="M7" s="23"/>
      <c r="N7" s="24"/>
      <c r="O7" s="23" t="s">
        <v>76</v>
      </c>
      <c r="P7" s="23"/>
      <c r="Q7" s="23"/>
      <c r="R7" s="23"/>
    </row>
    <row r="8" spans="3:18" ht="12.75">
      <c r="C8" s="20" t="s">
        <v>77</v>
      </c>
      <c r="E8" s="19" t="s">
        <v>78</v>
      </c>
      <c r="F8" s="22" t="s">
        <v>79</v>
      </c>
      <c r="G8" s="19" t="s">
        <v>78</v>
      </c>
      <c r="H8" s="22" t="s">
        <v>79</v>
      </c>
      <c r="J8" s="19" t="s">
        <v>78</v>
      </c>
      <c r="K8" s="19" t="s">
        <v>80</v>
      </c>
      <c r="L8" s="19" t="s">
        <v>78</v>
      </c>
      <c r="M8" s="19" t="s">
        <v>80</v>
      </c>
      <c r="O8" s="19" t="s">
        <v>78</v>
      </c>
      <c r="P8" s="19" t="s">
        <v>80</v>
      </c>
      <c r="Q8" s="19" t="s">
        <v>78</v>
      </c>
      <c r="R8" s="19" t="s">
        <v>80</v>
      </c>
    </row>
    <row r="9" spans="3:18" ht="12.75">
      <c r="C9" s="20"/>
      <c r="E9" s="19" t="s">
        <v>197</v>
      </c>
      <c r="F9" s="19" t="s">
        <v>197</v>
      </c>
      <c r="G9" s="19" t="s">
        <v>113</v>
      </c>
      <c r="H9" s="22" t="s">
        <v>113</v>
      </c>
      <c r="J9" s="19" t="s">
        <v>197</v>
      </c>
      <c r="K9" s="19" t="s">
        <v>197</v>
      </c>
      <c r="L9" s="19" t="s">
        <v>113</v>
      </c>
      <c r="M9" s="22" t="s">
        <v>113</v>
      </c>
      <c r="O9" s="19" t="s">
        <v>197</v>
      </c>
      <c r="P9" s="19" t="s">
        <v>197</v>
      </c>
      <c r="Q9" s="19" t="s">
        <v>113</v>
      </c>
      <c r="R9" s="22" t="s">
        <v>113</v>
      </c>
    </row>
    <row r="10" ht="13.5" customHeight="1">
      <c r="A10" s="16" t="s">
        <v>81</v>
      </c>
    </row>
    <row r="11" spans="2:18" ht="12.75">
      <c r="B11" s="16" t="s">
        <v>82</v>
      </c>
      <c r="C11" s="20">
        <v>1</v>
      </c>
      <c r="D11" s="20" t="s">
        <v>55</v>
      </c>
      <c r="E11" s="18">
        <v>0.01</v>
      </c>
      <c r="F11" s="18">
        <f>IF(E11="","",E11*$C11)</f>
        <v>0.01</v>
      </c>
      <c r="G11" s="18">
        <f>IF(E11=0,"",IF(D11="nd",E11/2,E11))</f>
        <v>0.005</v>
      </c>
      <c r="H11" s="18">
        <f>IF(G11="","",G11*$C11)</f>
        <v>0.005</v>
      </c>
      <c r="I11" s="22" t="s">
        <v>55</v>
      </c>
      <c r="J11" s="1">
        <v>0.01</v>
      </c>
      <c r="K11" s="18">
        <f>IF(J11="","",J11*$C11)</f>
        <v>0.01</v>
      </c>
      <c r="L11" s="18">
        <f>IF(J11=0,"",IF(I11="nd",J11/2,J11))</f>
        <v>0.005</v>
      </c>
      <c r="M11" s="18">
        <f>IF(L11="","",L11*$C11)</f>
        <v>0.005</v>
      </c>
      <c r="N11" s="22" t="s">
        <v>55</v>
      </c>
      <c r="O11" s="1">
        <v>0.01</v>
      </c>
      <c r="P11" s="18">
        <f>IF(O11="","",O11*$C11)</f>
        <v>0.01</v>
      </c>
      <c r="Q11" s="18">
        <f>IF(O11=0,"",IF(N11="nd",O11/2,O11))</f>
        <v>0.005</v>
      </c>
      <c r="R11" s="18">
        <f>IF(Q11="","",Q11*$C11)</f>
        <v>0.005</v>
      </c>
    </row>
    <row r="12" spans="2:18" ht="12.75">
      <c r="B12" s="16" t="s">
        <v>83</v>
      </c>
      <c r="C12" s="20">
        <v>0</v>
      </c>
      <c r="D12" s="20"/>
      <c r="E12" s="18">
        <v>0.01</v>
      </c>
      <c r="F12" s="18">
        <f>IF(E12="","",E12*$C12)</f>
        <v>0</v>
      </c>
      <c r="G12" s="18">
        <f>IF(E12=0,"",IF(D12="nd",E12/2,E12))</f>
        <v>0.01</v>
      </c>
      <c r="H12" s="18">
        <f>IF(G12="","",G12*$C12)</f>
        <v>0</v>
      </c>
      <c r="I12" s="22" t="s">
        <v>55</v>
      </c>
      <c r="J12" s="1">
        <v>0.01</v>
      </c>
      <c r="K12" s="18">
        <f>IF(J12="","",J12*$C12)</f>
        <v>0</v>
      </c>
      <c r="L12" s="18">
        <f>IF(J12=0,"",IF(I12="nd",J12/2,J12))</f>
        <v>0.005</v>
      </c>
      <c r="M12" s="18">
        <f>IF(L12="","",L12*$C12)</f>
        <v>0</v>
      </c>
      <c r="N12" s="22" t="s">
        <v>55</v>
      </c>
      <c r="O12" s="1">
        <v>0.01</v>
      </c>
      <c r="P12" s="18">
        <f>IF(O12="","",O12*$C12)</f>
        <v>0</v>
      </c>
      <c r="Q12" s="18">
        <f>IF(O12=0,"",IF(N12="nd",O12/2,O12))</f>
        <v>0.005</v>
      </c>
      <c r="R12" s="18">
        <f>IF(Q12="","",Q12*$C12)</f>
        <v>0</v>
      </c>
    </row>
    <row r="13" spans="2:18" ht="12.75">
      <c r="B13" s="16" t="s">
        <v>84</v>
      </c>
      <c r="C13" s="20">
        <v>0.5</v>
      </c>
      <c r="D13" s="20" t="s">
        <v>55</v>
      </c>
      <c r="E13" s="18">
        <v>0.01</v>
      </c>
      <c r="F13" s="18">
        <f aca="true" t="shared" si="0" ref="F13:H35">IF(E13="","",E13*$C13)</f>
        <v>0.005</v>
      </c>
      <c r="G13" s="18">
        <f>IF(E13=0,"",IF(D13="nd",E13/2,E13))</f>
        <v>0.005</v>
      </c>
      <c r="H13" s="18">
        <f t="shared" si="0"/>
        <v>0.0025</v>
      </c>
      <c r="I13" s="22" t="s">
        <v>55</v>
      </c>
      <c r="J13" s="1">
        <v>0.02</v>
      </c>
      <c r="K13" s="18">
        <f aca="true" t="shared" si="1" ref="K13:M28">IF(J13="","",J13*$C13)</f>
        <v>0.01</v>
      </c>
      <c r="L13" s="18">
        <f>IF(J13=0,"",IF(I13="nd",J13/2,J13))</f>
        <v>0.01</v>
      </c>
      <c r="M13" s="18">
        <f t="shared" si="1"/>
        <v>0.005</v>
      </c>
      <c r="N13" s="22" t="s">
        <v>55</v>
      </c>
      <c r="O13" s="1">
        <v>0.01</v>
      </c>
      <c r="P13" s="18">
        <f aca="true" t="shared" si="2" ref="P13:R28">IF(O13="","",O13*$C13)</f>
        <v>0.005</v>
      </c>
      <c r="Q13" s="18">
        <f>IF(O13=0,"",IF(N13="nd",O13/2,O13))</f>
        <v>0.005</v>
      </c>
      <c r="R13" s="18">
        <f t="shared" si="2"/>
        <v>0.0025</v>
      </c>
    </row>
    <row r="14" spans="2:18" ht="12.75">
      <c r="B14" s="16" t="s">
        <v>85</v>
      </c>
      <c r="C14" s="20">
        <v>0</v>
      </c>
      <c r="D14" s="20" t="s">
        <v>55</v>
      </c>
      <c r="E14" s="18">
        <v>0.01</v>
      </c>
      <c r="F14" s="18">
        <f t="shared" si="0"/>
        <v>0</v>
      </c>
      <c r="G14" s="18">
        <f aca="true" t="shared" si="3" ref="G14:G35">IF(E14=0,"",IF(D14="nd",E14/2,E14))</f>
        <v>0.005</v>
      </c>
      <c r="H14" s="18">
        <f t="shared" si="0"/>
        <v>0</v>
      </c>
      <c r="I14" s="22" t="s">
        <v>55</v>
      </c>
      <c r="J14" s="1">
        <v>0.02</v>
      </c>
      <c r="K14" s="18">
        <f t="shared" si="1"/>
        <v>0</v>
      </c>
      <c r="L14" s="18">
        <f aca="true" t="shared" si="4" ref="L14:L29">IF(J14=0,"",IF(I14="nd",J14/2,J14))</f>
        <v>0.01</v>
      </c>
      <c r="M14" s="18">
        <f t="shared" si="1"/>
        <v>0</v>
      </c>
      <c r="N14" s="22" t="s">
        <v>55</v>
      </c>
      <c r="O14" s="1">
        <v>0.01</v>
      </c>
      <c r="P14" s="18">
        <f t="shared" si="2"/>
        <v>0</v>
      </c>
      <c r="Q14" s="18">
        <f aca="true" t="shared" si="5" ref="Q14:Q29">IF(O14=0,"",IF(N14="nd",O14/2,O14))</f>
        <v>0.005</v>
      </c>
      <c r="R14" s="18">
        <f t="shared" si="2"/>
        <v>0</v>
      </c>
    </row>
    <row r="15" spans="2:18" ht="12.75">
      <c r="B15" s="16" t="s">
        <v>86</v>
      </c>
      <c r="C15" s="20">
        <v>0.1</v>
      </c>
      <c r="D15" s="20" t="s">
        <v>55</v>
      </c>
      <c r="E15" s="18">
        <v>0.01</v>
      </c>
      <c r="F15" s="18">
        <f t="shared" si="0"/>
        <v>0.001</v>
      </c>
      <c r="G15" s="18">
        <f t="shared" si="3"/>
        <v>0.005</v>
      </c>
      <c r="H15" s="18">
        <f t="shared" si="0"/>
        <v>0.0005</v>
      </c>
      <c r="I15" s="22" t="s">
        <v>55</v>
      </c>
      <c r="J15" s="1">
        <v>0.02</v>
      </c>
      <c r="K15" s="18">
        <f t="shared" si="1"/>
        <v>0.002</v>
      </c>
      <c r="L15" s="18">
        <f t="shared" si="4"/>
        <v>0.01</v>
      </c>
      <c r="M15" s="18">
        <f t="shared" si="1"/>
        <v>0.001</v>
      </c>
      <c r="N15" s="22" t="s">
        <v>55</v>
      </c>
      <c r="O15" s="1">
        <v>0.01</v>
      </c>
      <c r="P15" s="18">
        <f t="shared" si="2"/>
        <v>0.001</v>
      </c>
      <c r="Q15" s="18">
        <f t="shared" si="5"/>
        <v>0.005</v>
      </c>
      <c r="R15" s="18">
        <f t="shared" si="2"/>
        <v>0.0005</v>
      </c>
    </row>
    <row r="16" spans="2:18" ht="12.75">
      <c r="B16" s="16" t="s">
        <v>87</v>
      </c>
      <c r="C16" s="20">
        <v>0.1</v>
      </c>
      <c r="D16" s="20" t="s">
        <v>55</v>
      </c>
      <c r="E16" s="18">
        <v>0.01</v>
      </c>
      <c r="F16" s="18">
        <f t="shared" si="0"/>
        <v>0.001</v>
      </c>
      <c r="G16" s="18">
        <f t="shared" si="3"/>
        <v>0.005</v>
      </c>
      <c r="H16" s="18">
        <f t="shared" si="0"/>
        <v>0.0005</v>
      </c>
      <c r="I16" s="22" t="s">
        <v>55</v>
      </c>
      <c r="J16" s="1">
        <v>0.01</v>
      </c>
      <c r="K16" s="18">
        <f t="shared" si="1"/>
        <v>0.001</v>
      </c>
      <c r="L16" s="18">
        <f t="shared" si="4"/>
        <v>0.005</v>
      </c>
      <c r="M16" s="18">
        <f t="shared" si="1"/>
        <v>0.0005</v>
      </c>
      <c r="N16" s="22" t="s">
        <v>55</v>
      </c>
      <c r="O16" s="1">
        <v>0.01</v>
      </c>
      <c r="P16" s="18">
        <f t="shared" si="2"/>
        <v>0.001</v>
      </c>
      <c r="Q16" s="18">
        <f t="shared" si="5"/>
        <v>0.005</v>
      </c>
      <c r="R16" s="18">
        <f t="shared" si="2"/>
        <v>0.0005</v>
      </c>
    </row>
    <row r="17" spans="2:18" ht="12.75">
      <c r="B17" s="16" t="s">
        <v>88</v>
      </c>
      <c r="C17" s="20">
        <v>0.1</v>
      </c>
      <c r="D17" s="20" t="s">
        <v>55</v>
      </c>
      <c r="E17" s="18">
        <v>0.01</v>
      </c>
      <c r="F17" s="18">
        <f t="shared" si="0"/>
        <v>0.001</v>
      </c>
      <c r="G17" s="18">
        <f t="shared" si="3"/>
        <v>0.005</v>
      </c>
      <c r="H17" s="18">
        <f t="shared" si="0"/>
        <v>0.0005</v>
      </c>
      <c r="I17" s="22" t="s">
        <v>55</v>
      </c>
      <c r="J17" s="1">
        <v>0.01</v>
      </c>
      <c r="K17" s="18">
        <f t="shared" si="1"/>
        <v>0.001</v>
      </c>
      <c r="L17" s="18">
        <f t="shared" si="4"/>
        <v>0.005</v>
      </c>
      <c r="M17" s="18">
        <f t="shared" si="1"/>
        <v>0.0005</v>
      </c>
      <c r="N17" s="22" t="s">
        <v>55</v>
      </c>
      <c r="O17" s="1">
        <v>0.01</v>
      </c>
      <c r="P17" s="18">
        <f t="shared" si="2"/>
        <v>0.001</v>
      </c>
      <c r="Q17" s="18">
        <f t="shared" si="5"/>
        <v>0.005</v>
      </c>
      <c r="R17" s="18">
        <f t="shared" si="2"/>
        <v>0.0005</v>
      </c>
    </row>
    <row r="18" spans="2:18" ht="12.75">
      <c r="B18" s="16" t="s">
        <v>89</v>
      </c>
      <c r="C18" s="20">
        <v>0</v>
      </c>
      <c r="D18" s="20"/>
      <c r="E18" s="18">
        <v>0.01</v>
      </c>
      <c r="F18" s="18">
        <f t="shared" si="0"/>
        <v>0</v>
      </c>
      <c r="G18" s="18">
        <f t="shared" si="3"/>
        <v>0.01</v>
      </c>
      <c r="H18" s="18">
        <f t="shared" si="0"/>
        <v>0</v>
      </c>
      <c r="I18" s="22" t="s">
        <v>55</v>
      </c>
      <c r="J18" s="1">
        <v>0.01</v>
      </c>
      <c r="K18" s="18">
        <f t="shared" si="1"/>
        <v>0</v>
      </c>
      <c r="L18" s="18">
        <f t="shared" si="4"/>
        <v>0.005</v>
      </c>
      <c r="M18" s="18">
        <f t="shared" si="1"/>
        <v>0</v>
      </c>
      <c r="N18" s="22" t="s">
        <v>55</v>
      </c>
      <c r="O18" s="1">
        <v>0.01</v>
      </c>
      <c r="P18" s="18">
        <f t="shared" si="2"/>
        <v>0</v>
      </c>
      <c r="Q18" s="18">
        <f t="shared" si="5"/>
        <v>0.005</v>
      </c>
      <c r="R18" s="18">
        <f t="shared" si="2"/>
        <v>0</v>
      </c>
    </row>
    <row r="19" spans="2:18" ht="12.75">
      <c r="B19" s="16" t="s">
        <v>90</v>
      </c>
      <c r="C19" s="20">
        <v>0.01</v>
      </c>
      <c r="D19" s="20" t="s">
        <v>55</v>
      </c>
      <c r="E19" s="18">
        <v>0.03</v>
      </c>
      <c r="F19" s="18">
        <f t="shared" si="0"/>
        <v>0.0003</v>
      </c>
      <c r="G19" s="18">
        <f t="shared" si="3"/>
        <v>0.015</v>
      </c>
      <c r="H19" s="18">
        <f t="shared" si="0"/>
        <v>0.00015</v>
      </c>
      <c r="I19" s="22"/>
      <c r="J19" s="1">
        <v>0.02</v>
      </c>
      <c r="K19" s="18">
        <f t="shared" si="1"/>
        <v>0.0002</v>
      </c>
      <c r="L19" s="18">
        <f t="shared" si="4"/>
        <v>0.02</v>
      </c>
      <c r="M19" s="18">
        <f t="shared" si="1"/>
        <v>0.0002</v>
      </c>
      <c r="N19" s="22" t="s">
        <v>55</v>
      </c>
      <c r="O19" s="1">
        <v>0.01</v>
      </c>
      <c r="P19" s="18">
        <f t="shared" si="2"/>
        <v>0.0001</v>
      </c>
      <c r="Q19" s="18">
        <f t="shared" si="5"/>
        <v>0.005</v>
      </c>
      <c r="R19" s="18">
        <f t="shared" si="2"/>
        <v>5E-05</v>
      </c>
    </row>
    <row r="20" spans="2:18" ht="12.75">
      <c r="B20" s="16" t="s">
        <v>91</v>
      </c>
      <c r="C20" s="20">
        <v>0</v>
      </c>
      <c r="D20" s="20" t="s">
        <v>55</v>
      </c>
      <c r="E20" s="18">
        <v>0.05</v>
      </c>
      <c r="F20" s="18">
        <f t="shared" si="0"/>
        <v>0</v>
      </c>
      <c r="G20" s="18">
        <f t="shared" si="3"/>
        <v>0.025</v>
      </c>
      <c r="H20" s="18">
        <f t="shared" si="0"/>
        <v>0</v>
      </c>
      <c r="I20" s="22"/>
      <c r="J20" s="1">
        <v>0.02</v>
      </c>
      <c r="K20" s="18">
        <f t="shared" si="1"/>
        <v>0</v>
      </c>
      <c r="L20" s="18">
        <f t="shared" si="4"/>
        <v>0.02</v>
      </c>
      <c r="M20" s="18">
        <f t="shared" si="1"/>
        <v>0</v>
      </c>
      <c r="N20" s="22"/>
      <c r="O20" s="1">
        <v>0.01</v>
      </c>
      <c r="P20" s="18">
        <f t="shared" si="2"/>
        <v>0</v>
      </c>
      <c r="Q20" s="18">
        <f t="shared" si="5"/>
        <v>0.01</v>
      </c>
      <c r="R20" s="18">
        <f t="shared" si="2"/>
        <v>0</v>
      </c>
    </row>
    <row r="21" spans="2:18" ht="12.75">
      <c r="B21" s="16" t="s">
        <v>92</v>
      </c>
      <c r="C21" s="20">
        <v>0.001</v>
      </c>
      <c r="D21" s="20" t="s">
        <v>55</v>
      </c>
      <c r="E21" s="18">
        <v>0.07</v>
      </c>
      <c r="F21" s="18">
        <f t="shared" si="0"/>
        <v>7.000000000000001E-05</v>
      </c>
      <c r="G21" s="18">
        <f t="shared" si="3"/>
        <v>0.035</v>
      </c>
      <c r="H21" s="18">
        <f t="shared" si="0"/>
        <v>3.5000000000000004E-05</v>
      </c>
      <c r="I21" s="22"/>
      <c r="J21" s="1">
        <v>0.04</v>
      </c>
      <c r="K21" s="18">
        <f t="shared" si="1"/>
        <v>4E-05</v>
      </c>
      <c r="L21" s="18">
        <f t="shared" si="4"/>
        <v>0.04</v>
      </c>
      <c r="M21" s="18">
        <f t="shared" si="1"/>
        <v>4E-05</v>
      </c>
      <c r="N21" s="22" t="s">
        <v>55</v>
      </c>
      <c r="O21" s="1">
        <v>0.03</v>
      </c>
      <c r="P21" s="18">
        <f t="shared" si="2"/>
        <v>3E-05</v>
      </c>
      <c r="Q21" s="18">
        <f t="shared" si="5"/>
        <v>0.015</v>
      </c>
      <c r="R21" s="18">
        <f t="shared" si="2"/>
        <v>1.5E-05</v>
      </c>
    </row>
    <row r="22" spans="2:18" ht="12.75">
      <c r="B22" s="16" t="s">
        <v>93</v>
      </c>
      <c r="C22" s="20">
        <v>0.1</v>
      </c>
      <c r="D22" s="20"/>
      <c r="E22" s="18">
        <v>0.07</v>
      </c>
      <c r="F22" s="18">
        <f t="shared" si="0"/>
        <v>0.007000000000000001</v>
      </c>
      <c r="G22" s="18">
        <f t="shared" si="3"/>
        <v>0.07</v>
      </c>
      <c r="H22" s="18">
        <f t="shared" si="0"/>
        <v>0.007000000000000001</v>
      </c>
      <c r="I22" s="22" t="s">
        <v>55</v>
      </c>
      <c r="J22" s="1">
        <v>0.01</v>
      </c>
      <c r="K22" s="18">
        <f t="shared" si="1"/>
        <v>0.001</v>
      </c>
      <c r="L22" s="18">
        <f t="shared" si="4"/>
        <v>0.005</v>
      </c>
      <c r="M22" s="18">
        <f t="shared" si="1"/>
        <v>0.0005</v>
      </c>
      <c r="N22" s="22" t="s">
        <v>55</v>
      </c>
      <c r="O22" s="1">
        <v>0.01</v>
      </c>
      <c r="P22" s="18">
        <f t="shared" si="2"/>
        <v>0.001</v>
      </c>
      <c r="Q22" s="18">
        <f t="shared" si="5"/>
        <v>0.005</v>
      </c>
      <c r="R22" s="18">
        <f t="shared" si="2"/>
        <v>0.0005</v>
      </c>
    </row>
    <row r="23" spans="2:18" ht="12.75">
      <c r="B23" s="16" t="s">
        <v>94</v>
      </c>
      <c r="C23" s="20">
        <v>0</v>
      </c>
      <c r="D23" s="20"/>
      <c r="E23" s="18">
        <v>0.41</v>
      </c>
      <c r="F23" s="18">
        <f t="shared" si="0"/>
        <v>0</v>
      </c>
      <c r="G23" s="18">
        <f t="shared" si="3"/>
        <v>0.41</v>
      </c>
      <c r="H23" s="18">
        <f t="shared" si="0"/>
        <v>0</v>
      </c>
      <c r="I23" s="22" t="s">
        <v>55</v>
      </c>
      <c r="J23" s="1">
        <v>0.01</v>
      </c>
      <c r="K23" s="18">
        <f t="shared" si="1"/>
        <v>0</v>
      </c>
      <c r="L23" s="18">
        <f t="shared" si="4"/>
        <v>0.005</v>
      </c>
      <c r="M23" s="18">
        <f t="shared" si="1"/>
        <v>0</v>
      </c>
      <c r="N23" s="22" t="s">
        <v>55</v>
      </c>
      <c r="O23" s="1">
        <v>0.01</v>
      </c>
      <c r="P23" s="18">
        <f t="shared" si="2"/>
        <v>0</v>
      </c>
      <c r="Q23" s="18">
        <f t="shared" si="5"/>
        <v>0.005</v>
      </c>
      <c r="R23" s="18">
        <f t="shared" si="2"/>
        <v>0</v>
      </c>
    </row>
    <row r="24" spans="2:18" ht="12.75">
      <c r="B24" s="16" t="s">
        <v>95</v>
      </c>
      <c r="C24" s="20">
        <v>0.05</v>
      </c>
      <c r="D24" s="20"/>
      <c r="E24" s="18">
        <v>0.01</v>
      </c>
      <c r="F24" s="18">
        <f t="shared" si="0"/>
        <v>0.0005</v>
      </c>
      <c r="G24" s="18">
        <f t="shared" si="3"/>
        <v>0.01</v>
      </c>
      <c r="H24" s="18">
        <f t="shared" si="0"/>
        <v>0.0005</v>
      </c>
      <c r="I24" s="22" t="s">
        <v>55</v>
      </c>
      <c r="J24" s="1">
        <v>0.01</v>
      </c>
      <c r="K24" s="18">
        <f t="shared" si="1"/>
        <v>0.0005</v>
      </c>
      <c r="L24" s="18">
        <f t="shared" si="4"/>
        <v>0.005</v>
      </c>
      <c r="M24" s="18">
        <f t="shared" si="1"/>
        <v>0.00025</v>
      </c>
      <c r="N24" s="22" t="s">
        <v>55</v>
      </c>
      <c r="O24" s="1">
        <v>0.01</v>
      </c>
      <c r="P24" s="18">
        <f t="shared" si="2"/>
        <v>0.0005</v>
      </c>
      <c r="Q24" s="18">
        <f t="shared" si="5"/>
        <v>0.005</v>
      </c>
      <c r="R24" s="18">
        <f t="shared" si="2"/>
        <v>0.00025</v>
      </c>
    </row>
    <row r="25" spans="2:18" ht="12.75">
      <c r="B25" s="16" t="s">
        <v>96</v>
      </c>
      <c r="C25" s="20">
        <v>0.5</v>
      </c>
      <c r="D25" s="20"/>
      <c r="E25" s="18">
        <v>0.02</v>
      </c>
      <c r="F25" s="18">
        <f t="shared" si="0"/>
        <v>0.01</v>
      </c>
      <c r="G25" s="18">
        <f t="shared" si="3"/>
        <v>0.02</v>
      </c>
      <c r="H25" s="18">
        <f t="shared" si="0"/>
        <v>0.01</v>
      </c>
      <c r="I25" s="22" t="s">
        <v>55</v>
      </c>
      <c r="J25" s="1">
        <v>0.01</v>
      </c>
      <c r="K25" s="18">
        <f t="shared" si="1"/>
        <v>0.005</v>
      </c>
      <c r="L25" s="18">
        <f t="shared" si="4"/>
        <v>0.005</v>
      </c>
      <c r="M25" s="18">
        <f t="shared" si="1"/>
        <v>0.0025</v>
      </c>
      <c r="N25" s="22" t="s">
        <v>55</v>
      </c>
      <c r="O25" s="1">
        <v>0.01</v>
      </c>
      <c r="P25" s="18">
        <f t="shared" si="2"/>
        <v>0.005</v>
      </c>
      <c r="Q25" s="18">
        <f t="shared" si="5"/>
        <v>0.005</v>
      </c>
      <c r="R25" s="18">
        <f t="shared" si="2"/>
        <v>0.0025</v>
      </c>
    </row>
    <row r="26" spans="2:18" ht="12.75">
      <c r="B26" s="16" t="s">
        <v>97</v>
      </c>
      <c r="C26" s="20">
        <v>0</v>
      </c>
      <c r="D26" s="20"/>
      <c r="E26" s="18">
        <v>0.17</v>
      </c>
      <c r="F26" s="18">
        <f t="shared" si="0"/>
        <v>0</v>
      </c>
      <c r="G26" s="18">
        <f t="shared" si="3"/>
        <v>0.17</v>
      </c>
      <c r="H26" s="18">
        <f t="shared" si="0"/>
        <v>0</v>
      </c>
      <c r="I26" s="22" t="s">
        <v>55</v>
      </c>
      <c r="J26" s="1">
        <v>0.01</v>
      </c>
      <c r="K26" s="18">
        <f t="shared" si="1"/>
        <v>0</v>
      </c>
      <c r="L26" s="18">
        <f t="shared" si="4"/>
        <v>0.005</v>
      </c>
      <c r="M26" s="18">
        <f t="shared" si="1"/>
        <v>0</v>
      </c>
      <c r="N26" s="22" t="s">
        <v>55</v>
      </c>
      <c r="O26" s="1">
        <v>0.01</v>
      </c>
      <c r="P26" s="18">
        <f t="shared" si="2"/>
        <v>0</v>
      </c>
      <c r="Q26" s="18">
        <f t="shared" si="5"/>
        <v>0.005</v>
      </c>
      <c r="R26" s="18">
        <f t="shared" si="2"/>
        <v>0</v>
      </c>
    </row>
    <row r="27" spans="2:18" ht="12.75">
      <c r="B27" s="16" t="s">
        <v>98</v>
      </c>
      <c r="C27" s="20">
        <v>0.1</v>
      </c>
      <c r="D27" s="20"/>
      <c r="E27" s="18">
        <v>0.03</v>
      </c>
      <c r="F27" s="18">
        <f t="shared" si="0"/>
        <v>0.003</v>
      </c>
      <c r="G27" s="18">
        <f t="shared" si="3"/>
        <v>0.03</v>
      </c>
      <c r="H27" s="18">
        <f t="shared" si="0"/>
        <v>0.003</v>
      </c>
      <c r="I27" s="22"/>
      <c r="J27" s="1">
        <v>0.01</v>
      </c>
      <c r="K27" s="18">
        <f t="shared" si="1"/>
        <v>0.001</v>
      </c>
      <c r="L27" s="18">
        <f t="shared" si="4"/>
        <v>0.01</v>
      </c>
      <c r="M27" s="18">
        <f t="shared" si="1"/>
        <v>0.001</v>
      </c>
      <c r="N27" s="22" t="s">
        <v>55</v>
      </c>
      <c r="O27" s="1">
        <v>0.01</v>
      </c>
      <c r="P27" s="18">
        <f t="shared" si="2"/>
        <v>0.001</v>
      </c>
      <c r="Q27" s="18">
        <f t="shared" si="5"/>
        <v>0.005</v>
      </c>
      <c r="R27" s="18">
        <f t="shared" si="2"/>
        <v>0.0005</v>
      </c>
    </row>
    <row r="28" spans="2:18" ht="12.75">
      <c r="B28" s="16" t="s">
        <v>99</v>
      </c>
      <c r="C28" s="20">
        <v>0.1</v>
      </c>
      <c r="D28" s="20" t="s">
        <v>55</v>
      </c>
      <c r="E28" s="18">
        <v>0.01</v>
      </c>
      <c r="F28" s="18">
        <f t="shared" si="0"/>
        <v>0.001</v>
      </c>
      <c r="G28" s="18">
        <f t="shared" si="3"/>
        <v>0.005</v>
      </c>
      <c r="H28" s="18">
        <f t="shared" si="0"/>
        <v>0.0005</v>
      </c>
      <c r="I28" s="22" t="s">
        <v>55</v>
      </c>
      <c r="J28" s="1">
        <v>0.01</v>
      </c>
      <c r="K28" s="18">
        <f t="shared" si="1"/>
        <v>0.001</v>
      </c>
      <c r="L28" s="18">
        <f t="shared" si="4"/>
        <v>0.005</v>
      </c>
      <c r="M28" s="18">
        <f t="shared" si="1"/>
        <v>0.0005</v>
      </c>
      <c r="N28" s="22" t="s">
        <v>55</v>
      </c>
      <c r="O28" s="1">
        <v>0.01</v>
      </c>
      <c r="P28" s="18">
        <f t="shared" si="2"/>
        <v>0.001</v>
      </c>
      <c r="Q28" s="18">
        <f t="shared" si="5"/>
        <v>0.005</v>
      </c>
      <c r="R28" s="18">
        <f t="shared" si="2"/>
        <v>0.0005</v>
      </c>
    </row>
    <row r="29" spans="2:18" ht="12.75">
      <c r="B29" s="16" t="s">
        <v>100</v>
      </c>
      <c r="C29" s="20">
        <v>0.1</v>
      </c>
      <c r="D29" s="20"/>
      <c r="E29" s="18">
        <v>0.02</v>
      </c>
      <c r="F29" s="18">
        <f t="shared" si="0"/>
        <v>0.002</v>
      </c>
      <c r="G29" s="18">
        <f t="shared" si="3"/>
        <v>0.02</v>
      </c>
      <c r="H29" s="18">
        <f t="shared" si="0"/>
        <v>0.002</v>
      </c>
      <c r="I29" s="22"/>
      <c r="J29" s="1">
        <v>0.01</v>
      </c>
      <c r="K29" s="18">
        <f aca="true" t="shared" si="6" ref="K29:M35">IF(J29="","",J29*$C29)</f>
        <v>0.001</v>
      </c>
      <c r="L29" s="18">
        <f t="shared" si="4"/>
        <v>0.01</v>
      </c>
      <c r="M29" s="18">
        <f t="shared" si="6"/>
        <v>0.001</v>
      </c>
      <c r="N29" s="22" t="s">
        <v>55</v>
      </c>
      <c r="O29" s="1">
        <v>0.01</v>
      </c>
      <c r="P29" s="18">
        <f aca="true" t="shared" si="7" ref="P29:R35">IF(O29="","",O29*$C29)</f>
        <v>0.001</v>
      </c>
      <c r="Q29" s="18">
        <f t="shared" si="5"/>
        <v>0.005</v>
      </c>
      <c r="R29" s="18">
        <f t="shared" si="7"/>
        <v>0.0005</v>
      </c>
    </row>
    <row r="30" spans="2:18" ht="12.75">
      <c r="B30" s="16" t="s">
        <v>101</v>
      </c>
      <c r="C30" s="20">
        <v>0.1</v>
      </c>
      <c r="D30" s="20" t="s">
        <v>55</v>
      </c>
      <c r="E30" s="18">
        <v>0.01</v>
      </c>
      <c r="F30" s="18">
        <f t="shared" si="0"/>
        <v>0.001</v>
      </c>
      <c r="G30" s="18">
        <f t="shared" si="3"/>
        <v>0.005</v>
      </c>
      <c r="H30" s="18">
        <f t="shared" si="0"/>
        <v>0.0005</v>
      </c>
      <c r="I30" s="22" t="s">
        <v>55</v>
      </c>
      <c r="J30" s="1">
        <v>0.01</v>
      </c>
      <c r="K30" s="18">
        <f t="shared" si="6"/>
        <v>0.001</v>
      </c>
      <c r="L30" s="18">
        <f aca="true" t="shared" si="8" ref="L30:L35">IF(J30=0,"",IF(I30="nd",J30/2,J30))</f>
        <v>0.005</v>
      </c>
      <c r="M30" s="18">
        <f t="shared" si="6"/>
        <v>0.0005</v>
      </c>
      <c r="N30" s="22" t="s">
        <v>55</v>
      </c>
      <c r="O30" s="1">
        <v>0.01</v>
      </c>
      <c r="P30" s="18">
        <f t="shared" si="7"/>
        <v>0.001</v>
      </c>
      <c r="Q30" s="18">
        <f aca="true" t="shared" si="9" ref="Q30:Q35">IF(O30=0,"",IF(N30="nd",O30/2,O30))</f>
        <v>0.005</v>
      </c>
      <c r="R30" s="18">
        <f t="shared" si="7"/>
        <v>0.0005</v>
      </c>
    </row>
    <row r="31" spans="2:18" ht="12.75">
      <c r="B31" s="16" t="s">
        <v>102</v>
      </c>
      <c r="C31" s="20">
        <v>0</v>
      </c>
      <c r="D31" s="20"/>
      <c r="E31" s="18">
        <v>0.08</v>
      </c>
      <c r="F31" s="18">
        <f t="shared" si="0"/>
        <v>0</v>
      </c>
      <c r="G31" s="18">
        <f t="shared" si="3"/>
        <v>0.08</v>
      </c>
      <c r="H31" s="18">
        <f t="shared" si="0"/>
        <v>0</v>
      </c>
      <c r="I31" s="22"/>
      <c r="J31" s="1">
        <v>0.04</v>
      </c>
      <c r="K31" s="18">
        <f t="shared" si="6"/>
        <v>0</v>
      </c>
      <c r="L31" s="18">
        <f t="shared" si="8"/>
        <v>0.04</v>
      </c>
      <c r="M31" s="18">
        <f t="shared" si="6"/>
        <v>0</v>
      </c>
      <c r="N31" s="22"/>
      <c r="O31" s="1">
        <v>0.01</v>
      </c>
      <c r="P31" s="18">
        <f t="shared" si="7"/>
        <v>0</v>
      </c>
      <c r="Q31" s="18">
        <f t="shared" si="9"/>
        <v>0.01</v>
      </c>
      <c r="R31" s="18">
        <f t="shared" si="7"/>
        <v>0</v>
      </c>
    </row>
    <row r="32" spans="2:18" ht="12.75">
      <c r="B32" s="16" t="s">
        <v>103</v>
      </c>
      <c r="C32" s="20">
        <v>0.01</v>
      </c>
      <c r="D32" s="20"/>
      <c r="E32" s="18">
        <v>0.03</v>
      </c>
      <c r="F32" s="18">
        <f t="shared" si="0"/>
        <v>0.0003</v>
      </c>
      <c r="G32" s="18">
        <f t="shared" si="3"/>
        <v>0.03</v>
      </c>
      <c r="H32" s="18">
        <f t="shared" si="0"/>
        <v>0.0003</v>
      </c>
      <c r="I32" s="22"/>
      <c r="J32" s="1">
        <v>0.03</v>
      </c>
      <c r="K32" s="18">
        <f t="shared" si="6"/>
        <v>0.0003</v>
      </c>
      <c r="L32" s="18">
        <f t="shared" si="8"/>
        <v>0.03</v>
      </c>
      <c r="M32" s="18">
        <f t="shared" si="6"/>
        <v>0.0003</v>
      </c>
      <c r="N32" s="22" t="s">
        <v>55</v>
      </c>
      <c r="O32" s="1">
        <v>0.01</v>
      </c>
      <c r="P32" s="18">
        <f t="shared" si="7"/>
        <v>0.0001</v>
      </c>
      <c r="Q32" s="18">
        <f t="shared" si="9"/>
        <v>0.005</v>
      </c>
      <c r="R32" s="18">
        <f t="shared" si="7"/>
        <v>5E-05</v>
      </c>
    </row>
    <row r="33" spans="2:18" ht="12.75">
      <c r="B33" s="16" t="s">
        <v>104</v>
      </c>
      <c r="C33" s="20">
        <v>0.01</v>
      </c>
      <c r="D33" s="20" t="s">
        <v>55</v>
      </c>
      <c r="E33" s="18">
        <v>0.01</v>
      </c>
      <c r="F33" s="18">
        <f t="shared" si="0"/>
        <v>0.0001</v>
      </c>
      <c r="G33" s="18">
        <f t="shared" si="3"/>
        <v>0.005</v>
      </c>
      <c r="H33" s="18">
        <f t="shared" si="0"/>
        <v>5E-05</v>
      </c>
      <c r="I33" s="22" t="s">
        <v>55</v>
      </c>
      <c r="J33" s="1">
        <v>0.02</v>
      </c>
      <c r="K33" s="18">
        <f t="shared" si="6"/>
        <v>0.0002</v>
      </c>
      <c r="L33" s="18">
        <f t="shared" si="8"/>
        <v>0.01</v>
      </c>
      <c r="M33" s="18">
        <f t="shared" si="6"/>
        <v>0.0001</v>
      </c>
      <c r="N33" s="22" t="s">
        <v>55</v>
      </c>
      <c r="O33" s="1">
        <v>0.01</v>
      </c>
      <c r="P33" s="18">
        <f t="shared" si="7"/>
        <v>0.0001</v>
      </c>
      <c r="Q33" s="18">
        <f t="shared" si="9"/>
        <v>0.005</v>
      </c>
      <c r="R33" s="18">
        <f t="shared" si="7"/>
        <v>5E-05</v>
      </c>
    </row>
    <row r="34" spans="2:18" ht="12.75">
      <c r="B34" s="16" t="s">
        <v>105</v>
      </c>
      <c r="C34" s="20">
        <v>0</v>
      </c>
      <c r="D34" s="20"/>
      <c r="E34" s="18">
        <v>0.03</v>
      </c>
      <c r="F34" s="18">
        <f t="shared" si="0"/>
        <v>0</v>
      </c>
      <c r="G34" s="18">
        <f t="shared" si="3"/>
        <v>0.03</v>
      </c>
      <c r="H34" s="18">
        <f t="shared" si="0"/>
        <v>0</v>
      </c>
      <c r="I34" s="22"/>
      <c r="J34" s="1">
        <v>0.03</v>
      </c>
      <c r="K34" s="18">
        <f t="shared" si="6"/>
        <v>0</v>
      </c>
      <c r="L34" s="18">
        <f t="shared" si="8"/>
        <v>0.03</v>
      </c>
      <c r="M34" s="18">
        <f t="shared" si="6"/>
        <v>0</v>
      </c>
      <c r="N34" s="22"/>
      <c r="O34" s="1">
        <v>0.01</v>
      </c>
      <c r="P34" s="18">
        <f t="shared" si="7"/>
        <v>0</v>
      </c>
      <c r="Q34" s="18">
        <f t="shared" si="9"/>
        <v>0.01</v>
      </c>
      <c r="R34" s="18">
        <f t="shared" si="7"/>
        <v>0</v>
      </c>
    </row>
    <row r="35" spans="2:18" ht="12.75">
      <c r="B35" s="16" t="s">
        <v>106</v>
      </c>
      <c r="C35" s="20">
        <v>0.001</v>
      </c>
      <c r="D35" s="20"/>
      <c r="E35" s="18">
        <v>0.03</v>
      </c>
      <c r="F35" s="18">
        <f t="shared" si="0"/>
        <v>3E-05</v>
      </c>
      <c r="G35" s="18">
        <f t="shared" si="3"/>
        <v>0.03</v>
      </c>
      <c r="H35" s="18">
        <f t="shared" si="0"/>
        <v>3E-05</v>
      </c>
      <c r="I35" s="22" t="s">
        <v>55</v>
      </c>
      <c r="J35" s="1">
        <v>0.03</v>
      </c>
      <c r="K35" s="18">
        <f t="shared" si="6"/>
        <v>3E-05</v>
      </c>
      <c r="L35" s="18">
        <f t="shared" si="8"/>
        <v>0.015</v>
      </c>
      <c r="M35" s="18">
        <f t="shared" si="6"/>
        <v>1.5E-05</v>
      </c>
      <c r="N35" s="22" t="s">
        <v>55</v>
      </c>
      <c r="O35" s="1">
        <v>0.01</v>
      </c>
      <c r="P35" s="18">
        <f t="shared" si="7"/>
        <v>1E-05</v>
      </c>
      <c r="Q35" s="18">
        <f t="shared" si="9"/>
        <v>0.005</v>
      </c>
      <c r="R35" s="18">
        <f t="shared" si="7"/>
        <v>5E-06</v>
      </c>
    </row>
    <row r="36" spans="5:17" ht="12.75">
      <c r="E36" s="25"/>
      <c r="G36" s="25"/>
      <c r="I36" s="26"/>
      <c r="J36" s="25"/>
      <c r="K36" s="25"/>
      <c r="L36" s="25"/>
      <c r="M36" s="25"/>
      <c r="N36" s="26"/>
      <c r="O36" s="25"/>
      <c r="Q36" s="25"/>
    </row>
    <row r="37" spans="2:18" ht="12.75">
      <c r="B37" s="16" t="s">
        <v>107</v>
      </c>
      <c r="E37" s="25">
        <v>132.7</v>
      </c>
      <c r="F37" s="25">
        <v>132.7</v>
      </c>
      <c r="G37" s="25">
        <v>132.7</v>
      </c>
      <c r="H37" s="25">
        <v>132.7</v>
      </c>
      <c r="I37" s="26"/>
      <c r="J37" s="25">
        <v>132.8</v>
      </c>
      <c r="K37" s="25">
        <v>132.8</v>
      </c>
      <c r="L37" s="25">
        <v>132.8</v>
      </c>
      <c r="M37" s="25">
        <v>132.8</v>
      </c>
      <c r="N37" s="26"/>
      <c r="O37" s="25">
        <v>133.5</v>
      </c>
      <c r="P37" s="25">
        <v>133.5</v>
      </c>
      <c r="Q37" s="25">
        <v>133.5</v>
      </c>
      <c r="R37" s="25">
        <v>133.5</v>
      </c>
    </row>
    <row r="38" spans="2:18" ht="12.75">
      <c r="B38" s="16" t="s">
        <v>108</v>
      </c>
      <c r="E38" s="25">
        <v>4.2</v>
      </c>
      <c r="F38" s="25">
        <v>4.2</v>
      </c>
      <c r="G38" s="25">
        <v>4.2</v>
      </c>
      <c r="H38" s="25">
        <v>4.2</v>
      </c>
      <c r="I38" s="26"/>
      <c r="J38" s="25">
        <v>4.1</v>
      </c>
      <c r="K38" s="25">
        <v>4.1</v>
      </c>
      <c r="L38" s="25">
        <v>4.1</v>
      </c>
      <c r="M38" s="25">
        <v>4.1</v>
      </c>
      <c r="N38" s="26"/>
      <c r="O38" s="25">
        <v>4.4</v>
      </c>
      <c r="P38" s="25">
        <v>4.4</v>
      </c>
      <c r="Q38" s="25">
        <v>4.4</v>
      </c>
      <c r="R38" s="25">
        <v>4.4</v>
      </c>
    </row>
    <row r="39" spans="5:18" ht="12.75">
      <c r="E39" s="25"/>
      <c r="F39" s="1"/>
      <c r="G39" s="25"/>
      <c r="H39" s="1"/>
      <c r="I39" s="2"/>
      <c r="J39" s="25"/>
      <c r="K39" s="1"/>
      <c r="L39" s="25"/>
      <c r="M39" s="1"/>
      <c r="N39" s="26"/>
      <c r="O39" s="25"/>
      <c r="P39" s="25"/>
      <c r="Q39" s="25"/>
      <c r="R39" s="25"/>
    </row>
    <row r="40" spans="2:18" ht="12" customHeight="1">
      <c r="B40" s="16" t="s">
        <v>109</v>
      </c>
      <c r="C40" s="18"/>
      <c r="D40" s="18"/>
      <c r="E40" s="18">
        <f>SUM(E35,E34,E31,E26,E23,E21,E20,E18,E14,E12)</f>
        <v>0.8700000000000001</v>
      </c>
      <c r="F40" s="18">
        <f>SUM(F11:F35)</f>
        <v>0.04330000000000002</v>
      </c>
      <c r="G40" s="18">
        <f>SUM(G35,G34,G31,G26,G23,G21,G20,G18,G14,G12)</f>
        <v>0.805</v>
      </c>
      <c r="H40" s="18">
        <f>SUM(H11:H35)</f>
        <v>0.03306500000000001</v>
      </c>
      <c r="I40" s="22"/>
      <c r="J40" s="18">
        <f>SUM(J35,J34,J31,J26,J23,J21,J20,J18,J14,J12)</f>
        <v>0.22</v>
      </c>
      <c r="K40" s="18">
        <f>SUM(K11:K35)</f>
        <v>0.03527</v>
      </c>
      <c r="L40" s="18">
        <f>SUM(L35,L34,L31,L26,L23,L21,L20,L18,L14,L12)</f>
        <v>0.17500000000000002</v>
      </c>
      <c r="M40" s="18">
        <f>SUM(M11:M35)</f>
        <v>0.018905000000000005</v>
      </c>
      <c r="N40" s="22"/>
      <c r="O40" s="18">
        <f>SUM(O35,O34,O31,O26,O23,O21,O20,O18,O14,O12)</f>
        <v>0.11999999999999998</v>
      </c>
      <c r="P40" s="18">
        <f>SUM(P11:P35)</f>
        <v>0.028840000000000005</v>
      </c>
      <c r="Q40" s="18">
        <f>SUM(Q35,Q34,Q31,Q26,Q23,Q21,Q20,Q18,Q14,Q12)</f>
        <v>0.07500000000000001</v>
      </c>
      <c r="R40" s="18">
        <f>SUM(R11:R35)</f>
        <v>0.014420000000000002</v>
      </c>
    </row>
    <row r="41" spans="2:18" ht="12.75">
      <c r="B41" s="16" t="s">
        <v>110</v>
      </c>
      <c r="C41" s="18"/>
      <c r="D41" s="31">
        <f>(F41-H41)*2/F41*100</f>
        <v>47.27482678983835</v>
      </c>
      <c r="E41" s="18">
        <f>E40/E37/0.0283*(21-7)/(21-E38)</f>
        <v>0.19305481958028553</v>
      </c>
      <c r="F41" s="18">
        <f>F40/F37/0.0283*(21-7)/(21-F38)</f>
        <v>0.009608360560719962</v>
      </c>
      <c r="G41" s="18">
        <f>G40/G37/0.0283*(21-7)/(21-G38)</f>
        <v>0.17863118363463204</v>
      </c>
      <c r="H41" s="18">
        <f>H40/H37/0.0283*(21-7)/(21-H38)</f>
        <v>0.00733719265450821</v>
      </c>
      <c r="I41" s="31">
        <f>(K41-M41)*2/K41*100</f>
        <v>92.79841224836969</v>
      </c>
      <c r="J41" s="18">
        <f>J40/J37/0.0283*(21-7)/(21-J38)</f>
        <v>0.048493050127202945</v>
      </c>
      <c r="K41" s="18">
        <f>K40/K37/0.0283*(21-7)/(21-K38)</f>
        <v>0.007774317627211127</v>
      </c>
      <c r="L41" s="18">
        <f>L40/L37/0.0283*(21-7)/(21-L38)</f>
        <v>0.0385740171466387</v>
      </c>
      <c r="M41" s="18">
        <f>M40/M37/0.0283*(21-7)/(21-M38)</f>
        <v>0.0041670959666126</v>
      </c>
      <c r="N41" s="31">
        <f>(P41-R41)*2/P41*100</f>
        <v>100</v>
      </c>
      <c r="O41" s="18">
        <f>O40/O37/0.0283*(21-7)/(21-O38)</f>
        <v>0.02678758070356623</v>
      </c>
      <c r="P41" s="18">
        <f>P40/P37/0.0283*(21-7)/(21-P38)</f>
        <v>0.006437948562423754</v>
      </c>
      <c r="Q41" s="18">
        <f>Q40/Q37/0.0283*(21-7)/(21-Q38)</f>
        <v>0.016742237939728902</v>
      </c>
      <c r="R41" s="18">
        <f>R40/R37/0.0283*(21-7)/(21-R38)</f>
        <v>0.003218974281211877</v>
      </c>
    </row>
    <row r="42" spans="5:17" ht="12.75">
      <c r="E42" s="27"/>
      <c r="G42" s="27"/>
      <c r="I42" s="28"/>
      <c r="J42" s="27"/>
      <c r="K42" s="27"/>
      <c r="L42" s="27"/>
      <c r="M42" s="27"/>
      <c r="N42" s="28"/>
      <c r="O42" s="27"/>
      <c r="Q42" s="27"/>
    </row>
    <row r="43" spans="2:23" s="25" customFormat="1" ht="12.75">
      <c r="B43" s="25" t="s">
        <v>115</v>
      </c>
      <c r="C43" s="18">
        <f>AVERAGE(H41,M41,R41)</f>
        <v>0.004907754300777562</v>
      </c>
      <c r="F43" s="18"/>
      <c r="H43" s="18"/>
      <c r="I43" s="26"/>
      <c r="N43" s="26"/>
      <c r="P43" s="17"/>
      <c r="R43" s="17"/>
      <c r="S43" s="16"/>
      <c r="T43" s="16"/>
      <c r="U43" s="16"/>
      <c r="V43" s="16"/>
      <c r="W43" s="16"/>
    </row>
    <row r="44" spans="2:3" ht="12.75">
      <c r="B44" s="16" t="s">
        <v>116</v>
      </c>
      <c r="C44" s="18">
        <f>AVERAGE(G41,L41,Q41)</f>
        <v>0.07798247957366655</v>
      </c>
    </row>
    <row r="45" spans="5:18" ht="12.75">
      <c r="E45" s="16"/>
      <c r="G45" s="16"/>
      <c r="I45" s="20"/>
      <c r="J45" s="16"/>
      <c r="K45" s="16"/>
      <c r="L45" s="16"/>
      <c r="M45" s="16"/>
      <c r="N45" s="20"/>
      <c r="O45" s="16"/>
      <c r="P45" s="16"/>
      <c r="Q45" s="16"/>
      <c r="R45" s="16"/>
    </row>
    <row r="46" spans="5:18" ht="12.75">
      <c r="E46" s="16"/>
      <c r="G46" s="16"/>
      <c r="I46" s="20"/>
      <c r="J46" s="16"/>
      <c r="K46" s="16"/>
      <c r="L46" s="16"/>
      <c r="M46" s="16"/>
      <c r="N46" s="20"/>
      <c r="O46" s="16"/>
      <c r="P46" s="16"/>
      <c r="Q46" s="16"/>
      <c r="R46" s="16"/>
    </row>
    <row r="47" spans="5:18" ht="12.75">
      <c r="E47" s="16"/>
      <c r="G47" s="16"/>
      <c r="I47" s="20"/>
      <c r="J47" s="16"/>
      <c r="K47" s="16"/>
      <c r="L47" s="16"/>
      <c r="M47" s="16"/>
      <c r="N47" s="20"/>
      <c r="O47" s="16"/>
      <c r="P47" s="16"/>
      <c r="Q47" s="16"/>
      <c r="R47" s="16"/>
    </row>
    <row r="48" spans="5:18" ht="12.75">
      <c r="E48" s="16"/>
      <c r="G48" s="16"/>
      <c r="I48" s="20"/>
      <c r="J48" s="16"/>
      <c r="K48" s="16"/>
      <c r="L48" s="16"/>
      <c r="M48" s="16"/>
      <c r="N48" s="20"/>
      <c r="O48" s="16"/>
      <c r="P48" s="16"/>
      <c r="Q48" s="16"/>
      <c r="R48" s="16"/>
    </row>
    <row r="49" spans="5:18" ht="12.75">
      <c r="E49" s="16"/>
      <c r="G49" s="16"/>
      <c r="I49" s="20"/>
      <c r="J49" s="16"/>
      <c r="K49" s="16"/>
      <c r="L49" s="16"/>
      <c r="M49" s="16"/>
      <c r="N49" s="20"/>
      <c r="O49" s="16"/>
      <c r="P49" s="16"/>
      <c r="Q49" s="16"/>
      <c r="R49" s="16"/>
    </row>
    <row r="50" spans="5:18" ht="12.75">
      <c r="E50" s="16"/>
      <c r="G50" s="16"/>
      <c r="I50" s="20"/>
      <c r="J50" s="16"/>
      <c r="K50" s="16"/>
      <c r="L50" s="16"/>
      <c r="M50" s="16"/>
      <c r="N50" s="20"/>
      <c r="O50" s="16"/>
      <c r="P50" s="16"/>
      <c r="Q50" s="16"/>
      <c r="R50" s="16"/>
    </row>
    <row r="51" spans="5:18" ht="12.75">
      <c r="E51" s="16"/>
      <c r="G51" s="16"/>
      <c r="I51" s="20"/>
      <c r="J51" s="16"/>
      <c r="K51" s="16"/>
      <c r="L51" s="16"/>
      <c r="M51" s="16"/>
      <c r="N51" s="20"/>
      <c r="O51" s="16"/>
      <c r="P51" s="16"/>
      <c r="Q51" s="16"/>
      <c r="R51" s="16"/>
    </row>
    <row r="52" spans="5:18" ht="12.75">
      <c r="E52" s="16"/>
      <c r="G52" s="16"/>
      <c r="I52" s="20"/>
      <c r="J52" s="16"/>
      <c r="K52" s="16"/>
      <c r="L52" s="16"/>
      <c r="M52" s="16"/>
      <c r="N52" s="20"/>
      <c r="O52" s="16"/>
      <c r="P52" s="16"/>
      <c r="Q52" s="16"/>
      <c r="R52" s="16"/>
    </row>
    <row r="53" spans="5:18" ht="12.75">
      <c r="E53" s="16"/>
      <c r="G53" s="16"/>
      <c r="I53" s="20"/>
      <c r="J53" s="16"/>
      <c r="K53" s="16"/>
      <c r="L53" s="16"/>
      <c r="M53" s="16"/>
      <c r="N53" s="20"/>
      <c r="O53" s="16"/>
      <c r="P53" s="16"/>
      <c r="Q53" s="16"/>
      <c r="R53" s="16"/>
    </row>
    <row r="54" spans="5:18" ht="12.75">
      <c r="E54" s="16"/>
      <c r="G54" s="16"/>
      <c r="I54" s="20"/>
      <c r="J54" s="16"/>
      <c r="K54" s="16"/>
      <c r="L54" s="16"/>
      <c r="M54" s="16"/>
      <c r="N54" s="20"/>
      <c r="O54" s="16"/>
      <c r="P54" s="16"/>
      <c r="Q54" s="16"/>
      <c r="R54" s="16"/>
    </row>
    <row r="55" spans="5:18" ht="12.75">
      <c r="E55" s="16"/>
      <c r="G55" s="16"/>
      <c r="I55" s="20"/>
      <c r="J55" s="16"/>
      <c r="K55" s="16"/>
      <c r="L55" s="16"/>
      <c r="M55" s="16"/>
      <c r="N55" s="20"/>
      <c r="O55" s="16"/>
      <c r="P55" s="16"/>
      <c r="Q55" s="16"/>
      <c r="R55" s="16"/>
    </row>
    <row r="56" spans="5:18" ht="12.75">
      <c r="E56" s="16"/>
      <c r="G56" s="16"/>
      <c r="I56" s="20"/>
      <c r="J56" s="16"/>
      <c r="K56" s="16"/>
      <c r="L56" s="16"/>
      <c r="M56" s="16"/>
      <c r="N56" s="20"/>
      <c r="O56" s="16"/>
      <c r="P56" s="16"/>
      <c r="Q56" s="16"/>
      <c r="R56" s="16"/>
    </row>
    <row r="57" spans="5:18" ht="12.75">
      <c r="E57" s="16"/>
      <c r="G57" s="16"/>
      <c r="I57" s="20"/>
      <c r="J57" s="16"/>
      <c r="K57" s="16"/>
      <c r="L57" s="16"/>
      <c r="M57" s="16"/>
      <c r="N57" s="20"/>
      <c r="O57" s="16"/>
      <c r="P57" s="16"/>
      <c r="Q57" s="16"/>
      <c r="R57" s="16"/>
    </row>
    <row r="58" spans="5:18" ht="12.75">
      <c r="E58" s="16"/>
      <c r="G58" s="16"/>
      <c r="I58" s="20"/>
      <c r="J58" s="16"/>
      <c r="K58" s="16"/>
      <c r="L58" s="16"/>
      <c r="M58" s="16"/>
      <c r="N58" s="20"/>
      <c r="O58" s="16"/>
      <c r="P58" s="16"/>
      <c r="Q58" s="16"/>
      <c r="R58" s="16"/>
    </row>
    <row r="59" spans="5:18" ht="12.75">
      <c r="E59" s="16"/>
      <c r="G59" s="16"/>
      <c r="I59" s="20"/>
      <c r="J59" s="16"/>
      <c r="K59" s="16"/>
      <c r="L59" s="16"/>
      <c r="M59" s="16"/>
      <c r="N59" s="20"/>
      <c r="O59" s="16"/>
      <c r="P59" s="16"/>
      <c r="Q59" s="16"/>
      <c r="R59" s="16"/>
    </row>
    <row r="60" spans="5:18" ht="12.75">
      <c r="E60" s="16"/>
      <c r="G60" s="16"/>
      <c r="I60" s="20"/>
      <c r="J60" s="16"/>
      <c r="K60" s="16"/>
      <c r="L60" s="16"/>
      <c r="M60" s="16"/>
      <c r="N60" s="20"/>
      <c r="O60" s="16"/>
      <c r="P60" s="16"/>
      <c r="Q60" s="16"/>
      <c r="R60" s="16"/>
    </row>
    <row r="61" spans="5:18" ht="12.75">
      <c r="E61" s="16"/>
      <c r="G61" s="16"/>
      <c r="I61" s="20"/>
      <c r="J61" s="16"/>
      <c r="K61" s="16"/>
      <c r="L61" s="16"/>
      <c r="M61" s="16"/>
      <c r="N61" s="20"/>
      <c r="O61" s="16"/>
      <c r="P61" s="16"/>
      <c r="Q61" s="16"/>
      <c r="R61" s="16"/>
    </row>
    <row r="62" spans="5:18" ht="12.75">
      <c r="E62" s="16"/>
      <c r="G62" s="16"/>
      <c r="I62" s="20"/>
      <c r="J62" s="16"/>
      <c r="K62" s="16"/>
      <c r="L62" s="16"/>
      <c r="M62" s="16"/>
      <c r="N62" s="20"/>
      <c r="O62" s="16"/>
      <c r="P62" s="16"/>
      <c r="Q62" s="16"/>
      <c r="R62" s="16"/>
    </row>
    <row r="63" spans="5:18" ht="12.75">
      <c r="E63" s="16"/>
      <c r="G63" s="16"/>
      <c r="I63" s="20"/>
      <c r="J63" s="16"/>
      <c r="K63" s="16"/>
      <c r="L63" s="16"/>
      <c r="M63" s="16"/>
      <c r="N63" s="20"/>
      <c r="O63" s="16"/>
      <c r="P63" s="16"/>
      <c r="Q63" s="16"/>
      <c r="R63" s="16"/>
    </row>
    <row r="64" spans="5:18" ht="12.75">
      <c r="E64" s="16"/>
      <c r="G64" s="16"/>
      <c r="I64" s="20"/>
      <c r="J64" s="16"/>
      <c r="K64" s="16"/>
      <c r="L64" s="16"/>
      <c r="M64" s="16"/>
      <c r="N64" s="20"/>
      <c r="O64" s="16"/>
      <c r="P64" s="16"/>
      <c r="Q64" s="16"/>
      <c r="R64" s="1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2004-02-25T17:55:31Z</cp:lastPrinted>
  <dcterms:created xsi:type="dcterms:W3CDTF">2000-11-28T21:56:17Z</dcterms:created>
  <dcterms:modified xsi:type="dcterms:W3CDTF">2004-02-25T17:55:39Z</dcterms:modified>
  <cp:category/>
  <cp:version/>
  <cp:contentType/>
  <cp:contentStatus/>
</cp:coreProperties>
</file>