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696" yWindow="4125" windowWidth="12120" windowHeight="6780" tabRatio="673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<sst xmlns="http://schemas.openxmlformats.org/spreadsheetml/2006/main" count="371" uniqueCount="204">
  <si>
    <t>Stack Gas Emissions</t>
  </si>
  <si>
    <t>HW</t>
  </si>
  <si>
    <t>PM</t>
  </si>
  <si>
    <t>HCl</t>
  </si>
  <si>
    <t>Cl2</t>
  </si>
  <si>
    <t>SVM</t>
  </si>
  <si>
    <t>LVM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</si>
  <si>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</si>
  <si>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</si>
  <si>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</si>
  <si>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</si>
  <si>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</si>
  <si>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</si>
  <si>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</si>
  <si>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</si>
  <si>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</si>
  <si>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</si>
  <si>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Facility Name</t>
  </si>
  <si>
    <t>Angus Chemical Company</t>
  </si>
  <si>
    <t>Facility Location</t>
  </si>
  <si>
    <t>Sterlington</t>
  </si>
  <si>
    <t>LA</t>
  </si>
  <si>
    <t>Unit ID Name/No.</t>
  </si>
  <si>
    <t>No. 7 Boiler</t>
  </si>
  <si>
    <t>Other Sister Facilities</t>
  </si>
  <si>
    <t>Combustor Characteristics</t>
  </si>
  <si>
    <t>None</t>
  </si>
  <si>
    <t>APCS Characteristics</t>
  </si>
  <si>
    <t>NA</t>
  </si>
  <si>
    <t>Liquid NP nitrogenated heads (D001/D002) produced from nitroparaffins</t>
  </si>
  <si>
    <t>Stack Characteristics</t>
  </si>
  <si>
    <t>Permitting Status</t>
  </si>
  <si>
    <t xml:space="preserve">     Report Name/Date</t>
  </si>
  <si>
    <t>Risk Burn Report, No. 7 Boiler, March 1998</t>
  </si>
  <si>
    <t xml:space="preserve">     Testing Dates</t>
  </si>
  <si>
    <t xml:space="preserve">     Content</t>
  </si>
  <si>
    <t>Stack testing: D/F, PM, PM PSD, HCl/Cl2, CO, VOC/SVOC;  No stack testing for metals (has Tier IA limits and metals feeds) or DRE</t>
  </si>
  <si>
    <t xml:space="preserve">     Report Prepar</t>
  </si>
  <si>
    <t>Angus Chemical, Regulatory Affairs</t>
  </si>
  <si>
    <t xml:space="preserve">     Testing Firm</t>
  </si>
  <si>
    <t>METCO</t>
  </si>
  <si>
    <t>Units</t>
  </si>
  <si>
    <t>Run</t>
  </si>
  <si>
    <t>Cond Avg</t>
  </si>
  <si>
    <t>y</t>
  </si>
  <si>
    <t xml:space="preserve">   Stack Gas Flowrate</t>
  </si>
  <si>
    <t xml:space="preserve">   Temperature</t>
  </si>
  <si>
    <t>Run 1</t>
  </si>
  <si>
    <t>Run 2</t>
  </si>
  <si>
    <t>Run 3</t>
  </si>
  <si>
    <t>Liq waste</t>
  </si>
  <si>
    <t>gpm</t>
  </si>
  <si>
    <t>Specific Gravity</t>
  </si>
  <si>
    <t>lb/min</t>
  </si>
  <si>
    <t>Btu/lb</t>
  </si>
  <si>
    <t>Viscosity</t>
  </si>
  <si>
    <t>SUS</t>
  </si>
  <si>
    <t>Sulfur</t>
  </si>
  <si>
    <t>Chlorine</t>
  </si>
  <si>
    <t>µg/mL</t>
  </si>
  <si>
    <t>ppmw</t>
  </si>
  <si>
    <t>nd</t>
  </si>
  <si>
    <t>Stack Gas Flowrate</t>
  </si>
  <si>
    <t>g/hr</t>
  </si>
  <si>
    <t>Process Information</t>
  </si>
  <si>
    <t>Avg</t>
  </si>
  <si>
    <t>Steam Production Rate</t>
  </si>
  <si>
    <t>lb/hr</t>
  </si>
  <si>
    <t>Boiler Temperatures</t>
  </si>
  <si>
    <t xml:space="preserve">    Preheater Entrance Temp</t>
  </si>
  <si>
    <t xml:space="preserve">    Preheater Exit Temp</t>
  </si>
  <si>
    <t>I-TEF</t>
  </si>
  <si>
    <t>Wght Fact</t>
  </si>
  <si>
    <t>Total</t>
  </si>
  <si>
    <t xml:space="preserve"> TEQ</t>
  </si>
  <si>
    <t>TEQ</t>
  </si>
  <si>
    <t>Detected in sample volume (ng)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</si>
  <si>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</si>
  <si>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</si>
  <si>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</si>
  <si>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</si>
  <si>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</si>
  <si>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</si>
  <si>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</si>
  <si>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</si>
  <si>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</si>
  <si>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</si>
  <si>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</si>
  <si>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</si>
  <si>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</si>
  <si>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</si>
  <si>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</si>
  <si>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</si>
  <si>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</si>
  <si>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</si>
  <si>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</si>
  <si>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</si>
  <si>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</si>
  <si>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</si>
  <si>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</si>
  <si>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</si>
  <si>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</si>
  <si>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Gas sample volume (dscf)</t>
  </si>
  <si>
    <t>O2 (%)</t>
  </si>
  <si>
    <t>PCDD/PCDF (ng in sample)</t>
  </si>
  <si>
    <t>PCDD/PCDF (ng/dscm @ 7% O2)</t>
  </si>
  <si>
    <t>Risk burn -- normal conditions</t>
  </si>
  <si>
    <t>April 1-3, 1997</t>
  </si>
  <si>
    <t>Liq</t>
  </si>
  <si>
    <t>828C1</t>
  </si>
  <si>
    <t>1/2 ND</t>
  </si>
  <si>
    <t>TEQ Cond Avg</t>
  </si>
  <si>
    <t>Low Risk Waste Exemption; Tier IA for all metals</t>
  </si>
  <si>
    <t>LAD020597597</t>
  </si>
  <si>
    <t>PCDD/PCDF</t>
  </si>
  <si>
    <t>Feedstreams</t>
  </si>
  <si>
    <t>Capacity (MMBtu/hr)</t>
  </si>
  <si>
    <t>Hazardous Wastes</t>
  </si>
  <si>
    <t>Haz Waste Description</t>
  </si>
  <si>
    <t>Supplemental Fuel</t>
  </si>
  <si>
    <t>Particle Size Distribution</t>
  </si>
  <si>
    <t>1-2 um</t>
  </si>
  <si>
    <t>2-10 um</t>
  </si>
  <si>
    <t>Feedrate MTEC Calculations</t>
  </si>
  <si>
    <t>MMBtu/hr</t>
  </si>
  <si>
    <t>Phase II ID No.</t>
  </si>
  <si>
    <t>7% O2</t>
  </si>
  <si>
    <t>Source Description</t>
  </si>
  <si>
    <t xml:space="preserve">     Cond Description</t>
  </si>
  <si>
    <t>No. 4 Boiler (Burns waste when No. 7 is down (2-6 wks per year))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</si>
  <si>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</si>
  <si>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</si>
  <si>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</si>
  <si>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</si>
  <si>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</si>
  <si>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</si>
  <si>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</si>
  <si>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% wt</t>
  </si>
  <si>
    <t>Comments</t>
  </si>
  <si>
    <t>PM, HCl/Cl2</t>
  </si>
  <si>
    <t>PCDD/PCDF, SVOC</t>
  </si>
  <si>
    <t xml:space="preserve">   O2</t>
  </si>
  <si>
    <t xml:space="preserve">   Moisture</t>
  </si>
  <si>
    <t>in microns</t>
  </si>
  <si>
    <t>&lt;1</t>
  </si>
  <si>
    <t>&gt;10</t>
  </si>
  <si>
    <t>Total Chlorine</t>
  </si>
  <si>
    <t>CO (RA)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</si>
  <si>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</si>
  <si>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</si>
  <si>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</si>
  <si>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</si>
  <si>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</si>
  <si>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</si>
  <si>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</si>
  <si>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</si>
  <si>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>BIF Feedrate Limits</t>
  </si>
  <si>
    <t>*</t>
  </si>
  <si>
    <t>Thermal Feedrate</t>
  </si>
  <si>
    <t>Mercury</t>
  </si>
  <si>
    <t>Manganese</t>
  </si>
  <si>
    <t>Feed Rate</t>
  </si>
  <si>
    <t>Feedstream Description</t>
  </si>
  <si>
    <t>HWC Burn Status (Date if Terminated)</t>
  </si>
  <si>
    <t xml:space="preserve">     Cond Dates</t>
  </si>
  <si>
    <t>Watertube boiler. Riley Stoker, water tube, forced draft, with superheater and air preheater, built in 1954, steam generating capacity of 110,000 lb/hr (605 psig @ 750°F)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</si>
  <si>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</si>
  <si>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</si>
  <si>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</si>
  <si>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</si>
  <si>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</si>
  <si>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</si>
  <si>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Liquid-fired</t>
  </si>
  <si>
    <t>Natural gas, misc. fuel</t>
  </si>
  <si>
    <t>hydrogen</t>
  </si>
  <si>
    <t>R1</t>
  </si>
  <si>
    <t>R2</t>
  </si>
  <si>
    <t>R3</t>
  </si>
  <si>
    <t>Risk burn normal conditions</t>
  </si>
  <si>
    <t>E1</t>
  </si>
  <si>
    <t>E2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</si>
  <si>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</si>
  <si>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</si>
  <si>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</si>
  <si>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</si>
  <si>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</si>
  <si>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</si>
  <si>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</si>
  <si>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</si>
  <si>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Liq HW</t>
  </si>
  <si>
    <t>F1</t>
  </si>
  <si>
    <t>Selenium</t>
  </si>
  <si>
    <t>F2</t>
  </si>
  <si>
    <t>Feed Class 2</t>
  </si>
  <si>
    <t>Estimated Firing Rate</t>
  </si>
  <si>
    <t>df c1</t>
  </si>
  <si>
    <t>Full ND</t>
  </si>
  <si>
    <t xml:space="preserve">Facility Name and ID:  </t>
  </si>
  <si>
    <t>Angus Chem. Co</t>
  </si>
  <si>
    <t xml:space="preserve">Condition ID: </t>
  </si>
  <si>
    <t xml:space="preserve">Condition/Test Date: </t>
  </si>
  <si>
    <t>Risk burn normal condition. April 1-3, 1997</t>
  </si>
  <si>
    <t>N</t>
  </si>
  <si>
    <t>Heating 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</si>
</sst>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17" fontId="4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C23" sqref="C23"/>
    </sheetView>
  </sheetViews>
  <sheetFormatPr defaultColWidth="9.140625" defaultRowHeight="12.75"/>
  <sheetData>
    <row r="1" ht="12.75">
      <c r="A1" t="s">
        <v>182</v>
      </c>
    </row>
    <row r="2" ht="12.75">
      <c r="A2" t="s">
        <v>183</v>
      </c>
    </row>
    <row r="3" ht="12.75">
      <c r="A3" t="s">
        <v>184</v>
      </c>
    </row>
    <row r="4" ht="12.75">
      <c r="A4" t="s">
        <v>185</v>
      </c>
    </row>
    <row r="5" ht="12.75">
      <c r="A5" t="s">
        <v>186</v>
      </c>
    </row>
    <row r="6" ht="12.75">
      <c r="A6" t="s">
        <v>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C2" sqref="C2"/>
    </sheetView>
  </sheetViews>
  <sheetFormatPr defaultColWidth="9.140625" defaultRowHeight="12.75"/>
  <cols>
    <col min="1" max="1" width="9.140625" style="1" hidden="1" customWidth="1"/>
    <col min="2" max="2" width="23.28125" style="1" customWidth="1"/>
    <col min="3" max="3" width="55.421875" style="1" customWidth="1"/>
    <col min="4" max="4" width="0.13671875" style="1" hidden="1" customWidth="1"/>
    <col min="5" max="16384" width="11.421875" style="1" customWidth="1"/>
  </cols>
  <sheetData>
    <row r="1" ht="12.75">
      <c r="B1" s="11" t="s">
        <v>127</v>
      </c>
    </row>
    <row r="3" spans="2:3" ht="12.75">
      <c r="B3" s="1" t="s">
        <v>125</v>
      </c>
      <c r="C3" s="3">
        <v>828</v>
      </c>
    </row>
    <row r="4" spans="2:3" ht="12.75">
      <c r="B4" s="1" t="s">
        <v>16</v>
      </c>
      <c r="C4" s="1" t="s">
        <v>113</v>
      </c>
    </row>
    <row r="5" spans="2:3" ht="12.75">
      <c r="B5" s="1" t="s">
        <v>17</v>
      </c>
      <c r="C5" s="1" t="s">
        <v>18</v>
      </c>
    </row>
    <row r="6" ht="12.75">
      <c r="B6" s="1" t="s">
        <v>19</v>
      </c>
    </row>
    <row r="7" spans="2:3" ht="12.75">
      <c r="B7" s="1" t="s">
        <v>131</v>
      </c>
      <c r="C7" s="1" t="s">
        <v>20</v>
      </c>
    </row>
    <row r="8" spans="2:3" ht="12.75">
      <c r="B8" s="1" t="s">
        <v>132</v>
      </c>
      <c r="C8" s="1" t="s">
        <v>21</v>
      </c>
    </row>
    <row r="9" spans="2:3" ht="12.75">
      <c r="B9" s="1" t="s">
        <v>22</v>
      </c>
      <c r="C9" s="1" t="s">
        <v>23</v>
      </c>
    </row>
    <row r="10" spans="2:3" ht="12.75">
      <c r="B10" s="1" t="s">
        <v>24</v>
      </c>
      <c r="C10" s="1" t="s">
        <v>129</v>
      </c>
    </row>
    <row r="11" spans="2:3" ht="12.75">
      <c r="B11" s="1" t="s">
        <v>168</v>
      </c>
      <c r="C11" s="3">
        <v>0</v>
      </c>
    </row>
    <row r="12" spans="2:3" ht="12.75">
      <c r="B12" s="1" t="s">
        <v>171</v>
      </c>
      <c r="C12" s="1" t="s">
        <v>166</v>
      </c>
    </row>
    <row r="13" spans="2:3" ht="12.75">
      <c r="B13" s="1" t="s">
        <v>181</v>
      </c>
      <c r="C13" s="1" t="s">
        <v>172</v>
      </c>
    </row>
    <row r="14" spans="2:3" ht="38.25">
      <c r="B14" s="8" t="s">
        <v>25</v>
      </c>
      <c r="C14" s="9" t="s">
        <v>165</v>
      </c>
    </row>
    <row r="15" spans="2:3" ht="12.75">
      <c r="B15" s="8" t="s">
        <v>116</v>
      </c>
      <c r="C15" s="27">
        <v>150</v>
      </c>
    </row>
    <row r="16" spans="2:3" ht="12.75">
      <c r="B16" s="8" t="s">
        <v>130</v>
      </c>
      <c r="C16" s="27"/>
    </row>
    <row r="17" spans="2:3" ht="12.75">
      <c r="B17" s="1" t="s">
        <v>169</v>
      </c>
      <c r="C17" s="1" t="s">
        <v>26</v>
      </c>
    </row>
    <row r="18" ht="12.75">
      <c r="B18" s="1" t="s">
        <v>170</v>
      </c>
    </row>
    <row r="19" spans="2:3" ht="12.75">
      <c r="B19" s="1" t="s">
        <v>27</v>
      </c>
      <c r="C19" s="1" t="s">
        <v>28</v>
      </c>
    </row>
    <row r="20" spans="2:3" ht="12.75">
      <c r="B20" s="1" t="s">
        <v>117</v>
      </c>
      <c r="C20" s="1" t="s">
        <v>108</v>
      </c>
    </row>
    <row r="21" spans="2:3" s="9" customFormat="1" ht="25.5">
      <c r="B21" s="9" t="s">
        <v>118</v>
      </c>
      <c r="C21" s="9" t="s">
        <v>29</v>
      </c>
    </row>
    <row r="22" spans="2:3" ht="12.75">
      <c r="B22" s="1" t="s">
        <v>119</v>
      </c>
      <c r="C22" s="1" t="s">
        <v>173</v>
      </c>
    </row>
    <row r="23" ht="12.75" customHeight="1">
      <c r="C23" s="1" t="s">
        <v>174</v>
      </c>
    </row>
    <row r="24" ht="12.75">
      <c r="B24" s="1" t="s">
        <v>30</v>
      </c>
    </row>
    <row r="25" spans="2:3" ht="12.75">
      <c r="B25" s="1" t="s">
        <v>133</v>
      </c>
      <c r="C25" s="10">
        <f>(42*4/(3.14159))^0.5</f>
        <v>7.31273587983398</v>
      </c>
    </row>
    <row r="26" spans="2:3" ht="12.75">
      <c r="B26" s="1" t="s">
        <v>134</v>
      </c>
      <c r="C26" s="3">
        <v>41</v>
      </c>
    </row>
    <row r="27" spans="2:3" ht="12.75">
      <c r="B27" s="1" t="s">
        <v>135</v>
      </c>
      <c r="C27" s="3">
        <v>15.9</v>
      </c>
    </row>
    <row r="28" spans="2:3" ht="12.75">
      <c r="B28" s="1" t="s">
        <v>136</v>
      </c>
      <c r="C28" s="3">
        <v>400</v>
      </c>
    </row>
    <row r="29" ht="12.75">
      <c r="C29" s="3"/>
    </row>
    <row r="30" spans="2:3" ht="12.75">
      <c r="B30" s="1" t="s">
        <v>31</v>
      </c>
      <c r="C30" s="3" t="s">
        <v>112</v>
      </c>
    </row>
    <row r="31" spans="2:3" s="29" customFormat="1" ht="25.5">
      <c r="B31" s="29" t="s">
        <v>163</v>
      </c>
      <c r="C31" s="30"/>
    </row>
    <row r="32" ht="12.75">
      <c r="C32" s="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C2" sqref="C2"/>
    </sheetView>
  </sheetViews>
  <sheetFormatPr defaultColWidth="9.140625" defaultRowHeight="12.75"/>
  <cols>
    <col min="1" max="1" width="9.140625" style="1" hidden="1" customWidth="1"/>
    <col min="2" max="2" width="20.421875" style="1" customWidth="1"/>
    <col min="3" max="3" width="54.421875" style="1" customWidth="1"/>
    <col min="4" max="16384" width="9.140625" style="1" customWidth="1"/>
  </cols>
  <sheetData>
    <row r="1" ht="12.75">
      <c r="B1" s="11" t="s">
        <v>167</v>
      </c>
    </row>
    <row r="3" ht="12.75">
      <c r="B3" s="31" t="s">
        <v>109</v>
      </c>
    </row>
    <row r="4" ht="12.75">
      <c r="B4" s="31"/>
    </row>
    <row r="5" spans="2:3" ht="12.75">
      <c r="B5" s="1" t="s">
        <v>32</v>
      </c>
      <c r="C5" s="1" t="s">
        <v>33</v>
      </c>
    </row>
    <row r="6" spans="2:3" ht="12.75">
      <c r="B6" s="1" t="s">
        <v>37</v>
      </c>
      <c r="C6" s="1" t="s">
        <v>38</v>
      </c>
    </row>
    <row r="7" spans="2:3" ht="12.75">
      <c r="B7" s="1" t="s">
        <v>39</v>
      </c>
      <c r="C7" s="1" t="s">
        <v>40</v>
      </c>
    </row>
    <row r="8" spans="2:3" ht="12.75">
      <c r="B8" s="1" t="s">
        <v>34</v>
      </c>
      <c r="C8" s="1" t="s">
        <v>107</v>
      </c>
    </row>
    <row r="9" spans="2:3" ht="12.75">
      <c r="B9" s="1" t="s">
        <v>164</v>
      </c>
      <c r="C9" s="32">
        <v>34059</v>
      </c>
    </row>
    <row r="10" spans="2:3" ht="12.75">
      <c r="B10" s="1" t="s">
        <v>128</v>
      </c>
      <c r="C10" s="1" t="s">
        <v>106</v>
      </c>
    </row>
    <row r="11" spans="2:3" ht="38.25">
      <c r="B11" s="8" t="s">
        <v>35</v>
      </c>
      <c r="C11" s="9" t="s">
        <v>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B1">
      <selection activeCell="C2" sqref="C2"/>
    </sheetView>
  </sheetViews>
  <sheetFormatPr defaultColWidth="9.140625" defaultRowHeight="12.75"/>
  <cols>
    <col min="1" max="1" width="9.140625" style="1" hidden="1" customWidth="1"/>
    <col min="2" max="2" width="20.57421875" style="1" customWidth="1"/>
    <col min="3" max="3" width="19.421875" style="1" customWidth="1"/>
    <col min="4" max="4" width="9.140625" style="1" customWidth="1"/>
    <col min="5" max="5" width="6.28125" style="1" customWidth="1"/>
    <col min="6" max="6" width="2.28125" style="1" customWidth="1"/>
    <col min="7" max="7" width="8.421875" style="1" customWidth="1"/>
    <col min="8" max="8" width="2.00390625" style="1" customWidth="1"/>
    <col min="9" max="9" width="7.140625" style="1" customWidth="1"/>
    <col min="10" max="10" width="2.421875" style="1" customWidth="1"/>
    <col min="11" max="11" width="8.28125" style="1" customWidth="1"/>
    <col min="12" max="12" width="2.421875" style="1" customWidth="1"/>
    <col min="13" max="13" width="9.8515625" style="1" customWidth="1"/>
    <col min="14" max="16384" width="11.421875" style="1" customWidth="1"/>
  </cols>
  <sheetData>
    <row r="1" spans="2:3" ht="12.75">
      <c r="B1" s="11" t="s">
        <v>0</v>
      </c>
      <c r="C1" s="11"/>
    </row>
    <row r="3" spans="3:13" ht="12.75">
      <c r="C3" s="1" t="s">
        <v>138</v>
      </c>
      <c r="D3" s="1" t="s">
        <v>41</v>
      </c>
      <c r="E3" s="1" t="s">
        <v>126</v>
      </c>
      <c r="G3" s="2"/>
      <c r="H3" s="2"/>
      <c r="I3" s="2"/>
      <c r="J3" s="2"/>
      <c r="K3" s="2"/>
      <c r="L3" s="2"/>
      <c r="M3" s="2"/>
    </row>
    <row r="4" spans="7:12" ht="12.75">
      <c r="G4" s="2"/>
      <c r="H4" s="2"/>
      <c r="I4" s="2"/>
      <c r="J4" s="2"/>
      <c r="K4" s="2"/>
      <c r="L4" s="2"/>
    </row>
    <row r="5" spans="7:12" ht="12.75">
      <c r="G5" s="2"/>
      <c r="H5" s="2"/>
      <c r="I5" s="2"/>
      <c r="J5" s="2"/>
      <c r="K5" s="2"/>
      <c r="L5" s="2"/>
    </row>
    <row r="6" spans="1:13" ht="12.75">
      <c r="A6" s="1">
        <v>1</v>
      </c>
      <c r="B6" s="11" t="s">
        <v>109</v>
      </c>
      <c r="C6" s="11" t="s">
        <v>178</v>
      </c>
      <c r="G6" s="2" t="s">
        <v>175</v>
      </c>
      <c r="H6" s="2"/>
      <c r="I6" s="2" t="s">
        <v>176</v>
      </c>
      <c r="J6" s="2"/>
      <c r="K6" s="2" t="s">
        <v>177</v>
      </c>
      <c r="L6" s="2"/>
      <c r="M6" s="1" t="s">
        <v>43</v>
      </c>
    </row>
    <row r="7" spans="2:12" ht="12.75">
      <c r="B7" s="11"/>
      <c r="C7" s="11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179</v>
      </c>
      <c r="D8" s="1" t="s">
        <v>9</v>
      </c>
      <c r="E8" s="1" t="s">
        <v>44</v>
      </c>
      <c r="G8" s="1">
        <v>0.0013</v>
      </c>
      <c r="I8" s="1">
        <v>0.0008</v>
      </c>
      <c r="K8" s="1">
        <v>0.0004</v>
      </c>
      <c r="M8" s="6">
        <f>AVERAGE(K8,I8,G8)</f>
        <v>0.0008333333333333334</v>
      </c>
    </row>
    <row r="9" spans="2:13" ht="12.75">
      <c r="B9" s="1" t="s">
        <v>147</v>
      </c>
      <c r="C9" s="1" t="s">
        <v>179</v>
      </c>
      <c r="D9" s="1" t="s">
        <v>10</v>
      </c>
      <c r="E9" s="1" t="s">
        <v>44</v>
      </c>
      <c r="G9" s="1">
        <v>6.9</v>
      </c>
      <c r="I9" s="1">
        <v>8.2</v>
      </c>
      <c r="K9" s="1">
        <v>3.6</v>
      </c>
      <c r="M9" s="4">
        <f>AVERAGE(K9,I9,G9)</f>
        <v>6.233333333333333</v>
      </c>
    </row>
    <row r="10" spans="2:13" ht="12.75">
      <c r="B10" s="1" t="s">
        <v>3</v>
      </c>
      <c r="C10" s="1" t="s">
        <v>179</v>
      </c>
      <c r="D10" s="1" t="s">
        <v>10</v>
      </c>
      <c r="E10" s="1" t="s">
        <v>44</v>
      </c>
      <c r="G10" s="1">
        <v>0.05</v>
      </c>
      <c r="I10" s="1">
        <v>0.04</v>
      </c>
      <c r="K10" s="1">
        <v>0.04</v>
      </c>
      <c r="M10" s="5">
        <f>AVERAGE(K10,I10,G10)</f>
        <v>0.043333333333333335</v>
      </c>
    </row>
    <row r="11" spans="2:13" ht="12.75">
      <c r="B11" s="1" t="s">
        <v>4</v>
      </c>
      <c r="C11" s="1" t="s">
        <v>179</v>
      </c>
      <c r="D11" s="1" t="s">
        <v>10</v>
      </c>
      <c r="E11" s="1" t="s">
        <v>44</v>
      </c>
      <c r="G11" s="1">
        <v>0.01</v>
      </c>
      <c r="I11" s="1">
        <v>0.01</v>
      </c>
      <c r="K11" s="1">
        <v>0.01</v>
      </c>
      <c r="M11" s="5">
        <f>AVERAGE(K11,I11,G11)</f>
        <v>0.01</v>
      </c>
    </row>
    <row r="12" spans="2:13" ht="12.75">
      <c r="B12" s="1" t="s">
        <v>146</v>
      </c>
      <c r="C12" s="1" t="s">
        <v>179</v>
      </c>
      <c r="D12" s="1" t="s">
        <v>10</v>
      </c>
      <c r="E12" s="1" t="s">
        <v>44</v>
      </c>
      <c r="G12" s="1">
        <f>G10+2*G11</f>
        <v>0.07</v>
      </c>
      <c r="I12" s="1">
        <f>I10+2*I11</f>
        <v>0.06</v>
      </c>
      <c r="K12" s="1">
        <f>K10+2*K11</f>
        <v>0.06</v>
      </c>
      <c r="M12" s="5">
        <f>M10+2*M11</f>
        <v>0.06333333333333334</v>
      </c>
    </row>
    <row r="13" ht="12" customHeight="1"/>
    <row r="14" spans="2:4" ht="12" customHeight="1">
      <c r="B14" s="1" t="s">
        <v>148</v>
      </c>
      <c r="C14" s="1" t="s">
        <v>139</v>
      </c>
      <c r="D14" s="1" t="s">
        <v>179</v>
      </c>
    </row>
    <row r="15" spans="2:13" ht="12.75">
      <c r="B15" s="1" t="s">
        <v>45</v>
      </c>
      <c r="D15" s="1" t="s">
        <v>13</v>
      </c>
      <c r="G15" s="1">
        <v>13186</v>
      </c>
      <c r="I15" s="1">
        <v>13258</v>
      </c>
      <c r="K15" s="1">
        <v>14829</v>
      </c>
      <c r="M15" s="4">
        <f>AVERAGE(K15,I15,G15)</f>
        <v>13757.666666666666</v>
      </c>
    </row>
    <row r="16" spans="2:13" ht="12.75">
      <c r="B16" s="1" t="s">
        <v>141</v>
      </c>
      <c r="D16" s="1" t="s">
        <v>14</v>
      </c>
      <c r="G16" s="1">
        <v>7</v>
      </c>
      <c r="I16" s="1">
        <v>6.4</v>
      </c>
      <c r="K16" s="1">
        <v>7</v>
      </c>
      <c r="M16" s="4">
        <f>AVERAGE(K16,I16,G16)</f>
        <v>6.8</v>
      </c>
    </row>
    <row r="17" spans="2:13" ht="12.75">
      <c r="B17" s="1" t="s">
        <v>142</v>
      </c>
      <c r="D17" s="1" t="s">
        <v>14</v>
      </c>
      <c r="G17" s="1">
        <v>13.65</v>
      </c>
      <c r="I17" s="1">
        <v>13.56</v>
      </c>
      <c r="K17" s="1">
        <v>14.21</v>
      </c>
      <c r="M17" s="4">
        <f>AVERAGE(K17,I17,G17)</f>
        <v>13.806666666666667</v>
      </c>
    </row>
    <row r="18" spans="2:13" ht="12.75">
      <c r="B18" s="1" t="s">
        <v>46</v>
      </c>
      <c r="D18" s="1" t="s">
        <v>15</v>
      </c>
      <c r="G18" s="7">
        <f>((450-273)*1.8)+32</f>
        <v>350.6</v>
      </c>
      <c r="I18" s="1">
        <v>351</v>
      </c>
      <c r="K18" s="7">
        <f>((460-273)*1.8)+32</f>
        <v>368.6</v>
      </c>
      <c r="L18" s="7"/>
      <c r="M18" s="4">
        <f>AVERAGE(K18,I18,G18)</f>
        <v>356.73333333333335</v>
      </c>
    </row>
    <row r="19" spans="7:12" ht="12" customHeight="1">
      <c r="G19" s="7"/>
      <c r="K19" s="7"/>
      <c r="L19" s="7"/>
    </row>
    <row r="20" spans="2:4" ht="12.75">
      <c r="B20" s="1" t="s">
        <v>148</v>
      </c>
      <c r="C20" s="1" t="s">
        <v>140</v>
      </c>
      <c r="D20" s="1" t="s">
        <v>180</v>
      </c>
    </row>
    <row r="21" spans="2:13" ht="12.75">
      <c r="B21" s="1" t="s">
        <v>45</v>
      </c>
      <c r="D21" s="1" t="s">
        <v>13</v>
      </c>
      <c r="G21" s="1">
        <v>13267</v>
      </c>
      <c r="I21" s="1">
        <v>13534</v>
      </c>
      <c r="K21" s="1">
        <v>13942</v>
      </c>
      <c r="M21" s="4">
        <f>AVERAGE(K21,I21,G21)</f>
        <v>13581</v>
      </c>
    </row>
    <row r="22" spans="2:13" ht="12.75">
      <c r="B22" s="1" t="s">
        <v>141</v>
      </c>
      <c r="D22" s="1" t="s">
        <v>14</v>
      </c>
      <c r="G22" s="1">
        <v>7</v>
      </c>
      <c r="I22" s="1">
        <v>6.7</v>
      </c>
      <c r="K22" s="1">
        <v>7</v>
      </c>
      <c r="M22" s="4">
        <f>AVERAGE(K22,I22,G22)</f>
        <v>6.8999999999999995</v>
      </c>
    </row>
    <row r="23" spans="2:13" ht="12.75">
      <c r="B23" s="1" t="s">
        <v>142</v>
      </c>
      <c r="D23" s="1" t="s">
        <v>14</v>
      </c>
      <c r="G23" s="1">
        <v>14.28</v>
      </c>
      <c r="I23" s="1">
        <v>13.47</v>
      </c>
      <c r="K23" s="1">
        <v>13.64</v>
      </c>
      <c r="M23" s="4">
        <f>AVERAGE(K23,I23,G23)</f>
        <v>13.796666666666667</v>
      </c>
    </row>
    <row r="24" spans="2:13" ht="12.75">
      <c r="B24" s="1" t="s">
        <v>46</v>
      </c>
      <c r="D24" s="1" t="s">
        <v>15</v>
      </c>
      <c r="G24" s="7">
        <f>((450-273)*1.8)+32</f>
        <v>350.6</v>
      </c>
      <c r="I24" s="7">
        <f>((451-273)*1.8)+32</f>
        <v>352.40000000000003</v>
      </c>
      <c r="K24" s="7">
        <f>((455-273)*1.8)+32</f>
        <v>359.6</v>
      </c>
      <c r="L24" s="7"/>
      <c r="M24" s="4">
        <f>AVERAGE(K24,I24,G24)</f>
        <v>354.2</v>
      </c>
    </row>
    <row r="26" spans="2:3" ht="12.75">
      <c r="B26" s="1" t="s">
        <v>120</v>
      </c>
      <c r="C26" s="1" t="s">
        <v>143</v>
      </c>
    </row>
    <row r="28" spans="2:11" ht="12.75">
      <c r="B28" s="1" t="s">
        <v>144</v>
      </c>
      <c r="D28" s="1" t="s">
        <v>137</v>
      </c>
      <c r="G28" s="1">
        <v>34.4</v>
      </c>
      <c r="I28" s="1">
        <v>44.8</v>
      </c>
      <c r="K28" s="1">
        <v>23.1</v>
      </c>
    </row>
    <row r="29" spans="2:11" ht="12.75">
      <c r="B29" s="1" t="s">
        <v>121</v>
      </c>
      <c r="D29" s="1" t="s">
        <v>137</v>
      </c>
      <c r="G29" s="1">
        <v>13.7</v>
      </c>
      <c r="I29" s="1">
        <v>10.3</v>
      </c>
      <c r="K29" s="1">
        <v>7.9</v>
      </c>
    </row>
    <row r="30" spans="2:11" ht="12.75">
      <c r="B30" s="1" t="s">
        <v>122</v>
      </c>
      <c r="D30" s="1" t="s">
        <v>137</v>
      </c>
      <c r="G30" s="1">
        <v>38.3</v>
      </c>
      <c r="I30" s="1">
        <v>20.8</v>
      </c>
      <c r="K30" s="1">
        <v>54.6</v>
      </c>
    </row>
    <row r="31" spans="2:11" ht="12.75">
      <c r="B31" s="1" t="s">
        <v>145</v>
      </c>
      <c r="D31" s="1" t="s">
        <v>137</v>
      </c>
      <c r="G31" s="1">
        <v>13.7</v>
      </c>
      <c r="I31" s="1">
        <v>24.1</v>
      </c>
      <c r="K31" s="1">
        <v>14.5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zoomScale="75" zoomScaleNormal="75" workbookViewId="0" topLeftCell="B1">
      <pane ySplit="1935" topLeftCell="BM31" activePane="bottomLeft" state="split"/>
      <selection pane="topLeft" activeCell="C2" sqref="C2"/>
      <selection pane="bottomLeft" activeCell="C2" sqref="C2"/>
    </sheetView>
  </sheetViews>
  <sheetFormatPr defaultColWidth="9.140625" defaultRowHeight="12.75"/>
  <cols>
    <col min="1" max="1" width="9.140625" style="1" hidden="1" customWidth="1"/>
    <col min="2" max="2" width="25.140625" style="1" customWidth="1"/>
    <col min="3" max="3" width="3.28125" style="1" customWidth="1"/>
    <col min="4" max="4" width="10.8515625" style="1" customWidth="1"/>
    <col min="5" max="5" width="4.140625" style="2" customWidth="1"/>
    <col min="6" max="6" width="9.00390625" style="1" customWidth="1"/>
    <col min="7" max="7" width="4.28125" style="2" customWidth="1"/>
    <col min="8" max="8" width="11.57421875" style="1" customWidth="1"/>
    <col min="9" max="9" width="4.28125" style="2" customWidth="1"/>
    <col min="10" max="10" width="11.57421875" style="1" customWidth="1"/>
    <col min="11" max="11" width="4.7109375" style="1" customWidth="1"/>
    <col min="12" max="12" width="9.28125" style="1" customWidth="1"/>
    <col min="13" max="13" width="4.28125" style="1" customWidth="1"/>
    <col min="14" max="14" width="11.7109375" style="1" customWidth="1"/>
    <col min="15" max="15" width="3.8515625" style="1" customWidth="1"/>
    <col min="16" max="16" width="9.7109375" style="1" customWidth="1"/>
    <col min="17" max="17" width="4.421875" style="1" customWidth="1"/>
    <col min="18" max="18" width="11.421875" style="1" customWidth="1"/>
    <col min="19" max="19" width="4.140625" style="1" customWidth="1"/>
    <col min="20" max="16384" width="11.421875" style="1" customWidth="1"/>
  </cols>
  <sheetData>
    <row r="1" spans="2:3" ht="12.75">
      <c r="B1" s="11" t="s">
        <v>115</v>
      </c>
      <c r="C1" s="11"/>
    </row>
    <row r="3" spans="6:16" ht="12.75">
      <c r="F3" s="2"/>
      <c r="H3" s="2"/>
      <c r="J3" s="2"/>
      <c r="K3" s="2"/>
      <c r="M3" s="2"/>
      <c r="N3" s="2"/>
      <c r="O3" s="2"/>
      <c r="P3" s="2"/>
    </row>
    <row r="4" spans="1:20" ht="12.75">
      <c r="A4" s="1" t="s">
        <v>157</v>
      </c>
      <c r="B4" s="11" t="s">
        <v>109</v>
      </c>
      <c r="C4" s="11"/>
      <c r="F4" s="2" t="s">
        <v>175</v>
      </c>
      <c r="H4" s="2" t="s">
        <v>176</v>
      </c>
      <c r="J4" s="2" t="s">
        <v>177</v>
      </c>
      <c r="K4" s="2"/>
      <c r="L4" s="2" t="s">
        <v>43</v>
      </c>
      <c r="M4" s="2"/>
      <c r="N4" s="2" t="s">
        <v>175</v>
      </c>
      <c r="O4" s="2"/>
      <c r="P4" s="2" t="s">
        <v>176</v>
      </c>
      <c r="Q4" s="2"/>
      <c r="R4" s="2" t="s">
        <v>177</v>
      </c>
      <c r="S4" s="2"/>
      <c r="T4" s="2" t="s">
        <v>43</v>
      </c>
    </row>
    <row r="5" spans="15:17" ht="12.75">
      <c r="O5" s="2"/>
      <c r="Q5" s="2"/>
    </row>
    <row r="6" spans="2:20" ht="12.75">
      <c r="B6" s="1" t="s">
        <v>187</v>
      </c>
      <c r="F6" s="1" t="s">
        <v>190</v>
      </c>
      <c r="H6" s="1" t="s">
        <v>190</v>
      </c>
      <c r="J6" s="1" t="s">
        <v>190</v>
      </c>
      <c r="L6" s="1" t="s">
        <v>190</v>
      </c>
      <c r="N6" s="1" t="s">
        <v>192</v>
      </c>
      <c r="O6" s="2"/>
      <c r="P6" s="1" t="s">
        <v>192</v>
      </c>
      <c r="Q6" s="2"/>
      <c r="R6" s="1" t="s">
        <v>192</v>
      </c>
      <c r="T6" s="1" t="s">
        <v>192</v>
      </c>
    </row>
    <row r="7" spans="2:20" ht="12.75">
      <c r="B7" s="1" t="s">
        <v>188</v>
      </c>
      <c r="F7" s="1" t="s">
        <v>189</v>
      </c>
      <c r="H7" s="1" t="s">
        <v>189</v>
      </c>
      <c r="J7" s="1" t="s">
        <v>189</v>
      </c>
      <c r="L7" s="1" t="s">
        <v>189</v>
      </c>
      <c r="N7" s="1" t="s">
        <v>73</v>
      </c>
      <c r="O7" s="2"/>
      <c r="P7" s="1" t="s">
        <v>73</v>
      </c>
      <c r="Q7" s="2"/>
      <c r="R7" s="1" t="s">
        <v>73</v>
      </c>
      <c r="T7" s="1" t="s">
        <v>73</v>
      </c>
    </row>
    <row r="8" spans="2:20" ht="12.75">
      <c r="B8" s="1" t="s">
        <v>193</v>
      </c>
      <c r="F8" s="1" t="s">
        <v>1</v>
      </c>
      <c r="H8" s="1" t="s">
        <v>1</v>
      </c>
      <c r="J8" s="1" t="s">
        <v>1</v>
      </c>
      <c r="L8" s="1" t="s">
        <v>1</v>
      </c>
      <c r="N8" s="1" t="s">
        <v>73</v>
      </c>
      <c r="O8" s="2"/>
      <c r="P8" s="1" t="s">
        <v>73</v>
      </c>
      <c r="Q8" s="2"/>
      <c r="R8" s="1" t="s">
        <v>73</v>
      </c>
      <c r="T8" s="1" t="s">
        <v>73</v>
      </c>
    </row>
    <row r="9" spans="2:20" ht="12.75">
      <c r="B9" s="1" t="s">
        <v>162</v>
      </c>
      <c r="F9" s="1" t="s">
        <v>50</v>
      </c>
      <c r="H9" s="1" t="s">
        <v>50</v>
      </c>
      <c r="J9" s="1" t="s">
        <v>50</v>
      </c>
      <c r="L9" s="1" t="s">
        <v>50</v>
      </c>
      <c r="N9" s="1" t="s">
        <v>73</v>
      </c>
      <c r="O9" s="2"/>
      <c r="P9" s="1" t="s">
        <v>73</v>
      </c>
      <c r="Q9" s="2"/>
      <c r="R9" s="1" t="s">
        <v>73</v>
      </c>
      <c r="T9" s="1" t="s">
        <v>73</v>
      </c>
    </row>
    <row r="10" spans="2:20" ht="12.75">
      <c r="B10" s="1" t="s">
        <v>161</v>
      </c>
      <c r="D10" s="1" t="s">
        <v>51</v>
      </c>
      <c r="F10" s="1">
        <v>4.1</v>
      </c>
      <c r="H10" s="1">
        <v>4.2</v>
      </c>
      <c r="J10" s="1">
        <v>4.2</v>
      </c>
      <c r="L10" s="5">
        <f>AVERAGE(F10,H10,J10)</f>
        <v>4.166666666666667</v>
      </c>
      <c r="O10" s="2"/>
      <c r="Q10" s="2"/>
      <c r="T10" s="5"/>
    </row>
    <row r="11" spans="2:17" ht="12.75">
      <c r="B11" s="1" t="s">
        <v>52</v>
      </c>
      <c r="F11" s="1">
        <v>0.85</v>
      </c>
      <c r="H11" s="1">
        <v>0.84</v>
      </c>
      <c r="J11" s="1">
        <v>0.85</v>
      </c>
      <c r="O11" s="2"/>
      <c r="Q11" s="2"/>
    </row>
    <row r="12" spans="2:19" ht="12.75">
      <c r="B12" s="1" t="s">
        <v>161</v>
      </c>
      <c r="D12" s="1" t="s">
        <v>53</v>
      </c>
      <c r="F12" s="5">
        <f>F10/0.264*F11/0.454</f>
        <v>29.07655853691095</v>
      </c>
      <c r="G12" s="12"/>
      <c r="H12" s="5">
        <f>H10/0.264*H11/0.454</f>
        <v>29.435322386864236</v>
      </c>
      <c r="I12" s="12"/>
      <c r="J12" s="5">
        <f>J10/0.264*J11/0.454</f>
        <v>29.78574289146976</v>
      </c>
      <c r="K12" s="5"/>
      <c r="N12" s="5"/>
      <c r="O12" s="12"/>
      <c r="P12" s="5"/>
      <c r="Q12" s="12"/>
      <c r="R12" s="5"/>
      <c r="S12" s="5"/>
    </row>
    <row r="13" spans="2:17" ht="12.75">
      <c r="B13" s="1" t="s">
        <v>203</v>
      </c>
      <c r="D13" s="1" t="s">
        <v>54</v>
      </c>
      <c r="F13" s="1">
        <v>11547</v>
      </c>
      <c r="H13" s="1">
        <v>12904</v>
      </c>
      <c r="J13" s="1">
        <v>12454</v>
      </c>
      <c r="O13" s="2"/>
      <c r="Q13" s="2"/>
    </row>
    <row r="14" spans="2:17" ht="12.75">
      <c r="B14" s="1" t="s">
        <v>55</v>
      </c>
      <c r="D14" s="1" t="s">
        <v>56</v>
      </c>
      <c r="F14" s="1">
        <v>26.5</v>
      </c>
      <c r="H14" s="1">
        <v>27.4</v>
      </c>
      <c r="J14" s="1">
        <v>28.2</v>
      </c>
      <c r="O14" s="2"/>
      <c r="Q14" s="2"/>
    </row>
    <row r="15" spans="2:17" ht="12.75">
      <c r="B15" s="1" t="s">
        <v>57</v>
      </c>
      <c r="D15" s="1" t="s">
        <v>14</v>
      </c>
      <c r="F15" s="1">
        <v>0.027</v>
      </c>
      <c r="H15" s="1">
        <v>0.005</v>
      </c>
      <c r="J15" s="1">
        <v>0.003</v>
      </c>
      <c r="O15" s="2"/>
      <c r="Q15" s="2"/>
    </row>
    <row r="16" spans="2:17" ht="12.75">
      <c r="B16" s="1" t="s">
        <v>7</v>
      </c>
      <c r="D16" s="1" t="s">
        <v>14</v>
      </c>
      <c r="F16" s="1">
        <v>0.015</v>
      </c>
      <c r="H16" s="1">
        <v>0.1</v>
      </c>
      <c r="J16" s="1">
        <v>0.004</v>
      </c>
      <c r="O16" s="2"/>
      <c r="Q16" s="2"/>
    </row>
    <row r="17" spans="2:17" ht="12.75">
      <c r="B17" s="1" t="s">
        <v>58</v>
      </c>
      <c r="D17" s="1" t="s">
        <v>59</v>
      </c>
      <c r="F17" s="1">
        <v>8.9</v>
      </c>
      <c r="H17" s="1">
        <v>17.5</v>
      </c>
      <c r="J17" s="1">
        <v>9.3</v>
      </c>
      <c r="O17" s="2"/>
      <c r="Q17" s="2"/>
    </row>
    <row r="18" spans="2:17" ht="12.75">
      <c r="B18" s="1" t="s">
        <v>159</v>
      </c>
      <c r="D18" s="1" t="s">
        <v>60</v>
      </c>
      <c r="E18" s="2" t="s">
        <v>61</v>
      </c>
      <c r="F18" s="1">
        <v>0.01</v>
      </c>
      <c r="G18" s="2" t="s">
        <v>61</v>
      </c>
      <c r="H18" s="1">
        <v>0.01</v>
      </c>
      <c r="I18" s="2" t="s">
        <v>61</v>
      </c>
      <c r="J18" s="1">
        <v>0.01</v>
      </c>
      <c r="O18" s="2"/>
      <c r="Q18" s="2"/>
    </row>
    <row r="19" spans="2:17" ht="12.75">
      <c r="B19" s="1" t="s">
        <v>152</v>
      </c>
      <c r="D19" s="1" t="s">
        <v>60</v>
      </c>
      <c r="E19" s="2" t="s">
        <v>61</v>
      </c>
      <c r="F19" s="1">
        <v>0.1</v>
      </c>
      <c r="H19" s="1">
        <v>1.41</v>
      </c>
      <c r="I19" s="2" t="s">
        <v>61</v>
      </c>
      <c r="J19" s="1">
        <v>0.1</v>
      </c>
      <c r="O19" s="2"/>
      <c r="Q19" s="2"/>
    </row>
    <row r="20" spans="2:17" ht="12.75">
      <c r="B20" s="1" t="s">
        <v>154</v>
      </c>
      <c r="D20" s="1" t="s">
        <v>60</v>
      </c>
      <c r="F20" s="1">
        <v>0.048</v>
      </c>
      <c r="H20" s="1">
        <v>0.084</v>
      </c>
      <c r="J20" s="1">
        <v>0.13</v>
      </c>
      <c r="O20" s="2"/>
      <c r="Q20" s="2"/>
    </row>
    <row r="21" spans="2:17" ht="12.75">
      <c r="B21" s="1" t="s">
        <v>149</v>
      </c>
      <c r="D21" s="1" t="s">
        <v>60</v>
      </c>
      <c r="E21" s="2" t="s">
        <v>61</v>
      </c>
      <c r="F21" s="1">
        <v>0.02</v>
      </c>
      <c r="G21" s="2" t="s">
        <v>61</v>
      </c>
      <c r="H21" s="1">
        <v>0.02</v>
      </c>
      <c r="I21" s="2" t="s">
        <v>61</v>
      </c>
      <c r="J21" s="1">
        <v>0.02</v>
      </c>
      <c r="O21" s="2"/>
      <c r="Q21" s="2"/>
    </row>
    <row r="22" spans="2:17" ht="12.75">
      <c r="B22" s="1" t="s">
        <v>150</v>
      </c>
      <c r="D22" s="1" t="s">
        <v>60</v>
      </c>
      <c r="E22" s="2" t="s">
        <v>61</v>
      </c>
      <c r="F22" s="1">
        <v>0.1</v>
      </c>
      <c r="G22" s="2" t="s">
        <v>61</v>
      </c>
      <c r="H22" s="1">
        <v>0.1</v>
      </c>
      <c r="I22" s="2" t="s">
        <v>61</v>
      </c>
      <c r="J22" s="1">
        <v>0.1</v>
      </c>
      <c r="O22" s="2"/>
      <c r="Q22" s="2"/>
    </row>
    <row r="23" spans="2:17" ht="12.75">
      <c r="B23" s="1" t="s">
        <v>155</v>
      </c>
      <c r="D23" s="1" t="s">
        <v>60</v>
      </c>
      <c r="E23" s="2" t="s">
        <v>61</v>
      </c>
      <c r="F23" s="1">
        <v>0.05</v>
      </c>
      <c r="G23" s="2" t="s">
        <v>61</v>
      </c>
      <c r="H23" s="1">
        <v>0.05</v>
      </c>
      <c r="I23" s="2" t="s">
        <v>61</v>
      </c>
      <c r="J23" s="1">
        <v>0.05</v>
      </c>
      <c r="O23" s="2"/>
      <c r="Q23" s="2"/>
    </row>
    <row r="24" spans="2:17" ht="12.75">
      <c r="B24" s="1" t="s">
        <v>153</v>
      </c>
      <c r="D24" s="1" t="s">
        <v>60</v>
      </c>
      <c r="E24" s="2" t="s">
        <v>61</v>
      </c>
      <c r="F24" s="1">
        <v>0.1</v>
      </c>
      <c r="H24" s="1">
        <v>0.068</v>
      </c>
      <c r="J24" s="1">
        <v>0.1</v>
      </c>
      <c r="O24" s="2"/>
      <c r="Q24" s="2"/>
    </row>
    <row r="25" spans="2:17" ht="12.75">
      <c r="B25" s="1" t="s">
        <v>151</v>
      </c>
      <c r="D25" s="1" t="s">
        <v>60</v>
      </c>
      <c r="F25" s="1">
        <v>0.69</v>
      </c>
      <c r="G25" s="2" t="s">
        <v>61</v>
      </c>
      <c r="H25" s="1">
        <v>0.5</v>
      </c>
      <c r="I25" s="2" t="s">
        <v>61</v>
      </c>
      <c r="J25" s="1">
        <v>0.5</v>
      </c>
      <c r="O25" s="2"/>
      <c r="Q25" s="2"/>
    </row>
    <row r="26" spans="2:17" ht="12.75">
      <c r="B26" s="1" t="s">
        <v>191</v>
      </c>
      <c r="D26" s="1" t="s">
        <v>60</v>
      </c>
      <c r="F26" s="1">
        <v>0.044</v>
      </c>
      <c r="H26" s="1">
        <v>0.042</v>
      </c>
      <c r="J26" s="1">
        <v>0.04</v>
      </c>
      <c r="O26" s="2"/>
      <c r="Q26" s="2"/>
    </row>
    <row r="27" spans="2:17" ht="12.75">
      <c r="B27" s="1" t="s">
        <v>160</v>
      </c>
      <c r="D27" s="1" t="s">
        <v>60</v>
      </c>
      <c r="F27" s="1">
        <v>0.05</v>
      </c>
      <c r="H27" s="1">
        <v>0.038</v>
      </c>
      <c r="J27" s="1">
        <v>0.068</v>
      </c>
      <c r="O27" s="2"/>
      <c r="Q27" s="2"/>
    </row>
    <row r="28" spans="15:17" ht="12.75" customHeight="1">
      <c r="O28" s="2"/>
      <c r="Q28" s="2"/>
    </row>
    <row r="29" spans="2:17" ht="12.75">
      <c r="B29" s="1" t="s">
        <v>62</v>
      </c>
      <c r="D29" s="1" t="s">
        <v>13</v>
      </c>
      <c r="F29" s="1">
        <v>13186</v>
      </c>
      <c r="H29" s="1">
        <v>13258</v>
      </c>
      <c r="J29" s="1">
        <v>14829</v>
      </c>
      <c r="O29" s="2"/>
      <c r="Q29" s="2"/>
    </row>
    <row r="30" spans="2:18" ht="12.75">
      <c r="B30" s="1" t="s">
        <v>8</v>
      </c>
      <c r="D30" s="1" t="s">
        <v>14</v>
      </c>
      <c r="F30" s="4">
        <v>7</v>
      </c>
      <c r="G30" s="13"/>
      <c r="H30" s="4">
        <v>6.4</v>
      </c>
      <c r="I30" s="13"/>
      <c r="J30" s="4">
        <v>7</v>
      </c>
      <c r="N30" s="4"/>
      <c r="O30" s="13"/>
      <c r="P30" s="4"/>
      <c r="Q30" s="13"/>
      <c r="R30" s="4"/>
    </row>
    <row r="31" spans="15:17" ht="12.75" customHeight="1">
      <c r="O31" s="2"/>
      <c r="Q31" s="2"/>
    </row>
    <row r="32" spans="2:20" ht="12.75">
      <c r="B32" s="1" t="s">
        <v>158</v>
      </c>
      <c r="D32" s="1" t="s">
        <v>124</v>
      </c>
      <c r="F32" s="5">
        <f>F12*F13*60/1000000</f>
        <v>20.144821285542644</v>
      </c>
      <c r="G32" s="12"/>
      <c r="H32" s="5">
        <f>H12*H13*60/1000000</f>
        <v>22.790004004805766</v>
      </c>
      <c r="I32" s="12"/>
      <c r="J32" s="5">
        <f>J12*J13*60/1000000</f>
        <v>22.257098518221863</v>
      </c>
      <c r="K32" s="5"/>
      <c r="L32" s="4">
        <f>AVERAGE(F32,H32,J32)</f>
        <v>21.730641269523428</v>
      </c>
      <c r="N32" s="5">
        <v>20.144821285542644</v>
      </c>
      <c r="O32" s="12"/>
      <c r="P32" s="5">
        <v>22.790004004805766</v>
      </c>
      <c r="Q32" s="12"/>
      <c r="R32" s="5">
        <v>22.257098518221863</v>
      </c>
      <c r="S32" s="5"/>
      <c r="T32" s="4">
        <v>21.730641269523428</v>
      </c>
    </row>
    <row r="33" spans="2:20" ht="12.75">
      <c r="B33" s="1" t="s">
        <v>194</v>
      </c>
      <c r="D33" s="1" t="s">
        <v>124</v>
      </c>
      <c r="N33" s="5">
        <f>F29/9000*60*(21-F30)/21</f>
        <v>58.60444444444445</v>
      </c>
      <c r="O33" s="12"/>
      <c r="P33" s="5">
        <f>H29/9000*60*(21-H30)/21</f>
        <v>61.44977777777777</v>
      </c>
      <c r="Q33" s="12"/>
      <c r="R33" s="5">
        <f>J29/9000*60*(21-J30)/21</f>
        <v>65.90666666666667</v>
      </c>
      <c r="S33" s="5"/>
      <c r="T33" s="4">
        <f>AVERAGE(N33,P33,R33)</f>
        <v>61.98696296296296</v>
      </c>
    </row>
    <row r="34" spans="6:20" ht="12.75">
      <c r="F34" s="5"/>
      <c r="G34" s="12"/>
      <c r="H34" s="5"/>
      <c r="I34" s="12"/>
      <c r="J34" s="5"/>
      <c r="K34" s="5"/>
      <c r="L34" s="4"/>
      <c r="N34" s="5"/>
      <c r="O34" s="12"/>
      <c r="P34" s="5"/>
      <c r="Q34" s="12"/>
      <c r="R34" s="5"/>
      <c r="S34" s="5"/>
      <c r="T34" s="4"/>
    </row>
    <row r="35" spans="2:20" ht="12.75">
      <c r="B35" s="28" t="s">
        <v>123</v>
      </c>
      <c r="C35" s="28"/>
      <c r="F35" s="5"/>
      <c r="G35" s="12"/>
      <c r="H35" s="5"/>
      <c r="I35" s="12"/>
      <c r="J35" s="5"/>
      <c r="K35" s="5"/>
      <c r="L35" s="4"/>
      <c r="N35" s="5"/>
      <c r="O35" s="12"/>
      <c r="P35" s="5"/>
      <c r="Q35" s="12"/>
      <c r="R35" s="5"/>
      <c r="S35" s="5"/>
      <c r="T35" s="4"/>
    </row>
    <row r="36" spans="2:20" ht="12.75">
      <c r="B36" s="1" t="s">
        <v>7</v>
      </c>
      <c r="D36" s="1" t="s">
        <v>12</v>
      </c>
      <c r="F36" s="4">
        <f>F12*454*(F16/100)/F29/0.0283*1000*(21-7)/(21-F30)</f>
        <v>5.306285433805839</v>
      </c>
      <c r="G36" s="13"/>
      <c r="H36" s="4">
        <f>H12*454*(H16/100)/H29/0.0283*1000*(21-7)/(21-H30)</f>
        <v>34.153512828428845</v>
      </c>
      <c r="I36" s="13"/>
      <c r="J36" s="4">
        <f>J12*454*(J16/100)/J29/0.0283*1000*(21-7)/(21-J30)</f>
        <v>1.2889200511486802</v>
      </c>
      <c r="K36" s="7">
        <f aca="true" t="shared" si="0" ref="K36:K48">AVERAGE(E36*F36,G36*H36,I36*J36)/L36</f>
        <v>0</v>
      </c>
      <c r="L36" s="4">
        <f>AVERAGE(F36,H36,J36)</f>
        <v>13.582906104461122</v>
      </c>
      <c r="M36" s="1">
        <f aca="true" t="shared" si="1" ref="M36:T36">E36</f>
        <v>0</v>
      </c>
      <c r="N36" s="4">
        <f t="shared" si="1"/>
        <v>5.306285433805839</v>
      </c>
      <c r="O36" s="1">
        <f t="shared" si="1"/>
        <v>0</v>
      </c>
      <c r="P36" s="4">
        <f t="shared" si="1"/>
        <v>34.153512828428845</v>
      </c>
      <c r="Q36" s="1">
        <f t="shared" si="1"/>
        <v>0</v>
      </c>
      <c r="R36" s="4">
        <f t="shared" si="1"/>
        <v>1.2889200511486802</v>
      </c>
      <c r="S36" s="1">
        <f t="shared" si="1"/>
        <v>0</v>
      </c>
      <c r="T36" s="4">
        <f t="shared" si="1"/>
        <v>13.582906104461122</v>
      </c>
    </row>
    <row r="37" spans="2:20" ht="12.75">
      <c r="B37" s="1" t="s">
        <v>7</v>
      </c>
      <c r="D37" s="1" t="s">
        <v>9</v>
      </c>
      <c r="F37" s="6">
        <f>F36/1000/454*7000*0.0283</f>
        <v>0.0023153637542663802</v>
      </c>
      <c r="G37" s="13"/>
      <c r="H37" s="6">
        <f>H36/1000/454*7000*0.0283</f>
        <v>0.014902667161479633</v>
      </c>
      <c r="I37" s="13"/>
      <c r="J37" s="6">
        <f>J36/1000/454*7000*0.0283</f>
        <v>0.0005624120311289725</v>
      </c>
      <c r="K37" s="7">
        <f t="shared" si="0"/>
        <v>0</v>
      </c>
      <c r="L37" s="4">
        <f aca="true" t="shared" si="2" ref="L37:L48">AVERAGE(F37,H37,J37)</f>
        <v>0.005926814315624995</v>
      </c>
      <c r="M37" s="1">
        <f aca="true" t="shared" si="3" ref="M37:S51">E37</f>
        <v>0</v>
      </c>
      <c r="N37" s="4">
        <f aca="true" t="shared" si="4" ref="N37:T48">F37</f>
        <v>0.0023153637542663802</v>
      </c>
      <c r="O37" s="1">
        <f t="shared" si="3"/>
        <v>0</v>
      </c>
      <c r="P37" s="4">
        <f t="shared" si="4"/>
        <v>0.014902667161479633</v>
      </c>
      <c r="Q37" s="1">
        <f t="shared" si="3"/>
        <v>0</v>
      </c>
      <c r="R37" s="4">
        <f t="shared" si="4"/>
        <v>0.0005624120311289725</v>
      </c>
      <c r="S37" s="1">
        <f t="shared" si="3"/>
        <v>0</v>
      </c>
      <c r="T37" s="4">
        <f t="shared" si="4"/>
        <v>0.005926814315624995</v>
      </c>
    </row>
    <row r="38" spans="2:20" ht="12.75">
      <c r="B38" s="1" t="s">
        <v>58</v>
      </c>
      <c r="D38" s="1" t="s">
        <v>11</v>
      </c>
      <c r="F38" s="7">
        <f>((F10/0.264)*(F17*(1000/1000000)))/F29/0.0283*(21-7)/(21-F30)*1000000</f>
        <v>370.39953224213315</v>
      </c>
      <c r="G38" s="14"/>
      <c r="H38" s="7">
        <f>((H10/0.264)*(H17*(1000/1000000)))/H29/0.0283*(21-7)/(21-H30)*1000000</f>
        <v>711.5315172589341</v>
      </c>
      <c r="I38" s="14"/>
      <c r="J38" s="7">
        <f>((J10/0.264)*(J17*(1000/1000000)))/J29/0.0283*(21-7)/(21-J30)*1000000</f>
        <v>352.5575434024331</v>
      </c>
      <c r="K38" s="7">
        <f t="shared" si="0"/>
        <v>0</v>
      </c>
      <c r="L38" s="4">
        <f t="shared" si="2"/>
        <v>478.1628643011668</v>
      </c>
      <c r="M38" s="1">
        <f t="shared" si="3"/>
        <v>0</v>
      </c>
      <c r="N38" s="4">
        <f t="shared" si="4"/>
        <v>370.39953224213315</v>
      </c>
      <c r="O38" s="1">
        <f t="shared" si="3"/>
        <v>0</v>
      </c>
      <c r="P38" s="4">
        <f t="shared" si="4"/>
        <v>711.5315172589341</v>
      </c>
      <c r="Q38" s="1">
        <f t="shared" si="3"/>
        <v>0</v>
      </c>
      <c r="R38" s="4">
        <f t="shared" si="4"/>
        <v>352.5575434024331</v>
      </c>
      <c r="S38" s="1">
        <f t="shared" si="3"/>
        <v>0</v>
      </c>
      <c r="T38" s="4">
        <f t="shared" si="4"/>
        <v>478.1628643011668</v>
      </c>
    </row>
    <row r="39" spans="2:20" ht="12.75">
      <c r="B39" s="1" t="s">
        <v>159</v>
      </c>
      <c r="D39" s="1" t="s">
        <v>11</v>
      </c>
      <c r="E39" s="2">
        <v>100</v>
      </c>
      <c r="F39" s="4">
        <f>F$12*454*(F18/1000000)/F$29/0.0283*(21-7)/(21-F$30)*1000000</f>
        <v>0.35375236225372275</v>
      </c>
      <c r="G39" s="2">
        <v>100</v>
      </c>
      <c r="H39" s="4">
        <f>H$12*454*(H18/1000000)/H$29/0.0283*(21-7)/(21-H$30)*1000000</f>
        <v>0.3415351282842884</v>
      </c>
      <c r="I39" s="2">
        <v>100</v>
      </c>
      <c r="J39" s="4">
        <f>J$12*454*(J18/1000000)/J$29/0.0283*(21-7)/(21-J$30)*1000000</f>
        <v>0.32223001278717</v>
      </c>
      <c r="K39" s="7">
        <f t="shared" si="0"/>
        <v>100</v>
      </c>
      <c r="L39" s="4">
        <f t="shared" si="2"/>
        <v>0.3391725011083937</v>
      </c>
      <c r="M39" s="1">
        <f t="shared" si="3"/>
        <v>100</v>
      </c>
      <c r="N39" s="4">
        <f t="shared" si="4"/>
        <v>0.35375236225372275</v>
      </c>
      <c r="O39" s="1">
        <f t="shared" si="3"/>
        <v>100</v>
      </c>
      <c r="P39" s="4">
        <f t="shared" si="4"/>
        <v>0.3415351282842884</v>
      </c>
      <c r="Q39" s="1">
        <f t="shared" si="3"/>
        <v>100</v>
      </c>
      <c r="R39" s="4">
        <f t="shared" si="4"/>
        <v>0.32223001278717</v>
      </c>
      <c r="S39" s="1">
        <f t="shared" si="3"/>
        <v>100</v>
      </c>
      <c r="T39" s="4">
        <f t="shared" si="4"/>
        <v>0.3391725011083937</v>
      </c>
    </row>
    <row r="40" spans="2:20" ht="12.75">
      <c r="B40" s="1" t="s">
        <v>152</v>
      </c>
      <c r="D40" s="1" t="s">
        <v>11</v>
      </c>
      <c r="E40" s="2">
        <v>100</v>
      </c>
      <c r="F40" s="4">
        <f aca="true" t="shared" si="5" ref="F40:J48">F$12*454*(F19/1000000)/F$29/0.0283*(21-7)/(21-F$30)*1000000</f>
        <v>3.5375236225372277</v>
      </c>
      <c r="H40" s="4">
        <f t="shared" si="5"/>
        <v>48.15645308808466</v>
      </c>
      <c r="I40" s="2">
        <v>100</v>
      </c>
      <c r="J40" s="4">
        <f t="shared" si="5"/>
        <v>3.2223001278717005</v>
      </c>
      <c r="K40" s="7">
        <f t="shared" si="0"/>
        <v>12.309326377476896</v>
      </c>
      <c r="L40" s="4">
        <f t="shared" si="2"/>
        <v>18.305425612831197</v>
      </c>
      <c r="M40" s="1">
        <f t="shared" si="3"/>
        <v>100</v>
      </c>
      <c r="N40" s="4">
        <f t="shared" si="4"/>
        <v>3.5375236225372277</v>
      </c>
      <c r="O40" s="1">
        <f t="shared" si="3"/>
        <v>0</v>
      </c>
      <c r="P40" s="4">
        <f t="shared" si="4"/>
        <v>48.15645308808466</v>
      </c>
      <c r="Q40" s="1">
        <f t="shared" si="3"/>
        <v>100</v>
      </c>
      <c r="R40" s="4">
        <f t="shared" si="4"/>
        <v>3.2223001278717005</v>
      </c>
      <c r="S40" s="1">
        <f t="shared" si="3"/>
        <v>12.309326377476896</v>
      </c>
      <c r="T40" s="4">
        <f t="shared" si="4"/>
        <v>18.305425612831197</v>
      </c>
    </row>
    <row r="41" spans="2:20" ht="12.75">
      <c r="B41" s="1" t="s">
        <v>154</v>
      </c>
      <c r="D41" s="1" t="s">
        <v>11</v>
      </c>
      <c r="F41" s="4">
        <f t="shared" si="5"/>
        <v>1.6980113388178688</v>
      </c>
      <c r="H41" s="4">
        <f t="shared" si="5"/>
        <v>2.868895077588022</v>
      </c>
      <c r="J41" s="4">
        <f t="shared" si="5"/>
        <v>4.188990166233211</v>
      </c>
      <c r="K41" s="7">
        <f t="shared" si="0"/>
        <v>0</v>
      </c>
      <c r="L41" s="4">
        <f t="shared" si="2"/>
        <v>2.9186321942130338</v>
      </c>
      <c r="M41" s="1">
        <f t="shared" si="3"/>
        <v>0</v>
      </c>
      <c r="N41" s="4">
        <f t="shared" si="4"/>
        <v>1.6980113388178688</v>
      </c>
      <c r="O41" s="1">
        <f t="shared" si="3"/>
        <v>0</v>
      </c>
      <c r="P41" s="4">
        <f t="shared" si="4"/>
        <v>2.868895077588022</v>
      </c>
      <c r="Q41" s="1">
        <f t="shared" si="3"/>
        <v>0</v>
      </c>
      <c r="R41" s="4">
        <f t="shared" si="4"/>
        <v>4.188990166233211</v>
      </c>
      <c r="S41" s="1">
        <f t="shared" si="3"/>
        <v>0</v>
      </c>
      <c r="T41" s="4">
        <f t="shared" si="4"/>
        <v>2.9186321942130338</v>
      </c>
    </row>
    <row r="42" spans="2:20" ht="12.75">
      <c r="B42" s="1" t="s">
        <v>149</v>
      </c>
      <c r="D42" s="1" t="s">
        <v>11</v>
      </c>
      <c r="E42" s="2">
        <v>100</v>
      </c>
      <c r="F42" s="4">
        <f t="shared" si="5"/>
        <v>0.7075047245074455</v>
      </c>
      <c r="G42" s="2">
        <v>100</v>
      </c>
      <c r="H42" s="4">
        <f t="shared" si="5"/>
        <v>0.6830702565685768</v>
      </c>
      <c r="I42" s="2">
        <v>100</v>
      </c>
      <c r="J42" s="4">
        <f t="shared" si="5"/>
        <v>0.64446002557434</v>
      </c>
      <c r="K42" s="7">
        <f t="shared" si="0"/>
        <v>100</v>
      </c>
      <c r="L42" s="4">
        <f t="shared" si="2"/>
        <v>0.6783450022167874</v>
      </c>
      <c r="M42" s="1">
        <f t="shared" si="3"/>
        <v>100</v>
      </c>
      <c r="N42" s="4">
        <f t="shared" si="4"/>
        <v>0.7075047245074455</v>
      </c>
      <c r="O42" s="1">
        <f t="shared" si="3"/>
        <v>100</v>
      </c>
      <c r="P42" s="4">
        <f t="shared" si="4"/>
        <v>0.6830702565685768</v>
      </c>
      <c r="Q42" s="1">
        <f t="shared" si="3"/>
        <v>100</v>
      </c>
      <c r="R42" s="4">
        <f t="shared" si="4"/>
        <v>0.64446002557434</v>
      </c>
      <c r="S42" s="1">
        <f t="shared" si="3"/>
        <v>100</v>
      </c>
      <c r="T42" s="4">
        <f t="shared" si="4"/>
        <v>0.6783450022167874</v>
      </c>
    </row>
    <row r="43" spans="2:20" ht="12.75">
      <c r="B43" s="1" t="s">
        <v>150</v>
      </c>
      <c r="D43" s="1" t="s">
        <v>11</v>
      </c>
      <c r="E43" s="2">
        <v>100</v>
      </c>
      <c r="F43" s="4">
        <f t="shared" si="5"/>
        <v>3.5375236225372277</v>
      </c>
      <c r="G43" s="2">
        <v>100</v>
      </c>
      <c r="H43" s="4">
        <f t="shared" si="5"/>
        <v>3.4153512828428845</v>
      </c>
      <c r="I43" s="2">
        <v>100</v>
      </c>
      <c r="J43" s="4">
        <f t="shared" si="5"/>
        <v>3.2223001278717005</v>
      </c>
      <c r="K43" s="7">
        <f t="shared" si="0"/>
        <v>100.00000000000001</v>
      </c>
      <c r="L43" s="4">
        <f t="shared" si="2"/>
        <v>3.391725011083937</v>
      </c>
      <c r="M43" s="1">
        <f t="shared" si="3"/>
        <v>100</v>
      </c>
      <c r="N43" s="4">
        <f t="shared" si="4"/>
        <v>3.5375236225372277</v>
      </c>
      <c r="O43" s="1">
        <f t="shared" si="3"/>
        <v>100</v>
      </c>
      <c r="P43" s="4">
        <f t="shared" si="4"/>
        <v>3.4153512828428845</v>
      </c>
      <c r="Q43" s="1">
        <f t="shared" si="3"/>
        <v>100</v>
      </c>
      <c r="R43" s="4">
        <f t="shared" si="4"/>
        <v>3.2223001278717005</v>
      </c>
      <c r="S43" s="1">
        <f t="shared" si="3"/>
        <v>100.00000000000001</v>
      </c>
      <c r="T43" s="4">
        <f t="shared" si="4"/>
        <v>3.391725011083937</v>
      </c>
    </row>
    <row r="44" spans="2:20" ht="12.75">
      <c r="B44" s="1" t="s">
        <v>155</v>
      </c>
      <c r="D44" s="1" t="s">
        <v>11</v>
      </c>
      <c r="E44" s="2">
        <v>100</v>
      </c>
      <c r="F44" s="4">
        <f t="shared" si="5"/>
        <v>1.7687618112686139</v>
      </c>
      <c r="G44" s="2">
        <v>100</v>
      </c>
      <c r="H44" s="4">
        <f t="shared" si="5"/>
        <v>1.7076756414214422</v>
      </c>
      <c r="I44" s="2">
        <v>100</v>
      </c>
      <c r="J44" s="4">
        <f t="shared" si="5"/>
        <v>1.6111500639358503</v>
      </c>
      <c r="K44" s="7">
        <f t="shared" si="0"/>
        <v>100.00000000000001</v>
      </c>
      <c r="L44" s="4">
        <f t="shared" si="2"/>
        <v>1.6958625055419685</v>
      </c>
      <c r="M44" s="1">
        <f t="shared" si="3"/>
        <v>100</v>
      </c>
      <c r="N44" s="4">
        <f t="shared" si="4"/>
        <v>1.7687618112686139</v>
      </c>
      <c r="O44" s="1">
        <f t="shared" si="3"/>
        <v>100</v>
      </c>
      <c r="P44" s="4">
        <f t="shared" si="4"/>
        <v>1.7076756414214422</v>
      </c>
      <c r="Q44" s="1">
        <f t="shared" si="3"/>
        <v>100</v>
      </c>
      <c r="R44" s="4">
        <f t="shared" si="4"/>
        <v>1.6111500639358503</v>
      </c>
      <c r="S44" s="1">
        <f t="shared" si="3"/>
        <v>100.00000000000001</v>
      </c>
      <c r="T44" s="4">
        <f t="shared" si="4"/>
        <v>1.6958625055419685</v>
      </c>
    </row>
    <row r="45" spans="2:20" ht="12.75">
      <c r="B45" s="1" t="s">
        <v>153</v>
      </c>
      <c r="D45" s="1" t="s">
        <v>11</v>
      </c>
      <c r="E45" s="2">
        <v>100</v>
      </c>
      <c r="F45" s="4">
        <f t="shared" si="5"/>
        <v>3.5375236225372277</v>
      </c>
      <c r="H45" s="4">
        <f t="shared" si="5"/>
        <v>2.3224388723331613</v>
      </c>
      <c r="J45" s="4">
        <f t="shared" si="5"/>
        <v>3.2223001278717005</v>
      </c>
      <c r="K45" s="7">
        <f t="shared" si="0"/>
        <v>38.94980545573774</v>
      </c>
      <c r="L45" s="4">
        <f t="shared" si="2"/>
        <v>3.027420874247363</v>
      </c>
      <c r="M45" s="1">
        <f t="shared" si="3"/>
        <v>100</v>
      </c>
      <c r="N45" s="4">
        <f t="shared" si="4"/>
        <v>3.5375236225372277</v>
      </c>
      <c r="O45" s="1">
        <f t="shared" si="3"/>
        <v>0</v>
      </c>
      <c r="P45" s="4">
        <f t="shared" si="4"/>
        <v>2.3224388723331613</v>
      </c>
      <c r="Q45" s="1">
        <f t="shared" si="3"/>
        <v>0</v>
      </c>
      <c r="R45" s="4">
        <f t="shared" si="4"/>
        <v>3.2223001278717005</v>
      </c>
      <c r="S45" s="1">
        <f t="shared" si="3"/>
        <v>38.94980545573774</v>
      </c>
      <c r="T45" s="4">
        <f t="shared" si="4"/>
        <v>3.027420874247363</v>
      </c>
    </row>
    <row r="46" spans="2:20" ht="12.75">
      <c r="B46" s="1" t="s">
        <v>151</v>
      </c>
      <c r="D46" s="1" t="s">
        <v>11</v>
      </c>
      <c r="F46" s="4">
        <f t="shared" si="5"/>
        <v>24.408912995506864</v>
      </c>
      <c r="G46" s="2">
        <v>100</v>
      </c>
      <c r="H46" s="4">
        <f t="shared" si="5"/>
        <v>17.076756414214422</v>
      </c>
      <c r="I46" s="2">
        <v>100</v>
      </c>
      <c r="J46" s="4">
        <f t="shared" si="5"/>
        <v>16.111500639358496</v>
      </c>
      <c r="K46" s="7">
        <f t="shared" si="0"/>
        <v>57.621332828145015</v>
      </c>
      <c r="L46" s="4">
        <f t="shared" si="2"/>
        <v>19.199056683026594</v>
      </c>
      <c r="M46" s="1">
        <f t="shared" si="3"/>
        <v>0</v>
      </c>
      <c r="N46" s="4">
        <f t="shared" si="4"/>
        <v>24.408912995506864</v>
      </c>
      <c r="O46" s="1">
        <f t="shared" si="3"/>
        <v>100</v>
      </c>
      <c r="P46" s="4">
        <f t="shared" si="4"/>
        <v>17.076756414214422</v>
      </c>
      <c r="Q46" s="1">
        <f t="shared" si="3"/>
        <v>100</v>
      </c>
      <c r="R46" s="4">
        <f t="shared" si="4"/>
        <v>16.111500639358496</v>
      </c>
      <c r="S46" s="1">
        <f t="shared" si="3"/>
        <v>57.621332828145015</v>
      </c>
      <c r="T46" s="4">
        <f t="shared" si="4"/>
        <v>19.199056683026594</v>
      </c>
    </row>
    <row r="47" spans="2:20" ht="12.75">
      <c r="B47" s="1" t="s">
        <v>191</v>
      </c>
      <c r="D47" s="1" t="s">
        <v>11</v>
      </c>
      <c r="F47" s="4">
        <f t="shared" si="5"/>
        <v>1.5565103939163796</v>
      </c>
      <c r="H47" s="4">
        <f t="shared" si="5"/>
        <v>1.434447538794011</v>
      </c>
      <c r="J47" s="4">
        <f t="shared" si="5"/>
        <v>1.28892005114868</v>
      </c>
      <c r="K47" s="7">
        <f t="shared" si="0"/>
        <v>0</v>
      </c>
      <c r="L47" s="4">
        <f t="shared" si="2"/>
        <v>1.4266259946196902</v>
      </c>
      <c r="M47" s="1">
        <f t="shared" si="3"/>
        <v>0</v>
      </c>
      <c r="N47" s="4">
        <f t="shared" si="4"/>
        <v>1.5565103939163796</v>
      </c>
      <c r="O47" s="1">
        <f t="shared" si="3"/>
        <v>0</v>
      </c>
      <c r="P47" s="4">
        <f t="shared" si="4"/>
        <v>1.434447538794011</v>
      </c>
      <c r="Q47" s="1">
        <f t="shared" si="3"/>
        <v>0</v>
      </c>
      <c r="R47" s="4">
        <f t="shared" si="4"/>
        <v>1.28892005114868</v>
      </c>
      <c r="S47" s="1">
        <f t="shared" si="3"/>
        <v>0</v>
      </c>
      <c r="T47" s="4">
        <f t="shared" si="4"/>
        <v>1.4266259946196902</v>
      </c>
    </row>
    <row r="48" spans="2:20" ht="12.75">
      <c r="B48" s="1" t="s">
        <v>160</v>
      </c>
      <c r="D48" s="1" t="s">
        <v>11</v>
      </c>
      <c r="F48" s="4">
        <f t="shared" si="5"/>
        <v>1.7687618112686139</v>
      </c>
      <c r="H48" s="4">
        <f t="shared" si="5"/>
        <v>1.2978334874802955</v>
      </c>
      <c r="J48" s="4">
        <f t="shared" si="5"/>
        <v>2.191164086952756</v>
      </c>
      <c r="K48" s="7">
        <f t="shared" si="0"/>
        <v>0</v>
      </c>
      <c r="L48" s="4">
        <f t="shared" si="2"/>
        <v>1.7525864619005553</v>
      </c>
      <c r="M48" s="1">
        <f t="shared" si="3"/>
        <v>0</v>
      </c>
      <c r="N48" s="4">
        <f t="shared" si="4"/>
        <v>1.7687618112686139</v>
      </c>
      <c r="O48" s="1">
        <f t="shared" si="3"/>
        <v>0</v>
      </c>
      <c r="P48" s="4">
        <f t="shared" si="4"/>
        <v>1.2978334874802955</v>
      </c>
      <c r="Q48" s="1">
        <f t="shared" si="3"/>
        <v>0</v>
      </c>
      <c r="R48" s="4">
        <f t="shared" si="4"/>
        <v>2.191164086952756</v>
      </c>
      <c r="S48" s="1">
        <f t="shared" si="3"/>
        <v>0</v>
      </c>
      <c r="T48" s="4">
        <f t="shared" si="4"/>
        <v>1.7525864619005553</v>
      </c>
    </row>
    <row r="49" spans="6:20" ht="12.75">
      <c r="F49" s="4"/>
      <c r="H49" s="4"/>
      <c r="J49" s="4"/>
      <c r="K49" s="7"/>
      <c r="L49" s="4"/>
      <c r="N49" s="4"/>
      <c r="P49" s="4"/>
      <c r="R49" s="4"/>
      <c r="T49" s="4"/>
    </row>
    <row r="50" spans="2:20" ht="12.75">
      <c r="B50" s="1" t="s">
        <v>5</v>
      </c>
      <c r="D50" s="1" t="s">
        <v>11</v>
      </c>
      <c r="E50" s="2">
        <f>(E41*F41+E40*F40)/F50</f>
        <v>67.56756756756758</v>
      </c>
      <c r="F50" s="4">
        <f>F40+F41</f>
        <v>5.235534961355096</v>
      </c>
      <c r="G50" s="2">
        <f>(G41*H41+G40*H40)/H50</f>
        <v>0</v>
      </c>
      <c r="H50" s="4">
        <f>H40+H41</f>
        <v>51.02534816567268</v>
      </c>
      <c r="I50" s="2">
        <f>(I41*J41+I40*J40)/J50</f>
        <v>43.47826086956522</v>
      </c>
      <c r="J50" s="4">
        <f>J40+J41</f>
        <v>7.411290294104911</v>
      </c>
      <c r="K50" s="14">
        <f>(K41*L41+K40*L40)/L50</f>
        <v>10.616605947623192</v>
      </c>
      <c r="L50" s="4">
        <f>AVERAGE(F50,H50,J50)</f>
        <v>21.22405780704423</v>
      </c>
      <c r="M50" s="1">
        <f t="shared" si="3"/>
        <v>67.56756756756758</v>
      </c>
      <c r="N50" s="4">
        <f>F50</f>
        <v>5.235534961355096</v>
      </c>
      <c r="O50" s="1">
        <f t="shared" si="3"/>
        <v>0</v>
      </c>
      <c r="P50" s="4">
        <f>H50</f>
        <v>51.02534816567268</v>
      </c>
      <c r="Q50" s="1">
        <f t="shared" si="3"/>
        <v>43.47826086956522</v>
      </c>
      <c r="R50" s="4">
        <f>J50</f>
        <v>7.411290294104911</v>
      </c>
      <c r="S50" s="1">
        <f t="shared" si="3"/>
        <v>10.616605947623192</v>
      </c>
      <c r="T50" s="4">
        <f>AVERAGE(N50,P50,R50)</f>
        <v>21.22405780704423</v>
      </c>
    </row>
    <row r="51" spans="2:20" ht="12.75">
      <c r="B51" s="1" t="s">
        <v>6</v>
      </c>
      <c r="D51" s="1" t="s">
        <v>11</v>
      </c>
      <c r="E51" s="7">
        <f>(E42*F42+E43*F43+E44*F44)/F51</f>
        <v>100</v>
      </c>
      <c r="F51" s="4">
        <f>(F42+F43+F44)</f>
        <v>6.013790158313287</v>
      </c>
      <c r="G51" s="7">
        <f>(G42*H42+G43*H43+G44*H44)/H51</f>
        <v>99.99999999999999</v>
      </c>
      <c r="H51" s="4">
        <f>(H42+H43+H44)</f>
        <v>5.806097180832904</v>
      </c>
      <c r="I51" s="7">
        <f>(I42*J42+I43*J43+I44*J44)/J51</f>
        <v>100</v>
      </c>
      <c r="J51" s="4">
        <f>(J42+J43+J44)</f>
        <v>5.477910217381891</v>
      </c>
      <c r="K51" s="7">
        <f>(K42*L42+K43*L43+K44*L44)/L51</f>
        <v>100.00000000000001</v>
      </c>
      <c r="L51" s="4">
        <f>AVERAGE(F51,H51,J51)</f>
        <v>5.7659325188426935</v>
      </c>
      <c r="M51" s="1">
        <f t="shared" si="3"/>
        <v>100</v>
      </c>
      <c r="N51" s="4">
        <f>F51</f>
        <v>6.013790158313287</v>
      </c>
      <c r="O51" s="1">
        <f t="shared" si="3"/>
        <v>99.99999999999999</v>
      </c>
      <c r="P51" s="4">
        <f>H51</f>
        <v>5.806097180832904</v>
      </c>
      <c r="Q51" s="1">
        <f t="shared" si="3"/>
        <v>100</v>
      </c>
      <c r="R51" s="4">
        <f>J51</f>
        <v>5.477910217381891</v>
      </c>
      <c r="S51" s="1">
        <f t="shared" si="3"/>
        <v>100.00000000000001</v>
      </c>
      <c r="T51" s="4">
        <f>AVERAGE(N51,P51,R51)</f>
        <v>5.7659325188426935</v>
      </c>
    </row>
    <row r="53" spans="2:3" ht="12.75">
      <c r="B53" s="11" t="s">
        <v>156</v>
      </c>
      <c r="C53" s="11"/>
    </row>
    <row r="54" spans="2:3" ht="12.75">
      <c r="B54" s="11"/>
      <c r="C54" s="11"/>
    </row>
    <row r="55" spans="2:6" ht="12.75">
      <c r="B55" s="1" t="s">
        <v>58</v>
      </c>
      <c r="D55" s="1" t="s">
        <v>63</v>
      </c>
      <c r="F55" s="1">
        <v>509</v>
      </c>
    </row>
    <row r="56" spans="2:6" ht="12.75">
      <c r="B56" s="1" t="s">
        <v>159</v>
      </c>
      <c r="D56" s="1" t="s">
        <v>63</v>
      </c>
      <c r="F56" s="1">
        <v>101</v>
      </c>
    </row>
    <row r="57" spans="2:6" ht="12.75">
      <c r="B57" s="1" t="s">
        <v>152</v>
      </c>
      <c r="D57" s="1" t="s">
        <v>63</v>
      </c>
      <c r="F57" s="1">
        <v>114</v>
      </c>
    </row>
    <row r="58" spans="2:6" ht="12.75">
      <c r="B58" s="1" t="s">
        <v>154</v>
      </c>
      <c r="D58" s="1" t="s">
        <v>63</v>
      </c>
      <c r="F58" s="1">
        <v>7.1</v>
      </c>
    </row>
    <row r="59" spans="2:6" ht="12.75">
      <c r="B59" s="1" t="s">
        <v>149</v>
      </c>
      <c r="D59" s="1" t="s">
        <v>63</v>
      </c>
      <c r="F59" s="1">
        <v>2.9</v>
      </c>
    </row>
    <row r="60" spans="2:6" ht="12.75">
      <c r="B60" s="1" t="s">
        <v>150</v>
      </c>
      <c r="D60" s="1" t="s">
        <v>63</v>
      </c>
      <c r="F60" s="1">
        <v>5.4</v>
      </c>
    </row>
    <row r="61" spans="2:6" ht="12.75">
      <c r="B61" s="1" t="s">
        <v>155</v>
      </c>
      <c r="D61" s="1" t="s">
        <v>63</v>
      </c>
      <c r="F61" s="1">
        <v>1.1</v>
      </c>
    </row>
    <row r="62" spans="2:6" ht="12.75">
      <c r="B62" s="1" t="s">
        <v>153</v>
      </c>
      <c r="D62" s="1" t="s">
        <v>63</v>
      </c>
      <c r="F62" s="1">
        <v>53.5</v>
      </c>
    </row>
    <row r="63" spans="2:6" ht="12.75">
      <c r="B63" s="1" t="s">
        <v>151</v>
      </c>
      <c r="D63" s="1" t="s">
        <v>63</v>
      </c>
      <c r="F63" s="1">
        <v>381</v>
      </c>
    </row>
    <row r="64" spans="2:6" ht="12.75">
      <c r="B64" s="1" t="s">
        <v>191</v>
      </c>
      <c r="D64" s="1" t="s">
        <v>63</v>
      </c>
      <c r="F64" s="1">
        <v>5091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" sqref="C2"/>
    </sheetView>
  </sheetViews>
  <sheetFormatPr defaultColWidth="9.140625" defaultRowHeight="12.75"/>
  <cols>
    <col min="1" max="1" width="25.57421875" style="1" customWidth="1"/>
    <col min="2" max="2" width="6.281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11" t="s">
        <v>64</v>
      </c>
    </row>
    <row r="3" spans="2:6" ht="12.75">
      <c r="B3" s="1" t="s">
        <v>41</v>
      </c>
      <c r="C3" s="2" t="s">
        <v>42</v>
      </c>
      <c r="D3" s="2" t="s">
        <v>42</v>
      </c>
      <c r="E3" s="2" t="s">
        <v>42</v>
      </c>
      <c r="F3" s="2" t="s">
        <v>65</v>
      </c>
    </row>
    <row r="4" spans="3:6" ht="12.75">
      <c r="C4" s="2">
        <v>1</v>
      </c>
      <c r="D4" s="2">
        <v>2</v>
      </c>
      <c r="E4" s="2">
        <v>3</v>
      </c>
      <c r="F4" s="2"/>
    </row>
    <row r="5" spans="3:6" ht="12.75">
      <c r="C5" s="2"/>
      <c r="D5" s="2"/>
      <c r="E5" s="2"/>
      <c r="F5" s="2"/>
    </row>
    <row r="6" spans="1:6" ht="12.75">
      <c r="A6" s="11" t="s">
        <v>109</v>
      </c>
      <c r="C6" s="2"/>
      <c r="D6" s="2"/>
      <c r="E6" s="2"/>
      <c r="F6" s="2"/>
    </row>
    <row r="7" spans="3:6" ht="12.75">
      <c r="C7" s="2"/>
      <c r="D7" s="2"/>
      <c r="E7" s="2"/>
      <c r="F7" s="2"/>
    </row>
    <row r="8" spans="1:6" ht="12.75">
      <c r="A8" s="1" t="s">
        <v>66</v>
      </c>
      <c r="B8" s="1" t="s">
        <v>67</v>
      </c>
      <c r="C8" s="7">
        <v>81300</v>
      </c>
      <c r="D8" s="1">
        <v>81900</v>
      </c>
      <c r="E8" s="1">
        <v>82100</v>
      </c>
      <c r="F8" s="7">
        <f>AVERAGE(C8:E8)</f>
        <v>81766.66666666667</v>
      </c>
    </row>
    <row r="9" spans="1:3" ht="12.75">
      <c r="A9" s="1" t="s">
        <v>68</v>
      </c>
      <c r="C9" s="7"/>
    </row>
    <row r="10" spans="1:6" ht="12.75">
      <c r="A10" s="1" t="s">
        <v>69</v>
      </c>
      <c r="B10" s="1" t="s">
        <v>15</v>
      </c>
      <c r="C10" s="1">
        <v>604</v>
      </c>
      <c r="D10" s="1">
        <v>602</v>
      </c>
      <c r="E10" s="1">
        <v>607</v>
      </c>
      <c r="F10" s="7">
        <f>AVERAGE(C10:E10)</f>
        <v>604.3333333333334</v>
      </c>
    </row>
    <row r="11" spans="1:6" ht="12.75">
      <c r="A11" s="1" t="s">
        <v>70</v>
      </c>
      <c r="B11" s="1" t="s">
        <v>15</v>
      </c>
      <c r="C11" s="1">
        <v>375</v>
      </c>
      <c r="D11" s="1">
        <v>378</v>
      </c>
      <c r="E11" s="1">
        <v>384</v>
      </c>
      <c r="F11" s="7">
        <f>AVERAGE(C11:E11)</f>
        <v>379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33">
      <selection activeCell="C2" sqref="C2"/>
    </sheetView>
  </sheetViews>
  <sheetFormatPr defaultColWidth="9.140625" defaultRowHeight="12.75"/>
  <cols>
    <col min="1" max="1" width="1.57421875" style="15" customWidth="1"/>
    <col min="2" max="2" width="21.140625" style="15" customWidth="1"/>
    <col min="3" max="3" width="8.8515625" style="15" customWidth="1"/>
    <col min="4" max="4" width="6.00390625" style="15" customWidth="1"/>
    <col min="5" max="5" width="5.8515625" style="16" customWidth="1"/>
    <col min="6" max="6" width="8.140625" style="17" customWidth="1"/>
    <col min="7" max="7" width="7.8515625" style="16" customWidth="1"/>
    <col min="8" max="8" width="8.140625" style="17" customWidth="1"/>
    <col min="9" max="9" width="3.57421875" style="16" bestFit="1" customWidth="1"/>
    <col min="10" max="10" width="7.00390625" style="16" customWidth="1"/>
    <col min="11" max="11" width="8.7109375" style="16" customWidth="1"/>
    <col min="12" max="12" width="7.8515625" style="16" customWidth="1"/>
    <col min="13" max="13" width="8.7109375" style="16" customWidth="1"/>
    <col min="14" max="14" width="4.7109375" style="16" customWidth="1"/>
    <col min="15" max="15" width="6.421875" style="16" customWidth="1"/>
    <col min="16" max="16" width="9.00390625" style="16" customWidth="1"/>
    <col min="17" max="17" width="6.57421875" style="16" customWidth="1"/>
    <col min="18" max="18" width="9.00390625" style="16" customWidth="1"/>
    <col min="19" max="19" width="7.7109375" style="15" customWidth="1"/>
    <col min="20" max="20" width="7.8515625" style="15" customWidth="1"/>
    <col min="21" max="21" width="7.7109375" style="15" customWidth="1"/>
    <col min="22" max="22" width="7.00390625" style="15" customWidth="1"/>
    <col min="23" max="23" width="7.421875" style="15" customWidth="1"/>
    <col min="24" max="16384" width="10.8515625" style="15" customWidth="1"/>
  </cols>
  <sheetData>
    <row r="1" ht="12.75">
      <c r="A1" s="26" t="s">
        <v>114</v>
      </c>
    </row>
    <row r="2" ht="12.75">
      <c r="A2" s="15" t="s">
        <v>202</v>
      </c>
    </row>
    <row r="3" spans="1:3" ht="12.75">
      <c r="A3" s="15" t="s">
        <v>197</v>
      </c>
      <c r="C3" s="34" t="s">
        <v>198</v>
      </c>
    </row>
    <row r="4" spans="1:18" ht="12.75">
      <c r="A4" s="15" t="s">
        <v>199</v>
      </c>
      <c r="C4" s="34" t="s">
        <v>109</v>
      </c>
      <c r="D4" s="18"/>
      <c r="E4" s="19"/>
      <c r="F4" s="20"/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4" ht="12.75">
      <c r="A5" s="15" t="s">
        <v>200</v>
      </c>
      <c r="C5" s="34" t="s">
        <v>201</v>
      </c>
      <c r="D5" s="18"/>
    </row>
    <row r="6" spans="3:17" ht="12.75">
      <c r="C6" s="18"/>
      <c r="D6" s="18"/>
      <c r="E6" s="21"/>
      <c r="G6" s="21"/>
      <c r="J6" s="21"/>
      <c r="L6" s="21"/>
      <c r="O6" s="21"/>
      <c r="Q6" s="21"/>
    </row>
    <row r="7" spans="3:18" ht="12.75">
      <c r="C7" s="18" t="s">
        <v>71</v>
      </c>
      <c r="D7" s="18"/>
      <c r="E7" s="22" t="s">
        <v>47</v>
      </c>
      <c r="F7" s="22"/>
      <c r="G7" s="22"/>
      <c r="H7" s="22"/>
      <c r="I7" s="23"/>
      <c r="J7" s="22" t="s">
        <v>48</v>
      </c>
      <c r="K7" s="22"/>
      <c r="L7" s="22"/>
      <c r="M7" s="22"/>
      <c r="N7" s="23"/>
      <c r="O7" s="22" t="s">
        <v>49</v>
      </c>
      <c r="P7" s="22"/>
      <c r="Q7" s="22"/>
      <c r="R7" s="22"/>
    </row>
    <row r="8" spans="3:18" ht="12.75">
      <c r="C8" s="18" t="s">
        <v>72</v>
      </c>
      <c r="E8" s="21" t="s">
        <v>73</v>
      </c>
      <c r="F8" s="20" t="s">
        <v>74</v>
      </c>
      <c r="G8" s="21" t="s">
        <v>73</v>
      </c>
      <c r="H8" s="20" t="s">
        <v>74</v>
      </c>
      <c r="J8" s="21" t="s">
        <v>73</v>
      </c>
      <c r="K8" s="21" t="s">
        <v>75</v>
      </c>
      <c r="L8" s="21" t="s">
        <v>73</v>
      </c>
      <c r="M8" s="21" t="s">
        <v>75</v>
      </c>
      <c r="O8" s="21" t="s">
        <v>73</v>
      </c>
      <c r="P8" s="21" t="s">
        <v>75</v>
      </c>
      <c r="Q8" s="21" t="s">
        <v>73</v>
      </c>
      <c r="R8" s="21" t="s">
        <v>75</v>
      </c>
    </row>
    <row r="9" spans="3:18" ht="12.75">
      <c r="C9" s="18"/>
      <c r="E9" s="21" t="s">
        <v>196</v>
      </c>
      <c r="F9" s="21" t="s">
        <v>196</v>
      </c>
      <c r="G9" s="21" t="s">
        <v>110</v>
      </c>
      <c r="H9" s="20" t="s">
        <v>110</v>
      </c>
      <c r="J9" s="21" t="s">
        <v>196</v>
      </c>
      <c r="K9" s="21" t="s">
        <v>196</v>
      </c>
      <c r="L9" s="21" t="s">
        <v>110</v>
      </c>
      <c r="M9" s="20" t="s">
        <v>110</v>
      </c>
      <c r="O9" s="21" t="s">
        <v>196</v>
      </c>
      <c r="P9" s="21" t="s">
        <v>196</v>
      </c>
      <c r="Q9" s="21" t="s">
        <v>110</v>
      </c>
      <c r="R9" s="20" t="s">
        <v>110</v>
      </c>
    </row>
    <row r="10" ht="13.5" customHeight="1">
      <c r="A10" s="15" t="s">
        <v>76</v>
      </c>
    </row>
    <row r="11" spans="2:18" ht="12.75">
      <c r="B11" s="15" t="s">
        <v>77</v>
      </c>
      <c r="C11" s="18">
        <v>1</v>
      </c>
      <c r="D11" s="18"/>
      <c r="E11" s="25">
        <v>0.025</v>
      </c>
      <c r="F11" s="17">
        <f>IF(E11="","",E11*$C11)</f>
        <v>0.025</v>
      </c>
      <c r="G11" s="25">
        <f aca="true" t="shared" si="0" ref="G11:G35">IF(E11=0,"",IF(D11="nd",E11/2,E11))</f>
        <v>0.025</v>
      </c>
      <c r="H11" s="17">
        <f>IF(G11="","",G11*$C11)</f>
        <v>0.025</v>
      </c>
      <c r="I11" s="17"/>
      <c r="J11" s="17">
        <v>0.03</v>
      </c>
      <c r="K11" s="17">
        <f aca="true" t="shared" si="1" ref="K11:M28">IF(J11="","",J11*$C11)</f>
        <v>0.03</v>
      </c>
      <c r="L11" s="17">
        <f aca="true" t="shared" si="2" ref="L11:L35">IF(J11=0,"",IF(I11="nd",J11/2,J11))</f>
        <v>0.03</v>
      </c>
      <c r="M11" s="17">
        <f t="shared" si="1"/>
        <v>0.03</v>
      </c>
      <c r="N11" s="17" t="s">
        <v>61</v>
      </c>
      <c r="O11" s="25">
        <v>0.03</v>
      </c>
      <c r="P11" s="17">
        <f>IF(O11="","",O11*$C11)</f>
        <v>0.03</v>
      </c>
      <c r="Q11" s="17">
        <f>IF(O11=0,"",IF(N11="nd",O11/2,O11))</f>
        <v>0.015</v>
      </c>
      <c r="R11" s="17">
        <f>IF(Q11="","",Q11*$C11)</f>
        <v>0.015</v>
      </c>
    </row>
    <row r="12" spans="2:18" ht="12.75">
      <c r="B12" s="15" t="s">
        <v>78</v>
      </c>
      <c r="C12" s="18">
        <v>0</v>
      </c>
      <c r="D12" s="18"/>
      <c r="E12" s="17"/>
      <c r="F12" s="17">
        <f>IF(E12="","",E12*$C12)</f>
      </c>
      <c r="G12" s="25">
        <f t="shared" si="0"/>
      </c>
      <c r="H12" s="17">
        <f>IF(G12="","",G12*$C12)</f>
      </c>
      <c r="I12" s="17"/>
      <c r="J12" s="17"/>
      <c r="K12" s="17">
        <f>IF(J12="","",J12*$C12)</f>
      </c>
      <c r="L12" s="17">
        <f t="shared" si="2"/>
      </c>
      <c r="M12" s="17">
        <f>IF(L12="","",L12*$C12)</f>
      </c>
      <c r="N12" s="17"/>
      <c r="O12" s="25"/>
      <c r="P12" s="17">
        <f>IF(O12="","",O12*$C12)</f>
      </c>
      <c r="Q12" s="17">
        <f>IF(O12=0,"",IF(N12="nd",O12/2,O12))</f>
      </c>
      <c r="R12" s="17">
        <f>IF(Q12="","",Q12*$C12)</f>
      </c>
    </row>
    <row r="13" spans="2:18" ht="12.75">
      <c r="B13" s="15" t="s">
        <v>79</v>
      </c>
      <c r="C13" s="18">
        <v>0.5</v>
      </c>
      <c r="D13" s="18"/>
      <c r="E13" s="24">
        <v>0.15</v>
      </c>
      <c r="F13" s="17">
        <f>IF(E13="","",E13*$C13)</f>
        <v>0.075</v>
      </c>
      <c r="G13" s="25">
        <f t="shared" si="0"/>
        <v>0.15</v>
      </c>
      <c r="H13" s="17">
        <f>IF(G13="","",G13*$C13)</f>
        <v>0.075</v>
      </c>
      <c r="I13" s="17"/>
      <c r="J13" s="17">
        <v>0.14</v>
      </c>
      <c r="K13" s="17">
        <f t="shared" si="1"/>
        <v>0.07</v>
      </c>
      <c r="L13" s="17">
        <f t="shared" si="2"/>
        <v>0.14</v>
      </c>
      <c r="M13" s="17">
        <f t="shared" si="1"/>
        <v>0.07</v>
      </c>
      <c r="N13" s="17"/>
      <c r="O13" s="25">
        <v>0.15</v>
      </c>
      <c r="P13" s="17">
        <f aca="true" t="shared" si="3" ref="P13:R28">IF(O13="","",O13*$C13)</f>
        <v>0.075</v>
      </c>
      <c r="Q13" s="17">
        <f>IF(O13=0,"",IF(N13="nd",O13/2,O13))</f>
        <v>0.15</v>
      </c>
      <c r="R13" s="17">
        <f t="shared" si="3"/>
        <v>0.075</v>
      </c>
    </row>
    <row r="14" spans="2:18" ht="12.75">
      <c r="B14" s="15" t="s">
        <v>80</v>
      </c>
      <c r="C14" s="18">
        <v>0</v>
      </c>
      <c r="D14" s="18"/>
      <c r="E14" s="17"/>
      <c r="F14" s="17">
        <f aca="true" t="shared" si="4" ref="F14:H35">IF(E14="","",E14*$C14)</f>
      </c>
      <c r="G14" s="25">
        <f t="shared" si="0"/>
      </c>
      <c r="H14" s="17">
        <f t="shared" si="4"/>
      </c>
      <c r="I14" s="17"/>
      <c r="J14" s="17"/>
      <c r="K14" s="17">
        <f t="shared" si="1"/>
      </c>
      <c r="L14" s="17">
        <f t="shared" si="2"/>
      </c>
      <c r="M14" s="17">
        <f t="shared" si="1"/>
      </c>
      <c r="N14" s="17"/>
      <c r="O14" s="25"/>
      <c r="P14" s="17">
        <f t="shared" si="3"/>
      </c>
      <c r="Q14" s="17">
        <f aca="true" t="shared" si="5" ref="Q14:Q29">IF(O14=0,"",IF(N14="nd",O14/2,O14))</f>
      </c>
      <c r="R14" s="17">
        <f t="shared" si="3"/>
      </c>
    </row>
    <row r="15" spans="2:18" ht="12.75">
      <c r="B15" s="15" t="s">
        <v>81</v>
      </c>
      <c r="C15" s="18">
        <v>0.1</v>
      </c>
      <c r="D15" s="18"/>
      <c r="E15" s="25">
        <v>0.14</v>
      </c>
      <c r="F15" s="17">
        <f t="shared" si="4"/>
        <v>0.014000000000000002</v>
      </c>
      <c r="G15" s="25">
        <f t="shared" si="0"/>
        <v>0.14</v>
      </c>
      <c r="H15" s="17">
        <f t="shared" si="4"/>
        <v>0.014000000000000002</v>
      </c>
      <c r="I15" s="17"/>
      <c r="J15" s="17">
        <v>0.13</v>
      </c>
      <c r="K15" s="17">
        <f t="shared" si="1"/>
        <v>0.013000000000000001</v>
      </c>
      <c r="L15" s="17">
        <f t="shared" si="2"/>
        <v>0.13</v>
      </c>
      <c r="M15" s="17">
        <f t="shared" si="1"/>
        <v>0.013000000000000001</v>
      </c>
      <c r="N15" s="17"/>
      <c r="O15" s="25">
        <v>0.14</v>
      </c>
      <c r="P15" s="17">
        <f t="shared" si="3"/>
        <v>0.014000000000000002</v>
      </c>
      <c r="Q15" s="17">
        <f t="shared" si="5"/>
        <v>0.14</v>
      </c>
      <c r="R15" s="17">
        <f t="shared" si="3"/>
        <v>0.014000000000000002</v>
      </c>
    </row>
    <row r="16" spans="2:18" ht="12.75">
      <c r="B16" s="15" t="s">
        <v>82</v>
      </c>
      <c r="C16" s="18">
        <v>0.1</v>
      </c>
      <c r="D16" s="18"/>
      <c r="E16" s="25">
        <v>0.17</v>
      </c>
      <c r="F16" s="17">
        <f t="shared" si="4"/>
        <v>0.017</v>
      </c>
      <c r="G16" s="25">
        <f t="shared" si="0"/>
        <v>0.17</v>
      </c>
      <c r="H16" s="17">
        <f t="shared" si="4"/>
        <v>0.017</v>
      </c>
      <c r="I16" s="17"/>
      <c r="J16" s="17">
        <v>0.17</v>
      </c>
      <c r="K16" s="17">
        <f t="shared" si="1"/>
        <v>0.017</v>
      </c>
      <c r="L16" s="17">
        <f t="shared" si="2"/>
        <v>0.17</v>
      </c>
      <c r="M16" s="17">
        <f t="shared" si="1"/>
        <v>0.017</v>
      </c>
      <c r="N16" s="17"/>
      <c r="O16" s="25">
        <v>0.13</v>
      </c>
      <c r="P16" s="17">
        <f t="shared" si="3"/>
        <v>0.013000000000000001</v>
      </c>
      <c r="Q16" s="17">
        <f t="shared" si="5"/>
        <v>0.13</v>
      </c>
      <c r="R16" s="17">
        <f t="shared" si="3"/>
        <v>0.013000000000000001</v>
      </c>
    </row>
    <row r="17" spans="2:18" ht="12.75">
      <c r="B17" s="15" t="s">
        <v>83</v>
      </c>
      <c r="C17" s="18">
        <v>0.1</v>
      </c>
      <c r="D17" s="18"/>
      <c r="E17" s="25">
        <v>0.115</v>
      </c>
      <c r="F17" s="17">
        <f t="shared" si="4"/>
        <v>0.011500000000000002</v>
      </c>
      <c r="G17" s="25">
        <f t="shared" si="0"/>
        <v>0.115</v>
      </c>
      <c r="H17" s="17">
        <f t="shared" si="4"/>
        <v>0.011500000000000002</v>
      </c>
      <c r="I17" s="17"/>
      <c r="J17" s="17">
        <v>0.15</v>
      </c>
      <c r="K17" s="17">
        <f t="shared" si="1"/>
        <v>0.015</v>
      </c>
      <c r="L17" s="17">
        <f t="shared" si="2"/>
        <v>0.15</v>
      </c>
      <c r="M17" s="17">
        <f t="shared" si="1"/>
        <v>0.015</v>
      </c>
      <c r="N17" s="17"/>
      <c r="O17" s="25">
        <v>0.17</v>
      </c>
      <c r="P17" s="17">
        <f t="shared" si="3"/>
        <v>0.017</v>
      </c>
      <c r="Q17" s="17">
        <f t="shared" si="5"/>
        <v>0.17</v>
      </c>
      <c r="R17" s="17">
        <f t="shared" si="3"/>
        <v>0.017</v>
      </c>
    </row>
    <row r="18" spans="2:18" ht="12.75">
      <c r="B18" s="15" t="s">
        <v>84</v>
      </c>
      <c r="C18" s="18">
        <v>0</v>
      </c>
      <c r="D18" s="18"/>
      <c r="E18" s="17"/>
      <c r="F18" s="17">
        <f t="shared" si="4"/>
      </c>
      <c r="G18" s="25">
        <f t="shared" si="0"/>
      </c>
      <c r="H18" s="17">
        <f t="shared" si="4"/>
      </c>
      <c r="I18" s="17"/>
      <c r="J18" s="17"/>
      <c r="K18" s="17">
        <f t="shared" si="1"/>
      </c>
      <c r="L18" s="17">
        <f t="shared" si="2"/>
      </c>
      <c r="M18" s="17">
        <f t="shared" si="1"/>
      </c>
      <c r="N18" s="17"/>
      <c r="O18" s="25"/>
      <c r="P18" s="17">
        <f t="shared" si="3"/>
      </c>
      <c r="Q18" s="17">
        <f t="shared" si="5"/>
      </c>
      <c r="R18" s="17">
        <f t="shared" si="3"/>
      </c>
    </row>
    <row r="19" spans="2:18" ht="12.75">
      <c r="B19" s="15" t="s">
        <v>85</v>
      </c>
      <c r="C19" s="18">
        <v>0.01</v>
      </c>
      <c r="D19" s="18"/>
      <c r="E19" s="24">
        <v>0.28</v>
      </c>
      <c r="F19" s="17">
        <f t="shared" si="4"/>
        <v>0.0028000000000000004</v>
      </c>
      <c r="G19" s="25">
        <f t="shared" si="0"/>
        <v>0.28</v>
      </c>
      <c r="H19" s="17">
        <f t="shared" si="4"/>
        <v>0.0028000000000000004</v>
      </c>
      <c r="I19" s="17"/>
      <c r="J19" s="17">
        <v>0.19</v>
      </c>
      <c r="K19" s="17">
        <f t="shared" si="1"/>
        <v>0.0019</v>
      </c>
      <c r="L19" s="17">
        <f t="shared" si="2"/>
        <v>0.19</v>
      </c>
      <c r="M19" s="17">
        <f t="shared" si="1"/>
        <v>0.0019</v>
      </c>
      <c r="N19" s="17"/>
      <c r="O19" s="25">
        <v>0.2</v>
      </c>
      <c r="P19" s="17">
        <f t="shared" si="3"/>
        <v>0.002</v>
      </c>
      <c r="Q19" s="17">
        <f t="shared" si="5"/>
        <v>0.2</v>
      </c>
      <c r="R19" s="17">
        <f t="shared" si="3"/>
        <v>0.002</v>
      </c>
    </row>
    <row r="20" spans="2:18" ht="12.75">
      <c r="B20" s="15" t="s">
        <v>86</v>
      </c>
      <c r="C20" s="18">
        <v>0</v>
      </c>
      <c r="D20" s="18"/>
      <c r="E20" s="17"/>
      <c r="F20" s="17">
        <f t="shared" si="4"/>
      </c>
      <c r="G20" s="25">
        <f t="shared" si="0"/>
      </c>
      <c r="H20" s="17">
        <f t="shared" si="4"/>
      </c>
      <c r="I20" s="17"/>
      <c r="J20" s="17"/>
      <c r="K20" s="17">
        <f t="shared" si="1"/>
      </c>
      <c r="L20" s="17">
        <f t="shared" si="2"/>
      </c>
      <c r="M20" s="17">
        <f t="shared" si="1"/>
      </c>
      <c r="N20" s="17"/>
      <c r="O20" s="25"/>
      <c r="P20" s="17">
        <f t="shared" si="3"/>
      </c>
      <c r="Q20" s="17">
        <f t="shared" si="5"/>
      </c>
      <c r="R20" s="17">
        <f t="shared" si="3"/>
      </c>
    </row>
    <row r="21" spans="2:18" ht="12.75">
      <c r="B21" s="15" t="s">
        <v>87</v>
      </c>
      <c r="C21" s="18">
        <v>0.001</v>
      </c>
      <c r="D21" s="18"/>
      <c r="E21" s="24">
        <v>0.49</v>
      </c>
      <c r="F21" s="17">
        <f t="shared" si="4"/>
        <v>0.00049</v>
      </c>
      <c r="G21" s="25">
        <f t="shared" si="0"/>
        <v>0.49</v>
      </c>
      <c r="H21" s="17">
        <f t="shared" si="4"/>
        <v>0.00049</v>
      </c>
      <c r="I21" s="17"/>
      <c r="J21" s="17">
        <v>0.25</v>
      </c>
      <c r="K21" s="17">
        <f t="shared" si="1"/>
        <v>0.00025</v>
      </c>
      <c r="L21" s="17">
        <f t="shared" si="2"/>
        <v>0.25</v>
      </c>
      <c r="M21" s="17">
        <f t="shared" si="1"/>
        <v>0.00025</v>
      </c>
      <c r="N21" s="17" t="s">
        <v>61</v>
      </c>
      <c r="O21" s="25">
        <v>0.4</v>
      </c>
      <c r="P21" s="17">
        <f t="shared" si="3"/>
        <v>0.0004</v>
      </c>
      <c r="Q21" s="17">
        <f t="shared" si="5"/>
        <v>0.2</v>
      </c>
      <c r="R21" s="17">
        <f t="shared" si="3"/>
        <v>0.0002</v>
      </c>
    </row>
    <row r="22" spans="2:18" ht="12.75">
      <c r="B22" s="15" t="s">
        <v>88</v>
      </c>
      <c r="C22" s="18">
        <v>0.1</v>
      </c>
      <c r="D22" s="18"/>
      <c r="E22" s="24">
        <v>0.045</v>
      </c>
      <c r="F22" s="17">
        <f t="shared" si="4"/>
        <v>0.0045</v>
      </c>
      <c r="G22" s="25">
        <f t="shared" si="0"/>
        <v>0.045</v>
      </c>
      <c r="H22" s="17">
        <f t="shared" si="4"/>
        <v>0.0045</v>
      </c>
      <c r="I22" s="17" t="s">
        <v>61</v>
      </c>
      <c r="J22" s="17">
        <v>0.05</v>
      </c>
      <c r="K22" s="17">
        <f t="shared" si="1"/>
        <v>0.005000000000000001</v>
      </c>
      <c r="L22" s="17">
        <f t="shared" si="2"/>
        <v>0.025</v>
      </c>
      <c r="M22" s="17">
        <f t="shared" si="1"/>
        <v>0.0025000000000000005</v>
      </c>
      <c r="N22" s="17"/>
      <c r="O22" s="25">
        <v>0.02</v>
      </c>
      <c r="P22" s="17">
        <f t="shared" si="3"/>
        <v>0.002</v>
      </c>
      <c r="Q22" s="17">
        <f t="shared" si="5"/>
        <v>0.02</v>
      </c>
      <c r="R22" s="17">
        <f t="shared" si="3"/>
        <v>0.002</v>
      </c>
    </row>
    <row r="23" spans="2:18" ht="12.75">
      <c r="B23" s="15" t="s">
        <v>89</v>
      </c>
      <c r="C23" s="18">
        <v>0</v>
      </c>
      <c r="D23" s="18"/>
      <c r="E23" s="24"/>
      <c r="F23" s="17">
        <f t="shared" si="4"/>
      </c>
      <c r="G23" s="25">
        <f t="shared" si="0"/>
      </c>
      <c r="H23" s="17">
        <f t="shared" si="4"/>
      </c>
      <c r="I23" s="17"/>
      <c r="J23" s="17"/>
      <c r="K23" s="17">
        <f t="shared" si="1"/>
      </c>
      <c r="L23" s="17">
        <f t="shared" si="2"/>
      </c>
      <c r="M23" s="17">
        <f t="shared" si="1"/>
      </c>
      <c r="N23" s="17"/>
      <c r="O23" s="25"/>
      <c r="P23" s="17">
        <f t="shared" si="3"/>
      </c>
      <c r="Q23" s="17">
        <f t="shared" si="5"/>
      </c>
      <c r="R23" s="17">
        <f t="shared" si="3"/>
      </c>
    </row>
    <row r="24" spans="2:18" ht="12.75">
      <c r="B24" s="15" t="s">
        <v>90</v>
      </c>
      <c r="C24" s="18">
        <v>0.05</v>
      </c>
      <c r="D24" s="18"/>
      <c r="E24" s="24">
        <v>0.17</v>
      </c>
      <c r="F24" s="17">
        <f t="shared" si="4"/>
        <v>0.0085</v>
      </c>
      <c r="G24" s="25">
        <f t="shared" si="0"/>
        <v>0.17</v>
      </c>
      <c r="H24" s="17">
        <f t="shared" si="4"/>
        <v>0.0085</v>
      </c>
      <c r="I24" s="17"/>
      <c r="J24" s="17">
        <v>0.17</v>
      </c>
      <c r="K24" s="17">
        <f t="shared" si="1"/>
        <v>0.0085</v>
      </c>
      <c r="L24" s="17">
        <f t="shared" si="2"/>
        <v>0.17</v>
      </c>
      <c r="M24" s="17">
        <f t="shared" si="1"/>
        <v>0.0085</v>
      </c>
      <c r="N24" s="17"/>
      <c r="O24" s="25">
        <v>0.16</v>
      </c>
      <c r="P24" s="17">
        <f t="shared" si="3"/>
        <v>0.008</v>
      </c>
      <c r="Q24" s="17">
        <f t="shared" si="5"/>
        <v>0.16</v>
      </c>
      <c r="R24" s="17">
        <f t="shared" si="3"/>
        <v>0.008</v>
      </c>
    </row>
    <row r="25" spans="2:18" ht="12.75">
      <c r="B25" s="15" t="s">
        <v>91</v>
      </c>
      <c r="C25" s="18">
        <v>0.5</v>
      </c>
      <c r="D25" s="18"/>
      <c r="E25" s="24">
        <v>0.16</v>
      </c>
      <c r="F25" s="17">
        <f t="shared" si="4"/>
        <v>0.08</v>
      </c>
      <c r="G25" s="25">
        <f t="shared" si="0"/>
        <v>0.16</v>
      </c>
      <c r="H25" s="17">
        <f t="shared" si="4"/>
        <v>0.08</v>
      </c>
      <c r="I25" s="17"/>
      <c r="J25" s="17">
        <v>0.15</v>
      </c>
      <c r="K25" s="17">
        <f t="shared" si="1"/>
        <v>0.075</v>
      </c>
      <c r="L25" s="17">
        <f t="shared" si="2"/>
        <v>0.15</v>
      </c>
      <c r="M25" s="17">
        <f t="shared" si="1"/>
        <v>0.075</v>
      </c>
      <c r="N25" s="17"/>
      <c r="O25" s="25">
        <v>0.15</v>
      </c>
      <c r="P25" s="17">
        <f t="shared" si="3"/>
        <v>0.075</v>
      </c>
      <c r="Q25" s="17">
        <f t="shared" si="5"/>
        <v>0.15</v>
      </c>
      <c r="R25" s="17">
        <f t="shared" si="3"/>
        <v>0.075</v>
      </c>
    </row>
    <row r="26" spans="2:18" ht="12.75">
      <c r="B26" s="15" t="s">
        <v>92</v>
      </c>
      <c r="C26" s="18">
        <v>0</v>
      </c>
      <c r="D26" s="18"/>
      <c r="E26" s="24"/>
      <c r="F26" s="17">
        <f t="shared" si="4"/>
      </c>
      <c r="G26" s="25">
        <f t="shared" si="0"/>
      </c>
      <c r="H26" s="17">
        <f t="shared" si="4"/>
      </c>
      <c r="I26" s="17"/>
      <c r="J26" s="17"/>
      <c r="K26" s="17">
        <f t="shared" si="1"/>
      </c>
      <c r="L26" s="17">
        <f t="shared" si="2"/>
      </c>
      <c r="M26" s="17">
        <f t="shared" si="1"/>
      </c>
      <c r="N26" s="17"/>
      <c r="O26" s="25"/>
      <c r="P26" s="17">
        <f t="shared" si="3"/>
      </c>
      <c r="Q26" s="17">
        <f t="shared" si="5"/>
      </c>
      <c r="R26" s="17">
        <f t="shared" si="3"/>
      </c>
    </row>
    <row r="27" spans="2:18" ht="12.75">
      <c r="B27" s="15" t="s">
        <v>93</v>
      </c>
      <c r="C27" s="18">
        <v>0.1</v>
      </c>
      <c r="D27" s="18"/>
      <c r="E27" s="24">
        <v>0.29</v>
      </c>
      <c r="F27" s="17">
        <f t="shared" si="4"/>
        <v>0.028999999999999998</v>
      </c>
      <c r="G27" s="25">
        <f t="shared" si="0"/>
        <v>0.29</v>
      </c>
      <c r="H27" s="17">
        <f t="shared" si="4"/>
        <v>0.028999999999999998</v>
      </c>
      <c r="I27" s="17"/>
      <c r="J27" s="17">
        <v>0.22</v>
      </c>
      <c r="K27" s="17">
        <f t="shared" si="1"/>
        <v>0.022000000000000002</v>
      </c>
      <c r="L27" s="17">
        <f t="shared" si="2"/>
        <v>0.22</v>
      </c>
      <c r="M27" s="17">
        <f t="shared" si="1"/>
        <v>0.022000000000000002</v>
      </c>
      <c r="N27" s="17"/>
      <c r="O27" s="25">
        <v>0.26</v>
      </c>
      <c r="P27" s="17">
        <f t="shared" si="3"/>
        <v>0.026000000000000002</v>
      </c>
      <c r="Q27" s="17">
        <f t="shared" si="5"/>
        <v>0.26</v>
      </c>
      <c r="R27" s="17">
        <f t="shared" si="3"/>
        <v>0.026000000000000002</v>
      </c>
    </row>
    <row r="28" spans="2:18" ht="12.75">
      <c r="B28" s="15" t="s">
        <v>94</v>
      </c>
      <c r="C28" s="18">
        <v>0.1</v>
      </c>
      <c r="D28" s="18"/>
      <c r="E28" s="24">
        <v>0.22</v>
      </c>
      <c r="F28" s="17">
        <f t="shared" si="4"/>
        <v>0.022000000000000002</v>
      </c>
      <c r="G28" s="25">
        <f t="shared" si="0"/>
        <v>0.22</v>
      </c>
      <c r="H28" s="17">
        <f t="shared" si="4"/>
        <v>0.022000000000000002</v>
      </c>
      <c r="I28" s="17"/>
      <c r="J28" s="17">
        <v>0.18</v>
      </c>
      <c r="K28" s="17">
        <f t="shared" si="1"/>
        <v>0.018</v>
      </c>
      <c r="L28" s="17">
        <f t="shared" si="2"/>
        <v>0.18</v>
      </c>
      <c r="M28" s="17">
        <f t="shared" si="1"/>
        <v>0.018</v>
      </c>
      <c r="N28" s="17"/>
      <c r="O28" s="25">
        <v>0.2</v>
      </c>
      <c r="P28" s="17">
        <f t="shared" si="3"/>
        <v>0.020000000000000004</v>
      </c>
      <c r="Q28" s="17">
        <f t="shared" si="5"/>
        <v>0.2</v>
      </c>
      <c r="R28" s="17">
        <f t="shared" si="3"/>
        <v>0.020000000000000004</v>
      </c>
    </row>
    <row r="29" spans="2:18" ht="12.75">
      <c r="B29" s="15" t="s">
        <v>95</v>
      </c>
      <c r="C29" s="18">
        <v>0.1</v>
      </c>
      <c r="D29" s="18"/>
      <c r="E29" s="25">
        <v>0.165</v>
      </c>
      <c r="F29" s="17">
        <f t="shared" si="4"/>
        <v>0.0165</v>
      </c>
      <c r="G29" s="25">
        <f t="shared" si="0"/>
        <v>0.165</v>
      </c>
      <c r="H29" s="17">
        <f t="shared" si="4"/>
        <v>0.0165</v>
      </c>
      <c r="I29" s="17"/>
      <c r="J29" s="17">
        <v>0.19</v>
      </c>
      <c r="K29" s="17">
        <f aca="true" t="shared" si="6" ref="K29:M35">IF(J29="","",J29*$C29)</f>
        <v>0.019000000000000003</v>
      </c>
      <c r="L29" s="17">
        <f t="shared" si="2"/>
        <v>0.19</v>
      </c>
      <c r="M29" s="17">
        <f t="shared" si="6"/>
        <v>0.019000000000000003</v>
      </c>
      <c r="N29" s="17"/>
      <c r="O29" s="25">
        <v>0.2</v>
      </c>
      <c r="P29" s="17">
        <f aca="true" t="shared" si="7" ref="P29:R35">IF(O29="","",O29*$C29)</f>
        <v>0.020000000000000004</v>
      </c>
      <c r="Q29" s="17">
        <f t="shared" si="5"/>
        <v>0.2</v>
      </c>
      <c r="R29" s="17">
        <f t="shared" si="7"/>
        <v>0.020000000000000004</v>
      </c>
    </row>
    <row r="30" spans="2:18" ht="12.75">
      <c r="B30" s="15" t="s">
        <v>96</v>
      </c>
      <c r="C30" s="18">
        <v>0.1</v>
      </c>
      <c r="D30" s="18"/>
      <c r="E30" s="25">
        <v>0.18</v>
      </c>
      <c r="F30" s="17">
        <f t="shared" si="4"/>
        <v>0.018</v>
      </c>
      <c r="G30" s="25">
        <f t="shared" si="0"/>
        <v>0.18</v>
      </c>
      <c r="H30" s="17">
        <f t="shared" si="4"/>
        <v>0.018</v>
      </c>
      <c r="I30" s="17"/>
      <c r="J30" s="17">
        <v>0.17</v>
      </c>
      <c r="K30" s="17">
        <f t="shared" si="6"/>
        <v>0.017</v>
      </c>
      <c r="L30" s="17">
        <f t="shared" si="2"/>
        <v>0.17</v>
      </c>
      <c r="M30" s="17">
        <f t="shared" si="6"/>
        <v>0.017</v>
      </c>
      <c r="N30" s="17"/>
      <c r="O30" s="25">
        <v>0.115</v>
      </c>
      <c r="P30" s="17">
        <f t="shared" si="7"/>
        <v>0.011500000000000002</v>
      </c>
      <c r="Q30" s="17">
        <f aca="true" t="shared" si="8" ref="Q30:Q35">IF(O30=0,"",IF(N30="nd",O30/2,O30))</f>
        <v>0.115</v>
      </c>
      <c r="R30" s="17">
        <f t="shared" si="7"/>
        <v>0.011500000000000002</v>
      </c>
    </row>
    <row r="31" spans="2:18" ht="12.75">
      <c r="B31" s="15" t="s">
        <v>97</v>
      </c>
      <c r="C31" s="18">
        <v>0</v>
      </c>
      <c r="D31" s="18"/>
      <c r="E31" s="17"/>
      <c r="F31" s="17">
        <f t="shared" si="4"/>
      </c>
      <c r="G31" s="25">
        <f t="shared" si="0"/>
      </c>
      <c r="H31" s="17">
        <f t="shared" si="4"/>
      </c>
      <c r="I31" s="17"/>
      <c r="J31" s="17"/>
      <c r="K31" s="17">
        <f t="shared" si="6"/>
      </c>
      <c r="L31" s="17">
        <f t="shared" si="2"/>
      </c>
      <c r="M31" s="17">
        <f t="shared" si="6"/>
      </c>
      <c r="N31" s="17"/>
      <c r="O31" s="25"/>
      <c r="P31" s="17">
        <f t="shared" si="7"/>
      </c>
      <c r="Q31" s="17">
        <f t="shared" si="8"/>
      </c>
      <c r="R31" s="17">
        <f t="shared" si="7"/>
      </c>
    </row>
    <row r="32" spans="2:18" ht="12.75">
      <c r="B32" s="15" t="s">
        <v>98</v>
      </c>
      <c r="C32" s="18">
        <v>0.01</v>
      </c>
      <c r="D32" s="18"/>
      <c r="E32" s="24">
        <v>0.58</v>
      </c>
      <c r="F32" s="17">
        <f t="shared" si="4"/>
        <v>0.0058</v>
      </c>
      <c r="G32" s="25">
        <f t="shared" si="0"/>
        <v>0.58</v>
      </c>
      <c r="H32" s="17">
        <f t="shared" si="4"/>
        <v>0.0058</v>
      </c>
      <c r="I32" s="17"/>
      <c r="J32" s="17">
        <v>0.355</v>
      </c>
      <c r="K32" s="17">
        <f t="shared" si="6"/>
        <v>0.0035499999999999998</v>
      </c>
      <c r="L32" s="17">
        <f t="shared" si="2"/>
        <v>0.355</v>
      </c>
      <c r="M32" s="17">
        <f t="shared" si="6"/>
        <v>0.0035499999999999998</v>
      </c>
      <c r="N32" s="17"/>
      <c r="O32" s="25">
        <v>0.4</v>
      </c>
      <c r="P32" s="17">
        <f t="shared" si="7"/>
        <v>0.004</v>
      </c>
      <c r="Q32" s="17">
        <f t="shared" si="8"/>
        <v>0.4</v>
      </c>
      <c r="R32" s="17">
        <f t="shared" si="7"/>
        <v>0.004</v>
      </c>
    </row>
    <row r="33" spans="2:18" ht="12.75">
      <c r="B33" s="15" t="s">
        <v>99</v>
      </c>
      <c r="C33" s="18">
        <v>0.01</v>
      </c>
      <c r="D33" s="18"/>
      <c r="E33" s="24">
        <v>0.43</v>
      </c>
      <c r="F33" s="17">
        <f t="shared" si="4"/>
        <v>0.0043</v>
      </c>
      <c r="G33" s="25">
        <f t="shared" si="0"/>
        <v>0.43</v>
      </c>
      <c r="H33" s="17">
        <f t="shared" si="4"/>
        <v>0.0043</v>
      </c>
      <c r="I33" s="17"/>
      <c r="J33" s="17">
        <v>0.3</v>
      </c>
      <c r="K33" s="17">
        <f t="shared" si="6"/>
        <v>0.003</v>
      </c>
      <c r="L33" s="17">
        <f t="shared" si="2"/>
        <v>0.3</v>
      </c>
      <c r="M33" s="17">
        <f t="shared" si="6"/>
        <v>0.003</v>
      </c>
      <c r="N33" s="17"/>
      <c r="O33" s="25">
        <v>0.27</v>
      </c>
      <c r="P33" s="17">
        <f t="shared" si="7"/>
        <v>0.0027</v>
      </c>
      <c r="Q33" s="17">
        <f t="shared" si="8"/>
        <v>0.27</v>
      </c>
      <c r="R33" s="17">
        <f t="shared" si="7"/>
        <v>0.0027</v>
      </c>
    </row>
    <row r="34" spans="2:18" ht="12.75">
      <c r="B34" s="15" t="s">
        <v>100</v>
      </c>
      <c r="C34" s="18">
        <v>0</v>
      </c>
      <c r="D34" s="18"/>
      <c r="E34" s="24"/>
      <c r="F34" s="17">
        <f t="shared" si="4"/>
      </c>
      <c r="G34" s="25">
        <f t="shared" si="0"/>
      </c>
      <c r="H34" s="17">
        <f t="shared" si="4"/>
      </c>
      <c r="I34" s="17"/>
      <c r="J34" s="17"/>
      <c r="K34" s="17">
        <f t="shared" si="6"/>
      </c>
      <c r="L34" s="17">
        <f t="shared" si="2"/>
      </c>
      <c r="M34" s="17">
        <f t="shared" si="6"/>
      </c>
      <c r="N34" s="17"/>
      <c r="O34" s="25"/>
      <c r="P34" s="17">
        <f t="shared" si="7"/>
      </c>
      <c r="Q34" s="17">
        <f t="shared" si="8"/>
      </c>
      <c r="R34" s="17">
        <f t="shared" si="7"/>
      </c>
    </row>
    <row r="35" spans="2:18" ht="12.75">
      <c r="B35" s="15" t="s">
        <v>101</v>
      </c>
      <c r="C35" s="18">
        <v>0.001</v>
      </c>
      <c r="D35" s="18"/>
      <c r="E35" s="24">
        <v>2.34</v>
      </c>
      <c r="F35" s="17">
        <f t="shared" si="4"/>
        <v>0.00234</v>
      </c>
      <c r="G35" s="25">
        <f t="shared" si="0"/>
        <v>2.34</v>
      </c>
      <c r="H35" s="17">
        <f t="shared" si="4"/>
        <v>0.00234</v>
      </c>
      <c r="I35" s="17"/>
      <c r="J35" s="24">
        <v>1.65</v>
      </c>
      <c r="K35" s="17">
        <f t="shared" si="6"/>
        <v>0.00165</v>
      </c>
      <c r="L35" s="24">
        <f t="shared" si="2"/>
        <v>1.65</v>
      </c>
      <c r="M35" s="17">
        <f t="shared" si="6"/>
        <v>0.00165</v>
      </c>
      <c r="N35" s="17"/>
      <c r="O35" s="25">
        <v>0.945</v>
      </c>
      <c r="P35" s="17">
        <f t="shared" si="7"/>
        <v>0.000945</v>
      </c>
      <c r="Q35" s="17">
        <f t="shared" si="8"/>
        <v>0.945</v>
      </c>
      <c r="R35" s="17">
        <f t="shared" si="7"/>
        <v>0.000945</v>
      </c>
    </row>
    <row r="36" spans="5:17" ht="12.75">
      <c r="E36" s="24"/>
      <c r="G36" s="24"/>
      <c r="I36" s="24"/>
      <c r="J36" s="24"/>
      <c r="K36" s="24"/>
      <c r="L36" s="24"/>
      <c r="M36" s="24"/>
      <c r="N36" s="24"/>
      <c r="O36" s="24"/>
      <c r="Q36" s="24"/>
    </row>
    <row r="37" spans="2:18" ht="12.75">
      <c r="B37" s="15" t="s">
        <v>102</v>
      </c>
      <c r="E37" s="24"/>
      <c r="F37" s="24">
        <v>118</v>
      </c>
      <c r="G37" s="24"/>
      <c r="H37" s="24">
        <v>118</v>
      </c>
      <c r="I37" s="24"/>
      <c r="J37" s="24"/>
      <c r="K37" s="24">
        <v>120.7</v>
      </c>
      <c r="L37" s="24"/>
      <c r="M37" s="24">
        <v>120.7</v>
      </c>
      <c r="N37" s="24"/>
      <c r="O37" s="24"/>
      <c r="P37" s="24">
        <v>124.5</v>
      </c>
      <c r="Q37" s="24"/>
      <c r="R37" s="24">
        <v>124.5</v>
      </c>
    </row>
    <row r="38" spans="2:18" ht="12.75">
      <c r="B38" s="15" t="s">
        <v>103</v>
      </c>
      <c r="E38" s="24"/>
      <c r="F38" s="24">
        <v>7</v>
      </c>
      <c r="G38" s="24"/>
      <c r="H38" s="24">
        <v>7</v>
      </c>
      <c r="I38" s="24"/>
      <c r="J38" s="24"/>
      <c r="K38" s="24">
        <v>6.7</v>
      </c>
      <c r="L38" s="24"/>
      <c r="M38" s="24">
        <v>6.7</v>
      </c>
      <c r="N38" s="24"/>
      <c r="O38" s="24"/>
      <c r="P38" s="24">
        <v>7</v>
      </c>
      <c r="Q38" s="24"/>
      <c r="R38" s="24">
        <v>7</v>
      </c>
    </row>
    <row r="39" spans="5:17" ht="12.75">
      <c r="E39" s="24"/>
      <c r="G39" s="24"/>
      <c r="I39" s="24"/>
      <c r="J39" s="24"/>
      <c r="K39" s="24"/>
      <c r="L39" s="24"/>
      <c r="M39" s="24"/>
      <c r="N39" s="24"/>
      <c r="O39" s="24"/>
      <c r="Q39" s="24"/>
    </row>
    <row r="40" spans="2:18" ht="13.5" customHeight="1">
      <c r="B40" s="15" t="s">
        <v>104</v>
      </c>
      <c r="C40" s="17"/>
      <c r="D40" s="17"/>
      <c r="E40" s="17"/>
      <c r="F40" s="17">
        <f>SUM(F11:F35)</f>
        <v>0.33673000000000003</v>
      </c>
      <c r="G40" s="17"/>
      <c r="H40" s="17">
        <f>SUM(H11:H35)</f>
        <v>0.33673000000000003</v>
      </c>
      <c r="I40" s="17"/>
      <c r="J40" s="17"/>
      <c r="K40" s="17">
        <f>SUM(K11:K35)</f>
        <v>0.3198500000000001</v>
      </c>
      <c r="L40" s="17"/>
      <c r="M40" s="17">
        <f>SUM(M11:M35)</f>
        <v>0.3173500000000001</v>
      </c>
      <c r="N40" s="17"/>
      <c r="O40" s="17"/>
      <c r="P40" s="17">
        <f>SUM(P11:P35)</f>
        <v>0.3215450000000001</v>
      </c>
      <c r="Q40" s="17"/>
      <c r="R40" s="17">
        <f>SUM(R11:R35)</f>
        <v>0.306345</v>
      </c>
    </row>
    <row r="41" spans="2:18" ht="12.75">
      <c r="B41" s="15" t="s">
        <v>105</v>
      </c>
      <c r="C41" s="17"/>
      <c r="D41" s="33">
        <f>(F41-H41)*2/F41*100</f>
        <v>0</v>
      </c>
      <c r="E41" s="17"/>
      <c r="F41" s="17">
        <f>F40/F37/0.0283*(21-7)/(21-F38)</f>
        <v>0.10083547942744207</v>
      </c>
      <c r="G41" s="17"/>
      <c r="H41" s="17">
        <f>H40/H37/0.0283*(21-7)/(21-H38)</f>
        <v>0.10083547942744207</v>
      </c>
      <c r="I41" s="33">
        <f>(K41-M41)*2/K41*100</f>
        <v>1.5632327653587457</v>
      </c>
      <c r="J41" s="17"/>
      <c r="K41" s="17">
        <f>K40/K37/0.0283*(21-7)/(21-K38)</f>
        <v>0.09167367627000923</v>
      </c>
      <c r="L41" s="17"/>
      <c r="M41" s="17">
        <f>M40/M37/0.0283*(21-7)/(21-M38)</f>
        <v>0.09095713979767839</v>
      </c>
      <c r="N41" s="33">
        <f>(P41-R41)*2/P41*100</f>
        <v>9.45435320095172</v>
      </c>
      <c r="O41" s="17"/>
      <c r="P41" s="17">
        <f>P40/P37/0.0283*(21-7)/(21-P38)</f>
        <v>0.09126115770502508</v>
      </c>
      <c r="Q41" s="17"/>
      <c r="R41" s="17">
        <f>R40/R37/0.0283*(21-7)/(21-R38)</f>
        <v>0.08694708161266976</v>
      </c>
    </row>
    <row r="42" spans="5:17" ht="12.75">
      <c r="E42" s="25"/>
      <c r="G42" s="25"/>
      <c r="I42" s="25"/>
      <c r="J42" s="25"/>
      <c r="K42" s="25"/>
      <c r="L42" s="25"/>
      <c r="M42" s="25"/>
      <c r="N42" s="25"/>
      <c r="O42" s="25"/>
      <c r="Q42" s="25"/>
    </row>
    <row r="43" spans="2:23" s="24" customFormat="1" ht="12.75">
      <c r="B43" s="24" t="s">
        <v>111</v>
      </c>
      <c r="C43" s="17">
        <f>AVERAGE(H41,M41,R41)</f>
        <v>0.09291323361259674</v>
      </c>
      <c r="F43" s="17"/>
      <c r="H43" s="17"/>
      <c r="P43" s="16"/>
      <c r="R43" s="16"/>
      <c r="S43" s="15"/>
      <c r="T43" s="15"/>
      <c r="U43" s="15"/>
      <c r="V43" s="15"/>
      <c r="W43" s="15"/>
    </row>
    <row r="45" spans="5:18" ht="12.75">
      <c r="E45" s="15"/>
      <c r="G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5:18" ht="12.75">
      <c r="E46" s="15"/>
      <c r="G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5:18" ht="12.75">
      <c r="E47" s="15"/>
      <c r="G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5:18" ht="12.75">
      <c r="E48" s="15"/>
      <c r="G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5:18" ht="12.75">
      <c r="E49" s="15"/>
      <c r="G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5:18" ht="12.75">
      <c r="E50" s="15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5:18" ht="12.75">
      <c r="E51" s="15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5:18" ht="12.75">
      <c r="E52" s="15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5:18" ht="12.75">
      <c r="E53" s="15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5:18" ht="12.75">
      <c r="E54" s="15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5:18" ht="12.75">
      <c r="E55" s="15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5:18" ht="12.75">
      <c r="E56" s="15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5:18" ht="12.75">
      <c r="E57" s="15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5:18" ht="12.75">
      <c r="E58" s="15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5:18" ht="12.75">
      <c r="E59" s="15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5:18" ht="12.75">
      <c r="E60" s="15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5:18" ht="12.75">
      <c r="E61" s="15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5:18" ht="12.75">
      <c r="E62" s="15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5:18" ht="12.75">
      <c r="E63" s="15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5:18" ht="12.75">
      <c r="E64" s="15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2004-02-25T18:19:10Z</cp:lastPrinted>
  <dcterms:created xsi:type="dcterms:W3CDTF">2000-11-28T21:10:34Z</dcterms:created>
  <dcterms:modified xsi:type="dcterms:W3CDTF">2004-02-25T18:19:17Z</dcterms:modified>
  <cp:category/>
  <cp:version/>
  <cp:contentType/>
  <cp:contentStatus/>
</cp:coreProperties>
</file>