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666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0" sheetId="10" r:id="rId10"/>
    <sheet name="df c12" sheetId="11" r:id="rId11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<sst xmlns="http://schemas.openxmlformats.org/spreadsheetml/2006/main" count="1587" uniqueCount="270">
  <si>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</si>
  <si>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</si>
  <si>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</si>
  <si>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</si>
  <si>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</si>
  <si>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</si>
  <si>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</si>
  <si>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</si>
  <si>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</si>
  <si>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</si>
  <si>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</si>
  <si>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</si>
  <si>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PM</t>
  </si>
  <si>
    <t>gr/dscf</t>
  </si>
  <si>
    <t>y</t>
  </si>
  <si>
    <t>ppmv</t>
  </si>
  <si>
    <t>dscfm</t>
  </si>
  <si>
    <t>%</t>
  </si>
  <si>
    <t>°F</t>
  </si>
  <si>
    <t>nd</t>
  </si>
  <si>
    <t>Feedstream Description</t>
  </si>
  <si>
    <t>Heating Value</t>
  </si>
  <si>
    <t>Btu/lb</t>
  </si>
  <si>
    <t>Ash</t>
  </si>
  <si>
    <t>Chlorine</t>
  </si>
  <si>
    <t>HCl</t>
  </si>
  <si>
    <t>Cl2</t>
  </si>
  <si>
    <t>DRE</t>
  </si>
  <si>
    <t>Chlorobenzene</t>
  </si>
  <si>
    <t>lb/hr</t>
  </si>
  <si>
    <t>Run 1</t>
  </si>
  <si>
    <t>Run 2</t>
  </si>
  <si>
    <t>Run 3</t>
  </si>
  <si>
    <t>gpm</t>
  </si>
  <si>
    <t>MMBtu/hr</t>
  </si>
  <si>
    <t>Spike</t>
  </si>
  <si>
    <t>ug/dscm</t>
  </si>
  <si>
    <t>SVM</t>
  </si>
  <si>
    <t>LVM</t>
  </si>
  <si>
    <t>Stack Gas Flowrate</t>
  </si>
  <si>
    <t>Oxygen</t>
  </si>
  <si>
    <t>mg/dscm</t>
  </si>
  <si>
    <t>HW</t>
  </si>
  <si>
    <t>Combustor Characteristics</t>
  </si>
  <si>
    <t>Process Information</t>
  </si>
  <si>
    <t>Supplemental Fuel</t>
  </si>
  <si>
    <t>POHC DRE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</si>
  <si>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</si>
  <si>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</si>
  <si>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</si>
  <si>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</si>
  <si>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</si>
  <si>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</si>
  <si>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</si>
  <si>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</si>
  <si>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</si>
  <si>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</si>
  <si>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</si>
  <si>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</si>
  <si>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Beryllium</t>
  </si>
  <si>
    <t>Cadmium</t>
  </si>
  <si>
    <t>Mercury</t>
  </si>
  <si>
    <t>PM, HCl/Cl2</t>
  </si>
  <si>
    <t>POHC Feedrate</t>
  </si>
  <si>
    <t>Emission Rate</t>
  </si>
  <si>
    <t xml:space="preserve">   O2</t>
  </si>
  <si>
    <t xml:space="preserve">   Moisture</t>
  </si>
  <si>
    <t>Chromium</t>
  </si>
  <si>
    <t>Total Chlorine</t>
  </si>
  <si>
    <t>Sampling Train</t>
  </si>
  <si>
    <t>Trial burn</t>
  </si>
  <si>
    <t>*</t>
  </si>
  <si>
    <t>HWC Burn Status (Date if Terminated)</t>
  </si>
  <si>
    <t>Toluene</t>
  </si>
  <si>
    <t>Metals</t>
  </si>
  <si>
    <t>°C</t>
  </si>
  <si>
    <t>CO (RA)</t>
  </si>
  <si>
    <t>HC (RA)</t>
  </si>
  <si>
    <t>Waterford</t>
  </si>
  <si>
    <t>NY</t>
  </si>
  <si>
    <t>General Electric Company, Silicones Products Division</t>
  </si>
  <si>
    <t>Industrial and Environmental Analysts(IEA), Inc</t>
  </si>
  <si>
    <t>IEA</t>
  </si>
  <si>
    <t>Carbon tetrachloride</t>
  </si>
  <si>
    <t>lb/dscf</t>
  </si>
  <si>
    <t>Barium</t>
  </si>
  <si>
    <t>Copper</t>
  </si>
  <si>
    <t>Nickel</t>
  </si>
  <si>
    <t>Selenium</t>
  </si>
  <si>
    <t>Silver</t>
  </si>
  <si>
    <t>Thallium</t>
  </si>
  <si>
    <t>Zinc</t>
  </si>
  <si>
    <t>Feed Rate</t>
  </si>
  <si>
    <t>NPS Waste</t>
  </si>
  <si>
    <t>Specific Gravity</t>
  </si>
  <si>
    <t>APS Waste</t>
  </si>
  <si>
    <t>Carbon Tetrachloride</t>
  </si>
  <si>
    <t>mg/kg</t>
  </si>
  <si>
    <t>POHC Mix</t>
  </si>
  <si>
    <t>Total</t>
  </si>
  <si>
    <t>Hazardous Wastes</t>
  </si>
  <si>
    <t>The incinerator unit features a 35' long x 11' dia. Rotary kiln followed by a secondary combustion chamber. Liquid waste is fed by air atomized waste nozzles. Solid wastes are fed through a drum chute.</t>
  </si>
  <si>
    <t>62 MMBtu/hr</t>
  </si>
  <si>
    <t>QC/PTWS/IWS</t>
  </si>
  <si>
    <t>Quench Chamber, Packed Tower Wet Scrubber, Two Parallel Ionizing Wet Scrubbers.</t>
  </si>
  <si>
    <t>Trial Burn Testing Results at Rotary Kiln Incinerator under maximum heat duty, v.1, Oct 1991</t>
  </si>
  <si>
    <r>
      <t>PM, HCl/Cl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CO, HC, Metals, Hexavalent Chromium, SVOC, VOC, D/F</t>
    </r>
  </si>
  <si>
    <t>RMT/Four Nines</t>
  </si>
  <si>
    <t>Report on Supplemental Trial Burn Testing, March 1996</t>
  </si>
  <si>
    <t>December 12-13, 1995</t>
  </si>
  <si>
    <t>Supplemental trial burn to verify certain aspects of performance compliance.</t>
  </si>
  <si>
    <t>ETS</t>
  </si>
  <si>
    <r>
      <t>PM, HCl/Cl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CO, HC, Metals, Hexavalent Chromium</t>
    </r>
  </si>
  <si>
    <t>Trial burn, maximum heat duty, maximum flow, minimum temperature, maximum ash, chlorine and metals feed.</t>
  </si>
  <si>
    <t>Slurry Waste</t>
  </si>
  <si>
    <t>Poly Waste</t>
  </si>
  <si>
    <t>Sand Drums</t>
  </si>
  <si>
    <t>Soil Drums</t>
  </si>
  <si>
    <t>Floor-Dry</t>
  </si>
  <si>
    <t>Acetyl</t>
  </si>
  <si>
    <t>Fuel Oil</t>
  </si>
  <si>
    <t>Silane Waste</t>
  </si>
  <si>
    <t>Drum Waste</t>
  </si>
  <si>
    <t>Density</t>
  </si>
  <si>
    <t>g/mL</t>
  </si>
  <si>
    <t>PCDD/PCDF</t>
  </si>
  <si>
    <t>Facility Name and ID:</t>
  </si>
  <si>
    <t>Condition ID:</t>
  </si>
  <si>
    <t>Condition/Test Date:</t>
  </si>
  <si>
    <t>I-TEF</t>
  </si>
  <si>
    <t>Wght Fact</t>
  </si>
  <si>
    <t xml:space="preserve"> TEQ</t>
  </si>
  <si>
    <t>TEQ</t>
  </si>
  <si>
    <t>1/2 ND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</si>
  <si>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</si>
  <si>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</si>
  <si>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</si>
  <si>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</si>
  <si>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</si>
  <si>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</si>
  <si>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</si>
  <si>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</si>
  <si>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</si>
  <si>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</si>
  <si>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</si>
  <si>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</si>
  <si>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</si>
  <si>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</si>
  <si>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</si>
  <si>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</si>
  <si>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</si>
  <si>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</si>
  <si>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</si>
  <si>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</si>
  <si>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</si>
  <si>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</si>
  <si>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</si>
  <si>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</si>
  <si>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 xml:space="preserve"> </t>
  </si>
  <si>
    <t>Total HpCDF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</si>
  <si>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</si>
  <si>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</si>
  <si>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</si>
  <si>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</si>
  <si>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</si>
  <si>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</si>
  <si>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Lower Secondary Comb Chamber Temp</t>
  </si>
  <si>
    <t>Upper Secondary Comb Chamber Temp</t>
  </si>
  <si>
    <t>GE Silicones, Waterford NY, Rotary Kiln Incinerator</t>
  </si>
  <si>
    <t>Detected in sample volume (ng)</t>
  </si>
  <si>
    <t>825C10</t>
  </si>
  <si>
    <t>825C11</t>
  </si>
  <si>
    <t>825C12</t>
  </si>
  <si>
    <t>Rotary Kiln Inc</t>
  </si>
  <si>
    <t>Mini burn</t>
  </si>
  <si>
    <t>D/F</t>
  </si>
  <si>
    <t>*Need copy of full report; only have D/F results supplied by GE*</t>
  </si>
  <si>
    <t>825C1</t>
  </si>
  <si>
    <t>Report Name/Date</t>
  </si>
  <si>
    <t>GE PCB Trial Burn Report, General Electric Company Silicone Products Division Rotary Kiln Incinerator, Waterford, New York, Prepared by GE, March 18, 1994</t>
  </si>
  <si>
    <t>Report Prepare</t>
  </si>
  <si>
    <t>GE</t>
  </si>
  <si>
    <t>Testing Firm</t>
  </si>
  <si>
    <t>Cond Descr</t>
  </si>
  <si>
    <t>PCB Trial Burn</t>
  </si>
  <si>
    <t>June 26-30, 1984</t>
  </si>
  <si>
    <t>R1</t>
  </si>
  <si>
    <t>R2</t>
  </si>
  <si>
    <t>R3</t>
  </si>
  <si>
    <t>R4</t>
  </si>
  <si>
    <t>Cond Avg</t>
  </si>
  <si>
    <t/>
  </si>
  <si>
    <t>PM/HCl</t>
  </si>
  <si>
    <t>PCB</t>
  </si>
  <si>
    <t>PCB Liquids</t>
  </si>
  <si>
    <t>PCB Solids</t>
  </si>
  <si>
    <t>Feedrate</t>
  </si>
  <si>
    <t>Heating value</t>
  </si>
  <si>
    <t>wt %</t>
  </si>
  <si>
    <t>ppmw</t>
  </si>
  <si>
    <t>Stack Gas</t>
  </si>
  <si>
    <t>Feedrate MTECs</t>
  </si>
  <si>
    <t>Report Preparation</t>
  </si>
  <si>
    <t>Testing Dates</t>
  </si>
  <si>
    <t>Condition Descr</t>
  </si>
  <si>
    <t>Content</t>
  </si>
  <si>
    <t>Condition Description</t>
  </si>
  <si>
    <t>Stack Gas Emissions 1</t>
  </si>
  <si>
    <t>Stack Gas Emissions 2</t>
  </si>
  <si>
    <t>Feedstream 1</t>
  </si>
  <si>
    <t>Feedstream 2</t>
  </si>
  <si>
    <t>Phase I ID No.</t>
  </si>
  <si>
    <t>Combustor Class</t>
  </si>
  <si>
    <t>Combustor Type</t>
  </si>
  <si>
    <t>Rotary kiln</t>
  </si>
  <si>
    <t>NYD002080034</t>
  </si>
  <si>
    <t>82511</t>
  </si>
  <si>
    <t>Combustion Temperature</t>
  </si>
  <si>
    <t>F</t>
  </si>
  <si>
    <t>Process Information 2</t>
  </si>
  <si>
    <t>WS Temperature</t>
  </si>
  <si>
    <t>Number of Sister Facilities</t>
  </si>
  <si>
    <t>APCS Detailed Acronym</t>
  </si>
  <si>
    <t>APCS General Class</t>
  </si>
  <si>
    <t>WQ, LEWS, IWS</t>
  </si>
  <si>
    <t>no.2 fuel oil</t>
  </si>
  <si>
    <t>Oil</t>
  </si>
  <si>
    <t>Liq, solid, sludge</t>
  </si>
  <si>
    <t>E1</t>
  </si>
  <si>
    <t>E2</t>
  </si>
  <si>
    <t>Cond Dates</t>
  </si>
  <si>
    <t>Chromium (Hex)</t>
  </si>
  <si>
    <t>Onsite incinerator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</si>
  <si>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</si>
  <si>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</si>
  <si>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</si>
  <si>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</si>
  <si>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</si>
  <si>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</si>
  <si>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</si>
  <si>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</si>
  <si>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c10</t>
  </si>
  <si>
    <t>df c12</t>
  </si>
  <si>
    <t>Feedstream Number</t>
  </si>
  <si>
    <t>Feed Class</t>
  </si>
  <si>
    <t>F1</t>
  </si>
  <si>
    <t>Liq HW</t>
  </si>
  <si>
    <t>F2</t>
  </si>
  <si>
    <t>F3</t>
  </si>
  <si>
    <t>F4</t>
  </si>
  <si>
    <t>F5</t>
  </si>
  <si>
    <t>F6</t>
  </si>
  <si>
    <t>F7</t>
  </si>
  <si>
    <t>Solid HW</t>
  </si>
  <si>
    <t>F8</t>
  </si>
  <si>
    <t>F9</t>
  </si>
  <si>
    <t>F10</t>
  </si>
  <si>
    <t>Slurry HW</t>
  </si>
  <si>
    <t>Thermal Feedrate</t>
  </si>
  <si>
    <t>Feed Class 2</t>
  </si>
  <si>
    <t>MF</t>
  </si>
  <si>
    <t>Estimated Firing Rate</t>
  </si>
  <si>
    <t>n</t>
  </si>
  <si>
    <t xml:space="preserve"> Trial burn maximum feedrate, minimum temperature. July 9, 1991</t>
  </si>
  <si>
    <t>Mini burn. May 1, 2001</t>
  </si>
  <si>
    <t>Full ND</t>
  </si>
  <si>
    <t xml:space="preserve">Condition/Test Date: </t>
  </si>
  <si>
    <t xml:space="preserve">Non Polar Solvents(NPS): Primarily toluene 45-65%,  Cl &lt; 0.3%, Si~5.4%.  POHC Mixture:Mixture of NPS waste, carbon tetrachloride, and chlorobenzene.  Acid Polor Solvents(APS): Liquid mixture of water, HCl and polar solvents.Cl~5.8%, Si~1.4%.  Waste Slurry:Mixture of chlorinated silanes and silicon powder,Cl~30%, Si~25%.  Poly Waste:High Viscosity Siloxanes. Si ~35%, Cl~0.1%.  Drummed Waste: Contaminated soil and bentonite clay (floor-dry)                                                                                                                       </t>
  </si>
  <si>
    <t>Run 4</t>
  </si>
  <si>
    <t>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</si>
</sst>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E+00"/>
    <numFmt numFmtId="178" formatCode="0.000E+00"/>
    <numFmt numFmtId="179" formatCode="0.00000E+00"/>
    <numFmt numFmtId="180" formatCode="0.000000E+00"/>
    <numFmt numFmtId="181" formatCode="0.0000000E+00"/>
    <numFmt numFmtId="182" formatCode="0.00000000E+00"/>
    <numFmt numFmtId="183" formatCode="0.E+00"/>
    <numFmt numFmtId="184" formatCode="0.0.E+00"/>
    <numFmt numFmtId="185" formatCode="0.00.E+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_(* #,##0.0_);_(* \(#,##0.0\);_(* &quot;-&quot;_);_(@_)"/>
    <numFmt numFmtId="190" formatCode="_(* #,##0.00_);_(* \(#,##0.00\);_(* &quot;-&quot;_);_(@_)"/>
    <numFmt numFmtId="191" formatCode="0.0E+00"/>
    <numFmt numFmtId="192" formatCode="0E+00"/>
    <numFmt numFmtId="193" formatCode="dd\-mmm\-yy"/>
    <numFmt numFmtId="194" formatCode="mm/dd/yy"/>
    <numFmt numFmtId="195" formatCode="mmmm\-yy"/>
  </numFmts>
  <fonts count="1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71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8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93" fontId="0" fillId="0" borderId="0" xfId="0" applyNumberFormat="1" applyFont="1" applyAlignment="1">
      <alignment/>
    </xf>
    <xf numFmtId="167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9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20" applyFont="1">
      <alignment/>
      <protection/>
    </xf>
    <xf numFmtId="0" fontId="3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0" fontId="0" fillId="0" borderId="0" xfId="20" applyFont="1" applyAlignment="1">
      <alignment vertical="top" wrapText="1"/>
      <protection/>
    </xf>
    <xf numFmtId="0" fontId="0" fillId="0" borderId="0" xfId="20" applyFont="1" applyAlignment="1">
      <alignment horizontal="left" wrapText="1"/>
      <protection/>
    </xf>
    <xf numFmtId="0" fontId="0" fillId="0" borderId="0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0" fillId="0" borderId="0" xfId="20" applyNumberFormat="1" applyFont="1" applyFill="1" applyBorder="1">
      <alignment/>
      <protection/>
    </xf>
    <xf numFmtId="1" fontId="0" fillId="0" borderId="0" xfId="20" applyNumberFormat="1" applyFont="1" applyFill="1" applyBorder="1">
      <alignment/>
      <protection/>
    </xf>
    <xf numFmtId="2" fontId="0" fillId="0" borderId="0" xfId="20" applyNumberFormat="1" applyFont="1" applyFill="1" applyBorder="1">
      <alignment/>
      <protection/>
    </xf>
    <xf numFmtId="0" fontId="0" fillId="0" borderId="0" xfId="0" applyFont="1" applyAlignment="1">
      <alignment vertical="top"/>
    </xf>
    <xf numFmtId="166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1" fontId="6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20" applyFont="1" applyFill="1" applyBorder="1">
      <alignment/>
      <protection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7" fontId="0" fillId="0" borderId="0" xfId="20" applyNumberFormat="1" applyFont="1" applyAlignment="1">
      <alignment horizontal="left"/>
      <protection/>
    </xf>
    <xf numFmtId="165" fontId="0" fillId="0" borderId="0" xfId="20" applyNumberFormat="1" applyFont="1" applyFill="1" applyBorder="1">
      <alignment/>
      <protection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37" fontId="0" fillId="0" borderId="0" xfId="15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1" fontId="0" fillId="0" borderId="0" xfId="15" applyNumberFormat="1" applyFont="1" applyFill="1" applyBorder="1" applyAlignment="1">
      <alignment/>
    </xf>
    <xf numFmtId="0" fontId="0" fillId="0" borderId="0" xfId="20" applyFont="1" applyAlignment="1">
      <alignment horizontal="center"/>
      <protection/>
    </xf>
    <xf numFmtId="0" fontId="0" fillId="0" borderId="0" xfId="20" applyFont="1" applyBorder="1">
      <alignment/>
      <protection/>
    </xf>
    <xf numFmtId="0" fontId="0" fillId="0" borderId="0" xfId="20" applyNumberFormat="1" applyFont="1" applyBorder="1">
      <alignment/>
      <protection/>
    </xf>
    <xf numFmtId="166" fontId="0" fillId="0" borderId="0" xfId="20" applyNumberFormat="1" applyFont="1" applyBorder="1">
      <alignment/>
      <protection/>
    </xf>
    <xf numFmtId="167" fontId="0" fillId="0" borderId="0" xfId="20" applyNumberFormat="1" applyFont="1" applyBorder="1">
      <alignment/>
      <protection/>
    </xf>
    <xf numFmtId="165" fontId="0" fillId="0" borderId="0" xfId="20" applyNumberFormat="1" applyFont="1" applyBorder="1">
      <alignment/>
      <protection/>
    </xf>
    <xf numFmtId="171" fontId="0" fillId="0" borderId="0" xfId="20" applyNumberFormat="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825 old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F26" sqref="F26"/>
    </sheetView>
  </sheetViews>
  <sheetFormatPr defaultColWidth="9.140625" defaultRowHeight="12.75"/>
  <sheetData>
    <row r="1" ht="12.75">
      <c r="A1" t="s">
        <v>233</v>
      </c>
    </row>
    <row r="2" ht="12.75">
      <c r="A2" t="s">
        <v>234</v>
      </c>
    </row>
    <row r="3" ht="12.75">
      <c r="A3" t="s">
        <v>235</v>
      </c>
    </row>
    <row r="4" ht="12.75">
      <c r="A4" t="s">
        <v>236</v>
      </c>
    </row>
    <row r="5" ht="12.75">
      <c r="A5" t="s">
        <v>237</v>
      </c>
    </row>
    <row r="6" ht="12.75">
      <c r="A6" t="s">
        <v>238</v>
      </c>
    </row>
    <row r="7" ht="12.75">
      <c r="A7" t="s">
        <v>239</v>
      </c>
    </row>
    <row r="8" ht="12.75">
      <c r="A8" t="s">
        <v>240</v>
      </c>
    </row>
    <row r="9" ht="12.75">
      <c r="A9" t="s">
        <v>241</v>
      </c>
    </row>
    <row r="10" ht="12.75">
      <c r="A10" t="s">
        <v>242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6">
      <selection activeCell="B2" sqref="B2"/>
    </sheetView>
  </sheetViews>
  <sheetFormatPr defaultColWidth="9.140625" defaultRowHeight="12.75"/>
  <cols>
    <col min="1" max="1" width="1.7109375" style="0" customWidth="1"/>
    <col min="2" max="2" width="17.140625" style="0" customWidth="1"/>
    <col min="3" max="3" width="12.28125" style="0" customWidth="1"/>
    <col min="4" max="4" width="4.421875" style="68" customWidth="1"/>
    <col min="5" max="5" width="9.421875" style="68" customWidth="1"/>
    <col min="6" max="6" width="9.8515625" style="68" customWidth="1"/>
    <col min="7" max="7" width="9.140625" style="68" customWidth="1"/>
    <col min="8" max="8" width="9.8515625" style="68" customWidth="1"/>
    <col min="9" max="9" width="3.421875" style="68" customWidth="1"/>
    <col min="10" max="10" width="9.140625" style="68" customWidth="1"/>
    <col min="11" max="11" width="9.28125" style="68" customWidth="1"/>
    <col min="12" max="12" width="9.140625" style="68" customWidth="1"/>
    <col min="13" max="13" width="9.28125" style="68" customWidth="1"/>
    <col min="14" max="14" width="4.00390625" style="68" customWidth="1"/>
    <col min="15" max="15" width="9.140625" style="68" customWidth="1"/>
    <col min="16" max="16" width="9.00390625" style="68" customWidth="1"/>
    <col min="17" max="17" width="9.140625" style="68" customWidth="1"/>
    <col min="18" max="18" width="9.00390625" style="68" customWidth="1"/>
  </cols>
  <sheetData>
    <row r="1" spans="1:18" ht="12.75">
      <c r="A1" s="51" t="s">
        <v>125</v>
      </c>
      <c r="B1" s="23"/>
      <c r="C1" s="23"/>
      <c r="D1" s="23"/>
      <c r="E1" s="52"/>
      <c r="F1" s="53"/>
      <c r="G1" s="52"/>
      <c r="H1" s="53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2.75">
      <c r="A2" s="23" t="s">
        <v>269</v>
      </c>
      <c r="B2" s="23"/>
      <c r="C2" s="23"/>
      <c r="D2" s="23"/>
      <c r="E2" s="52"/>
      <c r="F2" s="53"/>
      <c r="G2" s="52"/>
      <c r="H2" s="53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2.75">
      <c r="A3" s="23" t="s">
        <v>126</v>
      </c>
      <c r="B3" s="23"/>
      <c r="C3" s="8" t="s">
        <v>168</v>
      </c>
      <c r="D3" s="8"/>
      <c r="E3" s="52"/>
      <c r="F3" s="53"/>
      <c r="G3" s="52"/>
      <c r="H3" s="53"/>
      <c r="I3" s="52"/>
      <c r="J3" s="54"/>
      <c r="K3" s="52"/>
      <c r="L3" s="52"/>
      <c r="M3" s="52"/>
      <c r="N3" s="52"/>
      <c r="O3" s="52"/>
      <c r="P3" s="52"/>
      <c r="Q3" s="52"/>
      <c r="R3" s="52"/>
    </row>
    <row r="4" spans="1:18" ht="12.75">
      <c r="A4" s="23" t="s">
        <v>127</v>
      </c>
      <c r="B4" s="23"/>
      <c r="C4" s="8" t="s">
        <v>170</v>
      </c>
      <c r="D4" s="8"/>
      <c r="E4" s="55"/>
      <c r="F4" s="56"/>
      <c r="G4" s="55"/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2.75">
      <c r="A5" s="23" t="s">
        <v>266</v>
      </c>
      <c r="B5" s="23"/>
      <c r="C5" s="60" t="s">
        <v>263</v>
      </c>
      <c r="D5" s="23"/>
      <c r="E5" s="23"/>
      <c r="F5" s="23"/>
      <c r="G5" s="23"/>
      <c r="H5" s="23"/>
      <c r="I5" s="23"/>
      <c r="J5" s="23"/>
      <c r="K5" s="52"/>
      <c r="L5" s="23"/>
      <c r="M5" s="52"/>
      <c r="N5" s="52"/>
      <c r="O5" s="52"/>
      <c r="P5" s="52"/>
      <c r="Q5" s="52"/>
      <c r="R5" s="52"/>
    </row>
    <row r="6" spans="1:18" ht="12.75">
      <c r="A6" s="23"/>
      <c r="B6" s="23"/>
      <c r="C6" s="24"/>
      <c r="D6" s="24"/>
      <c r="E6" s="28"/>
      <c r="F6" s="53"/>
      <c r="G6" s="28"/>
      <c r="H6" s="53"/>
      <c r="I6" s="52"/>
      <c r="J6" s="28"/>
      <c r="K6" s="52"/>
      <c r="L6" s="28"/>
      <c r="M6" s="52"/>
      <c r="N6" s="52"/>
      <c r="O6" s="28"/>
      <c r="P6" s="52"/>
      <c r="Q6" s="28"/>
      <c r="R6" s="52"/>
    </row>
    <row r="7" spans="1:18" ht="12.75">
      <c r="A7" s="23"/>
      <c r="B7" s="23"/>
      <c r="C7" s="24" t="s">
        <v>129</v>
      </c>
      <c r="D7" s="24"/>
      <c r="E7" s="70" t="s">
        <v>30</v>
      </c>
      <c r="F7" s="70"/>
      <c r="G7" s="70"/>
      <c r="H7" s="70"/>
      <c r="I7" s="71"/>
      <c r="J7" s="70" t="s">
        <v>31</v>
      </c>
      <c r="K7" s="70"/>
      <c r="L7" s="70"/>
      <c r="M7" s="70"/>
      <c r="N7" s="71"/>
      <c r="O7" s="70" t="s">
        <v>32</v>
      </c>
      <c r="P7" s="70"/>
      <c r="Q7" s="70"/>
      <c r="R7" s="70"/>
    </row>
    <row r="8" spans="1:18" ht="12.75">
      <c r="A8" s="23"/>
      <c r="B8" s="23"/>
      <c r="C8" s="24" t="s">
        <v>130</v>
      </c>
      <c r="D8" s="23"/>
      <c r="E8" s="28" t="s">
        <v>99</v>
      </c>
      <c r="F8" s="56" t="s">
        <v>131</v>
      </c>
      <c r="G8" s="28" t="s">
        <v>99</v>
      </c>
      <c r="H8" s="56" t="s">
        <v>131</v>
      </c>
      <c r="I8" s="52"/>
      <c r="J8" s="28" t="s">
        <v>99</v>
      </c>
      <c r="K8" s="28" t="s">
        <v>132</v>
      </c>
      <c r="L8" s="28" t="s">
        <v>99</v>
      </c>
      <c r="M8" s="28" t="s">
        <v>132</v>
      </c>
      <c r="N8" s="52"/>
      <c r="O8" s="28" t="s">
        <v>99</v>
      </c>
      <c r="P8" s="28" t="s">
        <v>132</v>
      </c>
      <c r="Q8" s="28" t="s">
        <v>99</v>
      </c>
      <c r="R8" s="28" t="s">
        <v>132</v>
      </c>
    </row>
    <row r="9" spans="1:18" s="68" customFormat="1" ht="12.75">
      <c r="A9" s="23"/>
      <c r="B9" s="23"/>
      <c r="C9" s="24"/>
      <c r="D9" s="23"/>
      <c r="E9" s="28" t="s">
        <v>265</v>
      </c>
      <c r="F9" s="28" t="s">
        <v>265</v>
      </c>
      <c r="G9" s="28" t="s">
        <v>133</v>
      </c>
      <c r="H9" s="56" t="s">
        <v>133</v>
      </c>
      <c r="I9" s="52"/>
      <c r="J9" s="28" t="s">
        <v>265</v>
      </c>
      <c r="K9" s="28" t="s">
        <v>265</v>
      </c>
      <c r="L9" s="28" t="s">
        <v>133</v>
      </c>
      <c r="M9" s="56" t="s">
        <v>133</v>
      </c>
      <c r="N9" s="52"/>
      <c r="O9" s="28" t="s">
        <v>265</v>
      </c>
      <c r="P9" s="28" t="s">
        <v>265</v>
      </c>
      <c r="Q9" s="28" t="s">
        <v>133</v>
      </c>
      <c r="R9" s="56" t="s">
        <v>133</v>
      </c>
    </row>
    <row r="10" spans="1:18" ht="12.75">
      <c r="A10" s="23" t="s">
        <v>169</v>
      </c>
      <c r="B10" s="23"/>
      <c r="C10" s="23"/>
      <c r="D10" s="23"/>
      <c r="E10" s="52"/>
      <c r="F10" s="53"/>
      <c r="G10" s="52"/>
      <c r="H10" s="53"/>
      <c r="I10" s="52"/>
      <c r="J10" s="52"/>
      <c r="K10" s="52"/>
      <c r="L10" s="52"/>
      <c r="M10" s="52"/>
      <c r="N10" s="52"/>
      <c r="O10" s="25"/>
      <c r="P10" s="52"/>
      <c r="Q10" s="52"/>
      <c r="R10" s="52"/>
    </row>
    <row r="11" spans="1:18" ht="12.75">
      <c r="A11" s="23"/>
      <c r="B11" s="23" t="s">
        <v>134</v>
      </c>
      <c r="C11" s="24">
        <v>1</v>
      </c>
      <c r="D11" s="24"/>
      <c r="E11" s="58">
        <v>0.008</v>
      </c>
      <c r="F11" s="58">
        <f aca="true" t="shared" si="0" ref="F11:H35">IF(E11="","",E11*$C11)</f>
        <v>0.008</v>
      </c>
      <c r="G11" s="58">
        <f aca="true" t="shared" si="1" ref="G11:G35">IF(E11=0,"",IF(D11="nd",E11/2,E11))</f>
        <v>0.008</v>
      </c>
      <c r="H11" s="58">
        <f t="shared" si="0"/>
        <v>0.008</v>
      </c>
      <c r="I11" s="58"/>
      <c r="J11" s="58">
        <v>0.007</v>
      </c>
      <c r="K11" s="58">
        <f aca="true" t="shared" si="2" ref="K11:M35">IF(J11="","",J11*$C11)</f>
        <v>0.007</v>
      </c>
      <c r="L11" s="58">
        <f aca="true" t="shared" si="3" ref="L11:L35">IF(J11=0,"",IF(I11="nd",J11/2,J11))</f>
        <v>0.007</v>
      </c>
      <c r="M11" s="58">
        <f t="shared" si="2"/>
        <v>0.007</v>
      </c>
      <c r="N11" s="58"/>
      <c r="O11" s="58">
        <v>0.005</v>
      </c>
      <c r="P11" s="58">
        <f aca="true" t="shared" si="4" ref="P11:R35">IF(O11="","",O11*$C11)</f>
        <v>0.005</v>
      </c>
      <c r="Q11" s="58">
        <f aca="true" t="shared" si="5" ref="Q11:Q35">IF(O11=0,"",IF(N11="nd",O11/2,O11))</f>
        <v>0.005</v>
      </c>
      <c r="R11" s="58">
        <f t="shared" si="4"/>
        <v>0.005</v>
      </c>
    </row>
    <row r="12" spans="1:18" ht="12.75">
      <c r="A12" s="23"/>
      <c r="B12" s="23" t="s">
        <v>135</v>
      </c>
      <c r="C12" s="24">
        <v>0.5</v>
      </c>
      <c r="D12" s="24"/>
      <c r="E12" s="58">
        <v>0.008</v>
      </c>
      <c r="F12" s="58">
        <f t="shared" si="0"/>
        <v>0.004</v>
      </c>
      <c r="G12" s="58">
        <f t="shared" si="1"/>
        <v>0.008</v>
      </c>
      <c r="H12" s="58">
        <f t="shared" si="0"/>
        <v>0.004</v>
      </c>
      <c r="I12" s="58"/>
      <c r="J12" s="58">
        <v>0.006</v>
      </c>
      <c r="K12" s="58">
        <f t="shared" si="2"/>
        <v>0.003</v>
      </c>
      <c r="L12" s="58">
        <f t="shared" si="3"/>
        <v>0.006</v>
      </c>
      <c r="M12" s="58">
        <f t="shared" si="2"/>
        <v>0.003</v>
      </c>
      <c r="N12" s="58"/>
      <c r="O12" s="58">
        <v>0.004</v>
      </c>
      <c r="P12" s="58">
        <f t="shared" si="4"/>
        <v>0.002</v>
      </c>
      <c r="Q12" s="58">
        <f t="shared" si="5"/>
        <v>0.004</v>
      </c>
      <c r="R12" s="58">
        <f t="shared" si="4"/>
        <v>0.002</v>
      </c>
    </row>
    <row r="13" spans="1:18" ht="12.75">
      <c r="A13" s="23"/>
      <c r="B13" s="23" t="s">
        <v>136</v>
      </c>
      <c r="C13" s="24">
        <v>0.1</v>
      </c>
      <c r="D13" s="24" t="s">
        <v>19</v>
      </c>
      <c r="E13" s="58">
        <v>0.01</v>
      </c>
      <c r="F13" s="58">
        <f t="shared" si="0"/>
        <v>0.001</v>
      </c>
      <c r="G13" s="58">
        <f t="shared" si="1"/>
        <v>0.005</v>
      </c>
      <c r="H13" s="58">
        <f t="shared" si="0"/>
        <v>0.0005</v>
      </c>
      <c r="I13" s="58"/>
      <c r="J13" s="58">
        <v>0.003</v>
      </c>
      <c r="K13" s="58">
        <f>IF(J13="","",J13*$C13)</f>
        <v>0.00030000000000000003</v>
      </c>
      <c r="L13" s="58">
        <f t="shared" si="3"/>
        <v>0.003</v>
      </c>
      <c r="M13" s="58">
        <f>IF(L13="","",L13*$C13)</f>
        <v>0.00030000000000000003</v>
      </c>
      <c r="N13" s="58" t="s">
        <v>19</v>
      </c>
      <c r="O13" s="58">
        <v>0.005</v>
      </c>
      <c r="P13" s="58">
        <f t="shared" si="4"/>
        <v>0.0005</v>
      </c>
      <c r="Q13" s="58">
        <f t="shared" si="5"/>
        <v>0.0025</v>
      </c>
      <c r="R13" s="58">
        <f t="shared" si="4"/>
        <v>0.00025</v>
      </c>
    </row>
    <row r="14" spans="1:18" ht="12.75">
      <c r="A14" s="23"/>
      <c r="B14" s="23" t="s">
        <v>137</v>
      </c>
      <c r="C14" s="24">
        <v>0.1</v>
      </c>
      <c r="D14" s="24" t="s">
        <v>19</v>
      </c>
      <c r="E14" s="58">
        <v>0.008</v>
      </c>
      <c r="F14" s="58">
        <f t="shared" si="0"/>
        <v>0.0008</v>
      </c>
      <c r="G14" s="58">
        <f t="shared" si="1"/>
        <v>0.004</v>
      </c>
      <c r="H14" s="58">
        <f t="shared" si="0"/>
        <v>0.0004</v>
      </c>
      <c r="I14" s="58"/>
      <c r="J14" s="58">
        <v>0.004</v>
      </c>
      <c r="K14" s="58">
        <f t="shared" si="2"/>
        <v>0.0004</v>
      </c>
      <c r="L14" s="58">
        <f t="shared" si="3"/>
        <v>0.004</v>
      </c>
      <c r="M14" s="58">
        <f t="shared" si="2"/>
        <v>0.0004</v>
      </c>
      <c r="N14" s="58"/>
      <c r="O14" s="58">
        <v>0.007</v>
      </c>
      <c r="P14" s="58">
        <f t="shared" si="4"/>
        <v>0.0007000000000000001</v>
      </c>
      <c r="Q14" s="58">
        <f t="shared" si="5"/>
        <v>0.007</v>
      </c>
      <c r="R14" s="58">
        <f t="shared" si="4"/>
        <v>0.0007000000000000001</v>
      </c>
    </row>
    <row r="15" spans="1:18" ht="12.75">
      <c r="A15" s="23"/>
      <c r="B15" s="23" t="s">
        <v>138</v>
      </c>
      <c r="C15" s="24">
        <v>0.1</v>
      </c>
      <c r="D15" s="24" t="s">
        <v>19</v>
      </c>
      <c r="E15" s="58">
        <v>0.01</v>
      </c>
      <c r="F15" s="58">
        <f t="shared" si="0"/>
        <v>0.001</v>
      </c>
      <c r="G15" s="58">
        <f t="shared" si="1"/>
        <v>0.005</v>
      </c>
      <c r="H15" s="58">
        <f t="shared" si="0"/>
        <v>0.0005</v>
      </c>
      <c r="I15" s="58" t="s">
        <v>19</v>
      </c>
      <c r="J15" s="58">
        <v>0.003</v>
      </c>
      <c r="K15" s="58">
        <f t="shared" si="2"/>
        <v>0.00030000000000000003</v>
      </c>
      <c r="L15" s="58">
        <f t="shared" si="3"/>
        <v>0.0015</v>
      </c>
      <c r="M15" s="58">
        <f t="shared" si="2"/>
        <v>0.00015000000000000001</v>
      </c>
      <c r="N15" s="58"/>
      <c r="O15" s="58">
        <v>0.008</v>
      </c>
      <c r="P15" s="58">
        <f t="shared" si="4"/>
        <v>0.0008</v>
      </c>
      <c r="Q15" s="58">
        <f t="shared" si="5"/>
        <v>0.008</v>
      </c>
      <c r="R15" s="58">
        <f t="shared" si="4"/>
        <v>0.0008</v>
      </c>
    </row>
    <row r="16" spans="1:18" ht="12.75">
      <c r="A16" s="23"/>
      <c r="B16" s="23" t="s">
        <v>139</v>
      </c>
      <c r="C16" s="24">
        <v>0.01</v>
      </c>
      <c r="D16" s="24"/>
      <c r="E16" s="58">
        <v>0.07</v>
      </c>
      <c r="F16" s="58">
        <f t="shared" si="0"/>
        <v>0.0007000000000000001</v>
      </c>
      <c r="G16" s="58">
        <f t="shared" si="1"/>
        <v>0.07</v>
      </c>
      <c r="H16" s="58">
        <f t="shared" si="0"/>
        <v>0.0007000000000000001</v>
      </c>
      <c r="I16" s="58"/>
      <c r="J16" s="58">
        <v>0.02</v>
      </c>
      <c r="K16" s="58">
        <f t="shared" si="2"/>
        <v>0.0002</v>
      </c>
      <c r="L16" s="58">
        <f t="shared" si="3"/>
        <v>0.02</v>
      </c>
      <c r="M16" s="58">
        <f t="shared" si="2"/>
        <v>0.0002</v>
      </c>
      <c r="N16" s="58"/>
      <c r="O16" s="58">
        <v>0.2</v>
      </c>
      <c r="P16" s="58">
        <f t="shared" si="4"/>
        <v>0.002</v>
      </c>
      <c r="Q16" s="58">
        <f t="shared" si="5"/>
        <v>0.2</v>
      </c>
      <c r="R16" s="58">
        <f t="shared" si="4"/>
        <v>0.002</v>
      </c>
    </row>
    <row r="17" spans="1:18" ht="12.75">
      <c r="A17" s="23"/>
      <c r="B17" s="23" t="s">
        <v>140</v>
      </c>
      <c r="C17" s="24">
        <v>0.001</v>
      </c>
      <c r="D17" s="24"/>
      <c r="E17" s="58">
        <v>1.1</v>
      </c>
      <c r="F17" s="58">
        <f t="shared" si="0"/>
        <v>0.0011</v>
      </c>
      <c r="G17" s="58">
        <f t="shared" si="1"/>
        <v>1.1</v>
      </c>
      <c r="H17" s="58">
        <f t="shared" si="0"/>
        <v>0.0011</v>
      </c>
      <c r="I17" s="58"/>
      <c r="J17" s="58">
        <v>0.49</v>
      </c>
      <c r="K17" s="58">
        <f t="shared" si="2"/>
        <v>0.00049</v>
      </c>
      <c r="L17" s="58">
        <f t="shared" si="3"/>
        <v>0.49</v>
      </c>
      <c r="M17" s="58">
        <f t="shared" si="2"/>
        <v>0.00049</v>
      </c>
      <c r="N17" s="58"/>
      <c r="O17" s="58">
        <v>1.9</v>
      </c>
      <c r="P17" s="58">
        <f t="shared" si="4"/>
        <v>0.0019</v>
      </c>
      <c r="Q17" s="58">
        <f t="shared" si="5"/>
        <v>1.9</v>
      </c>
      <c r="R17" s="58">
        <f t="shared" si="4"/>
        <v>0.0019</v>
      </c>
    </row>
    <row r="18" spans="1:18" ht="12.75">
      <c r="A18" s="23"/>
      <c r="B18" s="23" t="s">
        <v>141</v>
      </c>
      <c r="C18" s="24">
        <v>0.1</v>
      </c>
      <c r="D18" s="24"/>
      <c r="E18" s="58">
        <v>0.14</v>
      </c>
      <c r="F18" s="58">
        <f t="shared" si="0"/>
        <v>0.014000000000000002</v>
      </c>
      <c r="G18" s="58">
        <f t="shared" si="1"/>
        <v>0.14</v>
      </c>
      <c r="H18" s="58">
        <f t="shared" si="0"/>
        <v>0.014000000000000002</v>
      </c>
      <c r="I18" s="58"/>
      <c r="J18" s="58">
        <v>0.26</v>
      </c>
      <c r="K18" s="58">
        <f t="shared" si="2"/>
        <v>0.026000000000000002</v>
      </c>
      <c r="L18" s="58">
        <f t="shared" si="3"/>
        <v>0.26</v>
      </c>
      <c r="M18" s="58">
        <f t="shared" si="2"/>
        <v>0.026000000000000002</v>
      </c>
      <c r="N18" s="58"/>
      <c r="O18" s="58">
        <v>0.17</v>
      </c>
      <c r="P18" s="58">
        <f t="shared" si="4"/>
        <v>0.017</v>
      </c>
      <c r="Q18" s="58">
        <f t="shared" si="5"/>
        <v>0.17</v>
      </c>
      <c r="R18" s="58">
        <f t="shared" si="4"/>
        <v>0.017</v>
      </c>
    </row>
    <row r="19" spans="1:18" ht="12.75">
      <c r="A19" s="23"/>
      <c r="B19" s="23" t="s">
        <v>142</v>
      </c>
      <c r="C19" s="24">
        <v>0.05</v>
      </c>
      <c r="D19" s="24"/>
      <c r="E19" s="58">
        <v>0.05</v>
      </c>
      <c r="F19" s="58">
        <f t="shared" si="0"/>
        <v>0.0025000000000000005</v>
      </c>
      <c r="G19" s="58">
        <f t="shared" si="1"/>
        <v>0.05</v>
      </c>
      <c r="H19" s="58">
        <f t="shared" si="0"/>
        <v>0.0025000000000000005</v>
      </c>
      <c r="I19" s="58"/>
      <c r="J19" s="58">
        <v>0.06</v>
      </c>
      <c r="K19" s="58">
        <f t="shared" si="2"/>
        <v>0.003</v>
      </c>
      <c r="L19" s="58">
        <f t="shared" si="3"/>
        <v>0.06</v>
      </c>
      <c r="M19" s="58">
        <f t="shared" si="2"/>
        <v>0.003</v>
      </c>
      <c r="N19" s="58"/>
      <c r="O19" s="58">
        <v>0.04</v>
      </c>
      <c r="P19" s="58">
        <f t="shared" si="4"/>
        <v>0.002</v>
      </c>
      <c r="Q19" s="58">
        <f t="shared" si="5"/>
        <v>0.04</v>
      </c>
      <c r="R19" s="58">
        <f t="shared" si="4"/>
        <v>0.002</v>
      </c>
    </row>
    <row r="20" spans="1:18" ht="12.75">
      <c r="A20" s="23"/>
      <c r="B20" s="23" t="s">
        <v>143</v>
      </c>
      <c r="C20" s="24">
        <v>0.5</v>
      </c>
      <c r="D20" s="24"/>
      <c r="E20" s="58">
        <v>0.02</v>
      </c>
      <c r="F20" s="58">
        <f t="shared" si="0"/>
        <v>0.01</v>
      </c>
      <c r="G20" s="58">
        <f t="shared" si="1"/>
        <v>0.02</v>
      </c>
      <c r="H20" s="58">
        <f t="shared" si="0"/>
        <v>0.01</v>
      </c>
      <c r="I20" s="58"/>
      <c r="J20" s="58">
        <v>0.03</v>
      </c>
      <c r="K20" s="58">
        <f t="shared" si="2"/>
        <v>0.015</v>
      </c>
      <c r="L20" s="58">
        <f t="shared" si="3"/>
        <v>0.03</v>
      </c>
      <c r="M20" s="58">
        <f t="shared" si="2"/>
        <v>0.015</v>
      </c>
      <c r="N20" s="58"/>
      <c r="O20" s="58">
        <v>0.02</v>
      </c>
      <c r="P20" s="58">
        <f t="shared" si="4"/>
        <v>0.01</v>
      </c>
      <c r="Q20" s="58">
        <f t="shared" si="5"/>
        <v>0.02</v>
      </c>
      <c r="R20" s="58">
        <f t="shared" si="4"/>
        <v>0.01</v>
      </c>
    </row>
    <row r="21" spans="1:18" ht="12.75">
      <c r="A21" s="23"/>
      <c r="B21" s="23" t="s">
        <v>144</v>
      </c>
      <c r="C21" s="24">
        <v>0.1</v>
      </c>
      <c r="D21" s="24"/>
      <c r="E21" s="58">
        <v>0.09</v>
      </c>
      <c r="F21" s="58">
        <f t="shared" si="0"/>
        <v>0.009</v>
      </c>
      <c r="G21" s="58">
        <f t="shared" si="1"/>
        <v>0.09</v>
      </c>
      <c r="H21" s="58">
        <f t="shared" si="0"/>
        <v>0.009</v>
      </c>
      <c r="I21" s="58"/>
      <c r="J21" s="58">
        <v>0.11</v>
      </c>
      <c r="K21" s="58">
        <f t="shared" si="2"/>
        <v>0.011000000000000001</v>
      </c>
      <c r="L21" s="58">
        <f t="shared" si="3"/>
        <v>0.11</v>
      </c>
      <c r="M21" s="58">
        <f t="shared" si="2"/>
        <v>0.011000000000000001</v>
      </c>
      <c r="N21" s="58"/>
      <c r="O21" s="58">
        <v>0.07</v>
      </c>
      <c r="P21" s="58">
        <f t="shared" si="4"/>
        <v>0.007000000000000001</v>
      </c>
      <c r="Q21" s="58">
        <f t="shared" si="5"/>
        <v>0.07</v>
      </c>
      <c r="R21" s="58">
        <f t="shared" si="4"/>
        <v>0.007000000000000001</v>
      </c>
    </row>
    <row r="22" spans="1:18" ht="12.75">
      <c r="A22" s="23"/>
      <c r="B22" s="23" t="s">
        <v>145</v>
      </c>
      <c r="C22" s="24">
        <v>0.1</v>
      </c>
      <c r="D22" s="24"/>
      <c r="E22" s="58">
        <v>0.02</v>
      </c>
      <c r="F22" s="58">
        <f t="shared" si="0"/>
        <v>0.002</v>
      </c>
      <c r="G22" s="58">
        <f t="shared" si="1"/>
        <v>0.02</v>
      </c>
      <c r="H22" s="58">
        <f t="shared" si="0"/>
        <v>0.002</v>
      </c>
      <c r="I22" s="58"/>
      <c r="J22" s="58">
        <v>0.02</v>
      </c>
      <c r="K22" s="58">
        <f t="shared" si="2"/>
        <v>0.002</v>
      </c>
      <c r="L22" s="58">
        <f t="shared" si="3"/>
        <v>0.02</v>
      </c>
      <c r="M22" s="58">
        <f t="shared" si="2"/>
        <v>0.002</v>
      </c>
      <c r="N22" s="58"/>
      <c r="O22" s="58">
        <v>0.01</v>
      </c>
      <c r="P22" s="58">
        <f t="shared" si="4"/>
        <v>0.001</v>
      </c>
      <c r="Q22" s="58">
        <f t="shared" si="5"/>
        <v>0.01</v>
      </c>
      <c r="R22" s="58">
        <f t="shared" si="4"/>
        <v>0.001</v>
      </c>
    </row>
    <row r="23" spans="1:18" ht="12.75">
      <c r="A23" s="23"/>
      <c r="B23" s="23" t="s">
        <v>146</v>
      </c>
      <c r="C23" s="24">
        <v>0.1</v>
      </c>
      <c r="D23" s="24"/>
      <c r="E23" s="58">
        <v>0.03</v>
      </c>
      <c r="F23" s="58">
        <f t="shared" si="0"/>
        <v>0.003</v>
      </c>
      <c r="G23" s="58">
        <f t="shared" si="1"/>
        <v>0.03</v>
      </c>
      <c r="H23" s="58">
        <f t="shared" si="0"/>
        <v>0.003</v>
      </c>
      <c r="I23" s="58"/>
      <c r="J23" s="58">
        <v>0.03</v>
      </c>
      <c r="K23" s="58">
        <f t="shared" si="2"/>
        <v>0.003</v>
      </c>
      <c r="L23" s="58">
        <f t="shared" si="3"/>
        <v>0.03</v>
      </c>
      <c r="M23" s="58">
        <f t="shared" si="2"/>
        <v>0.003</v>
      </c>
      <c r="N23" s="58"/>
      <c r="O23" s="58">
        <v>0.04</v>
      </c>
      <c r="P23" s="58">
        <f t="shared" si="4"/>
        <v>0.004</v>
      </c>
      <c r="Q23" s="58">
        <f t="shared" si="5"/>
        <v>0.04</v>
      </c>
      <c r="R23" s="58">
        <f t="shared" si="4"/>
        <v>0.004</v>
      </c>
    </row>
    <row r="24" spans="1:18" ht="12.75">
      <c r="A24" s="23"/>
      <c r="B24" s="23" t="s">
        <v>147</v>
      </c>
      <c r="C24" s="24">
        <v>0.1</v>
      </c>
      <c r="D24" s="24" t="s">
        <v>19</v>
      </c>
      <c r="E24" s="58">
        <v>0.02</v>
      </c>
      <c r="F24" s="58">
        <f t="shared" si="0"/>
        <v>0.002</v>
      </c>
      <c r="G24" s="58">
        <f t="shared" si="1"/>
        <v>0.01</v>
      </c>
      <c r="H24" s="58">
        <f t="shared" si="0"/>
        <v>0.001</v>
      </c>
      <c r="I24" s="58" t="s">
        <v>19</v>
      </c>
      <c r="J24" s="58">
        <v>0.003</v>
      </c>
      <c r="K24" s="58">
        <f t="shared" si="2"/>
        <v>0.00030000000000000003</v>
      </c>
      <c r="L24" s="58">
        <f t="shared" si="3"/>
        <v>0.0015</v>
      </c>
      <c r="M24" s="58">
        <f t="shared" si="2"/>
        <v>0.00015000000000000001</v>
      </c>
      <c r="N24" s="58" t="s">
        <v>19</v>
      </c>
      <c r="O24" s="58">
        <v>0.005</v>
      </c>
      <c r="P24" s="58">
        <f t="shared" si="4"/>
        <v>0.0005</v>
      </c>
      <c r="Q24" s="58">
        <f t="shared" si="5"/>
        <v>0.0025</v>
      </c>
      <c r="R24" s="58">
        <f t="shared" si="4"/>
        <v>0.00025</v>
      </c>
    </row>
    <row r="25" spans="1:18" ht="12.75">
      <c r="A25" s="23"/>
      <c r="B25" s="23" t="s">
        <v>148</v>
      </c>
      <c r="C25" s="24">
        <v>0.01</v>
      </c>
      <c r="D25" s="24"/>
      <c r="E25" s="58">
        <v>0.06</v>
      </c>
      <c r="F25" s="58">
        <f t="shared" si="0"/>
        <v>0.0006</v>
      </c>
      <c r="G25" s="58">
        <f t="shared" si="1"/>
        <v>0.06</v>
      </c>
      <c r="H25" s="58">
        <f t="shared" si="0"/>
        <v>0.0006</v>
      </c>
      <c r="I25" s="58"/>
      <c r="J25" s="58">
        <v>0.04</v>
      </c>
      <c r="K25" s="58">
        <f t="shared" si="2"/>
        <v>0.0004</v>
      </c>
      <c r="L25" s="58">
        <f t="shared" si="3"/>
        <v>0.04</v>
      </c>
      <c r="M25" s="58">
        <f t="shared" si="2"/>
        <v>0.0004</v>
      </c>
      <c r="N25" s="58"/>
      <c r="O25" s="58">
        <v>0.1</v>
      </c>
      <c r="P25" s="58">
        <f t="shared" si="4"/>
        <v>0.001</v>
      </c>
      <c r="Q25" s="58">
        <f t="shared" si="5"/>
        <v>0.1</v>
      </c>
      <c r="R25" s="58">
        <f t="shared" si="4"/>
        <v>0.001</v>
      </c>
    </row>
    <row r="26" spans="1:18" ht="12.75">
      <c r="A26" s="23"/>
      <c r="B26" s="23" t="s">
        <v>149</v>
      </c>
      <c r="C26" s="24">
        <v>0.01</v>
      </c>
      <c r="D26" s="24" t="s">
        <v>19</v>
      </c>
      <c r="E26" s="58">
        <v>0.02</v>
      </c>
      <c r="F26" s="58">
        <f t="shared" si="0"/>
        <v>0.0002</v>
      </c>
      <c r="G26" s="58">
        <f t="shared" si="1"/>
        <v>0.01</v>
      </c>
      <c r="H26" s="58">
        <f t="shared" si="0"/>
        <v>0.0001</v>
      </c>
      <c r="I26" s="58"/>
      <c r="J26" s="58">
        <v>0.007</v>
      </c>
      <c r="K26" s="58">
        <f t="shared" si="2"/>
        <v>7.000000000000001E-05</v>
      </c>
      <c r="L26" s="58">
        <f t="shared" si="3"/>
        <v>0.007</v>
      </c>
      <c r="M26" s="58">
        <f t="shared" si="2"/>
        <v>7.000000000000001E-05</v>
      </c>
      <c r="N26" s="58"/>
      <c r="O26" s="58">
        <v>0.002</v>
      </c>
      <c r="P26" s="58">
        <f t="shared" si="4"/>
        <v>2E-05</v>
      </c>
      <c r="Q26" s="58">
        <f t="shared" si="5"/>
        <v>0.002</v>
      </c>
      <c r="R26" s="58">
        <f t="shared" si="4"/>
        <v>2E-05</v>
      </c>
    </row>
    <row r="27" spans="1:18" ht="12.75">
      <c r="A27" s="23"/>
      <c r="B27" s="23" t="s">
        <v>150</v>
      </c>
      <c r="C27" s="24">
        <v>0.001</v>
      </c>
      <c r="D27" s="24"/>
      <c r="E27" s="58">
        <v>0.19</v>
      </c>
      <c r="F27" s="58">
        <f t="shared" si="0"/>
        <v>0.00019</v>
      </c>
      <c r="G27" s="58">
        <f t="shared" si="1"/>
        <v>0.19</v>
      </c>
      <c r="H27" s="58">
        <f t="shared" si="0"/>
        <v>0.00019</v>
      </c>
      <c r="I27" s="58"/>
      <c r="J27" s="58">
        <v>0.09</v>
      </c>
      <c r="K27" s="58">
        <f t="shared" si="2"/>
        <v>8.999999999999999E-05</v>
      </c>
      <c r="L27" s="58">
        <f t="shared" si="3"/>
        <v>0.09</v>
      </c>
      <c r="M27" s="58">
        <f t="shared" si="2"/>
        <v>8.999999999999999E-05</v>
      </c>
      <c r="N27" s="58"/>
      <c r="O27" s="58">
        <v>0.51</v>
      </c>
      <c r="P27" s="58">
        <f t="shared" si="4"/>
        <v>0.00051</v>
      </c>
      <c r="Q27" s="58">
        <f t="shared" si="5"/>
        <v>0.51</v>
      </c>
      <c r="R27" s="58">
        <f t="shared" si="4"/>
        <v>0.00051</v>
      </c>
    </row>
    <row r="28" spans="1:18" ht="12.75">
      <c r="A28" s="23"/>
      <c r="B28" s="23" t="s">
        <v>151</v>
      </c>
      <c r="C28" s="24">
        <v>0</v>
      </c>
      <c r="D28" s="24"/>
      <c r="E28" s="58">
        <v>0.03</v>
      </c>
      <c r="F28" s="58">
        <f t="shared" si="0"/>
        <v>0</v>
      </c>
      <c r="G28" s="58">
        <f t="shared" si="1"/>
        <v>0.03</v>
      </c>
      <c r="H28" s="58">
        <f t="shared" si="0"/>
        <v>0</v>
      </c>
      <c r="I28" s="58"/>
      <c r="J28" s="61">
        <v>0.07</v>
      </c>
      <c r="K28" s="58">
        <f t="shared" si="2"/>
        <v>0</v>
      </c>
      <c r="L28" s="58">
        <f t="shared" si="3"/>
        <v>0.07</v>
      </c>
      <c r="M28" s="58">
        <f t="shared" si="2"/>
        <v>0</v>
      </c>
      <c r="N28" s="58"/>
      <c r="O28" s="58">
        <v>0.05</v>
      </c>
      <c r="P28" s="58">
        <f t="shared" si="4"/>
        <v>0</v>
      </c>
      <c r="Q28" s="58">
        <f t="shared" si="5"/>
        <v>0.05</v>
      </c>
      <c r="R28" s="58">
        <f t="shared" si="4"/>
        <v>0</v>
      </c>
    </row>
    <row r="29" spans="1:18" ht="12.75">
      <c r="A29" s="23"/>
      <c r="B29" s="23" t="s">
        <v>152</v>
      </c>
      <c r="C29" s="24">
        <v>0</v>
      </c>
      <c r="D29" s="24"/>
      <c r="E29" s="58">
        <v>0.02</v>
      </c>
      <c r="F29" s="58">
        <f t="shared" si="0"/>
        <v>0</v>
      </c>
      <c r="G29" s="58">
        <f t="shared" si="1"/>
        <v>0.02</v>
      </c>
      <c r="H29" s="58">
        <f t="shared" si="0"/>
        <v>0</v>
      </c>
      <c r="I29" s="58"/>
      <c r="J29" s="58">
        <v>0.03</v>
      </c>
      <c r="K29" s="58">
        <f t="shared" si="2"/>
        <v>0</v>
      </c>
      <c r="L29" s="58">
        <f t="shared" si="3"/>
        <v>0.03</v>
      </c>
      <c r="M29" s="58">
        <f t="shared" si="2"/>
        <v>0</v>
      </c>
      <c r="N29" s="58"/>
      <c r="O29" s="58">
        <v>0.04</v>
      </c>
      <c r="P29" s="58">
        <f t="shared" si="4"/>
        <v>0</v>
      </c>
      <c r="Q29" s="58">
        <f t="shared" si="5"/>
        <v>0.04</v>
      </c>
      <c r="R29" s="58">
        <f t="shared" si="4"/>
        <v>0</v>
      </c>
    </row>
    <row r="30" spans="1:18" ht="12.75">
      <c r="A30" s="23"/>
      <c r="B30" s="23" t="s">
        <v>153</v>
      </c>
      <c r="C30" s="24">
        <v>0</v>
      </c>
      <c r="D30" s="24"/>
      <c r="E30" s="58">
        <v>0.04</v>
      </c>
      <c r="F30" s="58">
        <f t="shared" si="0"/>
        <v>0</v>
      </c>
      <c r="G30" s="58">
        <f t="shared" si="1"/>
        <v>0.04</v>
      </c>
      <c r="H30" s="58">
        <f t="shared" si="0"/>
        <v>0</v>
      </c>
      <c r="I30" s="58"/>
      <c r="J30" s="58">
        <v>0.03</v>
      </c>
      <c r="K30" s="58">
        <f t="shared" si="2"/>
        <v>0</v>
      </c>
      <c r="L30" s="58">
        <f t="shared" si="3"/>
        <v>0.03</v>
      </c>
      <c r="M30" s="58">
        <f t="shared" si="2"/>
        <v>0</v>
      </c>
      <c r="N30" s="58"/>
      <c r="O30" s="58">
        <v>0.1</v>
      </c>
      <c r="P30" s="58">
        <f t="shared" si="4"/>
        <v>0</v>
      </c>
      <c r="Q30" s="58">
        <f t="shared" si="5"/>
        <v>0.1</v>
      </c>
      <c r="R30" s="58">
        <f t="shared" si="4"/>
        <v>0</v>
      </c>
    </row>
    <row r="31" spans="1:18" ht="12.75">
      <c r="A31" s="23"/>
      <c r="B31" s="23" t="s">
        <v>154</v>
      </c>
      <c r="C31" s="24">
        <v>0</v>
      </c>
      <c r="D31" s="24"/>
      <c r="E31" s="58">
        <v>0.12</v>
      </c>
      <c r="F31" s="58">
        <f t="shared" si="0"/>
        <v>0</v>
      </c>
      <c r="G31" s="58">
        <f t="shared" si="1"/>
        <v>0.12</v>
      </c>
      <c r="H31" s="58">
        <f t="shared" si="0"/>
        <v>0</v>
      </c>
      <c r="I31" s="58"/>
      <c r="J31" s="58">
        <v>0.04</v>
      </c>
      <c r="K31" s="58">
        <f t="shared" si="2"/>
        <v>0</v>
      </c>
      <c r="L31" s="58">
        <f t="shared" si="3"/>
        <v>0.04</v>
      </c>
      <c r="M31" s="58">
        <f t="shared" si="2"/>
        <v>0</v>
      </c>
      <c r="N31" s="58"/>
      <c r="O31" s="58">
        <v>0.36</v>
      </c>
      <c r="P31" s="58">
        <f t="shared" si="4"/>
        <v>0</v>
      </c>
      <c r="Q31" s="58">
        <f t="shared" si="5"/>
        <v>0.36</v>
      </c>
      <c r="R31" s="58">
        <f t="shared" si="4"/>
        <v>0</v>
      </c>
    </row>
    <row r="32" spans="1:18" ht="12.75">
      <c r="A32" s="23"/>
      <c r="B32" s="23" t="s">
        <v>155</v>
      </c>
      <c r="C32" s="24">
        <v>0</v>
      </c>
      <c r="D32" s="24"/>
      <c r="E32" s="58">
        <v>0.79</v>
      </c>
      <c r="F32" s="58">
        <f t="shared" si="0"/>
        <v>0</v>
      </c>
      <c r="G32" s="58">
        <f t="shared" si="1"/>
        <v>0.79</v>
      </c>
      <c r="H32" s="58">
        <f t="shared" si="0"/>
        <v>0</v>
      </c>
      <c r="I32" s="58"/>
      <c r="J32" s="58">
        <v>1.6</v>
      </c>
      <c r="K32" s="58">
        <f t="shared" si="2"/>
        <v>0</v>
      </c>
      <c r="L32" s="58">
        <f t="shared" si="3"/>
        <v>1.6</v>
      </c>
      <c r="M32" s="58">
        <f t="shared" si="2"/>
        <v>0</v>
      </c>
      <c r="N32" s="58"/>
      <c r="O32" s="58">
        <v>0.99</v>
      </c>
      <c r="P32" s="58">
        <f t="shared" si="4"/>
        <v>0</v>
      </c>
      <c r="Q32" s="58">
        <f t="shared" si="5"/>
        <v>0.99</v>
      </c>
      <c r="R32" s="58">
        <f t="shared" si="4"/>
        <v>0</v>
      </c>
    </row>
    <row r="33" spans="1:18" ht="12.75">
      <c r="A33" s="23"/>
      <c r="B33" s="23" t="s">
        <v>156</v>
      </c>
      <c r="C33" s="24">
        <v>0</v>
      </c>
      <c r="D33" s="24"/>
      <c r="E33" s="58">
        <v>0.25</v>
      </c>
      <c r="F33" s="58">
        <f t="shared" si="0"/>
        <v>0</v>
      </c>
      <c r="G33" s="58">
        <f t="shared" si="1"/>
        <v>0.25</v>
      </c>
      <c r="H33" s="58">
        <f t="shared" si="0"/>
        <v>0</v>
      </c>
      <c r="I33" s="58"/>
      <c r="J33" s="58">
        <v>0.45</v>
      </c>
      <c r="K33" s="58">
        <f t="shared" si="2"/>
        <v>0</v>
      </c>
      <c r="L33" s="58">
        <f t="shared" si="3"/>
        <v>0.45</v>
      </c>
      <c r="M33" s="58">
        <f t="shared" si="2"/>
        <v>0</v>
      </c>
      <c r="N33" s="58"/>
      <c r="O33" s="58">
        <v>0.25</v>
      </c>
      <c r="P33" s="58">
        <f t="shared" si="4"/>
        <v>0</v>
      </c>
      <c r="Q33" s="58">
        <f t="shared" si="5"/>
        <v>0.25</v>
      </c>
      <c r="R33" s="58">
        <f t="shared" si="4"/>
        <v>0</v>
      </c>
    </row>
    <row r="34" spans="1:18" ht="12.75">
      <c r="A34" s="23"/>
      <c r="B34" s="23" t="s">
        <v>157</v>
      </c>
      <c r="C34" s="24">
        <v>0</v>
      </c>
      <c r="D34" s="24"/>
      <c r="E34" s="58">
        <v>0.15</v>
      </c>
      <c r="F34" s="58">
        <f t="shared" si="0"/>
        <v>0</v>
      </c>
      <c r="G34" s="58">
        <f t="shared" si="1"/>
        <v>0.15</v>
      </c>
      <c r="H34" s="58">
        <f t="shared" si="0"/>
        <v>0</v>
      </c>
      <c r="I34" s="58"/>
      <c r="J34" s="58">
        <v>0.23</v>
      </c>
      <c r="K34" s="58">
        <f t="shared" si="2"/>
        <v>0</v>
      </c>
      <c r="L34" s="58">
        <f t="shared" si="3"/>
        <v>0.23</v>
      </c>
      <c r="M34" s="58">
        <f t="shared" si="2"/>
        <v>0</v>
      </c>
      <c r="N34" s="58"/>
      <c r="O34" s="58">
        <v>0.18</v>
      </c>
      <c r="P34" s="58">
        <f t="shared" si="4"/>
        <v>0</v>
      </c>
      <c r="Q34" s="58">
        <f t="shared" si="5"/>
        <v>0.18</v>
      </c>
      <c r="R34" s="58">
        <f t="shared" si="4"/>
        <v>0</v>
      </c>
    </row>
    <row r="35" spans="1:18" ht="12.75">
      <c r="A35" s="23" t="s">
        <v>158</v>
      </c>
      <c r="B35" s="23" t="s">
        <v>159</v>
      </c>
      <c r="C35" s="24">
        <v>0</v>
      </c>
      <c r="D35" s="24"/>
      <c r="E35" s="58">
        <v>0.07</v>
      </c>
      <c r="F35" s="58">
        <f t="shared" si="0"/>
        <v>0</v>
      </c>
      <c r="G35" s="58">
        <f t="shared" si="1"/>
        <v>0.07</v>
      </c>
      <c r="H35" s="58">
        <f t="shared" si="0"/>
        <v>0</v>
      </c>
      <c r="I35" s="58"/>
      <c r="J35" s="58">
        <v>0.09</v>
      </c>
      <c r="K35" s="58">
        <f t="shared" si="2"/>
        <v>0</v>
      </c>
      <c r="L35" s="58">
        <f t="shared" si="3"/>
        <v>0.09</v>
      </c>
      <c r="M35" s="58">
        <f t="shared" si="2"/>
        <v>0</v>
      </c>
      <c r="N35" s="58"/>
      <c r="O35" s="58">
        <v>0.35</v>
      </c>
      <c r="P35" s="58">
        <f t="shared" si="4"/>
        <v>0</v>
      </c>
      <c r="Q35" s="58">
        <f t="shared" si="5"/>
        <v>0.35</v>
      </c>
      <c r="R35" s="58">
        <f t="shared" si="4"/>
        <v>0</v>
      </c>
    </row>
    <row r="36" spans="1:19" ht="12.75">
      <c r="A36" s="23"/>
      <c r="B36" s="23"/>
      <c r="C36" s="23"/>
      <c r="D36" s="23"/>
      <c r="E36" s="57"/>
      <c r="F36" s="53"/>
      <c r="G36" s="57"/>
      <c r="H36" s="53"/>
      <c r="I36" s="57"/>
      <c r="J36" s="23"/>
      <c r="K36" s="25"/>
      <c r="L36" s="25"/>
      <c r="M36" s="25"/>
      <c r="N36" s="57"/>
      <c r="O36" s="23"/>
      <c r="P36" s="52"/>
      <c r="Q36" s="57"/>
      <c r="R36" s="52"/>
      <c r="S36" s="68"/>
    </row>
    <row r="37" spans="1:19" ht="12.75">
      <c r="A37" s="23"/>
      <c r="B37" s="23" t="s">
        <v>160</v>
      </c>
      <c r="C37" s="23"/>
      <c r="D37" s="23"/>
      <c r="E37" s="57"/>
      <c r="F37" s="57">
        <v>107.208</v>
      </c>
      <c r="G37" s="57">
        <v>107.208</v>
      </c>
      <c r="H37" s="57">
        <v>107.208</v>
      </c>
      <c r="I37" s="57"/>
      <c r="J37" s="57"/>
      <c r="K37" s="57">
        <v>109.566</v>
      </c>
      <c r="L37" s="57">
        <v>109.566</v>
      </c>
      <c r="M37" s="57">
        <v>109.566</v>
      </c>
      <c r="N37" s="57"/>
      <c r="O37" s="57"/>
      <c r="P37" s="57">
        <v>114.054</v>
      </c>
      <c r="Q37" s="57">
        <v>114.054</v>
      </c>
      <c r="R37" s="57">
        <v>114.054</v>
      </c>
      <c r="S37" s="68"/>
    </row>
    <row r="38" spans="1:19" ht="12.75">
      <c r="A38" s="23"/>
      <c r="B38" s="23" t="s">
        <v>161</v>
      </c>
      <c r="C38" s="23"/>
      <c r="D38" s="23"/>
      <c r="E38" s="57"/>
      <c r="F38" s="57">
        <v>10</v>
      </c>
      <c r="G38" s="57">
        <v>10</v>
      </c>
      <c r="H38" s="57">
        <v>10</v>
      </c>
      <c r="I38" s="57"/>
      <c r="J38" s="57"/>
      <c r="K38" s="25">
        <v>10.5</v>
      </c>
      <c r="L38" s="25">
        <v>10.5</v>
      </c>
      <c r="M38" s="25">
        <v>10.5</v>
      </c>
      <c r="N38" s="57"/>
      <c r="O38" s="57"/>
      <c r="P38" s="57">
        <v>10.5</v>
      </c>
      <c r="Q38" s="57">
        <v>10.5</v>
      </c>
      <c r="R38" s="57">
        <v>10.5</v>
      </c>
      <c r="S38" s="68"/>
    </row>
    <row r="39" spans="1:19" ht="12.75">
      <c r="A39" s="23"/>
      <c r="B39" s="23"/>
      <c r="C39" s="23"/>
      <c r="D39" s="23"/>
      <c r="E39" s="57"/>
      <c r="F39" s="23"/>
      <c r="G39" s="57"/>
      <c r="H39" s="23"/>
      <c r="I39" s="23"/>
      <c r="J39" s="57"/>
      <c r="K39" s="25"/>
      <c r="L39" s="25"/>
      <c r="M39" s="25"/>
      <c r="N39" s="57"/>
      <c r="O39" s="57"/>
      <c r="P39" s="57"/>
      <c r="Q39" s="57"/>
      <c r="R39" s="57"/>
      <c r="S39" s="68"/>
    </row>
    <row r="40" spans="1:19" ht="12.75">
      <c r="A40" s="23"/>
      <c r="B40" s="23" t="s">
        <v>162</v>
      </c>
      <c r="C40" s="53"/>
      <c r="D40" s="53"/>
      <c r="E40" s="25"/>
      <c r="F40" s="58">
        <f>SUM(F11:F27)</f>
        <v>0.06009000000000002</v>
      </c>
      <c r="G40" s="25">
        <f>SUM(G27,G35,G34,G33,G32,G17,G31,G30,G29,G28)</f>
        <v>2.7600000000000002</v>
      </c>
      <c r="H40" s="58">
        <f>SUM(H11:H27)</f>
        <v>0.05759000000000002</v>
      </c>
      <c r="I40" s="53"/>
      <c r="J40" s="25"/>
      <c r="K40" s="58">
        <f>SUM(K11:K27)</f>
        <v>0.07255</v>
      </c>
      <c r="L40" s="25">
        <f>SUM(L27,L35,L34,L33,L32,L17,L31,L30,L29,L28)</f>
        <v>3.1199999999999997</v>
      </c>
      <c r="M40" s="58">
        <f>SUM(M11:M27)</f>
        <v>0.07225000000000001</v>
      </c>
      <c r="N40" s="53"/>
      <c r="O40" s="57"/>
      <c r="P40" s="58">
        <f>SUM(P11:P27)</f>
        <v>0.05593000000000001</v>
      </c>
      <c r="Q40" s="25">
        <f>SUM(Q27,Q35,Q34,Q33,Q32,Q17,Q31,Q30,Q29,Q28)</f>
        <v>4.7299999999999995</v>
      </c>
      <c r="R40" s="58">
        <f>SUM(R11:R27)</f>
        <v>0.05543000000000001</v>
      </c>
      <c r="S40" s="68"/>
    </row>
    <row r="41" spans="1:19" ht="12.75">
      <c r="A41" s="23"/>
      <c r="B41" s="23" t="s">
        <v>163</v>
      </c>
      <c r="C41" s="53"/>
      <c r="D41" s="25">
        <f>(F41-H41)*2/F41*100</f>
        <v>8.3208520552504</v>
      </c>
      <c r="E41" s="57"/>
      <c r="F41" s="58">
        <f>(F40/F37/0.0283*(21-7)/(21-F38))</f>
        <v>0.025207160394055107</v>
      </c>
      <c r="G41" s="57">
        <f>(G40/G37/0.0283*(21-7)/(21-G38))</f>
        <v>1.1577926890928953</v>
      </c>
      <c r="H41" s="58">
        <f>(H40/H37/0.0283*(21-7)/(21-H38))</f>
        <v>0.024158435132195608</v>
      </c>
      <c r="I41" s="25">
        <f>(K41-M41)*2/K41*100</f>
        <v>0.8270158511370895</v>
      </c>
      <c r="J41" s="57"/>
      <c r="K41" s="58">
        <f>K40/K37/0.0283*(21-7)/(21-K38)</f>
        <v>0.031197077442304915</v>
      </c>
      <c r="L41" s="57">
        <f>(L40/L37/0.0283*(21-7)/(21-L38))</f>
        <v>1.3416248328048428</v>
      </c>
      <c r="M41" s="58">
        <f>M40/M37/0.0283*(21-7)/(21-M38)</f>
        <v>0.031068075054535228</v>
      </c>
      <c r="N41" s="25">
        <f>(P41-R41)*2/P41*100</f>
        <v>1.7879492222420554</v>
      </c>
      <c r="O41" s="57"/>
      <c r="P41" s="58">
        <f>P40/P37/0.0283*(21-7)/(21-P38)</f>
        <v>0.023103969328437675</v>
      </c>
      <c r="Q41" s="57">
        <f>(Q40/Q37/0.0283*(21-7)/(21-Q38))</f>
        <v>1.9539026447972498</v>
      </c>
      <c r="R41" s="58">
        <f>R40/R37/0.0283*(21-7)/(21-R38)</f>
        <v>0.022897425708480253</v>
      </c>
      <c r="S41" s="68"/>
    </row>
    <row r="42" spans="1:18" ht="12.75">
      <c r="A42" s="23"/>
      <c r="B42" s="23"/>
      <c r="C42" s="23"/>
      <c r="D42" s="23"/>
      <c r="E42" s="58"/>
      <c r="F42" s="53"/>
      <c r="G42" s="58"/>
      <c r="H42" s="53"/>
      <c r="I42" s="58"/>
      <c r="J42" s="58"/>
      <c r="K42" s="58"/>
      <c r="L42" s="58"/>
      <c r="M42" s="58"/>
      <c r="N42" s="58"/>
      <c r="O42" s="58"/>
      <c r="P42" s="52"/>
      <c r="Q42" s="58"/>
      <c r="R42" s="52"/>
    </row>
    <row r="43" spans="1:18" ht="12.75">
      <c r="A43" s="57"/>
      <c r="B43" s="23" t="s">
        <v>164</v>
      </c>
      <c r="C43" s="58">
        <f>AVERAGE(H41,M41,R41)</f>
        <v>0.026041311965070358</v>
      </c>
      <c r="D43" s="57"/>
      <c r="E43" s="59"/>
      <c r="F43" s="53"/>
      <c r="G43" s="57"/>
      <c r="H43" s="53"/>
      <c r="I43" s="57"/>
      <c r="J43" s="57"/>
      <c r="K43" s="57"/>
      <c r="L43" s="57"/>
      <c r="M43" s="57"/>
      <c r="N43" s="57"/>
      <c r="O43" s="57"/>
      <c r="P43" s="52"/>
      <c r="Q43" s="57"/>
      <c r="R43" s="52"/>
    </row>
    <row r="44" spans="1:18" ht="12.75">
      <c r="A44" s="23"/>
      <c r="B44" s="23" t="s">
        <v>165</v>
      </c>
      <c r="C44" s="57">
        <f>AVERAGE(G41,L41,Q41)</f>
        <v>1.4844400555649961</v>
      </c>
      <c r="D44" s="23"/>
      <c r="E44" s="52"/>
      <c r="F44" s="53"/>
      <c r="G44" s="52"/>
      <c r="H44" s="53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="68" customFormat="1" ht="12.75"/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6">
      <selection activeCell="B2" sqref="B2"/>
    </sheetView>
  </sheetViews>
  <sheetFormatPr defaultColWidth="9.140625" defaultRowHeight="12.75"/>
  <cols>
    <col min="1" max="1" width="1.7109375" style="68" customWidth="1"/>
    <col min="2" max="2" width="20.00390625" style="68" customWidth="1"/>
    <col min="3" max="3" width="9.421875" style="68" customWidth="1"/>
    <col min="4" max="4" width="3.00390625" style="68" customWidth="1"/>
    <col min="5" max="6" width="7.140625" style="68" bestFit="1" customWidth="1"/>
    <col min="7" max="8" width="6.7109375" style="68" bestFit="1" customWidth="1"/>
    <col min="9" max="9" width="3.421875" style="68" customWidth="1"/>
    <col min="10" max="11" width="7.140625" style="68" bestFit="1" customWidth="1"/>
    <col min="12" max="13" width="6.7109375" style="68" bestFit="1" customWidth="1"/>
    <col min="14" max="14" width="2.8515625" style="68" customWidth="1"/>
    <col min="15" max="16" width="7.140625" style="68" bestFit="1" customWidth="1"/>
    <col min="17" max="18" width="6.7109375" style="68" bestFit="1" customWidth="1"/>
    <col min="19" max="19" width="3.140625" style="68" customWidth="1"/>
    <col min="20" max="21" width="7.140625" style="68" bestFit="1" customWidth="1"/>
    <col min="22" max="23" width="6.7109375" style="68" bestFit="1" customWidth="1"/>
    <col min="24" max="16384" width="9.140625" style="68" customWidth="1"/>
  </cols>
  <sheetData>
    <row r="1" spans="1:23" ht="11.25" customHeight="1">
      <c r="A1" s="51" t="s">
        <v>125</v>
      </c>
      <c r="B1" s="23"/>
      <c r="C1" s="23"/>
      <c r="D1" s="23"/>
      <c r="E1" s="52"/>
      <c r="F1" s="52"/>
      <c r="G1" s="52"/>
      <c r="H1" s="53"/>
      <c r="I1" s="52"/>
      <c r="J1" s="52"/>
      <c r="K1" s="52"/>
      <c r="L1" s="52"/>
      <c r="M1" s="52"/>
      <c r="N1" s="52"/>
      <c r="O1" s="52"/>
      <c r="P1" s="52"/>
      <c r="Q1" s="52"/>
      <c r="R1" s="52"/>
      <c r="T1" s="52"/>
      <c r="U1" s="52"/>
      <c r="V1" s="52"/>
      <c r="W1" s="52"/>
    </row>
    <row r="2" spans="1:23" ht="12.75">
      <c r="A2" s="23" t="s">
        <v>269</v>
      </c>
      <c r="B2" s="23"/>
      <c r="C2" s="23"/>
      <c r="D2" s="23"/>
      <c r="E2" s="52"/>
      <c r="F2" s="52"/>
      <c r="G2" s="52"/>
      <c r="H2" s="53"/>
      <c r="I2" s="52"/>
      <c r="J2" s="52"/>
      <c r="K2" s="52"/>
      <c r="L2" s="52"/>
      <c r="M2" s="52"/>
      <c r="N2" s="52"/>
      <c r="O2" s="52"/>
      <c r="P2" s="52"/>
      <c r="Q2" s="52"/>
      <c r="R2" s="52"/>
      <c r="T2" s="52"/>
      <c r="U2" s="52"/>
      <c r="V2" s="52"/>
      <c r="W2" s="52"/>
    </row>
    <row r="3" spans="1:23" ht="12.75">
      <c r="A3" s="23" t="s">
        <v>126</v>
      </c>
      <c r="B3" s="23"/>
      <c r="C3" s="8" t="s">
        <v>168</v>
      </c>
      <c r="D3" s="8"/>
      <c r="E3" s="52"/>
      <c r="F3" s="52"/>
      <c r="G3" s="52"/>
      <c r="H3" s="53"/>
      <c r="I3" s="52"/>
      <c r="J3" s="54"/>
      <c r="K3" s="54"/>
      <c r="L3" s="52"/>
      <c r="M3" s="52"/>
      <c r="N3" s="52"/>
      <c r="O3" s="52"/>
      <c r="P3" s="52"/>
      <c r="Q3" s="52"/>
      <c r="R3" s="52"/>
      <c r="T3" s="52"/>
      <c r="U3" s="52"/>
      <c r="V3" s="52"/>
      <c r="W3" s="52"/>
    </row>
    <row r="4" spans="1:23" ht="12.75">
      <c r="A4" s="23" t="s">
        <v>127</v>
      </c>
      <c r="B4" s="23"/>
      <c r="C4" s="8" t="s">
        <v>172</v>
      </c>
      <c r="D4" s="8"/>
      <c r="E4" s="55"/>
      <c r="F4" s="55"/>
      <c r="G4" s="55"/>
      <c r="H4" s="56"/>
      <c r="I4" s="55"/>
      <c r="J4" s="55"/>
      <c r="K4" s="55"/>
      <c r="L4" s="55"/>
      <c r="M4" s="55"/>
      <c r="N4" s="55"/>
      <c r="O4" s="55"/>
      <c r="P4" s="55"/>
      <c r="Q4" s="55"/>
      <c r="R4" s="55"/>
      <c r="T4" s="55"/>
      <c r="U4" s="55"/>
      <c r="V4" s="55"/>
      <c r="W4" s="55"/>
    </row>
    <row r="5" spans="1:23" ht="12.75">
      <c r="A5" s="23" t="s">
        <v>128</v>
      </c>
      <c r="B5" s="23"/>
      <c r="C5" s="69" t="s">
        <v>264</v>
      </c>
      <c r="D5" s="23"/>
      <c r="E5" s="23"/>
      <c r="F5" s="23"/>
      <c r="G5" s="23"/>
      <c r="H5" s="23"/>
      <c r="I5" s="23"/>
      <c r="J5" s="23"/>
      <c r="K5" s="23"/>
      <c r="L5" s="23"/>
      <c r="M5" s="52"/>
      <c r="N5" s="52"/>
      <c r="O5" s="52"/>
      <c r="P5" s="52"/>
      <c r="Q5" s="52"/>
      <c r="R5" s="52"/>
      <c r="T5" s="52"/>
      <c r="U5" s="52"/>
      <c r="V5" s="52"/>
      <c r="W5" s="52"/>
    </row>
    <row r="6" spans="1:23" ht="12.75">
      <c r="A6" s="23"/>
      <c r="B6" s="23"/>
      <c r="C6" s="24"/>
      <c r="D6" s="24"/>
      <c r="E6" s="28"/>
      <c r="F6" s="28"/>
      <c r="G6" s="28"/>
      <c r="H6" s="53"/>
      <c r="I6" s="52"/>
      <c r="J6" s="28"/>
      <c r="K6" s="28"/>
      <c r="L6" s="28"/>
      <c r="M6" s="52"/>
      <c r="N6" s="52"/>
      <c r="O6" s="28"/>
      <c r="P6" s="28"/>
      <c r="Q6" s="28"/>
      <c r="R6" s="52"/>
      <c r="T6" s="28"/>
      <c r="U6" s="28"/>
      <c r="V6" s="28"/>
      <c r="W6" s="52"/>
    </row>
    <row r="7" spans="1:23" ht="12.75">
      <c r="A7" s="23"/>
      <c r="B7" s="23"/>
      <c r="C7" s="24" t="s">
        <v>129</v>
      </c>
      <c r="D7" s="24"/>
      <c r="E7" s="70" t="s">
        <v>30</v>
      </c>
      <c r="F7" s="70"/>
      <c r="G7" s="70"/>
      <c r="H7" s="70"/>
      <c r="I7" s="71"/>
      <c r="J7" s="70" t="s">
        <v>31</v>
      </c>
      <c r="K7" s="70"/>
      <c r="L7" s="70"/>
      <c r="M7" s="70"/>
      <c r="N7" s="71"/>
      <c r="O7" s="70" t="s">
        <v>32</v>
      </c>
      <c r="P7" s="70"/>
      <c r="Q7" s="70"/>
      <c r="R7" s="70"/>
      <c r="T7" s="70" t="s">
        <v>268</v>
      </c>
      <c r="U7" s="70"/>
      <c r="V7" s="70"/>
      <c r="W7" s="70"/>
    </row>
    <row r="8" spans="1:23" ht="12.75">
      <c r="A8" s="23"/>
      <c r="B8" s="23"/>
      <c r="C8" s="24" t="s">
        <v>130</v>
      </c>
      <c r="D8" s="23"/>
      <c r="E8" s="28" t="s">
        <v>99</v>
      </c>
      <c r="F8" s="56" t="s">
        <v>131</v>
      </c>
      <c r="G8" s="28" t="s">
        <v>99</v>
      </c>
      <c r="H8" s="56" t="s">
        <v>131</v>
      </c>
      <c r="I8" s="52"/>
      <c r="J8" s="28" t="s">
        <v>99</v>
      </c>
      <c r="K8" s="56" t="s">
        <v>131</v>
      </c>
      <c r="L8" s="28" t="s">
        <v>99</v>
      </c>
      <c r="M8" s="28" t="s">
        <v>132</v>
      </c>
      <c r="N8" s="52"/>
      <c r="O8" s="28" t="s">
        <v>99</v>
      </c>
      <c r="P8" s="56" t="s">
        <v>131</v>
      </c>
      <c r="Q8" s="28" t="s">
        <v>99</v>
      </c>
      <c r="R8" s="28" t="s">
        <v>132</v>
      </c>
      <c r="T8" s="28" t="s">
        <v>99</v>
      </c>
      <c r="U8" s="56" t="s">
        <v>131</v>
      </c>
      <c r="V8" s="28" t="s">
        <v>99</v>
      </c>
      <c r="W8" s="28" t="s">
        <v>132</v>
      </c>
    </row>
    <row r="9" spans="1:23" ht="12.75">
      <c r="A9" s="23"/>
      <c r="B9" s="23"/>
      <c r="C9" s="24"/>
      <c r="D9" s="23"/>
      <c r="E9" s="28" t="s">
        <v>265</v>
      </c>
      <c r="F9" s="28" t="s">
        <v>265</v>
      </c>
      <c r="G9" s="28" t="s">
        <v>133</v>
      </c>
      <c r="H9" s="56" t="s">
        <v>133</v>
      </c>
      <c r="I9" s="52"/>
      <c r="J9" s="28" t="s">
        <v>265</v>
      </c>
      <c r="K9" s="28" t="s">
        <v>265</v>
      </c>
      <c r="L9" s="28" t="s">
        <v>133</v>
      </c>
      <c r="M9" s="56" t="s">
        <v>133</v>
      </c>
      <c r="N9" s="52"/>
      <c r="O9" s="28" t="s">
        <v>265</v>
      </c>
      <c r="P9" s="28" t="s">
        <v>265</v>
      </c>
      <c r="Q9" s="28" t="s">
        <v>133</v>
      </c>
      <c r="R9" s="56" t="s">
        <v>133</v>
      </c>
      <c r="T9" s="28" t="s">
        <v>265</v>
      </c>
      <c r="U9" s="28" t="s">
        <v>265</v>
      </c>
      <c r="V9" s="28" t="s">
        <v>133</v>
      </c>
      <c r="W9" s="56" t="s">
        <v>133</v>
      </c>
    </row>
    <row r="10" spans="1:23" ht="12.75">
      <c r="A10" s="23" t="s">
        <v>169</v>
      </c>
      <c r="B10" s="23"/>
      <c r="C10" s="23"/>
      <c r="D10" s="23"/>
      <c r="E10" s="52"/>
      <c r="F10" s="52"/>
      <c r="G10" s="52"/>
      <c r="H10" s="53"/>
      <c r="I10" s="52"/>
      <c r="J10" s="52"/>
      <c r="K10" s="52"/>
      <c r="L10" s="52"/>
      <c r="M10" s="52"/>
      <c r="N10" s="52"/>
      <c r="O10" s="25"/>
      <c r="P10" s="25"/>
      <c r="Q10" s="52"/>
      <c r="R10" s="52"/>
      <c r="T10" s="25"/>
      <c r="U10" s="25"/>
      <c r="V10" s="52"/>
      <c r="W10" s="52"/>
    </row>
    <row r="11" spans="1:23" ht="12.75">
      <c r="A11" s="23"/>
      <c r="B11" s="23" t="s">
        <v>134</v>
      </c>
      <c r="C11" s="24">
        <v>1</v>
      </c>
      <c r="D11"/>
      <c r="E11"/>
      <c r="F11"/>
      <c r="G11" s="58">
        <f aca="true" t="shared" si="0" ref="G11:G35">IF(E11=0,"",IF(D11="nd",E11/2,E11))</f>
      </c>
      <c r="H11" s="58">
        <f aca="true" t="shared" si="1" ref="H11:H35">IF(G11="","",G11*$C11)</f>
      </c>
      <c r="I11"/>
      <c r="J11"/>
      <c r="K11"/>
      <c r="L11" s="58">
        <f aca="true" t="shared" si="2" ref="L11:L35">IF(J11=0,"",IF(I11="nd",J11/2,J11))</f>
      </c>
      <c r="M11" s="58">
        <f aca="true" t="shared" si="3" ref="M11:M35">IF(L11="","",L11*$C11)</f>
      </c>
      <c r="N11"/>
      <c r="O11"/>
      <c r="P11"/>
      <c r="Q11" s="58">
        <f aca="true" t="shared" si="4" ref="Q11:Q35">IF(O11=0,"",IF(N11="nd",O11/2,O11))</f>
      </c>
      <c r="R11" s="58">
        <f aca="true" t="shared" si="5" ref="R11:R35">IF(Q11="","",Q11*$C11)</f>
      </c>
      <c r="T11"/>
      <c r="U11"/>
      <c r="V11" s="58">
        <f aca="true" t="shared" si="6" ref="V11:V35">IF(T11=0,"",IF(S11="nd",T11/2,T11))</f>
      </c>
      <c r="W11" s="58">
        <f aca="true" t="shared" si="7" ref="W11:W35">IF(V11="","",V11*$C11)</f>
      </c>
    </row>
    <row r="12" spans="1:23" ht="12.75">
      <c r="A12" s="23"/>
      <c r="B12" s="23" t="s">
        <v>135</v>
      </c>
      <c r="C12" s="24">
        <v>0.5</v>
      </c>
      <c r="D12"/>
      <c r="E12"/>
      <c r="F12"/>
      <c r="G12" s="58">
        <f t="shared" si="0"/>
      </c>
      <c r="H12" s="58">
        <f t="shared" si="1"/>
      </c>
      <c r="I12"/>
      <c r="J12"/>
      <c r="K12"/>
      <c r="L12" s="58">
        <f t="shared" si="2"/>
      </c>
      <c r="M12" s="58">
        <f t="shared" si="3"/>
      </c>
      <c r="N12"/>
      <c r="O12"/>
      <c r="P12"/>
      <c r="Q12" s="58">
        <f t="shared" si="4"/>
      </c>
      <c r="R12" s="58">
        <f t="shared" si="5"/>
      </c>
      <c r="T12"/>
      <c r="U12"/>
      <c r="V12" s="58">
        <f t="shared" si="6"/>
      </c>
      <c r="W12" s="58">
        <f t="shared" si="7"/>
      </c>
    </row>
    <row r="13" spans="1:23" ht="12.75">
      <c r="A13" s="23"/>
      <c r="B13" s="23" t="s">
        <v>136</v>
      </c>
      <c r="C13" s="24">
        <v>0.1</v>
      </c>
      <c r="D13"/>
      <c r="E13"/>
      <c r="F13"/>
      <c r="G13" s="58">
        <f t="shared" si="0"/>
      </c>
      <c r="H13" s="58">
        <f t="shared" si="1"/>
      </c>
      <c r="I13"/>
      <c r="J13"/>
      <c r="K13"/>
      <c r="L13" s="58">
        <f t="shared" si="2"/>
      </c>
      <c r="M13" s="58">
        <f>IF(L13="","",L13*$C13)</f>
      </c>
      <c r="N13"/>
      <c r="O13"/>
      <c r="P13"/>
      <c r="Q13" s="58">
        <f t="shared" si="4"/>
      </c>
      <c r="R13" s="58">
        <f t="shared" si="5"/>
      </c>
      <c r="T13"/>
      <c r="U13"/>
      <c r="V13" s="58">
        <f t="shared" si="6"/>
      </c>
      <c r="W13" s="58">
        <f t="shared" si="7"/>
      </c>
    </row>
    <row r="14" spans="1:23" ht="12.75">
      <c r="A14" s="23"/>
      <c r="B14" s="23" t="s">
        <v>137</v>
      </c>
      <c r="C14" s="24">
        <v>0.1</v>
      </c>
      <c r="D14"/>
      <c r="E14"/>
      <c r="F14"/>
      <c r="G14" s="58">
        <f t="shared" si="0"/>
      </c>
      <c r="H14" s="58">
        <f t="shared" si="1"/>
      </c>
      <c r="I14"/>
      <c r="J14"/>
      <c r="K14"/>
      <c r="L14" s="58">
        <f t="shared" si="2"/>
      </c>
      <c r="M14" s="58">
        <f t="shared" si="3"/>
      </c>
      <c r="N14"/>
      <c r="O14"/>
      <c r="P14"/>
      <c r="Q14" s="58">
        <f t="shared" si="4"/>
      </c>
      <c r="R14" s="58">
        <f t="shared" si="5"/>
      </c>
      <c r="T14"/>
      <c r="U14"/>
      <c r="V14" s="58">
        <f t="shared" si="6"/>
      </c>
      <c r="W14" s="58">
        <f t="shared" si="7"/>
      </c>
    </row>
    <row r="15" spans="1:23" ht="12.75">
      <c r="A15" s="23"/>
      <c r="B15" s="23" t="s">
        <v>138</v>
      </c>
      <c r="C15" s="24">
        <v>0.1</v>
      </c>
      <c r="D15"/>
      <c r="E15"/>
      <c r="F15"/>
      <c r="G15" s="58">
        <f t="shared" si="0"/>
      </c>
      <c r="H15" s="58">
        <f t="shared" si="1"/>
      </c>
      <c r="I15"/>
      <c r="J15"/>
      <c r="K15"/>
      <c r="L15" s="58">
        <f t="shared" si="2"/>
      </c>
      <c r="M15" s="58">
        <f t="shared" si="3"/>
      </c>
      <c r="N15"/>
      <c r="O15"/>
      <c r="P15"/>
      <c r="Q15" s="58">
        <f t="shared" si="4"/>
      </c>
      <c r="R15" s="58">
        <f t="shared" si="5"/>
      </c>
      <c r="T15"/>
      <c r="U15"/>
      <c r="V15" s="58">
        <f t="shared" si="6"/>
      </c>
      <c r="W15" s="58">
        <f t="shared" si="7"/>
      </c>
    </row>
    <row r="16" spans="1:23" ht="12.75">
      <c r="A16" s="23"/>
      <c r="B16" s="23" t="s">
        <v>139</v>
      </c>
      <c r="C16" s="24">
        <v>0.01</v>
      </c>
      <c r="D16"/>
      <c r="E16"/>
      <c r="F16"/>
      <c r="G16" s="58">
        <f t="shared" si="0"/>
      </c>
      <c r="H16" s="58">
        <f t="shared" si="1"/>
      </c>
      <c r="I16"/>
      <c r="J16"/>
      <c r="K16"/>
      <c r="L16" s="58">
        <f t="shared" si="2"/>
      </c>
      <c r="M16" s="58">
        <f t="shared" si="3"/>
      </c>
      <c r="N16"/>
      <c r="O16"/>
      <c r="P16"/>
      <c r="Q16" s="58">
        <f t="shared" si="4"/>
      </c>
      <c r="R16" s="58">
        <f t="shared" si="5"/>
      </c>
      <c r="T16"/>
      <c r="U16"/>
      <c r="V16" s="58">
        <f t="shared" si="6"/>
      </c>
      <c r="W16" s="58">
        <f t="shared" si="7"/>
      </c>
    </row>
    <row r="17" spans="1:23" ht="12.75">
      <c r="A17" s="23"/>
      <c r="B17" s="23" t="s">
        <v>140</v>
      </c>
      <c r="C17" s="24">
        <v>0.001</v>
      </c>
      <c r="D17"/>
      <c r="E17"/>
      <c r="F17"/>
      <c r="G17" s="58">
        <f t="shared" si="0"/>
      </c>
      <c r="H17" s="58">
        <f t="shared" si="1"/>
      </c>
      <c r="I17"/>
      <c r="J17"/>
      <c r="K17"/>
      <c r="L17" s="58">
        <f t="shared" si="2"/>
      </c>
      <c r="M17" s="58">
        <f t="shared" si="3"/>
      </c>
      <c r="N17"/>
      <c r="O17"/>
      <c r="P17"/>
      <c r="Q17" s="58">
        <f t="shared" si="4"/>
      </c>
      <c r="R17" s="58">
        <f t="shared" si="5"/>
      </c>
      <c r="T17"/>
      <c r="U17"/>
      <c r="V17" s="58">
        <f t="shared" si="6"/>
      </c>
      <c r="W17" s="58">
        <f t="shared" si="7"/>
      </c>
    </row>
    <row r="18" spans="1:23" ht="12.75">
      <c r="A18" s="23"/>
      <c r="B18" s="23" t="s">
        <v>141</v>
      </c>
      <c r="C18" s="24">
        <v>0.1</v>
      </c>
      <c r="D18"/>
      <c r="E18"/>
      <c r="F18"/>
      <c r="G18" s="58">
        <f t="shared" si="0"/>
      </c>
      <c r="H18" s="58">
        <f t="shared" si="1"/>
      </c>
      <c r="I18"/>
      <c r="J18"/>
      <c r="K18"/>
      <c r="L18" s="58">
        <f t="shared" si="2"/>
      </c>
      <c r="M18" s="58">
        <f t="shared" si="3"/>
      </c>
      <c r="N18"/>
      <c r="O18"/>
      <c r="P18"/>
      <c r="Q18" s="58">
        <f t="shared" si="4"/>
      </c>
      <c r="R18" s="58">
        <f t="shared" si="5"/>
      </c>
      <c r="T18"/>
      <c r="U18"/>
      <c r="V18" s="58">
        <f t="shared" si="6"/>
      </c>
      <c r="W18" s="58">
        <f t="shared" si="7"/>
      </c>
    </row>
    <row r="19" spans="1:23" ht="12.75">
      <c r="A19" s="23"/>
      <c r="B19" s="23" t="s">
        <v>142</v>
      </c>
      <c r="C19" s="24">
        <v>0.05</v>
      </c>
      <c r="D19"/>
      <c r="E19"/>
      <c r="F19"/>
      <c r="G19" s="58">
        <f t="shared" si="0"/>
      </c>
      <c r="H19" s="58">
        <f t="shared" si="1"/>
      </c>
      <c r="I19"/>
      <c r="J19"/>
      <c r="K19"/>
      <c r="L19" s="58">
        <f t="shared" si="2"/>
      </c>
      <c r="M19" s="58">
        <f t="shared" si="3"/>
      </c>
      <c r="N19"/>
      <c r="O19"/>
      <c r="P19"/>
      <c r="Q19" s="58">
        <f t="shared" si="4"/>
      </c>
      <c r="R19" s="58">
        <f t="shared" si="5"/>
      </c>
      <c r="T19"/>
      <c r="U19"/>
      <c r="V19" s="58">
        <f t="shared" si="6"/>
      </c>
      <c r="W19" s="58">
        <f t="shared" si="7"/>
      </c>
    </row>
    <row r="20" spans="1:23" ht="12.75">
      <c r="A20" s="23"/>
      <c r="B20" s="23" t="s">
        <v>143</v>
      </c>
      <c r="C20" s="24">
        <v>0.5</v>
      </c>
      <c r="D20"/>
      <c r="E20"/>
      <c r="F20"/>
      <c r="G20" s="58">
        <f t="shared" si="0"/>
      </c>
      <c r="H20" s="58">
        <f t="shared" si="1"/>
      </c>
      <c r="I20"/>
      <c r="J20"/>
      <c r="K20"/>
      <c r="L20" s="58">
        <f t="shared" si="2"/>
      </c>
      <c r="M20" s="58">
        <f t="shared" si="3"/>
      </c>
      <c r="N20"/>
      <c r="O20"/>
      <c r="P20"/>
      <c r="Q20" s="58">
        <f t="shared" si="4"/>
      </c>
      <c r="R20" s="58">
        <f t="shared" si="5"/>
      </c>
      <c r="T20"/>
      <c r="U20"/>
      <c r="V20" s="58">
        <f t="shared" si="6"/>
      </c>
      <c r="W20" s="58">
        <f t="shared" si="7"/>
      </c>
    </row>
    <row r="21" spans="1:23" ht="12.75">
      <c r="A21" s="23"/>
      <c r="B21" s="23" t="s">
        <v>144</v>
      </c>
      <c r="C21" s="24">
        <v>0.1</v>
      </c>
      <c r="D21"/>
      <c r="E21"/>
      <c r="F21"/>
      <c r="G21" s="58">
        <f t="shared" si="0"/>
      </c>
      <c r="H21" s="58">
        <f t="shared" si="1"/>
      </c>
      <c r="I21"/>
      <c r="J21"/>
      <c r="K21"/>
      <c r="L21" s="58">
        <f t="shared" si="2"/>
      </c>
      <c r="M21" s="58">
        <f t="shared" si="3"/>
      </c>
      <c r="N21"/>
      <c r="O21"/>
      <c r="P21"/>
      <c r="Q21" s="58">
        <f t="shared" si="4"/>
      </c>
      <c r="R21" s="58">
        <f t="shared" si="5"/>
      </c>
      <c r="T21"/>
      <c r="U21"/>
      <c r="V21" s="58">
        <f t="shared" si="6"/>
      </c>
      <c r="W21" s="58">
        <f t="shared" si="7"/>
      </c>
    </row>
    <row r="22" spans="1:23" ht="12.75">
      <c r="A22" s="23"/>
      <c r="B22" s="23" t="s">
        <v>145</v>
      </c>
      <c r="C22" s="24">
        <v>0.1</v>
      </c>
      <c r="D22"/>
      <c r="E22"/>
      <c r="F22"/>
      <c r="G22" s="58">
        <f t="shared" si="0"/>
      </c>
      <c r="H22" s="58">
        <f t="shared" si="1"/>
      </c>
      <c r="I22"/>
      <c r="J22"/>
      <c r="K22"/>
      <c r="L22" s="58">
        <f t="shared" si="2"/>
      </c>
      <c r="M22" s="58">
        <f t="shared" si="3"/>
      </c>
      <c r="N22"/>
      <c r="O22"/>
      <c r="P22"/>
      <c r="Q22" s="58">
        <f t="shared" si="4"/>
      </c>
      <c r="R22" s="58">
        <f t="shared" si="5"/>
      </c>
      <c r="T22"/>
      <c r="U22"/>
      <c r="V22" s="58">
        <f t="shared" si="6"/>
      </c>
      <c r="W22" s="58">
        <f t="shared" si="7"/>
      </c>
    </row>
    <row r="23" spans="1:23" ht="12.75">
      <c r="A23" s="23"/>
      <c r="B23" s="23" t="s">
        <v>146</v>
      </c>
      <c r="C23" s="24">
        <v>0.1</v>
      </c>
      <c r="D23"/>
      <c r="E23"/>
      <c r="F23"/>
      <c r="G23" s="58">
        <f t="shared" si="0"/>
      </c>
      <c r="H23" s="58">
        <f t="shared" si="1"/>
      </c>
      <c r="I23"/>
      <c r="J23"/>
      <c r="K23"/>
      <c r="L23" s="58">
        <f t="shared" si="2"/>
      </c>
      <c r="M23" s="58">
        <f t="shared" si="3"/>
      </c>
      <c r="N23"/>
      <c r="O23"/>
      <c r="P23"/>
      <c r="Q23" s="58">
        <f t="shared" si="4"/>
      </c>
      <c r="R23" s="58">
        <f t="shared" si="5"/>
      </c>
      <c r="T23"/>
      <c r="U23"/>
      <c r="V23" s="58">
        <f t="shared" si="6"/>
      </c>
      <c r="W23" s="58">
        <f t="shared" si="7"/>
      </c>
    </row>
    <row r="24" spans="1:23" ht="12.75">
      <c r="A24" s="23"/>
      <c r="B24" s="23" t="s">
        <v>147</v>
      </c>
      <c r="C24" s="24">
        <v>0.1</v>
      </c>
      <c r="D24"/>
      <c r="E24"/>
      <c r="F24"/>
      <c r="G24" s="58">
        <f t="shared" si="0"/>
      </c>
      <c r="H24" s="58">
        <f t="shared" si="1"/>
      </c>
      <c r="I24"/>
      <c r="J24"/>
      <c r="K24"/>
      <c r="L24" s="58">
        <f t="shared" si="2"/>
      </c>
      <c r="M24" s="58">
        <f t="shared" si="3"/>
      </c>
      <c r="N24"/>
      <c r="O24"/>
      <c r="P24"/>
      <c r="Q24" s="58">
        <f t="shared" si="4"/>
      </c>
      <c r="R24" s="58">
        <f t="shared" si="5"/>
      </c>
      <c r="T24"/>
      <c r="U24"/>
      <c r="V24" s="58">
        <f t="shared" si="6"/>
      </c>
      <c r="W24" s="58">
        <f t="shared" si="7"/>
      </c>
    </row>
    <row r="25" spans="1:23" ht="12.75">
      <c r="A25" s="23"/>
      <c r="B25" s="23" t="s">
        <v>148</v>
      </c>
      <c r="C25" s="24">
        <v>0.01</v>
      </c>
      <c r="D25"/>
      <c r="E25"/>
      <c r="F25"/>
      <c r="G25" s="58">
        <f t="shared" si="0"/>
      </c>
      <c r="H25" s="58">
        <f t="shared" si="1"/>
      </c>
      <c r="I25"/>
      <c r="J25"/>
      <c r="K25"/>
      <c r="L25" s="58">
        <f t="shared" si="2"/>
      </c>
      <c r="M25" s="58">
        <f t="shared" si="3"/>
      </c>
      <c r="N25"/>
      <c r="O25"/>
      <c r="P25"/>
      <c r="Q25" s="58">
        <f t="shared" si="4"/>
      </c>
      <c r="R25" s="58">
        <f t="shared" si="5"/>
      </c>
      <c r="T25"/>
      <c r="U25"/>
      <c r="V25" s="58">
        <f t="shared" si="6"/>
      </c>
      <c r="W25" s="58">
        <f t="shared" si="7"/>
      </c>
    </row>
    <row r="26" spans="1:23" ht="12.75">
      <c r="A26" s="23"/>
      <c r="B26" s="23" t="s">
        <v>149</v>
      </c>
      <c r="C26" s="24">
        <v>0.01</v>
      </c>
      <c r="D26"/>
      <c r="E26"/>
      <c r="F26"/>
      <c r="G26" s="58">
        <f t="shared" si="0"/>
      </c>
      <c r="H26" s="58">
        <f t="shared" si="1"/>
      </c>
      <c r="I26"/>
      <c r="J26"/>
      <c r="K26"/>
      <c r="L26" s="58">
        <f t="shared" si="2"/>
      </c>
      <c r="M26" s="58">
        <f t="shared" si="3"/>
      </c>
      <c r="N26"/>
      <c r="O26"/>
      <c r="P26"/>
      <c r="Q26" s="58">
        <f t="shared" si="4"/>
      </c>
      <c r="R26" s="58">
        <f t="shared" si="5"/>
      </c>
      <c r="T26"/>
      <c r="U26"/>
      <c r="V26" s="58">
        <f t="shared" si="6"/>
      </c>
      <c r="W26" s="58">
        <f t="shared" si="7"/>
      </c>
    </row>
    <row r="27" spans="1:23" ht="12.75">
      <c r="A27" s="23"/>
      <c r="B27" s="23" t="s">
        <v>150</v>
      </c>
      <c r="C27" s="24">
        <v>0.001</v>
      </c>
      <c r="D27"/>
      <c r="E27"/>
      <c r="F27"/>
      <c r="G27" s="58">
        <f t="shared" si="0"/>
      </c>
      <c r="H27" s="58">
        <f t="shared" si="1"/>
      </c>
      <c r="I27"/>
      <c r="J27"/>
      <c r="K27"/>
      <c r="L27" s="58">
        <f t="shared" si="2"/>
      </c>
      <c r="M27" s="58">
        <f t="shared" si="3"/>
      </c>
      <c r="N27"/>
      <c r="O27"/>
      <c r="P27"/>
      <c r="Q27" s="58">
        <f t="shared" si="4"/>
      </c>
      <c r="R27" s="58">
        <f t="shared" si="5"/>
      </c>
      <c r="T27"/>
      <c r="U27"/>
      <c r="V27" s="58">
        <f t="shared" si="6"/>
      </c>
      <c r="W27" s="58">
        <f t="shared" si="7"/>
      </c>
    </row>
    <row r="28" spans="1:23" ht="12.75">
      <c r="A28" s="23"/>
      <c r="B28" s="23" t="s">
        <v>151</v>
      </c>
      <c r="C28" s="24">
        <v>0</v>
      </c>
      <c r="D28"/>
      <c r="E28"/>
      <c r="F28"/>
      <c r="G28" s="58">
        <f t="shared" si="0"/>
      </c>
      <c r="H28" s="58">
        <f t="shared" si="1"/>
      </c>
      <c r="I28"/>
      <c r="J28"/>
      <c r="K28"/>
      <c r="L28" s="58">
        <f t="shared" si="2"/>
      </c>
      <c r="M28" s="58">
        <f t="shared" si="3"/>
      </c>
      <c r="N28"/>
      <c r="O28"/>
      <c r="P28"/>
      <c r="Q28" s="58">
        <f t="shared" si="4"/>
      </c>
      <c r="R28" s="58">
        <f t="shared" si="5"/>
      </c>
      <c r="T28"/>
      <c r="U28"/>
      <c r="V28" s="58">
        <f t="shared" si="6"/>
      </c>
      <c r="W28" s="58">
        <f t="shared" si="7"/>
      </c>
    </row>
    <row r="29" spans="1:23" ht="12.75">
      <c r="A29" s="23"/>
      <c r="B29" s="23" t="s">
        <v>152</v>
      </c>
      <c r="C29" s="24">
        <v>0</v>
      </c>
      <c r="D29"/>
      <c r="E29"/>
      <c r="F29"/>
      <c r="G29" s="58">
        <f t="shared" si="0"/>
      </c>
      <c r="H29" s="58">
        <f t="shared" si="1"/>
      </c>
      <c r="I29"/>
      <c r="J29"/>
      <c r="K29"/>
      <c r="L29" s="58">
        <f t="shared" si="2"/>
      </c>
      <c r="M29" s="58">
        <f t="shared" si="3"/>
      </c>
      <c r="N29"/>
      <c r="O29"/>
      <c r="P29"/>
      <c r="Q29" s="58">
        <f t="shared" si="4"/>
      </c>
      <c r="R29" s="58">
        <f t="shared" si="5"/>
      </c>
      <c r="T29"/>
      <c r="U29"/>
      <c r="V29" s="58">
        <f t="shared" si="6"/>
      </c>
      <c r="W29" s="58">
        <f t="shared" si="7"/>
      </c>
    </row>
    <row r="30" spans="1:23" ht="12.75">
      <c r="A30" s="23"/>
      <c r="B30" s="23" t="s">
        <v>153</v>
      </c>
      <c r="C30" s="24">
        <v>0</v>
      </c>
      <c r="D30"/>
      <c r="E30"/>
      <c r="F30"/>
      <c r="G30" s="58">
        <f t="shared" si="0"/>
      </c>
      <c r="H30" s="58">
        <f t="shared" si="1"/>
      </c>
      <c r="I30"/>
      <c r="J30"/>
      <c r="K30"/>
      <c r="L30" s="58">
        <f t="shared" si="2"/>
      </c>
      <c r="M30" s="58">
        <f t="shared" si="3"/>
      </c>
      <c r="N30"/>
      <c r="O30"/>
      <c r="P30"/>
      <c r="Q30" s="58">
        <f t="shared" si="4"/>
      </c>
      <c r="R30" s="58">
        <f t="shared" si="5"/>
      </c>
      <c r="T30"/>
      <c r="U30"/>
      <c r="V30" s="58">
        <f t="shared" si="6"/>
      </c>
      <c r="W30" s="58">
        <f t="shared" si="7"/>
      </c>
    </row>
    <row r="31" spans="1:23" ht="12.75">
      <c r="A31" s="23"/>
      <c r="B31" s="23" t="s">
        <v>154</v>
      </c>
      <c r="C31" s="24">
        <v>0</v>
      </c>
      <c r="D31"/>
      <c r="E31"/>
      <c r="F31"/>
      <c r="G31" s="58">
        <f t="shared" si="0"/>
      </c>
      <c r="H31" s="58">
        <f t="shared" si="1"/>
      </c>
      <c r="I31"/>
      <c r="J31"/>
      <c r="K31"/>
      <c r="L31" s="58">
        <f t="shared" si="2"/>
      </c>
      <c r="M31" s="58">
        <f t="shared" si="3"/>
      </c>
      <c r="N31"/>
      <c r="O31"/>
      <c r="P31"/>
      <c r="Q31" s="58">
        <f t="shared" si="4"/>
      </c>
      <c r="R31" s="58">
        <f t="shared" si="5"/>
      </c>
      <c r="T31"/>
      <c r="U31"/>
      <c r="V31" s="58">
        <f t="shared" si="6"/>
      </c>
      <c r="W31" s="58">
        <f t="shared" si="7"/>
      </c>
    </row>
    <row r="32" spans="1:23" ht="12.75">
      <c r="A32" s="23"/>
      <c r="B32" s="23" t="s">
        <v>155</v>
      </c>
      <c r="C32" s="24">
        <v>0</v>
      </c>
      <c r="D32"/>
      <c r="E32"/>
      <c r="F32"/>
      <c r="G32" s="58">
        <f t="shared" si="0"/>
      </c>
      <c r="H32" s="58">
        <f t="shared" si="1"/>
      </c>
      <c r="I32"/>
      <c r="J32"/>
      <c r="K32"/>
      <c r="L32" s="58">
        <f t="shared" si="2"/>
      </c>
      <c r="M32" s="58">
        <f t="shared" si="3"/>
      </c>
      <c r="N32"/>
      <c r="O32"/>
      <c r="P32"/>
      <c r="Q32" s="58">
        <f t="shared" si="4"/>
      </c>
      <c r="R32" s="58">
        <f t="shared" si="5"/>
      </c>
      <c r="T32"/>
      <c r="U32"/>
      <c r="V32" s="58">
        <f t="shared" si="6"/>
      </c>
      <c r="W32" s="58">
        <f t="shared" si="7"/>
      </c>
    </row>
    <row r="33" spans="1:23" ht="12.75">
      <c r="A33" s="23"/>
      <c r="B33" s="23" t="s">
        <v>156</v>
      </c>
      <c r="C33" s="24">
        <v>0</v>
      </c>
      <c r="D33"/>
      <c r="E33"/>
      <c r="F33"/>
      <c r="G33" s="58">
        <f t="shared" si="0"/>
      </c>
      <c r="H33" s="58">
        <f t="shared" si="1"/>
      </c>
      <c r="I33"/>
      <c r="J33"/>
      <c r="K33"/>
      <c r="L33" s="58">
        <f t="shared" si="2"/>
      </c>
      <c r="M33" s="58">
        <f t="shared" si="3"/>
      </c>
      <c r="N33"/>
      <c r="O33"/>
      <c r="P33"/>
      <c r="Q33" s="58">
        <f t="shared" si="4"/>
      </c>
      <c r="R33" s="58">
        <f t="shared" si="5"/>
      </c>
      <c r="T33"/>
      <c r="U33"/>
      <c r="V33" s="58">
        <f t="shared" si="6"/>
      </c>
      <c r="W33" s="58">
        <f t="shared" si="7"/>
      </c>
    </row>
    <row r="34" spans="1:23" ht="12.75">
      <c r="A34" s="23"/>
      <c r="B34" s="23" t="s">
        <v>157</v>
      </c>
      <c r="C34" s="24">
        <v>0</v>
      </c>
      <c r="D34"/>
      <c r="E34"/>
      <c r="F34"/>
      <c r="G34" s="58">
        <f t="shared" si="0"/>
      </c>
      <c r="H34" s="58">
        <f t="shared" si="1"/>
      </c>
      <c r="I34"/>
      <c r="J34"/>
      <c r="K34"/>
      <c r="L34" s="58">
        <f t="shared" si="2"/>
      </c>
      <c r="M34" s="58">
        <f t="shared" si="3"/>
      </c>
      <c r="N34"/>
      <c r="O34"/>
      <c r="P34"/>
      <c r="Q34" s="58">
        <f t="shared" si="4"/>
      </c>
      <c r="R34" s="58">
        <f t="shared" si="5"/>
      </c>
      <c r="T34"/>
      <c r="U34"/>
      <c r="V34" s="58">
        <f t="shared" si="6"/>
      </c>
      <c r="W34" s="58">
        <f t="shared" si="7"/>
      </c>
    </row>
    <row r="35" spans="1:23" ht="12.75">
      <c r="A35" s="23" t="s">
        <v>158</v>
      </c>
      <c r="B35" s="23" t="s">
        <v>159</v>
      </c>
      <c r="C35" s="24">
        <v>0</v>
      </c>
      <c r="D35"/>
      <c r="E35"/>
      <c r="F35"/>
      <c r="G35" s="58">
        <f t="shared" si="0"/>
      </c>
      <c r="H35" s="58">
        <f t="shared" si="1"/>
      </c>
      <c r="I35"/>
      <c r="J35"/>
      <c r="K35"/>
      <c r="L35" s="58">
        <f t="shared" si="2"/>
      </c>
      <c r="M35" s="58">
        <f t="shared" si="3"/>
      </c>
      <c r="N35"/>
      <c r="O35"/>
      <c r="P35"/>
      <c r="Q35" s="58">
        <f t="shared" si="4"/>
      </c>
      <c r="R35" s="58">
        <f t="shared" si="5"/>
      </c>
      <c r="T35"/>
      <c r="U35"/>
      <c r="V35" s="58">
        <f t="shared" si="6"/>
      </c>
      <c r="W35" s="58">
        <f t="shared" si="7"/>
      </c>
    </row>
    <row r="36" spans="1:23" ht="12.75">
      <c r="A36" s="23"/>
      <c r="B36" s="23"/>
      <c r="C36" s="23"/>
      <c r="D36" s="23"/>
      <c r="E36" s="57"/>
      <c r="F36" s="57"/>
      <c r="G36" s="57"/>
      <c r="H36" s="53"/>
      <c r="I36" s="57"/>
      <c r="J36" s="23"/>
      <c r="K36" s="23"/>
      <c r="L36" s="25"/>
      <c r="M36" s="25"/>
      <c r="N36" s="57"/>
      <c r="O36" s="23"/>
      <c r="P36" s="23"/>
      <c r="Q36" s="57"/>
      <c r="R36" s="52"/>
      <c r="T36" s="23"/>
      <c r="U36" s="23"/>
      <c r="V36" s="57"/>
      <c r="W36" s="52"/>
    </row>
    <row r="37" spans="1:23" ht="12.75">
      <c r="A37" s="23"/>
      <c r="B37" s="23" t="s">
        <v>160</v>
      </c>
      <c r="C37" s="23"/>
      <c r="D37" s="23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T37" s="57"/>
      <c r="U37" s="57"/>
      <c r="V37" s="57"/>
      <c r="W37" s="57"/>
    </row>
    <row r="38" spans="1:23" ht="12.75">
      <c r="A38" s="23"/>
      <c r="B38" s="23" t="s">
        <v>161</v>
      </c>
      <c r="C38" s="23"/>
      <c r="D38" s="23"/>
      <c r="E38" s="57"/>
      <c r="F38" s="57"/>
      <c r="G38" s="57"/>
      <c r="H38" s="57"/>
      <c r="I38" s="57"/>
      <c r="J38" s="57"/>
      <c r="K38" s="57"/>
      <c r="L38" s="25"/>
      <c r="M38" s="25"/>
      <c r="N38" s="57"/>
      <c r="O38" s="57"/>
      <c r="P38" s="57"/>
      <c r="Q38" s="57"/>
      <c r="R38" s="57"/>
      <c r="T38" s="57"/>
      <c r="U38" s="57"/>
      <c r="V38" s="57"/>
      <c r="W38" s="57"/>
    </row>
    <row r="39" spans="1:23" ht="12.75">
      <c r="A39" s="23"/>
      <c r="B39" s="23"/>
      <c r="C39" s="23"/>
      <c r="D39" s="23"/>
      <c r="E39" s="57"/>
      <c r="F39" s="57"/>
      <c r="G39" s="57"/>
      <c r="H39" s="23"/>
      <c r="I39" s="23"/>
      <c r="J39" s="57"/>
      <c r="K39" s="57"/>
      <c r="L39" s="25"/>
      <c r="M39" s="25"/>
      <c r="N39" s="57"/>
      <c r="O39" s="57"/>
      <c r="P39" s="57"/>
      <c r="Q39" s="57"/>
      <c r="R39" s="57"/>
      <c r="T39" s="57"/>
      <c r="U39" s="57"/>
      <c r="V39" s="57"/>
      <c r="W39" s="57"/>
    </row>
    <row r="40" spans="1:23" ht="12.75">
      <c r="A40" s="23"/>
      <c r="B40" s="23"/>
      <c r="C40" s="23"/>
      <c r="D40" s="23"/>
      <c r="E40" s="58"/>
      <c r="F40" s="58"/>
      <c r="G40" s="58"/>
      <c r="H40" s="53"/>
      <c r="I40" s="58"/>
      <c r="J40" s="58"/>
      <c r="K40" s="58"/>
      <c r="L40" s="58"/>
      <c r="M40" s="58"/>
      <c r="N40" s="58"/>
      <c r="O40" s="58"/>
      <c r="P40" s="58"/>
      <c r="Q40" s="58"/>
      <c r="R40" s="52"/>
      <c r="T40" s="58"/>
      <c r="U40" s="58"/>
      <c r="V40" s="58"/>
      <c r="W40" s="52"/>
    </row>
    <row r="41" spans="1:23" ht="12.75">
      <c r="A41" s="23"/>
      <c r="B41" s="23" t="s">
        <v>163</v>
      </c>
      <c r="C41" s="53"/>
      <c r="D41" s="53"/>
      <c r="E41" s="57"/>
      <c r="F41" s="57"/>
      <c r="G41" s="57"/>
      <c r="H41" s="58">
        <v>0.012</v>
      </c>
      <c r="I41" s="53"/>
      <c r="J41" s="57"/>
      <c r="K41" s="57"/>
      <c r="L41" s="57"/>
      <c r="M41" s="53">
        <v>0.0072</v>
      </c>
      <c r="N41" s="53"/>
      <c r="O41" s="57"/>
      <c r="P41" s="57"/>
      <c r="Q41" s="57"/>
      <c r="R41" s="53">
        <v>0.0082</v>
      </c>
      <c r="T41" s="57"/>
      <c r="U41" s="57"/>
      <c r="V41" s="57"/>
      <c r="W41" s="53">
        <v>0.0404</v>
      </c>
    </row>
    <row r="42" spans="1:23" ht="12.75">
      <c r="A42" s="23"/>
      <c r="B42" s="23"/>
      <c r="C42" s="53"/>
      <c r="D42" s="53"/>
      <c r="E42" s="57"/>
      <c r="F42" s="57"/>
      <c r="G42" s="57"/>
      <c r="H42" s="58"/>
      <c r="I42" s="53"/>
      <c r="J42" s="57"/>
      <c r="K42" s="57"/>
      <c r="L42" s="57"/>
      <c r="M42" s="58"/>
      <c r="N42" s="53"/>
      <c r="O42" s="57"/>
      <c r="P42" s="57"/>
      <c r="Q42" s="57"/>
      <c r="R42" s="58"/>
      <c r="T42" s="57"/>
      <c r="U42" s="57"/>
      <c r="V42" s="57"/>
      <c r="W42" s="58"/>
    </row>
    <row r="43" spans="1:23" ht="12.75">
      <c r="A43" s="57"/>
      <c r="B43" s="23" t="s">
        <v>164</v>
      </c>
      <c r="C43" s="58">
        <f>AVERAGE(H41,M41,R41,W41)</f>
        <v>0.01695</v>
      </c>
      <c r="D43" s="57"/>
      <c r="E43" s="59"/>
      <c r="F43" s="59"/>
      <c r="G43" s="57"/>
      <c r="H43" s="53"/>
      <c r="I43" s="57"/>
      <c r="J43" s="57"/>
      <c r="K43" s="57"/>
      <c r="L43" s="57"/>
      <c r="M43" s="57"/>
      <c r="N43" s="57"/>
      <c r="O43" s="57"/>
      <c r="P43" s="57"/>
      <c r="Q43" s="57"/>
      <c r="R43" s="52"/>
      <c r="T43" s="57"/>
      <c r="U43" s="57"/>
      <c r="V43" s="57"/>
      <c r="W43" s="52"/>
    </row>
    <row r="44" spans="1:23" ht="12.75">
      <c r="A44" s="23"/>
      <c r="B44" s="23" t="s">
        <v>165</v>
      </c>
      <c r="C44" s="57">
        <f>AVERAGE(H41,M41,R41,W41)</f>
        <v>0.01695</v>
      </c>
      <c r="D44" s="23"/>
      <c r="E44" s="52"/>
      <c r="F44" s="52"/>
      <c r="G44" s="52"/>
      <c r="H44" s="53"/>
      <c r="I44" s="52"/>
      <c r="J44" s="52"/>
      <c r="K44" s="52"/>
      <c r="L44" s="52"/>
      <c r="M44" s="52"/>
      <c r="N44" s="52"/>
      <c r="O44" s="52"/>
      <c r="P44" s="52"/>
      <c r="Q44" s="52"/>
      <c r="R44" s="52"/>
      <c r="T44" s="52"/>
      <c r="U44" s="52"/>
      <c r="V44" s="52"/>
      <c r="W44" s="5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75"/>
  <sheetViews>
    <sheetView workbookViewId="0" topLeftCell="B1">
      <selection activeCell="B2" sqref="B2"/>
    </sheetView>
  </sheetViews>
  <sheetFormatPr defaultColWidth="9.140625" defaultRowHeight="12.75"/>
  <cols>
    <col min="1" max="1" width="2.57421875" style="1" hidden="1" customWidth="1"/>
    <col min="2" max="2" width="23.8515625" style="1" customWidth="1"/>
    <col min="3" max="3" width="69.421875" style="1" customWidth="1"/>
    <col min="4" max="4" width="12.7109375" style="1" customWidth="1"/>
    <col min="5" max="16384" width="8.8515625" style="1" customWidth="1"/>
  </cols>
  <sheetData>
    <row r="1" spans="2:12" ht="12.75">
      <c r="B1" s="2" t="s">
        <v>51</v>
      </c>
      <c r="C1" s="37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211</v>
      </c>
      <c r="C3" s="10">
        <v>825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s="37" t="s">
        <v>215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80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78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79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173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221</v>
      </c>
      <c r="C11" s="10">
        <v>0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212</v>
      </c>
      <c r="C12" s="9" t="s">
        <v>232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213</v>
      </c>
      <c r="C13" s="9" t="s">
        <v>214</v>
      </c>
      <c r="D13" s="9"/>
      <c r="E13" s="9"/>
      <c r="F13" s="9"/>
      <c r="G13" s="9"/>
      <c r="H13" s="9"/>
      <c r="I13" s="9"/>
      <c r="J13" s="9"/>
      <c r="K13" s="9"/>
      <c r="L13" s="9"/>
    </row>
    <row r="14" spans="2:12" s="31" customFormat="1" ht="38.25">
      <c r="B14" s="30" t="s">
        <v>43</v>
      </c>
      <c r="C14" s="30" t="s">
        <v>101</v>
      </c>
      <c r="D14" s="36"/>
      <c r="E14" s="30"/>
      <c r="F14" s="30"/>
      <c r="G14" s="30"/>
      <c r="H14" s="30"/>
      <c r="I14" s="30"/>
      <c r="J14" s="30"/>
      <c r="K14" s="30"/>
      <c r="L14" s="30"/>
    </row>
    <row r="15" spans="2:12" s="31" customFormat="1" ht="12.75">
      <c r="B15" s="30" t="s">
        <v>47</v>
      </c>
      <c r="C15" s="50" t="s">
        <v>102</v>
      </c>
      <c r="D15" s="30"/>
      <c r="E15" s="30"/>
      <c r="F15" s="30"/>
      <c r="G15" s="30"/>
      <c r="H15" s="30"/>
      <c r="I15" s="30"/>
      <c r="J15" s="30"/>
      <c r="K15" s="30"/>
      <c r="L15" s="30"/>
    </row>
    <row r="16" spans="2:12" s="31" customFormat="1" ht="12.75">
      <c r="B16" s="9" t="s">
        <v>52</v>
      </c>
      <c r="C16" s="30"/>
      <c r="F16" s="30"/>
      <c r="G16" s="30"/>
      <c r="H16" s="30"/>
      <c r="I16" s="30"/>
      <c r="J16" s="30"/>
      <c r="K16" s="30"/>
      <c r="L16" s="30"/>
    </row>
    <row r="17" spans="2:12" s="31" customFormat="1" ht="12.75">
      <c r="B17" s="30" t="s">
        <v>222</v>
      </c>
      <c r="C17" s="30" t="s">
        <v>103</v>
      </c>
      <c r="D17" s="30"/>
      <c r="E17" s="30"/>
      <c r="F17" s="30"/>
      <c r="G17" s="30"/>
      <c r="H17" s="30"/>
      <c r="I17" s="30"/>
      <c r="J17" s="30"/>
      <c r="K17" s="30"/>
      <c r="L17" s="30"/>
    </row>
    <row r="18" spans="2:12" s="31" customFormat="1" ht="12.75">
      <c r="B18" s="30" t="s">
        <v>223</v>
      </c>
      <c r="C18" s="30" t="s">
        <v>224</v>
      </c>
      <c r="D18" s="30"/>
      <c r="E18" s="30"/>
      <c r="F18" s="30"/>
      <c r="G18" s="30"/>
      <c r="H18" s="30"/>
      <c r="I18" s="30"/>
      <c r="J18" s="30"/>
      <c r="K18" s="30"/>
      <c r="L18" s="30"/>
    </row>
    <row r="19" spans="2:12" ht="25.5">
      <c r="B19" s="30" t="s">
        <v>7</v>
      </c>
      <c r="C19" s="30" t="s">
        <v>104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 t="s">
        <v>100</v>
      </c>
      <c r="C20" s="9" t="s">
        <v>227</v>
      </c>
      <c r="D20" s="9"/>
      <c r="E20" s="9"/>
      <c r="F20" s="9"/>
      <c r="G20" s="9"/>
      <c r="H20" s="9"/>
      <c r="I20" s="9"/>
      <c r="J20" s="9"/>
      <c r="K20" s="9"/>
      <c r="L20" s="9"/>
    </row>
    <row r="21" spans="2:12" ht="89.25">
      <c r="B21" s="83" t="s">
        <v>53</v>
      </c>
      <c r="C21" s="40" t="s">
        <v>267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45</v>
      </c>
      <c r="C22" s="30" t="s">
        <v>226</v>
      </c>
      <c r="D22" s="9"/>
      <c r="E22" s="9"/>
      <c r="F22" s="9"/>
      <c r="G22" s="9"/>
      <c r="H22" s="9"/>
      <c r="I22" s="9"/>
      <c r="J22" s="9"/>
      <c r="K22" s="9"/>
      <c r="L22" s="9"/>
    </row>
    <row r="23" spans="2:12" ht="12.75" customHeight="1">
      <c r="B23" s="9"/>
      <c r="C23" s="30" t="s">
        <v>225</v>
      </c>
      <c r="D23" s="9"/>
      <c r="E23" s="9"/>
      <c r="F23" s="9"/>
      <c r="G23" s="9"/>
      <c r="H23" s="9"/>
      <c r="I23" s="9"/>
      <c r="J23" s="9"/>
      <c r="K23" s="9"/>
      <c r="L23" s="9"/>
    </row>
    <row r="24" spans="2:12" ht="12.75">
      <c r="B24" s="9" t="s">
        <v>8</v>
      </c>
      <c r="C24" s="10"/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9</v>
      </c>
      <c r="C25" s="11">
        <f>42/12</f>
        <v>3.5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10</v>
      </c>
      <c r="C26" s="10">
        <v>100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48</v>
      </c>
      <c r="C27" s="11">
        <v>11.204355268540626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ht="14.25" customHeight="1">
      <c r="B28" s="9" t="s">
        <v>49</v>
      </c>
      <c r="C28" s="10">
        <v>75.5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.75">
      <c r="B30" s="38" t="s">
        <v>11</v>
      </c>
      <c r="C30" s="39"/>
      <c r="D30" s="9"/>
      <c r="E30" s="9"/>
      <c r="F30" s="9"/>
      <c r="G30" s="9"/>
      <c r="H30" s="9"/>
      <c r="I30" s="9"/>
      <c r="J30" s="9"/>
      <c r="K30" s="9"/>
      <c r="L30" s="9"/>
    </row>
    <row r="31" spans="2:12" ht="12.75">
      <c r="B31" s="9" t="s">
        <v>72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40" spans="2:12" ht="12.75">
      <c r="B40" s="9"/>
      <c r="C40" s="12"/>
      <c r="D40" s="9"/>
      <c r="E40" s="9"/>
      <c r="F40" s="9"/>
      <c r="G40" s="9"/>
      <c r="H40" s="9"/>
      <c r="I40" s="9"/>
      <c r="J40" s="9"/>
      <c r="K40" s="9"/>
      <c r="L40" s="9"/>
    </row>
    <row r="56" spans="2:12" ht="12.75">
      <c r="B56" s="9"/>
      <c r="C56" s="12"/>
      <c r="D56" s="9"/>
      <c r="E56" s="9"/>
      <c r="F56" s="9"/>
      <c r="G56" s="9"/>
      <c r="H56" s="9"/>
      <c r="I56" s="9"/>
      <c r="J56" s="9"/>
      <c r="K56" s="9"/>
      <c r="L56" s="9"/>
    </row>
    <row r="57" spans="2:12" s="31" customFormat="1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2:12" ht="12.75">
      <c r="B58" s="9"/>
      <c r="C58" s="30"/>
      <c r="D58" s="9"/>
      <c r="E58" s="9"/>
      <c r="F58" s="9"/>
      <c r="G58" s="9"/>
      <c r="H58" s="9"/>
      <c r="I58" s="9"/>
      <c r="J58" s="9"/>
      <c r="K58" s="9"/>
      <c r="L58" s="9"/>
    </row>
    <row r="59" spans="2:12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2:12" ht="12.75">
      <c r="B61" s="9"/>
      <c r="C61" s="12"/>
      <c r="D61" s="9"/>
      <c r="E61" s="9"/>
      <c r="F61" s="9"/>
      <c r="G61" s="9"/>
      <c r="H61" s="9"/>
      <c r="I61" s="9"/>
      <c r="J61" s="9"/>
      <c r="K61" s="9"/>
      <c r="L61" s="9"/>
    </row>
    <row r="62" spans="2:12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2:12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2:12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2:12" ht="12.75">
      <c r="B65" s="9"/>
      <c r="C65" s="12"/>
      <c r="D65" s="9"/>
      <c r="E65" s="9"/>
      <c r="F65" s="9"/>
      <c r="G65" s="9"/>
      <c r="H65" s="9"/>
      <c r="I65" s="9"/>
      <c r="J65" s="9"/>
      <c r="K65" s="9"/>
      <c r="L65" s="9"/>
    </row>
    <row r="66" spans="2:12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2:12" ht="12.75">
      <c r="B68" s="9"/>
      <c r="C68" s="12"/>
      <c r="D68" s="9"/>
      <c r="E68" s="9"/>
      <c r="F68" s="9"/>
      <c r="G68" s="9"/>
      <c r="H68" s="9"/>
      <c r="I68" s="9"/>
      <c r="J68" s="9"/>
      <c r="K68" s="9"/>
      <c r="L68" s="9"/>
    </row>
    <row r="69" spans="2:12" ht="12.75">
      <c r="B69" s="9"/>
      <c r="C69" s="12"/>
      <c r="D69" s="9"/>
      <c r="E69" s="9"/>
      <c r="F69" s="9"/>
      <c r="G69" s="9"/>
      <c r="H69" s="9"/>
      <c r="I69" s="9"/>
      <c r="J69" s="9"/>
      <c r="K69" s="9"/>
      <c r="L69" s="9"/>
    </row>
    <row r="70" spans="2:12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2:12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2:12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2:12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2:12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2:12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2:12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2:12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2:12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2:12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2:12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2:12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2:12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2:12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2:12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2:12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2:12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2:12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2:12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2:12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2:12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12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2:12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2:12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12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12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2:12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2:12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2:12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2:12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2:12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12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2:12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2:12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2:12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2:12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2:12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2:12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2:12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2:12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2:12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2:12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2:12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2:12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2:12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2:12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2:12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2:12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2:12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2:12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2:12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2:12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2:12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2:12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2:12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2:12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2:12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2:12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2:12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2:12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2:12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2:12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2:12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2:12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2:12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2:12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2:12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2:12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2:12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2:12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2:12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2:12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2:12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2:12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2:12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2:12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2:12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2:12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2:12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2:12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2:12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2:12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2:12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2:12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2:12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2:12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2:12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2:12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2:12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2:12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2:12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2:12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2:12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2:12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2:12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2:12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2:12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2:12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2:12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2:12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2:12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2:12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2:12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2:12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2:12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2:12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2:12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2:12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2:12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2:12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2:12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2:12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2:12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2:12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2:12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2:12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2:12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2:12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2:12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2:12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2:12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2:12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2:12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2:12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2:12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2:12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2:12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2:12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2:12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2:12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2:12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2:12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2:12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2:12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2:12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2:12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2:12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2:12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2:12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2:12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2:12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2:12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2:12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2:12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2:12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2:12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2:12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2:12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2:12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2:12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2:12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2:12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2:12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2:12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2:12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2:12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2:12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2:12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2:12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2:12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2:12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2:12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2:12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2:12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2:12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2:12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2:12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2:12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2:12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2:12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2:12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2:12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2:12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2:12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2:12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2:12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2:12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2:12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2:12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2:12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2:12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2:12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2:12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2:12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2:12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2:12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2:12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2:12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2:12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2:12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2:12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2:12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2:12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2:12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2:12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2:12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2:12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2:12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2:12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2:12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2:12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2:12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2:12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2:12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2:12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2:12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2:12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2:12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2:12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2:12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2:12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2:12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2:12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2:12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2:12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2:12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2:12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2:12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2:12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2:12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2:12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2:12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2:12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2:12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2:12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2:12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2:12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2:12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2:12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2:12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2:12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2:12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2:12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2:12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2:12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2:12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2:12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2:12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2:12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2:12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2:12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2:12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2:12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2:12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2:12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2:12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2:12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2:12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2:12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2:12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2:12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2:12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2:12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2:12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2:12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2:12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2:12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2:12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2:12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2:12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2:12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2:12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2:12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2:12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2:12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2:12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2:12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2:12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2:12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2:12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2:12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2:12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2:12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2:12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2:12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2:12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2:12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2:12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2:12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2:12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2:12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2:12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2:12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2:12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2:12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2:12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2:12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2:12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2:12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2:12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2:12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2:12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2:12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2:12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2:12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2:12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2:12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2:12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2:12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2:12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2:12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2:12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2:12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2:12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2:12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2:12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2:12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2:12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2:12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2:12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2:12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2:12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2:12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2:12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2:12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2:12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2:12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2:12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2:12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2:12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2:12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2:12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2:12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2:12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2:12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2:12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2:12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2:12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2:12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2:12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2:12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2:12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2:12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2:12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2:12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2:12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2:12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2:12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2:12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2:12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2:12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2:12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2:12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2:12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2:12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2:12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2:12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2:12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2:12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2:12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2:12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2:12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2:12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2:12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2:12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2:12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2:12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2:12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2:12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2:12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2:12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2:12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2:12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2:12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2:12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2:12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2:12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2:12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2:12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2:12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2:12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2:12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2:12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2:12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2:12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2:12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2:12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2:12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2:12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2:12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2:12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2:12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2:12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2:12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2:12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2:12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2:12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2:12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2:12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2:12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2:12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2:12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2:12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2:12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2:12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2:12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2:12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B1">
      <selection activeCell="B2" sqref="B2"/>
    </sheetView>
  </sheetViews>
  <sheetFormatPr defaultColWidth="9.140625" defaultRowHeight="12.75"/>
  <cols>
    <col min="1" max="1" width="4.7109375" style="73" hidden="1" customWidth="1"/>
    <col min="2" max="2" width="19.00390625" style="73" customWidth="1"/>
    <col min="3" max="3" width="64.7109375" style="75" customWidth="1"/>
    <col min="4" max="16384" width="9.140625" style="73" customWidth="1"/>
  </cols>
  <sheetData>
    <row r="1" ht="12.75">
      <c r="B1" s="74" t="s">
        <v>206</v>
      </c>
    </row>
    <row r="3" spans="2:12" s="1" customFormat="1" ht="12.75">
      <c r="B3" s="2" t="s">
        <v>170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s="1" customFormat="1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2:12" s="1" customFormat="1" ht="25.5">
      <c r="B5" s="83" t="s">
        <v>178</v>
      </c>
      <c r="C5" s="32" t="s">
        <v>105</v>
      </c>
      <c r="D5" s="9"/>
      <c r="E5" s="9"/>
      <c r="F5" s="9"/>
      <c r="G5" s="9"/>
      <c r="H5" s="9"/>
      <c r="I5" s="9"/>
      <c r="J5" s="9"/>
      <c r="K5" s="9"/>
      <c r="L5" s="9"/>
    </row>
    <row r="6" spans="2:12" s="1" customFormat="1" ht="12.75">
      <c r="B6" s="9" t="s">
        <v>202</v>
      </c>
      <c r="C6" s="9" t="s">
        <v>81</v>
      </c>
      <c r="D6" s="35"/>
      <c r="E6" s="9"/>
      <c r="F6" s="9"/>
      <c r="G6" s="9"/>
      <c r="H6" s="9"/>
      <c r="I6" s="9"/>
      <c r="J6" s="9"/>
      <c r="K6" s="9"/>
      <c r="L6" s="9"/>
    </row>
    <row r="7" spans="2:12" s="1" customFormat="1" ht="12.75">
      <c r="B7" s="9" t="s">
        <v>182</v>
      </c>
      <c r="C7" s="9" t="s">
        <v>82</v>
      </c>
      <c r="D7" s="9"/>
      <c r="E7" s="9"/>
      <c r="F7" s="9"/>
      <c r="G7" s="9"/>
      <c r="H7" s="9"/>
      <c r="I7" s="9"/>
      <c r="J7" s="9"/>
      <c r="K7" s="9"/>
      <c r="L7" s="9"/>
    </row>
    <row r="8" spans="2:12" s="1" customFormat="1" ht="12.75">
      <c r="B8" s="9" t="s">
        <v>203</v>
      </c>
      <c r="C8" s="12">
        <v>33428</v>
      </c>
      <c r="D8" s="9"/>
      <c r="E8" s="9"/>
      <c r="F8" s="9"/>
      <c r="G8" s="9"/>
      <c r="H8" s="9"/>
      <c r="I8" s="9"/>
      <c r="J8" s="9"/>
      <c r="K8" s="9"/>
      <c r="L8" s="9"/>
    </row>
    <row r="9" spans="2:12" s="1" customFormat="1" ht="12.75">
      <c r="B9" s="9" t="s">
        <v>230</v>
      </c>
      <c r="C9" s="67">
        <v>33420</v>
      </c>
      <c r="D9" s="9"/>
      <c r="E9" s="9"/>
      <c r="F9" s="9"/>
      <c r="G9" s="9"/>
      <c r="H9" s="9"/>
      <c r="I9" s="9"/>
      <c r="J9" s="9"/>
      <c r="K9" s="9"/>
      <c r="L9" s="9"/>
    </row>
    <row r="10" spans="2:12" s="1" customFormat="1" ht="25.5">
      <c r="B10" s="83" t="s">
        <v>204</v>
      </c>
      <c r="C10" s="32" t="s">
        <v>113</v>
      </c>
      <c r="D10" s="9"/>
      <c r="E10" s="9"/>
      <c r="F10" s="9"/>
      <c r="G10" s="9"/>
      <c r="H10" s="9"/>
      <c r="I10" s="9"/>
      <c r="J10" s="9"/>
      <c r="K10" s="9"/>
      <c r="L10" s="9"/>
    </row>
    <row r="11" spans="2:12" s="1" customFormat="1" ht="15.75">
      <c r="B11" s="9" t="s">
        <v>205</v>
      </c>
      <c r="C11" s="12" t="s">
        <v>106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s="1" customFormat="1" ht="12.75">
      <c r="B12" s="9"/>
      <c r="C12" s="12"/>
      <c r="D12" s="9"/>
      <c r="E12" s="9"/>
      <c r="F12" s="9"/>
      <c r="G12" s="9"/>
      <c r="H12" s="9"/>
      <c r="I12" s="9"/>
      <c r="J12" s="9"/>
      <c r="K12" s="9"/>
      <c r="L12" s="9"/>
    </row>
    <row r="13" spans="2:12" s="1" customFormat="1" ht="12.75">
      <c r="B13" s="2" t="s">
        <v>171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1" customFormat="1" ht="12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s="1" customFormat="1" ht="12.75">
      <c r="B15" s="9" t="s">
        <v>178</v>
      </c>
      <c r="C15" s="32" t="s">
        <v>108</v>
      </c>
      <c r="D15" s="9"/>
      <c r="E15" s="9"/>
      <c r="F15" s="9"/>
      <c r="G15" s="9"/>
      <c r="H15" s="9"/>
      <c r="I15" s="9"/>
      <c r="J15" s="9"/>
      <c r="K15" s="9"/>
      <c r="L15" s="9"/>
    </row>
    <row r="16" spans="2:12" s="1" customFormat="1" ht="12.75">
      <c r="B16" s="9" t="s">
        <v>202</v>
      </c>
      <c r="C16" s="9" t="s">
        <v>107</v>
      </c>
      <c r="D16" s="9"/>
      <c r="E16" s="9"/>
      <c r="F16" s="9"/>
      <c r="G16" s="9"/>
      <c r="H16" s="9"/>
      <c r="I16" s="9"/>
      <c r="J16" s="9"/>
      <c r="K16" s="9"/>
      <c r="L16" s="9"/>
    </row>
    <row r="17" spans="2:12" s="1" customFormat="1" ht="12.75">
      <c r="B17" s="9" t="s">
        <v>182</v>
      </c>
      <c r="C17" s="9" t="s">
        <v>111</v>
      </c>
      <c r="D17" s="9"/>
      <c r="E17" s="9"/>
      <c r="F17" s="9"/>
      <c r="G17" s="9"/>
      <c r="H17" s="9"/>
      <c r="I17" s="9"/>
      <c r="J17" s="9"/>
      <c r="K17" s="9"/>
      <c r="L17" s="9"/>
    </row>
    <row r="18" spans="2:12" s="1" customFormat="1" ht="12.75">
      <c r="B18" s="9" t="s">
        <v>203</v>
      </c>
      <c r="C18" s="12" t="s">
        <v>109</v>
      </c>
      <c r="D18" s="9"/>
      <c r="E18" s="9"/>
      <c r="F18" s="9"/>
      <c r="G18" s="9"/>
      <c r="H18" s="9"/>
      <c r="I18" s="9"/>
      <c r="J18" s="9"/>
      <c r="K18" s="9"/>
      <c r="L18" s="9"/>
    </row>
    <row r="19" spans="2:12" s="1" customFormat="1" ht="12.75">
      <c r="B19" s="9" t="s">
        <v>230</v>
      </c>
      <c r="C19" s="67">
        <v>35034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s="1" customFormat="1" ht="12.75">
      <c r="B20" s="83" t="s">
        <v>204</v>
      </c>
      <c r="C20" s="9" t="s">
        <v>110</v>
      </c>
      <c r="D20" s="9"/>
      <c r="E20" s="35"/>
      <c r="F20" s="9"/>
      <c r="G20" s="9"/>
      <c r="H20" s="9"/>
      <c r="I20" s="9"/>
      <c r="J20" s="9"/>
      <c r="K20" s="9"/>
      <c r="L20" s="9"/>
    </row>
    <row r="21" spans="2:12" s="1" customFormat="1" ht="15.75">
      <c r="B21" s="9" t="s">
        <v>205</v>
      </c>
      <c r="C21" s="66" t="s">
        <v>112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s="1" customFormat="1" ht="12.75">
      <c r="B22" s="9"/>
      <c r="C22" s="66"/>
      <c r="D22" s="9"/>
      <c r="E22" s="9"/>
      <c r="F22" s="9"/>
      <c r="G22" s="9"/>
      <c r="H22" s="9"/>
      <c r="I22" s="9"/>
      <c r="J22" s="9"/>
      <c r="K22" s="9"/>
      <c r="L22" s="9"/>
    </row>
    <row r="23" spans="2:12" s="1" customFormat="1" ht="12.75">
      <c r="B23" s="2" t="s">
        <v>172</v>
      </c>
      <c r="C23" s="9" t="s">
        <v>176</v>
      </c>
      <c r="D23" s="35"/>
      <c r="E23" s="9"/>
      <c r="F23" s="9"/>
      <c r="G23" s="9"/>
      <c r="H23" s="9"/>
      <c r="I23" s="9"/>
      <c r="J23" s="9"/>
      <c r="K23" s="9"/>
      <c r="L23" s="9"/>
    </row>
    <row r="24" spans="2:12" s="1" customFormat="1" ht="12.75">
      <c r="B24" s="9"/>
      <c r="C24" s="9"/>
      <c r="D24" s="35"/>
      <c r="E24" s="9"/>
      <c r="F24" s="9"/>
      <c r="G24" s="9"/>
      <c r="H24" s="9"/>
      <c r="I24" s="9"/>
      <c r="J24" s="9"/>
      <c r="K24" s="9"/>
      <c r="L24" s="9"/>
    </row>
    <row r="25" spans="2:12" s="1" customFormat="1" ht="12.75">
      <c r="B25" s="9" t="s">
        <v>178</v>
      </c>
      <c r="C25" s="32"/>
      <c r="D25" s="9"/>
      <c r="E25" s="9"/>
      <c r="F25" s="9"/>
      <c r="G25" s="9"/>
      <c r="H25" s="9"/>
      <c r="I25" s="9"/>
      <c r="J25" s="9"/>
      <c r="K25" s="9"/>
      <c r="L25" s="9"/>
    </row>
    <row r="26" spans="2:12" s="1" customFormat="1" ht="12.75">
      <c r="B26" s="9" t="s">
        <v>202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s="1" customFormat="1" ht="12.75">
      <c r="B27" s="9" t="s">
        <v>182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s="1" customFormat="1" ht="12.75">
      <c r="B28" s="9" t="s">
        <v>203</v>
      </c>
      <c r="C28" s="12">
        <v>37012</v>
      </c>
      <c r="D28" s="35"/>
      <c r="E28" s="9"/>
      <c r="F28" s="9"/>
      <c r="G28" s="9"/>
      <c r="H28" s="9"/>
      <c r="I28" s="9"/>
      <c r="J28" s="9"/>
      <c r="K28" s="9"/>
      <c r="L28" s="9"/>
    </row>
    <row r="29" spans="2:12" s="1" customFormat="1" ht="12.75">
      <c r="B29" s="9" t="s">
        <v>230</v>
      </c>
      <c r="C29" s="67">
        <v>37012</v>
      </c>
      <c r="D29" s="35"/>
      <c r="E29" s="9"/>
      <c r="F29" s="9"/>
      <c r="G29" s="9"/>
      <c r="H29" s="9"/>
      <c r="I29" s="9"/>
      <c r="J29" s="9"/>
      <c r="K29" s="9"/>
      <c r="L29" s="9"/>
    </row>
    <row r="30" spans="2:12" s="1" customFormat="1" ht="12.75">
      <c r="B30" s="83" t="s">
        <v>204</v>
      </c>
      <c r="C30" s="9" t="s">
        <v>174</v>
      </c>
      <c r="D30" s="9"/>
      <c r="E30" s="9"/>
      <c r="F30" s="9"/>
      <c r="G30" s="9"/>
      <c r="H30" s="9"/>
      <c r="I30" s="9"/>
      <c r="J30" s="9"/>
      <c r="K30" s="9"/>
      <c r="L30" s="9"/>
    </row>
    <row r="31" spans="2:12" s="1" customFormat="1" ht="12.75">
      <c r="B31" s="9" t="s">
        <v>205</v>
      </c>
      <c r="C31" s="9" t="s">
        <v>175</v>
      </c>
      <c r="D31" s="9"/>
      <c r="E31" s="9"/>
      <c r="F31" s="9"/>
      <c r="G31" s="9"/>
      <c r="H31" s="9"/>
      <c r="I31" s="9"/>
      <c r="J31" s="9"/>
      <c r="K31" s="9"/>
      <c r="L31" s="9"/>
    </row>
    <row r="32" spans="2:12" s="1" customFormat="1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ht="12.75">
      <c r="B33" s="74" t="s">
        <v>177</v>
      </c>
    </row>
    <row r="34" ht="12.75">
      <c r="B34" s="74"/>
    </row>
    <row r="35" spans="2:3" ht="40.5" customHeight="1">
      <c r="B35" s="76" t="s">
        <v>178</v>
      </c>
      <c r="C35" s="77" t="s">
        <v>179</v>
      </c>
    </row>
    <row r="36" spans="2:3" ht="12.75">
      <c r="B36" s="73" t="s">
        <v>180</v>
      </c>
      <c r="C36" s="75" t="s">
        <v>181</v>
      </c>
    </row>
    <row r="37" ht="12.75">
      <c r="B37" s="73" t="s">
        <v>182</v>
      </c>
    </row>
    <row r="38" spans="1:3" ht="12.75">
      <c r="A38" s="73" t="s">
        <v>177</v>
      </c>
      <c r="B38" s="73" t="s">
        <v>183</v>
      </c>
      <c r="C38" s="75" t="s">
        <v>184</v>
      </c>
    </row>
    <row r="39" spans="1:3" ht="12.75">
      <c r="A39" s="73" t="s">
        <v>177</v>
      </c>
      <c r="B39" s="73" t="s">
        <v>203</v>
      </c>
      <c r="C39" s="75" t="s">
        <v>185</v>
      </c>
    </row>
    <row r="40" spans="1:3" ht="12.75">
      <c r="A40" s="73" t="s">
        <v>177</v>
      </c>
      <c r="B40" s="73" t="s">
        <v>230</v>
      </c>
      <c r="C40" s="94">
        <v>30857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38"/>
  <sheetViews>
    <sheetView workbookViewId="0" topLeftCell="B110">
      <selection activeCell="B2" sqref="B2"/>
    </sheetView>
  </sheetViews>
  <sheetFormatPr defaultColWidth="9.140625" defaultRowHeight="12.75"/>
  <cols>
    <col min="1" max="1" width="3.00390625" style="14" hidden="1" customWidth="1"/>
    <col min="2" max="2" width="21.7109375" style="14" customWidth="1"/>
    <col min="3" max="3" width="9.28125" style="14" customWidth="1"/>
    <col min="4" max="4" width="10.421875" style="4" customWidth="1"/>
    <col min="5" max="6" width="3.8515625" style="4" customWidth="1"/>
    <col min="7" max="7" width="10.00390625" style="14" customWidth="1"/>
    <col min="8" max="8" width="3.28125" style="14" customWidth="1"/>
    <col min="9" max="9" width="9.7109375" style="15" customWidth="1"/>
    <col min="10" max="10" width="3.7109375" style="14" customWidth="1"/>
    <col min="11" max="11" width="10.421875" style="14" customWidth="1"/>
    <col min="12" max="12" width="3.7109375" style="14" customWidth="1"/>
    <col min="13" max="13" width="10.57421875" style="14" customWidth="1"/>
    <col min="14" max="14" width="2.140625" style="14" customWidth="1"/>
    <col min="15" max="15" width="8.8515625" style="14" customWidth="1"/>
    <col min="16" max="16" width="2.140625" style="14" customWidth="1"/>
    <col min="17" max="16384" width="8.8515625" style="14" customWidth="1"/>
  </cols>
  <sheetData>
    <row r="1" spans="2:5" ht="12.75">
      <c r="B1" s="13" t="s">
        <v>207</v>
      </c>
      <c r="C1" s="13"/>
      <c r="E1" s="34"/>
    </row>
    <row r="2" spans="3:4" ht="12.75">
      <c r="C2" s="8"/>
      <c r="D2" s="16"/>
    </row>
    <row r="3" spans="3:4" ht="12.75">
      <c r="C3" s="8"/>
      <c r="D3" s="16"/>
    </row>
    <row r="4" spans="1:13" ht="12.75">
      <c r="A4" s="14" t="s">
        <v>71</v>
      </c>
      <c r="B4" s="13" t="s">
        <v>170</v>
      </c>
      <c r="G4" s="16" t="s">
        <v>186</v>
      </c>
      <c r="H4" s="16"/>
      <c r="I4" s="16" t="s">
        <v>187</v>
      </c>
      <c r="J4" s="16"/>
      <c r="K4" s="16" t="s">
        <v>188</v>
      </c>
      <c r="L4" s="16"/>
      <c r="M4" s="16" t="s">
        <v>190</v>
      </c>
    </row>
    <row r="5" spans="4:9" ht="12.75">
      <c r="D5" s="17"/>
      <c r="E5" s="14"/>
      <c r="F5" s="14"/>
      <c r="I5" s="14"/>
    </row>
    <row r="6" spans="2:13" ht="12.75">
      <c r="B6" s="4" t="s">
        <v>12</v>
      </c>
      <c r="C6" s="4" t="s">
        <v>228</v>
      </c>
      <c r="D6" s="4" t="s">
        <v>13</v>
      </c>
      <c r="E6" s="4" t="s">
        <v>14</v>
      </c>
      <c r="G6" s="53">
        <v>0.0084</v>
      </c>
      <c r="H6" s="53"/>
      <c r="I6" s="53">
        <v>0.0057</v>
      </c>
      <c r="J6" s="53"/>
      <c r="K6" s="53">
        <v>0.0056</v>
      </c>
      <c r="M6" s="84">
        <f>AVERAGE(G6,I6,K6)</f>
        <v>0.006566666666666666</v>
      </c>
    </row>
    <row r="7" spans="2:13" ht="12.75">
      <c r="B7" s="4" t="s">
        <v>76</v>
      </c>
      <c r="C7" s="4"/>
      <c r="D7" s="4" t="s">
        <v>15</v>
      </c>
      <c r="E7" s="4" t="s">
        <v>262</v>
      </c>
      <c r="G7" s="25">
        <v>14</v>
      </c>
      <c r="H7" s="25"/>
      <c r="I7" s="25">
        <v>53</v>
      </c>
      <c r="J7" s="25"/>
      <c r="K7" s="25">
        <v>27</v>
      </c>
      <c r="L7" s="18"/>
      <c r="M7" s="18">
        <f>AVERAGE(G7,I7,K7)</f>
        <v>31.333333333333332</v>
      </c>
    </row>
    <row r="8" spans="2:13" ht="12.75">
      <c r="B8" s="4" t="s">
        <v>77</v>
      </c>
      <c r="C8" s="4"/>
      <c r="D8" s="4" t="s">
        <v>15</v>
      </c>
      <c r="E8" s="4" t="s">
        <v>262</v>
      </c>
      <c r="G8" s="5">
        <v>4.5</v>
      </c>
      <c r="H8" s="5"/>
      <c r="I8" s="5">
        <v>0.5</v>
      </c>
      <c r="J8" s="5"/>
      <c r="K8" s="5">
        <v>1.8</v>
      </c>
      <c r="M8" s="18"/>
    </row>
    <row r="9" spans="2:15" ht="12.75">
      <c r="B9" s="4" t="s">
        <v>25</v>
      </c>
      <c r="C9" s="4"/>
      <c r="D9" s="4" t="s">
        <v>84</v>
      </c>
      <c r="E9" s="4" t="s">
        <v>262</v>
      </c>
      <c r="F9" s="4" t="s">
        <v>19</v>
      </c>
      <c r="G9" s="52">
        <v>1.54E-09</v>
      </c>
      <c r="H9" s="57" t="s">
        <v>19</v>
      </c>
      <c r="I9" s="52">
        <v>1.55E-09</v>
      </c>
      <c r="J9" s="57" t="s">
        <v>19</v>
      </c>
      <c r="K9" s="52">
        <v>1.5E-09</v>
      </c>
      <c r="M9" s="85"/>
      <c r="O9" s="44"/>
    </row>
    <row r="10" spans="2:15" ht="12.75">
      <c r="B10" s="4" t="s">
        <v>26</v>
      </c>
      <c r="C10" s="4"/>
      <c r="D10" s="4" t="s">
        <v>84</v>
      </c>
      <c r="E10" s="4" t="s">
        <v>262</v>
      </c>
      <c r="G10" s="52">
        <v>3.61E-06</v>
      </c>
      <c r="H10" s="57"/>
      <c r="I10" s="52">
        <v>2.59E-06</v>
      </c>
      <c r="J10" s="57"/>
      <c r="K10" s="52">
        <v>3.49E-06</v>
      </c>
      <c r="M10" s="85"/>
      <c r="O10" s="44"/>
    </row>
    <row r="11" spans="4:9" ht="12.75">
      <c r="D11" s="14"/>
      <c r="E11" s="14"/>
      <c r="F11" s="14"/>
      <c r="I11" s="14"/>
    </row>
    <row r="12" spans="4:9" ht="12.75">
      <c r="D12" s="14"/>
      <c r="E12" s="14"/>
      <c r="F12" s="14"/>
      <c r="I12" s="14"/>
    </row>
    <row r="13" spans="2:13" ht="12.75">
      <c r="B13" s="4" t="s">
        <v>46</v>
      </c>
      <c r="C13" s="4" t="s">
        <v>83</v>
      </c>
      <c r="G13" s="19"/>
      <c r="H13" s="19"/>
      <c r="I13" s="20"/>
      <c r="J13" s="19"/>
      <c r="K13" s="19"/>
      <c r="L13" s="16"/>
      <c r="M13" s="21"/>
    </row>
    <row r="14" spans="2:13" ht="12.75">
      <c r="B14" s="4" t="s">
        <v>63</v>
      </c>
      <c r="C14" s="4"/>
      <c r="D14" s="4" t="s">
        <v>29</v>
      </c>
      <c r="G14" s="19">
        <v>222</v>
      </c>
      <c r="H14" s="19"/>
      <c r="I14" s="20">
        <v>322</v>
      </c>
      <c r="J14" s="19"/>
      <c r="K14" s="19">
        <v>301</v>
      </c>
      <c r="L14" s="16"/>
      <c r="M14" s="21">
        <f>AVERAGE(G14,I14,K14)</f>
        <v>281.6666666666667</v>
      </c>
    </row>
    <row r="15" spans="2:15" ht="12.75">
      <c r="B15" s="4" t="s">
        <v>64</v>
      </c>
      <c r="C15" s="4" t="s">
        <v>228</v>
      </c>
      <c r="D15" s="4" t="s">
        <v>29</v>
      </c>
      <c r="G15" s="41">
        <f>AVERAGE(0.0208,0.0204,0.0207)*60/454</f>
        <v>0.002726872246696035</v>
      </c>
      <c r="H15" s="41"/>
      <c r="I15" s="41">
        <f>AVERAGE(0.017,0.0115,0.0113,0.00835/2)*60/454</f>
        <v>0.0014529185022026433</v>
      </c>
      <c r="J15" s="41"/>
      <c r="K15" s="41">
        <f>AVERAGE(0.0179,0.017,0.0155)*60/454</f>
        <v>0.002220264317180617</v>
      </c>
      <c r="L15" s="16"/>
      <c r="M15" s="86">
        <f>AVERAGE(G15,I15,K15)</f>
        <v>0.002133351688693098</v>
      </c>
      <c r="O15" s="33"/>
    </row>
    <row r="16" spans="2:13" ht="12.75">
      <c r="B16" s="4" t="s">
        <v>27</v>
      </c>
      <c r="C16" s="4" t="s">
        <v>228</v>
      </c>
      <c r="D16" s="4" t="s">
        <v>17</v>
      </c>
      <c r="G16" s="41">
        <f>(G14-G15)/G14*100</f>
        <v>99.99877167916816</v>
      </c>
      <c r="H16" s="19"/>
      <c r="I16" s="41">
        <f>(I14-I15)/I14*100</f>
        <v>99.99954878307385</v>
      </c>
      <c r="J16" s="19"/>
      <c r="K16" s="41">
        <f>(K14-K15)/K14*100</f>
        <v>99.99926237065874</v>
      </c>
      <c r="L16" s="16"/>
      <c r="M16" s="86">
        <f>AVERAGE(G16,I16,K16)</f>
        <v>99.99919427763359</v>
      </c>
    </row>
    <row r="17" spans="2:13" ht="12.75">
      <c r="B17" s="4"/>
      <c r="C17" s="4"/>
      <c r="G17" s="19"/>
      <c r="H17" s="19"/>
      <c r="I17" s="20"/>
      <c r="J17" s="19"/>
      <c r="K17" s="19"/>
      <c r="L17" s="16"/>
      <c r="M17" s="21"/>
    </row>
    <row r="18" spans="2:13" ht="12.75">
      <c r="B18" s="4" t="s">
        <v>46</v>
      </c>
      <c r="C18" s="4" t="s">
        <v>73</v>
      </c>
      <c r="L18" s="16"/>
      <c r="M18" s="21"/>
    </row>
    <row r="19" spans="2:13" ht="12.75">
      <c r="B19" s="4" t="s">
        <v>63</v>
      </c>
      <c r="C19" s="4"/>
      <c r="D19" s="4" t="s">
        <v>29</v>
      </c>
      <c r="G19" s="19">
        <v>525</v>
      </c>
      <c r="H19" s="19"/>
      <c r="I19" s="20">
        <v>550</v>
      </c>
      <c r="J19" s="19"/>
      <c r="K19" s="19">
        <v>344</v>
      </c>
      <c r="L19" s="16"/>
      <c r="M19" s="21">
        <f>AVERAGE(G19,I19,K19)</f>
        <v>473</v>
      </c>
    </row>
    <row r="20" spans="2:13" ht="12.75">
      <c r="B20" s="4" t="s">
        <v>64</v>
      </c>
      <c r="C20" s="4" t="s">
        <v>228</v>
      </c>
      <c r="D20" s="4" t="s">
        <v>29</v>
      </c>
      <c r="G20" s="41">
        <f>AVERAGE(0.000097,0.000054,0.000051)*60/454</f>
        <v>8.898678414096915E-06</v>
      </c>
      <c r="H20" s="41"/>
      <c r="I20" s="41">
        <f>AVERAGE(0.000235,0.000095,0.000066,0.000007/2)*60/454</f>
        <v>1.3199339207048457E-05</v>
      </c>
      <c r="J20" s="41"/>
      <c r="K20" s="41">
        <f>AVERAGE(0.000047,0.000025,0.000008)*60/454</f>
        <v>3.5242290748898685E-06</v>
      </c>
      <c r="L20" s="16"/>
      <c r="M20" s="86">
        <f>AVERAGE(G20,I20,K20)</f>
        <v>8.540748898678414E-06</v>
      </c>
    </row>
    <row r="21" spans="2:13" ht="12.75">
      <c r="B21" s="4" t="s">
        <v>27</v>
      </c>
      <c r="C21" s="4" t="s">
        <v>228</v>
      </c>
      <c r="D21" s="4" t="s">
        <v>17</v>
      </c>
      <c r="G21" s="42">
        <f>(G19-G20)/G19*100</f>
        <v>99.99999830501363</v>
      </c>
      <c r="H21" s="19"/>
      <c r="I21" s="42">
        <f>(I19-I20)/I19*100</f>
        <v>99.99999760012015</v>
      </c>
      <c r="J21" s="19"/>
      <c r="K21" s="42">
        <f>(K19-K20)/K19*100</f>
        <v>99.99999897551479</v>
      </c>
      <c r="L21" s="19"/>
      <c r="M21" s="87">
        <f>AVERAGE(G21,I21,K21)</f>
        <v>99.99999829354954</v>
      </c>
    </row>
    <row r="22" spans="2:13" ht="12.75">
      <c r="B22" s="4"/>
      <c r="C22" s="4"/>
      <c r="G22" s="19"/>
      <c r="H22" s="19"/>
      <c r="I22" s="20"/>
      <c r="J22" s="19"/>
      <c r="K22" s="20"/>
      <c r="L22" s="19"/>
      <c r="M22" s="20"/>
    </row>
    <row r="23" spans="2:13" ht="12.75">
      <c r="B23" s="4" t="s">
        <v>46</v>
      </c>
      <c r="C23" s="4" t="s">
        <v>28</v>
      </c>
      <c r="G23" s="19"/>
      <c r="H23" s="19"/>
      <c r="I23" s="20"/>
      <c r="J23" s="19"/>
      <c r="K23" s="19"/>
      <c r="L23" s="16"/>
      <c r="M23" s="21"/>
    </row>
    <row r="24" spans="2:13" ht="12.75">
      <c r="B24" s="4" t="s">
        <v>63</v>
      </c>
      <c r="C24" s="4"/>
      <c r="D24" s="4" t="s">
        <v>29</v>
      </c>
      <c r="G24" s="19">
        <v>140</v>
      </c>
      <c r="H24" s="19"/>
      <c r="I24" s="20">
        <v>170</v>
      </c>
      <c r="J24" s="19"/>
      <c r="K24" s="19">
        <v>170</v>
      </c>
      <c r="L24" s="16"/>
      <c r="M24" s="21">
        <f>AVERAGE(G24,I24,K24)</f>
        <v>160</v>
      </c>
    </row>
    <row r="25" spans="2:13" ht="12.75">
      <c r="B25" s="4" t="s">
        <v>64</v>
      </c>
      <c r="C25" s="4" t="s">
        <v>228</v>
      </c>
      <c r="D25" s="4" t="s">
        <v>29</v>
      </c>
      <c r="G25" s="41">
        <f>AVERAGE(0.0508,0.0234,0.0175)*60/454</f>
        <v>0.004039647577092511</v>
      </c>
      <c r="H25" s="41"/>
      <c r="I25" s="41">
        <f>AVERAGE(0.0729,0.0323,0.0222,,0.0084/2)*60/454</f>
        <v>0.0034784140969163</v>
      </c>
      <c r="J25" s="41"/>
      <c r="K25" s="41">
        <f>AVERAGE(0.0182,0.0136,0.0092)*60/454</f>
        <v>0.0018061674008810573</v>
      </c>
      <c r="L25" s="16"/>
      <c r="M25" s="86">
        <f>AVERAGE(G25,I25,K25)</f>
        <v>0.003108076358296623</v>
      </c>
    </row>
    <row r="26" spans="2:13" ht="12.75">
      <c r="B26" s="4" t="s">
        <v>27</v>
      </c>
      <c r="C26" s="4" t="s">
        <v>228</v>
      </c>
      <c r="D26" s="4" t="s">
        <v>17</v>
      </c>
      <c r="G26" s="41">
        <f>(G24-G25)/G24*100</f>
        <v>99.99711453744494</v>
      </c>
      <c r="H26" s="19"/>
      <c r="I26" s="41">
        <f>(I24-I25)/I24*100</f>
        <v>99.99795387406064</v>
      </c>
      <c r="J26" s="19"/>
      <c r="K26" s="41">
        <f>(K24-K25)/K24*100</f>
        <v>99.99893754858772</v>
      </c>
      <c r="L26" s="19"/>
      <c r="M26" s="86">
        <f>AVERAGE(G26,I26,K26)</f>
        <v>99.99800198669777</v>
      </c>
    </row>
    <row r="27" spans="2:13" ht="12.75">
      <c r="B27" s="4"/>
      <c r="C27" s="4"/>
      <c r="G27" s="19"/>
      <c r="H27" s="19"/>
      <c r="I27" s="20"/>
      <c r="J27" s="19"/>
      <c r="K27" s="19"/>
      <c r="L27" s="16"/>
      <c r="M27" s="21"/>
    </row>
    <row r="28" spans="2:13" ht="12.75">
      <c r="B28" s="4" t="s">
        <v>58</v>
      </c>
      <c r="C28" s="4"/>
      <c r="D28" s="4" t="s">
        <v>29</v>
      </c>
      <c r="G28" s="22">
        <v>0.000533</v>
      </c>
      <c r="H28" s="22"/>
      <c r="I28" s="22">
        <v>8.16E-05</v>
      </c>
      <c r="J28" s="19"/>
      <c r="K28" s="22">
        <v>0.000113</v>
      </c>
      <c r="L28" s="16"/>
      <c r="M28" s="88"/>
    </row>
    <row r="29" spans="2:13" ht="12.75">
      <c r="B29" s="4" t="s">
        <v>57</v>
      </c>
      <c r="C29" s="4"/>
      <c r="D29" s="4" t="s">
        <v>29</v>
      </c>
      <c r="F29" s="4" t="s">
        <v>19</v>
      </c>
      <c r="G29" s="22">
        <v>0.000621</v>
      </c>
      <c r="H29" s="19" t="s">
        <v>19</v>
      </c>
      <c r="I29" s="22">
        <v>0.000627</v>
      </c>
      <c r="J29" s="19" t="s">
        <v>19</v>
      </c>
      <c r="K29" s="22">
        <v>0.000629</v>
      </c>
      <c r="L29" s="16"/>
      <c r="M29" s="88"/>
    </row>
    <row r="30" spans="2:13" ht="12.75">
      <c r="B30" s="4" t="s">
        <v>85</v>
      </c>
      <c r="C30" s="4"/>
      <c r="D30" s="4" t="s">
        <v>29</v>
      </c>
      <c r="F30" s="4" t="s">
        <v>19</v>
      </c>
      <c r="G30" s="22">
        <v>0.000298</v>
      </c>
      <c r="H30" s="19" t="s">
        <v>19</v>
      </c>
      <c r="I30" s="22">
        <v>0.000248</v>
      </c>
      <c r="J30" s="19" t="s">
        <v>19</v>
      </c>
      <c r="K30" s="22">
        <v>0.000377</v>
      </c>
      <c r="L30" s="16"/>
      <c r="M30" s="88"/>
    </row>
    <row r="31" spans="2:13" ht="12.75">
      <c r="B31" s="4" t="s">
        <v>59</v>
      </c>
      <c r="C31" s="4"/>
      <c r="D31" s="4" t="s">
        <v>29</v>
      </c>
      <c r="F31" s="4" t="s">
        <v>19</v>
      </c>
      <c r="G31" s="22">
        <v>6.27E-05</v>
      </c>
      <c r="H31" s="19" t="s">
        <v>19</v>
      </c>
      <c r="I31" s="22">
        <v>6.32E-05</v>
      </c>
      <c r="J31" s="19" t="s">
        <v>19</v>
      </c>
      <c r="K31" s="22">
        <v>6.29E-05</v>
      </c>
      <c r="L31" s="16"/>
      <c r="M31" s="88"/>
    </row>
    <row r="32" spans="2:13" ht="12.75">
      <c r="B32" s="4" t="s">
        <v>60</v>
      </c>
      <c r="C32" s="4"/>
      <c r="D32" s="4" t="s">
        <v>29</v>
      </c>
      <c r="F32" s="4" t="s">
        <v>19</v>
      </c>
      <c r="G32" s="22">
        <v>5.74E-05</v>
      </c>
      <c r="H32" s="19" t="s">
        <v>19</v>
      </c>
      <c r="I32" s="22">
        <v>5.79E-05</v>
      </c>
      <c r="J32" s="19"/>
      <c r="K32" s="22">
        <v>0.000133</v>
      </c>
      <c r="L32" s="16"/>
      <c r="M32" s="88"/>
    </row>
    <row r="33" spans="2:13" ht="12.75">
      <c r="B33" s="4" t="s">
        <v>67</v>
      </c>
      <c r="C33" s="4"/>
      <c r="D33" s="4" t="s">
        <v>29</v>
      </c>
      <c r="G33" s="22">
        <v>0.000329</v>
      </c>
      <c r="H33" s="19" t="s">
        <v>19</v>
      </c>
      <c r="I33" s="22">
        <v>0.00019</v>
      </c>
      <c r="J33" s="19"/>
      <c r="K33" s="22">
        <v>0.000278</v>
      </c>
      <c r="L33" s="16"/>
      <c r="M33" s="88"/>
    </row>
    <row r="34" spans="2:13" ht="12.75">
      <c r="B34" s="4" t="s">
        <v>231</v>
      </c>
      <c r="C34" s="4"/>
      <c r="D34" s="4" t="s">
        <v>29</v>
      </c>
      <c r="G34" s="22">
        <v>0.000531</v>
      </c>
      <c r="H34" s="19"/>
      <c r="I34" s="22">
        <v>0.000562</v>
      </c>
      <c r="J34" s="19"/>
      <c r="K34" s="22">
        <v>0.000236</v>
      </c>
      <c r="L34" s="16"/>
      <c r="M34" s="88"/>
    </row>
    <row r="35" spans="2:13" ht="12.75">
      <c r="B35" s="4" t="s">
        <v>86</v>
      </c>
      <c r="C35" s="4"/>
      <c r="D35" s="4" t="s">
        <v>29</v>
      </c>
      <c r="G35" s="22">
        <v>0.0384</v>
      </c>
      <c r="H35" s="19"/>
      <c r="I35" s="22">
        <v>0.00566</v>
      </c>
      <c r="J35" s="19"/>
      <c r="K35" s="22">
        <v>0.00529</v>
      </c>
      <c r="L35" s="16"/>
      <c r="M35" s="88"/>
    </row>
    <row r="36" spans="2:13" ht="12.75">
      <c r="B36" s="4" t="s">
        <v>56</v>
      </c>
      <c r="C36" s="4"/>
      <c r="D36" s="4" t="s">
        <v>29</v>
      </c>
      <c r="G36" s="22">
        <v>0.00294</v>
      </c>
      <c r="H36" s="19"/>
      <c r="I36" s="22">
        <v>0.00228</v>
      </c>
      <c r="J36" s="19"/>
      <c r="K36" s="22">
        <v>0.0015</v>
      </c>
      <c r="L36" s="16"/>
      <c r="M36" s="88"/>
    </row>
    <row r="37" spans="2:13" ht="12.75">
      <c r="B37" s="4" t="s">
        <v>61</v>
      </c>
      <c r="C37" s="4"/>
      <c r="D37" s="4" t="s">
        <v>29</v>
      </c>
      <c r="F37" s="4" t="s">
        <v>19</v>
      </c>
      <c r="G37" s="22">
        <v>0.000433</v>
      </c>
      <c r="H37" s="19" t="s">
        <v>19</v>
      </c>
      <c r="I37" s="22">
        <v>0.000432</v>
      </c>
      <c r="J37" s="19" t="s">
        <v>19</v>
      </c>
      <c r="K37" s="22">
        <v>0.00043</v>
      </c>
      <c r="L37" s="16"/>
      <c r="M37" s="88"/>
    </row>
    <row r="38" spans="2:13" ht="12.75">
      <c r="B38" s="4" t="s">
        <v>87</v>
      </c>
      <c r="C38" s="4"/>
      <c r="D38" s="4" t="s">
        <v>29</v>
      </c>
      <c r="G38" s="22">
        <v>0.000401</v>
      </c>
      <c r="H38" s="19" t="s">
        <v>19</v>
      </c>
      <c r="I38" s="22">
        <v>0.000379</v>
      </c>
      <c r="J38" s="19"/>
      <c r="K38" s="22">
        <v>0.000409</v>
      </c>
      <c r="L38" s="16"/>
      <c r="M38" s="88"/>
    </row>
    <row r="39" spans="2:13" ht="12.75">
      <c r="B39" s="4" t="s">
        <v>88</v>
      </c>
      <c r="C39" s="4"/>
      <c r="D39" s="4" t="s">
        <v>29</v>
      </c>
      <c r="F39" s="4" t="s">
        <v>19</v>
      </c>
      <c r="G39" s="22">
        <v>0.000266</v>
      </c>
      <c r="H39" s="19" t="s">
        <v>19</v>
      </c>
      <c r="I39" s="22">
        <v>0.000126</v>
      </c>
      <c r="J39" s="19" t="s">
        <v>19</v>
      </c>
      <c r="K39" s="22">
        <v>0.000126</v>
      </c>
      <c r="L39" s="16"/>
      <c r="M39" s="88"/>
    </row>
    <row r="40" spans="2:13" ht="12.75">
      <c r="B40" s="4" t="s">
        <v>89</v>
      </c>
      <c r="C40" s="4"/>
      <c r="D40" s="4" t="s">
        <v>29</v>
      </c>
      <c r="G40" s="22">
        <v>0.000217</v>
      </c>
      <c r="H40" s="19" t="s">
        <v>19</v>
      </c>
      <c r="I40" s="22">
        <v>0.000134</v>
      </c>
      <c r="J40" s="19" t="s">
        <v>19</v>
      </c>
      <c r="K40" s="22">
        <v>0.000138</v>
      </c>
      <c r="L40" s="16"/>
      <c r="M40" s="88"/>
    </row>
    <row r="41" spans="2:13" ht="12.75">
      <c r="B41" s="4" t="s">
        <v>90</v>
      </c>
      <c r="C41" s="4"/>
      <c r="D41" s="4" t="s">
        <v>29</v>
      </c>
      <c r="F41" s="4" t="s">
        <v>19</v>
      </c>
      <c r="G41" s="22">
        <v>8.88E-05</v>
      </c>
      <c r="H41" s="19" t="s">
        <v>19</v>
      </c>
      <c r="I41" s="22">
        <v>8.95E-05</v>
      </c>
      <c r="J41" s="19" t="s">
        <v>19</v>
      </c>
      <c r="K41" s="22">
        <v>8.91E-05</v>
      </c>
      <c r="L41" s="16"/>
      <c r="M41" s="88"/>
    </row>
    <row r="42" spans="2:13" ht="12.75">
      <c r="B42" s="4" t="s">
        <v>91</v>
      </c>
      <c r="C42" s="4"/>
      <c r="D42" s="4" t="s">
        <v>29</v>
      </c>
      <c r="G42" s="22">
        <v>0.037</v>
      </c>
      <c r="H42" s="19"/>
      <c r="I42" s="22">
        <v>0.00438</v>
      </c>
      <c r="J42" s="19"/>
      <c r="K42" s="22">
        <v>0.00438</v>
      </c>
      <c r="L42" s="16"/>
      <c r="M42" s="88"/>
    </row>
    <row r="43" spans="2:13" ht="12.75">
      <c r="B43" s="4"/>
      <c r="C43" s="4"/>
      <c r="G43" s="19"/>
      <c r="H43" s="19"/>
      <c r="I43" s="20"/>
      <c r="J43" s="19"/>
      <c r="K43" s="19"/>
      <c r="L43" s="16"/>
      <c r="M43" s="21"/>
    </row>
    <row r="44" spans="2:13" ht="12.75">
      <c r="B44" s="4"/>
      <c r="C44" s="4"/>
      <c r="G44" s="19"/>
      <c r="H44" s="19"/>
      <c r="I44" s="20"/>
      <c r="J44" s="19"/>
      <c r="K44" s="19"/>
      <c r="L44" s="16"/>
      <c r="M44" s="21"/>
    </row>
    <row r="45" spans="2:13" ht="12.75">
      <c r="B45" s="4" t="s">
        <v>69</v>
      </c>
      <c r="C45" s="4" t="s">
        <v>62</v>
      </c>
      <c r="D45" s="4" t="s">
        <v>228</v>
      </c>
      <c r="L45" s="16"/>
      <c r="M45" s="72"/>
    </row>
    <row r="46" spans="2:13" ht="12.75">
      <c r="B46" s="4" t="s">
        <v>55</v>
      </c>
      <c r="C46" s="4"/>
      <c r="D46" s="4" t="s">
        <v>16</v>
      </c>
      <c r="G46" s="19">
        <v>21200</v>
      </c>
      <c r="H46" s="19"/>
      <c r="I46" s="19">
        <v>20900</v>
      </c>
      <c r="J46" s="7"/>
      <c r="K46" s="19">
        <v>22400</v>
      </c>
      <c r="M46" s="21">
        <f>AVERAGE(G46,I46,K46)</f>
        <v>21500</v>
      </c>
    </row>
    <row r="47" spans="2:13" ht="12.75">
      <c r="B47" s="4" t="s">
        <v>65</v>
      </c>
      <c r="C47" s="4"/>
      <c r="D47" s="4" t="s">
        <v>17</v>
      </c>
      <c r="G47" s="25">
        <v>13.4</v>
      </c>
      <c r="H47" s="19"/>
      <c r="I47" s="25">
        <v>13.4</v>
      </c>
      <c r="J47" s="19"/>
      <c r="K47" s="25">
        <v>13.4</v>
      </c>
      <c r="M47" s="18">
        <f>AVERAGE(G47,I47,K47)</f>
        <v>13.4</v>
      </c>
    </row>
    <row r="48" spans="2:13" ht="12.75">
      <c r="B48" s="4" t="s">
        <v>66</v>
      </c>
      <c r="C48" s="4"/>
      <c r="D48" s="4" t="s">
        <v>17</v>
      </c>
      <c r="G48" s="25"/>
      <c r="H48" s="19"/>
      <c r="I48" s="25"/>
      <c r="J48" s="19"/>
      <c r="K48" s="25"/>
      <c r="M48" s="18"/>
    </row>
    <row r="49" spans="2:13" ht="12.75">
      <c r="B49" s="4" t="s">
        <v>54</v>
      </c>
      <c r="C49" s="4"/>
      <c r="D49" s="4" t="s">
        <v>18</v>
      </c>
      <c r="G49" s="25"/>
      <c r="H49" s="19"/>
      <c r="I49" s="25"/>
      <c r="J49" s="19"/>
      <c r="K49" s="25"/>
      <c r="M49" s="18"/>
    </row>
    <row r="50" spans="2:13" ht="12.75">
      <c r="B50" s="4"/>
      <c r="C50" s="4"/>
      <c r="G50" s="19"/>
      <c r="H50" s="19"/>
      <c r="I50" s="20"/>
      <c r="J50" s="19"/>
      <c r="K50" s="19"/>
      <c r="M50" s="72"/>
    </row>
    <row r="51" spans="2:13" ht="12.75">
      <c r="B51" s="4" t="s">
        <v>69</v>
      </c>
      <c r="C51" s="4" t="s">
        <v>74</v>
      </c>
      <c r="D51" s="4" t="s">
        <v>229</v>
      </c>
      <c r="G51" s="19"/>
      <c r="H51" s="19"/>
      <c r="I51" s="20"/>
      <c r="J51" s="19"/>
      <c r="K51" s="19"/>
      <c r="M51" s="72"/>
    </row>
    <row r="52" spans="2:13" ht="12.75">
      <c r="B52" s="4" t="s">
        <v>55</v>
      </c>
      <c r="C52" s="4"/>
      <c r="D52" s="4" t="s">
        <v>16</v>
      </c>
      <c r="G52" s="19">
        <f>G46</f>
        <v>21200</v>
      </c>
      <c r="H52" s="19"/>
      <c r="I52" s="19">
        <f>I46</f>
        <v>20900</v>
      </c>
      <c r="J52" s="19"/>
      <c r="K52" s="19">
        <f>K46</f>
        <v>22400</v>
      </c>
      <c r="M52" s="21">
        <f>AVERAGE(G52,I52,K52)</f>
        <v>21500</v>
      </c>
    </row>
    <row r="53" spans="2:13" ht="12.75">
      <c r="B53" s="4" t="s">
        <v>65</v>
      </c>
      <c r="C53" s="4"/>
      <c r="D53" s="4" t="s">
        <v>17</v>
      </c>
      <c r="G53" s="5">
        <f>G47</f>
        <v>13.4</v>
      </c>
      <c r="H53" s="19"/>
      <c r="I53" s="5">
        <f>I47</f>
        <v>13.4</v>
      </c>
      <c r="J53" s="19"/>
      <c r="K53" s="5">
        <f>K47</f>
        <v>13.4</v>
      </c>
      <c r="M53" s="18">
        <f>AVERAGE(G53,I53,K53)</f>
        <v>13.4</v>
      </c>
    </row>
    <row r="54" spans="2:13" ht="12.75">
      <c r="B54" s="4" t="s">
        <v>66</v>
      </c>
      <c r="C54" s="4"/>
      <c r="D54" s="4" t="s">
        <v>17</v>
      </c>
      <c r="G54" s="19"/>
      <c r="H54" s="19"/>
      <c r="I54" s="20"/>
      <c r="J54" s="19"/>
      <c r="K54" s="19"/>
      <c r="M54" s="21"/>
    </row>
    <row r="55" spans="2:13" ht="12.75">
      <c r="B55" s="4" t="s">
        <v>54</v>
      </c>
      <c r="C55" s="4"/>
      <c r="D55" s="4" t="s">
        <v>18</v>
      </c>
      <c r="G55" s="19"/>
      <c r="H55" s="19"/>
      <c r="I55" s="20"/>
      <c r="J55" s="19"/>
      <c r="K55" s="19"/>
      <c r="M55" s="21"/>
    </row>
    <row r="56" spans="2:13" ht="13.5" customHeight="1">
      <c r="B56" s="4"/>
      <c r="C56" s="4"/>
      <c r="G56" s="19"/>
      <c r="H56" s="19"/>
      <c r="I56" s="20"/>
      <c r="J56" s="19"/>
      <c r="K56" s="19"/>
      <c r="L56" s="16"/>
      <c r="M56" s="21"/>
    </row>
    <row r="57" spans="2:13" ht="13.5" customHeight="1">
      <c r="B57" s="4" t="s">
        <v>25</v>
      </c>
      <c r="C57" s="4" t="s">
        <v>228</v>
      </c>
      <c r="D57" s="4" t="s">
        <v>15</v>
      </c>
      <c r="E57" s="4" t="s">
        <v>14</v>
      </c>
      <c r="F57" s="4" t="s">
        <v>19</v>
      </c>
      <c r="G57" s="43">
        <f>G9*1/36.5*386.7*1000000*(21-7)/(21-G47)</f>
        <v>0.03005498197548666</v>
      </c>
      <c r="H57" s="5" t="s">
        <v>19</v>
      </c>
      <c r="I57" s="43">
        <f>I9*1/36.5*386.7*1000000*(21-7)/(21-I47)</f>
        <v>0.030250144196106707</v>
      </c>
      <c r="J57" s="5" t="s">
        <v>19</v>
      </c>
      <c r="K57" s="43">
        <f>K9*1/36.5*386.7*1000000*(21-7)/(21-K47)</f>
        <v>0.029274333093006484</v>
      </c>
      <c r="L57" s="5"/>
      <c r="M57" s="61">
        <f>AVERAGE(K57/2,I57/2,G57/2)</f>
        <v>0.01492990987743331</v>
      </c>
    </row>
    <row r="58" spans="2:13" ht="13.5" customHeight="1">
      <c r="B58" s="4" t="s">
        <v>26</v>
      </c>
      <c r="C58" s="4" t="s">
        <v>228</v>
      </c>
      <c r="D58" s="4" t="s">
        <v>15</v>
      </c>
      <c r="E58" s="4" t="s">
        <v>14</v>
      </c>
      <c r="G58" s="5">
        <f>G10*1/71*386.7*1000000*(21-7)/(21-G47)</f>
        <v>36.219084507042254</v>
      </c>
      <c r="H58" s="5"/>
      <c r="I58" s="5">
        <f>I10*1/71*386.7*1000000*(21-7)/(21-I47)</f>
        <v>25.985437361008156</v>
      </c>
      <c r="J58" s="5"/>
      <c r="K58" s="5">
        <f>K10*1/71*386.7*1000000*(21-7)/(21-K47)</f>
        <v>35.01512601927354</v>
      </c>
      <c r="L58" s="5"/>
      <c r="M58" s="18">
        <f>AVERAGE(K58,I58,G58)</f>
        <v>32.406549295774646</v>
      </c>
    </row>
    <row r="59" spans="2:13" ht="12.75">
      <c r="B59" s="4" t="s">
        <v>68</v>
      </c>
      <c r="C59" s="4" t="s">
        <v>228</v>
      </c>
      <c r="D59" s="4" t="s">
        <v>15</v>
      </c>
      <c r="E59" s="4" t="s">
        <v>14</v>
      </c>
      <c r="G59" s="5">
        <f>G57+G58*2</f>
        <v>72.46822399605999</v>
      </c>
      <c r="H59" s="5"/>
      <c r="I59" s="5">
        <f>I57+I58*2</f>
        <v>52.00112486621242</v>
      </c>
      <c r="J59" s="5"/>
      <c r="K59" s="5">
        <f>K57+K58*2</f>
        <v>70.05952637164008</v>
      </c>
      <c r="L59" s="6"/>
      <c r="M59" s="18">
        <f>AVERAGE(K59,I59,G59)</f>
        <v>64.84295841130417</v>
      </c>
    </row>
    <row r="60" spans="2:13" ht="12.75">
      <c r="B60" s="4" t="s">
        <v>76</v>
      </c>
      <c r="C60" s="4" t="s">
        <v>228</v>
      </c>
      <c r="D60" s="4" t="s">
        <v>15</v>
      </c>
      <c r="E60" s="4" t="s">
        <v>14</v>
      </c>
      <c r="G60" s="5">
        <f>G7*(21-7)/(21-G47)</f>
        <v>25.789473684210527</v>
      </c>
      <c r="H60" s="6"/>
      <c r="I60" s="5">
        <f>I7*(21-7)/(21-I47)</f>
        <v>97.63157894736842</v>
      </c>
      <c r="J60" s="6"/>
      <c r="K60" s="5">
        <f>K7*(21-7)/(21-K47)</f>
        <v>49.73684210526316</v>
      </c>
      <c r="L60" s="6"/>
      <c r="M60" s="18">
        <f>AVERAGE(K60,I60,G60)</f>
        <v>57.719298245614034</v>
      </c>
    </row>
    <row r="61" spans="2:13" ht="12.75">
      <c r="B61" s="4" t="s">
        <v>77</v>
      </c>
      <c r="C61" s="4" t="s">
        <v>228</v>
      </c>
      <c r="D61" s="4" t="s">
        <v>15</v>
      </c>
      <c r="E61" s="4" t="s">
        <v>14</v>
      </c>
      <c r="G61" s="5">
        <f>G8*(21-7)/(21-G47)</f>
        <v>8.289473684210527</v>
      </c>
      <c r="H61" s="6"/>
      <c r="I61" s="5">
        <f>I8*(21-7)/(21-I47)</f>
        <v>0.9210526315789475</v>
      </c>
      <c r="J61" s="6"/>
      <c r="K61" s="5">
        <f>K8*(21-7)/(21-K47)</f>
        <v>3.3157894736842106</v>
      </c>
      <c r="L61" s="6"/>
      <c r="M61" s="18">
        <f>AVERAGE(K61,I61,G61)</f>
        <v>4.175438596491229</v>
      </c>
    </row>
    <row r="62" spans="2:13" ht="12.75">
      <c r="B62" s="4"/>
      <c r="C62" s="4"/>
      <c r="G62" s="6"/>
      <c r="H62" s="6"/>
      <c r="I62" s="6"/>
      <c r="J62" s="6"/>
      <c r="K62" s="6"/>
      <c r="L62" s="6"/>
      <c r="M62" s="18"/>
    </row>
    <row r="63" spans="2:13" ht="12.75">
      <c r="B63" s="4" t="s">
        <v>58</v>
      </c>
      <c r="C63" s="4" t="s">
        <v>229</v>
      </c>
      <c r="D63" s="4" t="s">
        <v>36</v>
      </c>
      <c r="E63" s="4" t="s">
        <v>14</v>
      </c>
      <c r="G63" s="6">
        <f>G28/60*454*1000000*1/(G$46*0.0283)*(21-7)/(21-G$53)</f>
        <v>12.38294541273512</v>
      </c>
      <c r="H63" s="22"/>
      <c r="I63" s="6">
        <f>I28/60*454*1000000*1/(I$46*0.0283)*(21-7)/(21-I$53)</f>
        <v>1.9229875964701686</v>
      </c>
      <c r="J63" s="19"/>
      <c r="K63" s="6">
        <f aca="true" t="shared" si="0" ref="K63:K77">K28/60*454*1000000*1/(K$46*0.0283)*(21-7)/(21-K$53)</f>
        <v>2.484637499225095</v>
      </c>
      <c r="L63" s="6"/>
      <c r="M63" s="18">
        <f aca="true" t="shared" si="1" ref="M63:M71">AVERAGE(G63,I63,K63)</f>
        <v>5.596856836143462</v>
      </c>
    </row>
    <row r="64" spans="2:13" ht="12.75">
      <c r="B64" s="4" t="s">
        <v>57</v>
      </c>
      <c r="C64" s="4" t="s">
        <v>229</v>
      </c>
      <c r="D64" s="4" t="s">
        <v>36</v>
      </c>
      <c r="E64" s="4" t="s">
        <v>14</v>
      </c>
      <c r="F64" s="4" t="s">
        <v>19</v>
      </c>
      <c r="G64" s="6">
        <f aca="true" t="shared" si="2" ref="G64:I77">G29/60*454*1000000*1/(G$46*0.0283)*(21-7)/(21-G$53)</f>
        <v>14.42740919570077</v>
      </c>
      <c r="H64" s="19" t="s">
        <v>19</v>
      </c>
      <c r="I64" s="6">
        <f t="shared" si="2"/>
        <v>14.775897340524457</v>
      </c>
      <c r="J64" s="19" t="s">
        <v>19</v>
      </c>
      <c r="K64" s="6">
        <f t="shared" si="0"/>
        <v>13.830415814270662</v>
      </c>
      <c r="L64" s="7">
        <v>100</v>
      </c>
      <c r="M64" s="18">
        <f t="shared" si="1"/>
        <v>14.344574116831964</v>
      </c>
    </row>
    <row r="65" spans="2:13" ht="12.75">
      <c r="B65" s="4" t="s">
        <v>85</v>
      </c>
      <c r="C65" s="4" t="s">
        <v>229</v>
      </c>
      <c r="D65" s="4" t="s">
        <v>36</v>
      </c>
      <c r="E65" s="4" t="s">
        <v>14</v>
      </c>
      <c r="F65" s="4" t="s">
        <v>19</v>
      </c>
      <c r="G65" s="6">
        <f t="shared" si="2"/>
        <v>6.923297810497307</v>
      </c>
      <c r="H65" s="19" t="s">
        <v>19</v>
      </c>
      <c r="I65" s="6">
        <f t="shared" si="2"/>
        <v>5.844374067703454</v>
      </c>
      <c r="J65" s="19" t="s">
        <v>19</v>
      </c>
      <c r="K65" s="6">
        <f t="shared" si="0"/>
        <v>8.289454311573989</v>
      </c>
      <c r="L65" s="7">
        <v>100</v>
      </c>
      <c r="M65" s="18">
        <f t="shared" si="1"/>
        <v>7.01904206325825</v>
      </c>
    </row>
    <row r="66" spans="2:13" ht="12.75">
      <c r="B66" s="4" t="s">
        <v>59</v>
      </c>
      <c r="C66" s="4" t="s">
        <v>229</v>
      </c>
      <c r="D66" s="4" t="s">
        <v>36</v>
      </c>
      <c r="E66" s="4" t="s">
        <v>14</v>
      </c>
      <c r="F66" s="4" t="s">
        <v>19</v>
      </c>
      <c r="G66" s="6">
        <f t="shared" si="2"/>
        <v>1.4566804453630249</v>
      </c>
      <c r="H66" s="19" t="s">
        <v>19</v>
      </c>
      <c r="I66" s="6">
        <f t="shared" si="2"/>
        <v>1.4893727462857185</v>
      </c>
      <c r="J66" s="19" t="s">
        <v>19</v>
      </c>
      <c r="K66" s="6">
        <f t="shared" si="0"/>
        <v>1.3830415814270662</v>
      </c>
      <c r="L66" s="7">
        <v>100</v>
      </c>
      <c r="M66" s="18">
        <f t="shared" si="1"/>
        <v>1.4430315910252698</v>
      </c>
    </row>
    <row r="67" spans="2:13" ht="12.75">
      <c r="B67" s="4" t="s">
        <v>60</v>
      </c>
      <c r="C67" s="4" t="s">
        <v>229</v>
      </c>
      <c r="D67" s="4" t="s">
        <v>36</v>
      </c>
      <c r="E67" s="4" t="s">
        <v>14</v>
      </c>
      <c r="F67" s="4" t="s">
        <v>19</v>
      </c>
      <c r="G67" s="6">
        <f t="shared" si="2"/>
        <v>1.3335479675253206</v>
      </c>
      <c r="H67" s="19" t="s">
        <v>19</v>
      </c>
      <c r="I67" s="6">
        <f t="shared" si="2"/>
        <v>1.364472816613024</v>
      </c>
      <c r="J67" s="19"/>
      <c r="K67" s="6">
        <f t="shared" si="0"/>
        <v>2.924396348645466</v>
      </c>
      <c r="L67" s="6"/>
      <c r="M67" s="18">
        <f t="shared" si="1"/>
        <v>1.8741390442612704</v>
      </c>
    </row>
    <row r="68" spans="2:13" ht="12.75">
      <c r="B68" s="4" t="s">
        <v>67</v>
      </c>
      <c r="C68" s="4" t="s">
        <v>229</v>
      </c>
      <c r="D68" s="4" t="s">
        <v>36</v>
      </c>
      <c r="E68" s="4" t="s">
        <v>14</v>
      </c>
      <c r="G68" s="6">
        <f t="shared" si="2"/>
        <v>7.643506643132936</v>
      </c>
      <c r="H68" s="19" t="s">
        <v>19</v>
      </c>
      <c r="I68" s="6">
        <f t="shared" si="2"/>
        <v>4.477544648643775</v>
      </c>
      <c r="J68" s="19"/>
      <c r="K68" s="6">
        <f t="shared" si="0"/>
        <v>6.112648006943153</v>
      </c>
      <c r="L68" s="6"/>
      <c r="M68" s="18">
        <f t="shared" si="1"/>
        <v>6.0778997662399545</v>
      </c>
    </row>
    <row r="69" spans="2:13" ht="12.75">
      <c r="B69" s="4" t="s">
        <v>231</v>
      </c>
      <c r="C69" s="4" t="s">
        <v>229</v>
      </c>
      <c r="D69" s="4" t="s">
        <v>36</v>
      </c>
      <c r="E69" s="4" t="s">
        <v>14</v>
      </c>
      <c r="G69" s="6">
        <f t="shared" si="2"/>
        <v>12.336480326758627</v>
      </c>
      <c r="H69" s="19"/>
      <c r="I69" s="6">
        <f t="shared" si="2"/>
        <v>13.244105750198953</v>
      </c>
      <c r="J69" s="19"/>
      <c r="K69" s="6">
        <f t="shared" si="0"/>
        <v>5.1891544231603755</v>
      </c>
      <c r="L69" s="6"/>
      <c r="M69" s="18">
        <f t="shared" si="1"/>
        <v>10.256580166705985</v>
      </c>
    </row>
    <row r="70" spans="2:13" ht="12.75">
      <c r="B70" s="4" t="s">
        <v>86</v>
      </c>
      <c r="C70" s="4" t="s">
        <v>229</v>
      </c>
      <c r="D70" s="4" t="s">
        <v>36</v>
      </c>
      <c r="E70" s="4" t="s">
        <v>14</v>
      </c>
      <c r="G70" s="6">
        <f t="shared" si="2"/>
        <v>892.1296507486466</v>
      </c>
      <c r="H70" s="19"/>
      <c r="I70" s="6">
        <f t="shared" si="2"/>
        <v>133.3836984806514</v>
      </c>
      <c r="J70" s="19"/>
      <c r="K70" s="6">
        <f t="shared" si="0"/>
        <v>116.31621567168808</v>
      </c>
      <c r="L70" s="6"/>
      <c r="M70" s="18">
        <f t="shared" si="1"/>
        <v>380.60985496699533</v>
      </c>
    </row>
    <row r="71" spans="2:13" ht="12.75">
      <c r="B71" s="4" t="s">
        <v>56</v>
      </c>
      <c r="C71" s="4" t="s">
        <v>229</v>
      </c>
      <c r="D71" s="4" t="s">
        <v>36</v>
      </c>
      <c r="E71" s="4" t="s">
        <v>14</v>
      </c>
      <c r="G71" s="6">
        <f t="shared" si="2"/>
        <v>68.30367638544327</v>
      </c>
      <c r="H71" s="19"/>
      <c r="I71" s="6">
        <f t="shared" si="2"/>
        <v>53.73053578372529</v>
      </c>
      <c r="J71" s="19"/>
      <c r="K71" s="6">
        <f t="shared" si="0"/>
        <v>32.98191370652781</v>
      </c>
      <c r="L71" s="6"/>
      <c r="M71" s="18">
        <f t="shared" si="1"/>
        <v>51.67204195856545</v>
      </c>
    </row>
    <row r="72" spans="2:13" ht="12.75">
      <c r="B72" s="4" t="s">
        <v>61</v>
      </c>
      <c r="C72" s="4" t="s">
        <v>229</v>
      </c>
      <c r="D72" s="4" t="s">
        <v>36</v>
      </c>
      <c r="E72" s="4" t="s">
        <v>14</v>
      </c>
      <c r="F72" s="4" t="s">
        <v>19</v>
      </c>
      <c r="G72" s="6">
        <f t="shared" si="2"/>
        <v>10.05969111391052</v>
      </c>
      <c r="H72" s="19" t="s">
        <v>19</v>
      </c>
      <c r="I72" s="6">
        <f t="shared" si="2"/>
        <v>10.18052256954795</v>
      </c>
      <c r="J72" s="19" t="s">
        <v>19</v>
      </c>
      <c r="K72" s="6">
        <f t="shared" si="0"/>
        <v>9.45481526253797</v>
      </c>
      <c r="L72" s="7">
        <v>100</v>
      </c>
      <c r="M72" s="18">
        <f aca="true" t="shared" si="3" ref="M72:M79">AVERAGE(G72,I72,K72)</f>
        <v>9.898342981998814</v>
      </c>
    </row>
    <row r="73" spans="2:13" ht="12.75">
      <c r="B73" s="4" t="s">
        <v>87</v>
      </c>
      <c r="C73" s="4" t="s">
        <v>229</v>
      </c>
      <c r="D73" s="4" t="s">
        <v>36</v>
      </c>
      <c r="E73" s="4" t="s">
        <v>14</v>
      </c>
      <c r="G73" s="6">
        <f t="shared" si="2"/>
        <v>9.316249738286649</v>
      </c>
      <c r="H73" s="19" t="s">
        <v>19</v>
      </c>
      <c r="I73" s="6">
        <f t="shared" si="2"/>
        <v>8.931523272821003</v>
      </c>
      <c r="J73" s="19"/>
      <c r="K73" s="6">
        <f t="shared" si="0"/>
        <v>8.99306847064658</v>
      </c>
      <c r="L73" s="16"/>
      <c r="M73" s="18">
        <f t="shared" si="3"/>
        <v>9.080280493918078</v>
      </c>
    </row>
    <row r="74" spans="2:13" ht="12.75">
      <c r="B74" s="4" t="s">
        <v>88</v>
      </c>
      <c r="C74" s="4" t="s">
        <v>229</v>
      </c>
      <c r="D74" s="4" t="s">
        <v>36</v>
      </c>
      <c r="E74" s="4" t="s">
        <v>14</v>
      </c>
      <c r="F74" s="4" t="s">
        <v>19</v>
      </c>
      <c r="G74" s="6">
        <f t="shared" si="2"/>
        <v>6.179856434873438</v>
      </c>
      <c r="H74" s="19" t="s">
        <v>19</v>
      </c>
      <c r="I74" s="6">
        <f t="shared" si="2"/>
        <v>2.9693190827848186</v>
      </c>
      <c r="J74" s="19" t="s">
        <v>19</v>
      </c>
      <c r="K74" s="6">
        <f t="shared" si="0"/>
        <v>2.7704807513483356</v>
      </c>
      <c r="L74" s="7">
        <v>100</v>
      </c>
      <c r="M74" s="18">
        <f t="shared" si="3"/>
        <v>3.973218756335531</v>
      </c>
    </row>
    <row r="75" spans="2:13" ht="12.75">
      <c r="B75" s="4" t="s">
        <v>89</v>
      </c>
      <c r="C75" s="4" t="s">
        <v>229</v>
      </c>
      <c r="D75" s="4" t="s">
        <v>36</v>
      </c>
      <c r="E75" s="4" t="s">
        <v>14</v>
      </c>
      <c r="G75" s="6">
        <f t="shared" si="2"/>
        <v>5.041461828449384</v>
      </c>
      <c r="H75" s="19" t="s">
        <v>19</v>
      </c>
      <c r="I75" s="6">
        <f t="shared" si="2"/>
        <v>3.157847278517188</v>
      </c>
      <c r="J75" s="19" t="s">
        <v>19</v>
      </c>
      <c r="K75" s="6">
        <f t="shared" si="0"/>
        <v>3.034336061000558</v>
      </c>
      <c r="L75" s="7">
        <v>100</v>
      </c>
      <c r="M75" s="18">
        <f t="shared" si="3"/>
        <v>3.7445483893223765</v>
      </c>
    </row>
    <row r="76" spans="2:13" ht="12.75">
      <c r="B76" s="4" t="s">
        <v>90</v>
      </c>
      <c r="C76" s="4" t="s">
        <v>229</v>
      </c>
      <c r="D76" s="4" t="s">
        <v>36</v>
      </c>
      <c r="E76" s="4" t="s">
        <v>14</v>
      </c>
      <c r="F76" s="4" t="s">
        <v>19</v>
      </c>
      <c r="G76" s="6">
        <f t="shared" si="2"/>
        <v>2.0630498173562453</v>
      </c>
      <c r="H76" s="19" t="s">
        <v>19</v>
      </c>
      <c r="I76" s="6">
        <f t="shared" si="2"/>
        <v>2.1091591897558835</v>
      </c>
      <c r="J76" s="19" t="s">
        <v>19</v>
      </c>
      <c r="K76" s="6">
        <f t="shared" si="0"/>
        <v>1.9591256741677514</v>
      </c>
      <c r="L76" s="7">
        <v>100</v>
      </c>
      <c r="M76" s="18">
        <f t="shared" si="3"/>
        <v>2.043778227093293</v>
      </c>
    </row>
    <row r="77" spans="2:13" ht="12.75">
      <c r="B77" s="4" t="s">
        <v>91</v>
      </c>
      <c r="C77" s="4" t="s">
        <v>229</v>
      </c>
      <c r="D77" s="4" t="s">
        <v>36</v>
      </c>
      <c r="E77" s="4" t="s">
        <v>14</v>
      </c>
      <c r="G77" s="6">
        <f t="shared" si="2"/>
        <v>859.6040905651021</v>
      </c>
      <c r="H77" s="19"/>
      <c r="I77" s="6">
        <f t="shared" si="2"/>
        <v>103.21918716347227</v>
      </c>
      <c r="J77" s="19"/>
      <c r="K77" s="6">
        <f t="shared" si="0"/>
        <v>96.30718802306119</v>
      </c>
      <c r="L77" s="16"/>
      <c r="M77" s="18">
        <f t="shared" si="3"/>
        <v>353.0434885838785</v>
      </c>
    </row>
    <row r="78" spans="2:13" ht="12.75">
      <c r="B78" s="4" t="s">
        <v>37</v>
      </c>
      <c r="C78" s="4" t="s">
        <v>229</v>
      </c>
      <c r="D78" s="4" t="s">
        <v>36</v>
      </c>
      <c r="E78" s="4" t="s">
        <v>14</v>
      </c>
      <c r="F78" s="4">
        <f>G67/G78*100</f>
        <v>1.9149929939280705</v>
      </c>
      <c r="G78" s="6">
        <f>G67+G71</f>
        <v>69.63722435296859</v>
      </c>
      <c r="H78" s="4">
        <f>I67/I78*100</f>
        <v>2.476581547542667</v>
      </c>
      <c r="I78" s="6">
        <f>I67+I71</f>
        <v>55.09500860033831</v>
      </c>
      <c r="J78" s="19"/>
      <c r="K78" s="6">
        <f>K67+K71</f>
        <v>35.90631005517328</v>
      </c>
      <c r="L78" s="16">
        <f>(F78*G78+H78*I78+J78*K78)/M78/3</f>
        <v>1.6795600443138452</v>
      </c>
      <c r="M78" s="72">
        <f t="shared" si="3"/>
        <v>53.54618100282672</v>
      </c>
    </row>
    <row r="79" spans="2:13" ht="12.75">
      <c r="B79" s="4" t="s">
        <v>38</v>
      </c>
      <c r="C79" s="4" t="s">
        <v>229</v>
      </c>
      <c r="D79" s="4" t="s">
        <v>36</v>
      </c>
      <c r="E79" s="4" t="s">
        <v>14</v>
      </c>
      <c r="F79" s="4">
        <f>(G66)/G79*100</f>
        <v>6.780577484589598</v>
      </c>
      <c r="G79" s="6">
        <f>G63+G66+G68</f>
        <v>21.483132501231083</v>
      </c>
      <c r="H79" s="4">
        <f>(I66)/I79*100</f>
        <v>18.876941457586614</v>
      </c>
      <c r="I79" s="6">
        <f>I63+I66+I68</f>
        <v>7.889904991399662</v>
      </c>
      <c r="J79" s="4">
        <f>(K66)/K79*100</f>
        <v>13.857677902621726</v>
      </c>
      <c r="K79" s="6">
        <f>K63+K66+K68</f>
        <v>9.980327087595313</v>
      </c>
      <c r="L79" s="16">
        <f>(F79*G79+H79*I79+J79*K79)/M79/3</f>
        <v>11.000570902268052</v>
      </c>
      <c r="M79" s="18">
        <f t="shared" si="3"/>
        <v>13.117788193408686</v>
      </c>
    </row>
    <row r="80" spans="2:13" ht="12.75">
      <c r="B80" s="4"/>
      <c r="C80" s="4"/>
      <c r="G80" s="19"/>
      <c r="H80" s="19"/>
      <c r="I80" s="20"/>
      <c r="J80" s="19"/>
      <c r="K80" s="19"/>
      <c r="L80" s="16"/>
      <c r="M80" s="21"/>
    </row>
    <row r="81" spans="2:13" ht="12.75">
      <c r="B81" s="4"/>
      <c r="C81" s="4"/>
      <c r="G81" s="19"/>
      <c r="H81" s="19"/>
      <c r="I81" s="20"/>
      <c r="J81" s="19"/>
      <c r="K81" s="19"/>
      <c r="L81" s="16"/>
      <c r="M81" s="21"/>
    </row>
    <row r="82" spans="2:13" ht="12.75">
      <c r="B82" s="4"/>
      <c r="C82" s="4"/>
      <c r="G82" s="19"/>
      <c r="H82" s="19"/>
      <c r="I82" s="20"/>
      <c r="J82" s="19"/>
      <c r="K82" s="19"/>
      <c r="L82" s="16"/>
      <c r="M82" s="21"/>
    </row>
    <row r="83" spans="2:13" ht="12.75">
      <c r="B83" s="4"/>
      <c r="C83" s="4"/>
      <c r="G83" s="19"/>
      <c r="H83" s="19"/>
      <c r="I83" s="20"/>
      <c r="J83" s="19"/>
      <c r="K83" s="19"/>
      <c r="L83" s="16"/>
      <c r="M83" s="21"/>
    </row>
    <row r="84" spans="1:13" ht="12.75">
      <c r="A84" s="14" t="s">
        <v>71</v>
      </c>
      <c r="B84" s="13" t="s">
        <v>171</v>
      </c>
      <c r="D84" s="14"/>
      <c r="E84" s="14"/>
      <c r="F84" s="14"/>
      <c r="G84" s="16" t="s">
        <v>186</v>
      </c>
      <c r="H84" s="16"/>
      <c r="I84" s="16" t="s">
        <v>187</v>
      </c>
      <c r="J84" s="16"/>
      <c r="K84" s="16" t="s">
        <v>188</v>
      </c>
      <c r="L84" s="16"/>
      <c r="M84" s="16" t="s">
        <v>190</v>
      </c>
    </row>
    <row r="85" spans="3:9" ht="12.75">
      <c r="C85" s="89"/>
      <c r="D85" s="45"/>
      <c r="E85" s="45"/>
      <c r="F85" s="14"/>
      <c r="I85" s="14"/>
    </row>
    <row r="86" spans="2:13" ht="12.75">
      <c r="B86" s="4" t="s">
        <v>12</v>
      </c>
      <c r="C86" s="4" t="s">
        <v>228</v>
      </c>
      <c r="D86" s="4" t="s">
        <v>13</v>
      </c>
      <c r="E86" s="16" t="s">
        <v>14</v>
      </c>
      <c r="G86" s="58">
        <v>0.05</v>
      </c>
      <c r="H86" s="58"/>
      <c r="I86" s="58">
        <v>0.083</v>
      </c>
      <c r="J86" s="58"/>
      <c r="K86" s="58">
        <v>0.075</v>
      </c>
      <c r="M86" s="84">
        <f>AVERAGE(G86,I86,K86)</f>
        <v>0.06933333333333334</v>
      </c>
    </row>
    <row r="87" spans="2:15" ht="12.75">
      <c r="B87" s="4" t="s">
        <v>25</v>
      </c>
      <c r="C87" s="4"/>
      <c r="D87" s="4" t="s">
        <v>15</v>
      </c>
      <c r="E87" s="4" t="s">
        <v>262</v>
      </c>
      <c r="G87" s="57">
        <v>1.29</v>
      </c>
      <c r="H87" s="57"/>
      <c r="I87" s="57">
        <v>3.62</v>
      </c>
      <c r="J87" s="57"/>
      <c r="K87" s="57">
        <v>1.25</v>
      </c>
      <c r="M87" s="72">
        <f>AVERAGE(G87,I87,K87)</f>
        <v>2.0533333333333332</v>
      </c>
      <c r="O87" s="44"/>
    </row>
    <row r="88" spans="2:15" ht="12.75">
      <c r="B88" s="4" t="s">
        <v>26</v>
      </c>
      <c r="C88" s="4"/>
      <c r="D88" s="4" t="s">
        <v>15</v>
      </c>
      <c r="E88" s="4" t="s">
        <v>262</v>
      </c>
      <c r="G88" s="57">
        <v>0.81</v>
      </c>
      <c r="H88" s="57"/>
      <c r="I88" s="57">
        <v>0.85</v>
      </c>
      <c r="J88" s="57"/>
      <c r="K88" s="57">
        <v>0.07</v>
      </c>
      <c r="M88" s="72">
        <f>AVERAGE(G88,I88,K88)</f>
        <v>0.5766666666666668</v>
      </c>
      <c r="O88" s="44"/>
    </row>
    <row r="89" spans="2:13" ht="12.75">
      <c r="B89" s="4" t="s">
        <v>76</v>
      </c>
      <c r="D89" s="4" t="s">
        <v>15</v>
      </c>
      <c r="E89" s="14" t="s">
        <v>262</v>
      </c>
      <c r="F89" s="14"/>
      <c r="I89" s="14"/>
      <c r="M89" s="18">
        <v>25</v>
      </c>
    </row>
    <row r="90" spans="4:9" ht="12.75">
      <c r="D90" s="14"/>
      <c r="E90" s="14"/>
      <c r="F90" s="14"/>
      <c r="I90" s="14"/>
    </row>
    <row r="91" spans="2:13" ht="12.75">
      <c r="B91" s="4" t="s">
        <v>58</v>
      </c>
      <c r="D91" s="4" t="s">
        <v>29</v>
      </c>
      <c r="E91" s="14"/>
      <c r="G91" s="22">
        <v>3.14E-05</v>
      </c>
      <c r="H91" s="19"/>
      <c r="I91" s="22">
        <v>5.01E-05</v>
      </c>
      <c r="J91" s="19"/>
      <c r="K91" s="22">
        <v>4.79E-05</v>
      </c>
      <c r="L91" s="16"/>
      <c r="M91" s="85">
        <f>AVERAGE(G91,I91,K91)</f>
        <v>4.3133333333333336E-05</v>
      </c>
    </row>
    <row r="92" spans="2:13" ht="12.75">
      <c r="B92" s="4" t="s">
        <v>57</v>
      </c>
      <c r="C92" s="4"/>
      <c r="D92" s="4" t="s">
        <v>29</v>
      </c>
      <c r="G92" s="22">
        <v>9.34E-05</v>
      </c>
      <c r="H92" s="19"/>
      <c r="I92" s="22">
        <v>7.31E-05</v>
      </c>
      <c r="J92" s="19"/>
      <c r="K92" s="22">
        <v>5.72E-05</v>
      </c>
      <c r="L92" s="16"/>
      <c r="M92" s="85">
        <f>AVERAGE(G92,I92,K92)</f>
        <v>7.456666666666666E-05</v>
      </c>
    </row>
    <row r="93" spans="2:13" ht="12.75">
      <c r="B93" s="4" t="s">
        <v>85</v>
      </c>
      <c r="C93" s="4"/>
      <c r="D93" s="4" t="s">
        <v>29</v>
      </c>
      <c r="G93" s="22">
        <v>0.000105</v>
      </c>
      <c r="H93" s="19"/>
      <c r="I93" s="22">
        <v>1.53E-05</v>
      </c>
      <c r="J93" s="19"/>
      <c r="K93" s="22">
        <v>5.29E-05</v>
      </c>
      <c r="L93" s="16"/>
      <c r="M93" s="85">
        <f aca="true" t="shared" si="4" ref="M93:M103">AVERAGE(G93,I93,K93)</f>
        <v>5.7733333333333325E-05</v>
      </c>
    </row>
    <row r="94" spans="2:13" ht="12.75">
      <c r="B94" s="4" t="s">
        <v>59</v>
      </c>
      <c r="C94" s="4"/>
      <c r="D94" s="4" t="s">
        <v>29</v>
      </c>
      <c r="F94" s="4" t="s">
        <v>19</v>
      </c>
      <c r="G94" s="22">
        <v>3.23E-06</v>
      </c>
      <c r="H94" s="19" t="s">
        <v>19</v>
      </c>
      <c r="I94" s="22">
        <v>3.54E-06</v>
      </c>
      <c r="J94" s="19" t="s">
        <v>19</v>
      </c>
      <c r="K94" s="22">
        <v>3.21E-06</v>
      </c>
      <c r="L94" s="16"/>
      <c r="M94" s="85">
        <f t="shared" si="4"/>
        <v>3.3266666666666664E-06</v>
      </c>
    </row>
    <row r="95" spans="2:13" ht="12.75">
      <c r="B95" s="4" t="s">
        <v>60</v>
      </c>
      <c r="C95" s="4"/>
      <c r="D95" s="4" t="s">
        <v>29</v>
      </c>
      <c r="G95" s="22">
        <v>0.000202</v>
      </c>
      <c r="H95" s="19"/>
      <c r="I95" s="22">
        <v>0.000222</v>
      </c>
      <c r="J95" s="19"/>
      <c r="K95" s="22">
        <v>8.5E-05</v>
      </c>
      <c r="L95" s="16"/>
      <c r="M95" s="85">
        <f t="shared" si="4"/>
        <v>0.00016966666666666668</v>
      </c>
    </row>
    <row r="96" spans="2:13" ht="12.75">
      <c r="B96" s="4" t="s">
        <v>67</v>
      </c>
      <c r="C96" s="4"/>
      <c r="D96" s="4" t="s">
        <v>29</v>
      </c>
      <c r="G96" s="22">
        <v>0.000382</v>
      </c>
      <c r="H96" s="19"/>
      <c r="I96" s="22">
        <v>0.000369</v>
      </c>
      <c r="J96" s="19"/>
      <c r="K96" s="22">
        <v>0.000985</v>
      </c>
      <c r="L96" s="16"/>
      <c r="M96" s="85">
        <f t="shared" si="4"/>
        <v>0.0005786666666666667</v>
      </c>
    </row>
    <row r="97" spans="2:13" ht="12.75">
      <c r="B97" s="4" t="s">
        <v>231</v>
      </c>
      <c r="C97" s="4"/>
      <c r="D97" s="4" t="s">
        <v>29</v>
      </c>
      <c r="G97" s="22">
        <v>8.17E-05</v>
      </c>
      <c r="H97" s="19"/>
      <c r="I97" s="22">
        <v>0.00058</v>
      </c>
      <c r="J97" s="19"/>
      <c r="K97" s="22">
        <v>2.94E-05</v>
      </c>
      <c r="L97" s="16"/>
      <c r="M97" s="85">
        <f t="shared" si="4"/>
        <v>0.00023036666666666664</v>
      </c>
    </row>
    <row r="98" spans="2:13" ht="12.75">
      <c r="B98" s="4" t="s">
        <v>56</v>
      </c>
      <c r="C98" s="4"/>
      <c r="D98" s="4" t="s">
        <v>29</v>
      </c>
      <c r="G98" s="22">
        <v>0.000473</v>
      </c>
      <c r="H98" s="19"/>
      <c r="I98" s="22">
        <v>0.000594</v>
      </c>
      <c r="J98" s="19"/>
      <c r="K98" s="22">
        <v>0.000335</v>
      </c>
      <c r="L98" s="16"/>
      <c r="M98" s="85">
        <f t="shared" si="4"/>
        <v>0.0004673333333333333</v>
      </c>
    </row>
    <row r="99" spans="2:13" ht="12.75">
      <c r="B99" s="4" t="s">
        <v>61</v>
      </c>
      <c r="C99" s="4"/>
      <c r="D99" s="4" t="s">
        <v>29</v>
      </c>
      <c r="F99" s="4" t="s">
        <v>19</v>
      </c>
      <c r="G99" s="22">
        <v>9.51E-05</v>
      </c>
      <c r="H99" s="19" t="s">
        <v>19</v>
      </c>
      <c r="I99" s="22">
        <v>8.57E-05</v>
      </c>
      <c r="J99" s="19" t="s">
        <v>19</v>
      </c>
      <c r="K99" s="22">
        <v>9.02E-05</v>
      </c>
      <c r="L99" s="16"/>
      <c r="M99" s="85">
        <f t="shared" si="4"/>
        <v>9.033333333333332E-05</v>
      </c>
    </row>
    <row r="100" spans="2:13" ht="12.75">
      <c r="B100" s="4" t="s">
        <v>87</v>
      </c>
      <c r="C100" s="4"/>
      <c r="D100" s="4" t="s">
        <v>29</v>
      </c>
      <c r="G100" s="22">
        <v>0.000334</v>
      </c>
      <c r="H100" s="19"/>
      <c r="I100" s="22">
        <v>0.000105</v>
      </c>
      <c r="J100" s="19"/>
      <c r="K100" s="22">
        <v>0.000277</v>
      </c>
      <c r="L100" s="16"/>
      <c r="M100" s="85">
        <f t="shared" si="4"/>
        <v>0.00023866666666666668</v>
      </c>
    </row>
    <row r="101" spans="2:13" ht="12.75">
      <c r="B101" s="4" t="s">
        <v>88</v>
      </c>
      <c r="C101" s="4"/>
      <c r="D101" s="4" t="s">
        <v>29</v>
      </c>
      <c r="G101" s="22">
        <v>4.99E-05</v>
      </c>
      <c r="H101" s="19"/>
      <c r="I101" s="22">
        <v>2.62E-05</v>
      </c>
      <c r="J101" s="19"/>
      <c r="K101" s="22">
        <v>7.07E-05</v>
      </c>
      <c r="L101" s="16"/>
      <c r="M101" s="85">
        <f t="shared" si="4"/>
        <v>4.893333333333333E-05</v>
      </c>
    </row>
    <row r="102" spans="2:13" ht="12.75">
      <c r="B102" s="4" t="s">
        <v>89</v>
      </c>
      <c r="C102" s="4"/>
      <c r="D102" s="4" t="s">
        <v>29</v>
      </c>
      <c r="G102" s="22">
        <v>6.7E-05</v>
      </c>
      <c r="H102" s="19"/>
      <c r="I102" s="22">
        <v>1.09E-05</v>
      </c>
      <c r="J102" s="19"/>
      <c r="K102" s="22">
        <v>2.29E-05</v>
      </c>
      <c r="L102" s="16"/>
      <c r="M102" s="85">
        <f t="shared" si="4"/>
        <v>3.36E-05</v>
      </c>
    </row>
    <row r="103" spans="2:13" ht="12.75">
      <c r="B103" s="4" t="s">
        <v>90</v>
      </c>
      <c r="C103" s="4"/>
      <c r="D103" s="4" t="s">
        <v>29</v>
      </c>
      <c r="F103" s="4" t="s">
        <v>19</v>
      </c>
      <c r="G103" s="22">
        <v>7.93E-06</v>
      </c>
      <c r="H103" s="19" t="s">
        <v>19</v>
      </c>
      <c r="I103" s="22">
        <v>8.25E-06</v>
      </c>
      <c r="J103" s="19" t="s">
        <v>19</v>
      </c>
      <c r="K103" s="22">
        <v>7.88E-06</v>
      </c>
      <c r="L103" s="16"/>
      <c r="M103" s="85">
        <f t="shared" si="4"/>
        <v>8.020000000000001E-06</v>
      </c>
    </row>
    <row r="104" spans="2:13" ht="12.75">
      <c r="B104" s="4"/>
      <c r="C104" s="4"/>
      <c r="G104" s="19"/>
      <c r="H104" s="19"/>
      <c r="I104" s="20"/>
      <c r="J104" s="19"/>
      <c r="K104" s="19"/>
      <c r="L104" s="16"/>
      <c r="M104" s="21"/>
    </row>
    <row r="105" spans="2:13" ht="12.75">
      <c r="B105" s="4"/>
      <c r="C105" s="4"/>
      <c r="G105" s="6"/>
      <c r="H105" s="19"/>
      <c r="I105" s="6"/>
      <c r="J105" s="19"/>
      <c r="K105" s="6"/>
      <c r="L105" s="16"/>
      <c r="M105" s="21"/>
    </row>
    <row r="106" spans="2:13" ht="12.75">
      <c r="B106" s="4" t="s">
        <v>69</v>
      </c>
      <c r="C106" s="4" t="s">
        <v>62</v>
      </c>
      <c r="D106" s="4" t="s">
        <v>228</v>
      </c>
      <c r="L106" s="16"/>
      <c r="M106" s="72"/>
    </row>
    <row r="107" spans="2:13" ht="12.75">
      <c r="B107" s="4" t="s">
        <v>55</v>
      </c>
      <c r="C107" s="4"/>
      <c r="D107" s="4" t="s">
        <v>16</v>
      </c>
      <c r="G107" s="19">
        <v>24026</v>
      </c>
      <c r="H107" s="19"/>
      <c r="I107" s="19">
        <v>24406</v>
      </c>
      <c r="J107" s="7"/>
      <c r="K107" s="19">
        <v>25560</v>
      </c>
      <c r="M107" s="21">
        <f>AVERAGE(G107,I107,K107)</f>
        <v>24664</v>
      </c>
    </row>
    <row r="108" spans="2:13" ht="12.75">
      <c r="B108" s="4" t="s">
        <v>65</v>
      </c>
      <c r="C108" s="4"/>
      <c r="D108" s="4" t="s">
        <v>17</v>
      </c>
      <c r="G108" s="18">
        <v>10.8</v>
      </c>
      <c r="H108" s="19"/>
      <c r="I108" s="18">
        <v>11</v>
      </c>
      <c r="J108" s="19"/>
      <c r="K108" s="18">
        <v>11</v>
      </c>
      <c r="M108" s="18">
        <f>AVERAGE(G108,I108,K108)</f>
        <v>10.933333333333332</v>
      </c>
    </row>
    <row r="109" spans="2:13" ht="12.75">
      <c r="B109" s="4" t="s">
        <v>66</v>
      </c>
      <c r="C109" s="4"/>
      <c r="D109" s="4" t="s">
        <v>17</v>
      </c>
      <c r="G109" s="18">
        <v>2.4</v>
      </c>
      <c r="H109" s="19"/>
      <c r="I109" s="18">
        <v>2.4</v>
      </c>
      <c r="J109" s="19"/>
      <c r="K109" s="18">
        <v>1.5</v>
      </c>
      <c r="M109" s="18">
        <f>AVERAGE(G109,I109,K109)</f>
        <v>2.1</v>
      </c>
    </row>
    <row r="110" spans="2:13" ht="12.75">
      <c r="B110" s="4" t="s">
        <v>54</v>
      </c>
      <c r="C110" s="4"/>
      <c r="D110" s="4" t="s">
        <v>18</v>
      </c>
      <c r="G110" s="18">
        <v>69</v>
      </c>
      <c r="H110" s="19"/>
      <c r="I110" s="18">
        <v>70</v>
      </c>
      <c r="J110" s="19"/>
      <c r="K110" s="21">
        <v>70</v>
      </c>
      <c r="M110" s="18">
        <f>AVERAGE(G110,I110,K110)</f>
        <v>69.66666666666667</v>
      </c>
    </row>
    <row r="111" spans="2:13" ht="12.75">
      <c r="B111" s="4"/>
      <c r="C111" s="4"/>
      <c r="G111" s="19"/>
      <c r="H111" s="19"/>
      <c r="I111" s="20"/>
      <c r="J111" s="19"/>
      <c r="K111" s="19"/>
      <c r="M111" s="72"/>
    </row>
    <row r="112" spans="2:13" ht="12.75">
      <c r="B112" s="4" t="s">
        <v>69</v>
      </c>
      <c r="C112" s="4" t="s">
        <v>74</v>
      </c>
      <c r="D112" s="4" t="s">
        <v>229</v>
      </c>
      <c r="G112" s="19"/>
      <c r="H112" s="19"/>
      <c r="I112" s="20"/>
      <c r="J112" s="19"/>
      <c r="K112" s="19"/>
      <c r="M112" s="72"/>
    </row>
    <row r="113" spans="2:13" ht="12.75">
      <c r="B113" s="4" t="s">
        <v>55</v>
      </c>
      <c r="C113" s="4"/>
      <c r="D113" s="4" t="s">
        <v>16</v>
      </c>
      <c r="G113" s="19">
        <v>24158</v>
      </c>
      <c r="H113" s="19"/>
      <c r="I113" s="19">
        <v>24461</v>
      </c>
      <c r="J113" s="19"/>
      <c r="K113" s="19">
        <v>25007</v>
      </c>
      <c r="M113" s="21">
        <f>AVERAGE(G113,I113,K113)</f>
        <v>24542</v>
      </c>
    </row>
    <row r="114" spans="2:13" ht="12.75">
      <c r="B114" s="4" t="s">
        <v>65</v>
      </c>
      <c r="C114" s="4"/>
      <c r="D114" s="4" t="s">
        <v>17</v>
      </c>
      <c r="G114" s="5">
        <f>G108</f>
        <v>10.8</v>
      </c>
      <c r="H114" s="19"/>
      <c r="I114" s="5">
        <f>I108</f>
        <v>11</v>
      </c>
      <c r="J114" s="19"/>
      <c r="K114" s="5">
        <f>K108</f>
        <v>11</v>
      </c>
      <c r="M114" s="18">
        <f>AVERAGE(G114,I114,K114)</f>
        <v>10.933333333333332</v>
      </c>
    </row>
    <row r="115" spans="2:13" ht="12.75">
      <c r="B115" s="4" t="s">
        <v>66</v>
      </c>
      <c r="C115" s="4"/>
      <c r="D115" s="4" t="s">
        <v>17</v>
      </c>
      <c r="G115" s="19">
        <v>2.4</v>
      </c>
      <c r="H115" s="19"/>
      <c r="I115" s="20">
        <v>1.4</v>
      </c>
      <c r="J115" s="19"/>
      <c r="K115" s="19">
        <v>2.1</v>
      </c>
      <c r="M115" s="21"/>
    </row>
    <row r="116" spans="2:13" ht="12.75">
      <c r="B116" s="4" t="s">
        <v>54</v>
      </c>
      <c r="C116" s="4"/>
      <c r="D116" s="4" t="s">
        <v>18</v>
      </c>
      <c r="G116" s="19">
        <v>71</v>
      </c>
      <c r="H116" s="19"/>
      <c r="I116" s="20">
        <v>71</v>
      </c>
      <c r="J116" s="19"/>
      <c r="K116" s="19">
        <v>70</v>
      </c>
      <c r="M116" s="21"/>
    </row>
    <row r="117" spans="2:13" ht="12.75">
      <c r="B117" s="4"/>
      <c r="C117" s="4"/>
      <c r="G117" s="19"/>
      <c r="H117" s="19"/>
      <c r="I117" s="20"/>
      <c r="J117" s="19"/>
      <c r="K117" s="19"/>
      <c r="L117" s="16"/>
      <c r="M117" s="21"/>
    </row>
    <row r="118" spans="2:13" ht="12.75">
      <c r="B118" s="4" t="s">
        <v>25</v>
      </c>
      <c r="C118" s="4" t="s">
        <v>228</v>
      </c>
      <c r="D118" s="4" t="s">
        <v>15</v>
      </c>
      <c r="E118" s="4" t="s">
        <v>14</v>
      </c>
      <c r="G118" s="6">
        <f>G87*(21-7)/(21-G108)</f>
        <v>1.770588235294118</v>
      </c>
      <c r="H118" s="6"/>
      <c r="I118" s="6">
        <f>I87*(21-7)/(21-I108)</f>
        <v>5.068</v>
      </c>
      <c r="J118" s="6"/>
      <c r="K118" s="6">
        <f>K87*(21-7)/(21-K108)</f>
        <v>1.75</v>
      </c>
      <c r="L118" s="5"/>
      <c r="M118" s="72">
        <f>AVERAGE(K118,I118,G118)</f>
        <v>2.8628627450980395</v>
      </c>
    </row>
    <row r="119" spans="2:13" ht="12.75">
      <c r="B119" s="4" t="s">
        <v>26</v>
      </c>
      <c r="C119" s="4" t="s">
        <v>228</v>
      </c>
      <c r="D119" s="4" t="s">
        <v>15</v>
      </c>
      <c r="E119" s="4" t="s">
        <v>14</v>
      </c>
      <c r="G119" s="6">
        <f>G88*(21-7)/(21-G108)</f>
        <v>1.111764705882353</v>
      </c>
      <c r="H119" s="6"/>
      <c r="I119" s="6">
        <f>I88*(21-7)/(21-I108)</f>
        <v>1.19</v>
      </c>
      <c r="J119" s="6"/>
      <c r="K119" s="6">
        <f>K88*(21-7)/(21-K108)</f>
        <v>0.098</v>
      </c>
      <c r="L119" s="5"/>
      <c r="M119" s="72">
        <f>AVERAGE(K119,I119,G119)</f>
        <v>0.7999215686274509</v>
      </c>
    </row>
    <row r="120" spans="2:13" ht="12.75">
      <c r="B120" s="4" t="s">
        <v>68</v>
      </c>
      <c r="C120" s="4" t="s">
        <v>228</v>
      </c>
      <c r="D120" s="4" t="s">
        <v>15</v>
      </c>
      <c r="E120" s="4" t="s">
        <v>14</v>
      </c>
      <c r="G120" s="6">
        <f>G118+G119*2</f>
        <v>3.994117647058824</v>
      </c>
      <c r="H120" s="6"/>
      <c r="I120" s="6">
        <f>I118+I119*2</f>
        <v>7.4479999999999995</v>
      </c>
      <c r="J120" s="6"/>
      <c r="K120" s="6">
        <f>K118+K119*2</f>
        <v>1.946</v>
      </c>
      <c r="L120" s="6"/>
      <c r="M120" s="72">
        <f>AVERAGE(K120,I120,G120)</f>
        <v>4.4627058823529415</v>
      </c>
    </row>
    <row r="121" spans="2:13" ht="12.75">
      <c r="B121" s="4" t="s">
        <v>76</v>
      </c>
      <c r="C121" s="4" t="s">
        <v>228</v>
      </c>
      <c r="D121" s="4" t="s">
        <v>15</v>
      </c>
      <c r="E121" s="4" t="s">
        <v>14</v>
      </c>
      <c r="G121" s="6"/>
      <c r="H121" s="6"/>
      <c r="I121" s="6"/>
      <c r="J121" s="6"/>
      <c r="K121" s="6"/>
      <c r="L121" s="6"/>
      <c r="M121" s="18">
        <f>M89*(21-7)/(21-M108)</f>
        <v>34.768211920529794</v>
      </c>
    </row>
    <row r="122" spans="2:13" ht="12.75">
      <c r="B122" s="4"/>
      <c r="C122" s="4"/>
      <c r="G122" s="6"/>
      <c r="H122" s="6"/>
      <c r="I122" s="6"/>
      <c r="J122" s="6"/>
      <c r="K122" s="6"/>
      <c r="L122" s="6"/>
      <c r="M122" s="18"/>
    </row>
    <row r="123" spans="2:13" ht="12.75">
      <c r="B123" s="4" t="s">
        <v>58</v>
      </c>
      <c r="C123" s="4" t="s">
        <v>229</v>
      </c>
      <c r="D123" s="4" t="s">
        <v>36</v>
      </c>
      <c r="E123" s="4" t="s">
        <v>14</v>
      </c>
      <c r="G123" s="6">
        <f>G91/60*454*1000000*1/(G$113*0.0283)*(21-7)/(21-G$114)</f>
        <v>0.4769959614107394</v>
      </c>
      <c r="H123" s="4"/>
      <c r="I123" s="6">
        <f>I91/60*454*1000000*1/(I$113*0.0283)*(21-7)/(21-I$114)</f>
        <v>0.7666722090100011</v>
      </c>
      <c r="J123" s="4"/>
      <c r="K123" s="6">
        <f aca="true" t="shared" si="5" ref="K123:K135">K91/60*454*1000000*1/(K$113*0.0283)*(21-7)/(21-K$114)</f>
        <v>0.7170015952659287</v>
      </c>
      <c r="L123" s="6"/>
      <c r="M123" s="18">
        <f aca="true" t="shared" si="6" ref="M123:M130">AVERAGE(G123,I123,K123)</f>
        <v>0.6535565885622231</v>
      </c>
    </row>
    <row r="124" spans="2:13" ht="12.75">
      <c r="B124" s="4" t="s">
        <v>57</v>
      </c>
      <c r="C124" s="4" t="s">
        <v>229</v>
      </c>
      <c r="D124" s="4" t="s">
        <v>36</v>
      </c>
      <c r="E124" s="4" t="s">
        <v>14</v>
      </c>
      <c r="G124" s="6">
        <f aca="true" t="shared" si="7" ref="G124:I135">G92/60*454*1000000*1/(G$113*0.0283)*(21-7)/(21-G$114)</f>
        <v>1.4188351208841739</v>
      </c>
      <c r="H124" s="4"/>
      <c r="I124" s="6">
        <f t="shared" si="7"/>
        <v>1.1186374945834547</v>
      </c>
      <c r="J124" s="4"/>
      <c r="K124" s="6">
        <f t="shared" si="5"/>
        <v>0.8562106732611925</v>
      </c>
      <c r="L124" s="6"/>
      <c r="M124" s="18">
        <f t="shared" si="6"/>
        <v>1.131227762909607</v>
      </c>
    </row>
    <row r="125" spans="2:13" ht="12.75">
      <c r="B125" s="4" t="s">
        <v>85</v>
      </c>
      <c r="C125" s="4" t="s">
        <v>229</v>
      </c>
      <c r="D125" s="4" t="s">
        <v>36</v>
      </c>
      <c r="E125" s="4" t="s">
        <v>14</v>
      </c>
      <c r="G125" s="6">
        <f t="shared" si="7"/>
        <v>1.5950501894308164</v>
      </c>
      <c r="H125" s="4"/>
      <c r="I125" s="6">
        <f t="shared" si="7"/>
        <v>0.23413342909886264</v>
      </c>
      <c r="J125" s="4"/>
      <c r="K125" s="6">
        <f t="shared" si="5"/>
        <v>0.791845185585963</v>
      </c>
      <c r="L125" s="6"/>
      <c r="M125" s="18">
        <f t="shared" si="6"/>
        <v>0.8736762680385474</v>
      </c>
    </row>
    <row r="126" spans="2:13" ht="12.75">
      <c r="B126" s="4" t="s">
        <v>59</v>
      </c>
      <c r="C126" s="4" t="s">
        <v>229</v>
      </c>
      <c r="D126" s="4" t="s">
        <v>36</v>
      </c>
      <c r="E126" s="4" t="s">
        <v>14</v>
      </c>
      <c r="F126" s="4" t="s">
        <v>19</v>
      </c>
      <c r="G126" s="6">
        <f t="shared" si="7"/>
        <v>0.049066782017728926</v>
      </c>
      <c r="H126" s="4" t="s">
        <v>19</v>
      </c>
      <c r="I126" s="6">
        <f t="shared" si="7"/>
        <v>0.054172048301305474</v>
      </c>
      <c r="J126" s="4" t="s">
        <v>19</v>
      </c>
      <c r="K126" s="6">
        <f t="shared" si="5"/>
        <v>0.04804958498546203</v>
      </c>
      <c r="L126" s="7">
        <v>100</v>
      </c>
      <c r="M126" s="18">
        <f t="shared" si="6"/>
        <v>0.05042947176816548</v>
      </c>
    </row>
    <row r="127" spans="2:13" ht="12.75">
      <c r="B127" s="4" t="s">
        <v>60</v>
      </c>
      <c r="C127" s="4" t="s">
        <v>229</v>
      </c>
      <c r="D127" s="4" t="s">
        <v>36</v>
      </c>
      <c r="E127" s="4" t="s">
        <v>14</v>
      </c>
      <c r="G127" s="6">
        <f t="shared" si="7"/>
        <v>3.0685727453811897</v>
      </c>
      <c r="H127" s="4"/>
      <c r="I127" s="6">
        <f t="shared" si="7"/>
        <v>3.3972301477089877</v>
      </c>
      <c r="J127" s="4"/>
      <c r="K127" s="6">
        <f t="shared" si="5"/>
        <v>1.2723410354405833</v>
      </c>
      <c r="L127" s="7"/>
      <c r="M127" s="18">
        <f t="shared" si="6"/>
        <v>2.5793813095102536</v>
      </c>
    </row>
    <row r="128" spans="2:13" ht="12.75">
      <c r="B128" s="4" t="s">
        <v>67</v>
      </c>
      <c r="C128" s="4" t="s">
        <v>229</v>
      </c>
      <c r="D128" s="4" t="s">
        <v>36</v>
      </c>
      <c r="E128" s="4" t="s">
        <v>14</v>
      </c>
      <c r="G128" s="6">
        <f t="shared" si="7"/>
        <v>5.802944498691161</v>
      </c>
      <c r="H128" s="4"/>
      <c r="I128" s="6">
        <f t="shared" si="7"/>
        <v>5.646747407678451</v>
      </c>
      <c r="J128" s="4"/>
      <c r="K128" s="6">
        <f t="shared" si="5"/>
        <v>14.744187293046759</v>
      </c>
      <c r="L128" s="7"/>
      <c r="M128" s="18">
        <f t="shared" si="6"/>
        <v>8.731293066472125</v>
      </c>
    </row>
    <row r="129" spans="2:13" ht="12.75">
      <c r="B129" s="4" t="s">
        <v>231</v>
      </c>
      <c r="C129" s="4" t="s">
        <v>229</v>
      </c>
      <c r="D129" s="4" t="s">
        <v>36</v>
      </c>
      <c r="E129" s="4" t="s">
        <v>14</v>
      </c>
      <c r="G129" s="6">
        <f t="shared" si="7"/>
        <v>1.2411009569190257</v>
      </c>
      <c r="H129" s="4"/>
      <c r="I129" s="6">
        <f t="shared" si="7"/>
        <v>8.87564633185231</v>
      </c>
      <c r="J129" s="4"/>
      <c r="K129" s="6">
        <f t="shared" si="5"/>
        <v>0.4400803110818017</v>
      </c>
      <c r="L129" s="7"/>
      <c r="M129" s="18">
        <f t="shared" si="6"/>
        <v>3.5189425332843793</v>
      </c>
    </row>
    <row r="130" spans="2:13" ht="12.75">
      <c r="B130" s="4" t="s">
        <v>56</v>
      </c>
      <c r="C130" s="4" t="s">
        <v>229</v>
      </c>
      <c r="D130" s="4" t="s">
        <v>36</v>
      </c>
      <c r="E130" s="4" t="s">
        <v>14</v>
      </c>
      <c r="G130" s="6">
        <f t="shared" si="7"/>
        <v>7.185321329531202</v>
      </c>
      <c r="H130" s="4"/>
      <c r="I130" s="6">
        <f t="shared" si="7"/>
        <v>9.08988607089702</v>
      </c>
      <c r="J130" s="4"/>
      <c r="K130" s="6">
        <f t="shared" si="5"/>
        <v>5.014520551442299</v>
      </c>
      <c r="L130" s="7"/>
      <c r="M130" s="18">
        <f t="shared" si="6"/>
        <v>7.09657598395684</v>
      </c>
    </row>
    <row r="131" spans="2:13" ht="12.75">
      <c r="B131" s="4" t="s">
        <v>61</v>
      </c>
      <c r="C131" s="4" t="s">
        <v>229</v>
      </c>
      <c r="D131" s="4" t="s">
        <v>36</v>
      </c>
      <c r="E131" s="4" t="s">
        <v>14</v>
      </c>
      <c r="F131" s="4" t="s">
        <v>19</v>
      </c>
      <c r="G131" s="6">
        <f t="shared" si="7"/>
        <v>1.444659742998768</v>
      </c>
      <c r="H131" s="4" t="s">
        <v>19</v>
      </c>
      <c r="I131" s="6">
        <f t="shared" si="7"/>
        <v>1.3114532597236948</v>
      </c>
      <c r="J131" s="4" t="s">
        <v>19</v>
      </c>
      <c r="K131" s="6">
        <f t="shared" si="5"/>
        <v>1.350178369373419</v>
      </c>
      <c r="L131" s="7">
        <v>100</v>
      </c>
      <c r="M131" s="18">
        <f>AVERAGE(G131,I131,K131)</f>
        <v>1.3687637906986272</v>
      </c>
    </row>
    <row r="132" spans="2:13" ht="12.75">
      <c r="B132" s="4" t="s">
        <v>87</v>
      </c>
      <c r="C132" s="4" t="s">
        <v>229</v>
      </c>
      <c r="D132" s="4" t="s">
        <v>36</v>
      </c>
      <c r="E132" s="4" t="s">
        <v>14</v>
      </c>
      <c r="G132" s="6">
        <f t="shared" si="7"/>
        <v>5.0737786978085015</v>
      </c>
      <c r="H132" s="4"/>
      <c r="I132" s="6">
        <f t="shared" si="7"/>
        <v>1.606798042835332</v>
      </c>
      <c r="J132" s="4"/>
      <c r="K132" s="6">
        <f t="shared" si="5"/>
        <v>4.146334903729901</v>
      </c>
      <c r="L132" s="21"/>
      <c r="M132" s="18">
        <f aca="true" t="shared" si="8" ref="M132:M137">AVERAGE(G132,I132,K132)</f>
        <v>3.608970548124578</v>
      </c>
    </row>
    <row r="133" spans="2:13" ht="12.75">
      <c r="B133" s="4" t="s">
        <v>88</v>
      </c>
      <c r="C133" s="4" t="s">
        <v>229</v>
      </c>
      <c r="D133" s="4" t="s">
        <v>36</v>
      </c>
      <c r="E133" s="4" t="s">
        <v>14</v>
      </c>
      <c r="G133" s="6">
        <f t="shared" si="7"/>
        <v>0.7580286138342643</v>
      </c>
      <c r="H133" s="4"/>
      <c r="I133" s="6">
        <f t="shared" si="7"/>
        <v>0.4009343687836733</v>
      </c>
      <c r="J133" s="4"/>
      <c r="K133" s="6">
        <f t="shared" si="5"/>
        <v>1.0582883671252852</v>
      </c>
      <c r="L133" s="65"/>
      <c r="M133" s="18">
        <f t="shared" si="8"/>
        <v>0.7390837832477409</v>
      </c>
    </row>
    <row r="134" spans="2:13" ht="12.75">
      <c r="B134" s="4" t="s">
        <v>89</v>
      </c>
      <c r="C134" s="4" t="s">
        <v>229</v>
      </c>
      <c r="D134" s="4" t="s">
        <v>36</v>
      </c>
      <c r="E134" s="4" t="s">
        <v>14</v>
      </c>
      <c r="G134" s="6">
        <f t="shared" si="7"/>
        <v>1.0177939303987114</v>
      </c>
      <c r="H134" s="4"/>
      <c r="I134" s="6">
        <f t="shared" si="7"/>
        <v>0.16680093968481063</v>
      </c>
      <c r="J134" s="4"/>
      <c r="K134" s="6">
        <f t="shared" si="5"/>
        <v>0.34278364366575714</v>
      </c>
      <c r="L134" s="65"/>
      <c r="M134" s="18">
        <f t="shared" si="8"/>
        <v>0.5091261712497598</v>
      </c>
    </row>
    <row r="135" spans="2:13" ht="12.75">
      <c r="B135" s="4" t="s">
        <v>90</v>
      </c>
      <c r="C135" s="4" t="s">
        <v>229</v>
      </c>
      <c r="D135" s="4" t="s">
        <v>36</v>
      </c>
      <c r="E135" s="4" t="s">
        <v>14</v>
      </c>
      <c r="F135" s="4" t="s">
        <v>19</v>
      </c>
      <c r="G135" s="6">
        <f t="shared" si="7"/>
        <v>0.12046426668748929</v>
      </c>
      <c r="H135" s="4" t="s">
        <v>19</v>
      </c>
      <c r="I135" s="6">
        <f t="shared" si="7"/>
        <v>0.12624841765134748</v>
      </c>
      <c r="J135" s="4" t="s">
        <v>19</v>
      </c>
      <c r="K135" s="6">
        <f t="shared" si="5"/>
        <v>0.11795349834437407</v>
      </c>
      <c r="L135" s="65">
        <v>100</v>
      </c>
      <c r="M135" s="18">
        <f t="shared" si="8"/>
        <v>0.12155539422773694</v>
      </c>
    </row>
    <row r="136" spans="2:13" ht="12.75">
      <c r="B136" s="4" t="s">
        <v>37</v>
      </c>
      <c r="C136" s="4" t="s">
        <v>229</v>
      </c>
      <c r="D136" s="4" t="s">
        <v>36</v>
      </c>
      <c r="E136" s="4" t="s">
        <v>14</v>
      </c>
      <c r="G136" s="6">
        <f>G127+G130</f>
        <v>10.253894074912392</v>
      </c>
      <c r="H136" s="19"/>
      <c r="I136" s="6">
        <f>I127+I130</f>
        <v>12.487116218606008</v>
      </c>
      <c r="J136" s="19"/>
      <c r="K136" s="6">
        <f>K127+K130</f>
        <v>6.286861586882882</v>
      </c>
      <c r="L136" s="16"/>
      <c r="M136" s="18">
        <f t="shared" si="8"/>
        <v>9.675957293467095</v>
      </c>
    </row>
    <row r="137" spans="2:13" ht="12.75">
      <c r="B137" s="4" t="s">
        <v>38</v>
      </c>
      <c r="C137" s="4" t="s">
        <v>229</v>
      </c>
      <c r="D137" s="4" t="s">
        <v>36</v>
      </c>
      <c r="E137" s="4" t="s">
        <v>14</v>
      </c>
      <c r="G137" s="6">
        <f>G123+G126+G128</f>
        <v>6.32900724211963</v>
      </c>
      <c r="H137" s="19"/>
      <c r="I137" s="6">
        <f>I123+I126+I128</f>
        <v>6.467591664989758</v>
      </c>
      <c r="J137" s="19"/>
      <c r="K137" s="6">
        <f>K123+K126+K128</f>
        <v>15.509238473298149</v>
      </c>
      <c r="L137" s="19"/>
      <c r="M137" s="18">
        <f t="shared" si="8"/>
        <v>9.435279126802513</v>
      </c>
    </row>
    <row r="138" spans="2:13" ht="12.75">
      <c r="B138" s="4"/>
      <c r="C138" s="4"/>
      <c r="G138" s="19"/>
      <c r="H138" s="19"/>
      <c r="I138" s="20"/>
      <c r="J138" s="19"/>
      <c r="K138" s="19"/>
      <c r="L138" s="16"/>
      <c r="M138" s="2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15"/>
  <sheetViews>
    <sheetView workbookViewId="0" topLeftCell="B1">
      <selection activeCell="B2" sqref="B2"/>
    </sheetView>
  </sheetViews>
  <sheetFormatPr defaultColWidth="9.140625" defaultRowHeight="12.75"/>
  <cols>
    <col min="1" max="1" width="9.140625" style="73" hidden="1" customWidth="1"/>
    <col min="2" max="2" width="19.140625" style="73" customWidth="1"/>
    <col min="3" max="3" width="8.57421875" style="73" customWidth="1"/>
    <col min="4" max="4" width="9.140625" style="73" customWidth="1"/>
    <col min="5" max="5" width="3.7109375" style="73" customWidth="1"/>
    <col min="6" max="6" width="2.00390625" style="73" customWidth="1"/>
    <col min="7" max="7" width="9.140625" style="73" customWidth="1"/>
    <col min="8" max="8" width="1.57421875" style="73" customWidth="1"/>
    <col min="9" max="9" width="10.140625" style="73" customWidth="1"/>
    <col min="10" max="10" width="2.00390625" style="73" customWidth="1"/>
    <col min="11" max="11" width="10.421875" style="73" customWidth="1"/>
    <col min="12" max="12" width="2.00390625" style="73" customWidth="1"/>
    <col min="13" max="13" width="9.140625" style="73" customWidth="1"/>
    <col min="14" max="14" width="1.8515625" style="73" customWidth="1"/>
    <col min="15" max="15" width="9.140625" style="73" customWidth="1"/>
    <col min="16" max="16" width="2.00390625" style="73" hidden="1" customWidth="1"/>
    <col min="17" max="21" width="0" style="73" hidden="1" customWidth="1"/>
    <col min="22" max="23" width="9.140625" style="73" hidden="1" customWidth="1"/>
    <col min="24" max="24" width="0" style="73" hidden="1" customWidth="1"/>
    <col min="25" max="16384" width="9.140625" style="73" customWidth="1"/>
  </cols>
  <sheetData>
    <row r="1" ht="12.75">
      <c r="B1" s="74" t="s">
        <v>208</v>
      </c>
    </row>
    <row r="4" spans="2:15" ht="12.75">
      <c r="B4" s="74" t="s">
        <v>177</v>
      </c>
      <c r="G4" s="108" t="s">
        <v>186</v>
      </c>
      <c r="H4" s="108"/>
      <c r="I4" s="108" t="s">
        <v>187</v>
      </c>
      <c r="J4" s="108"/>
      <c r="K4" s="108" t="s">
        <v>188</v>
      </c>
      <c r="L4" s="108"/>
      <c r="M4" s="108" t="s">
        <v>189</v>
      </c>
      <c r="N4" s="108"/>
      <c r="O4" s="108" t="s">
        <v>190</v>
      </c>
    </row>
    <row r="6" spans="1:24" s="109" customFormat="1" ht="12.75">
      <c r="A6" s="109" t="s">
        <v>177</v>
      </c>
      <c r="B6" s="109" t="s">
        <v>12</v>
      </c>
      <c r="C6" s="109" t="s">
        <v>228</v>
      </c>
      <c r="D6" s="109" t="s">
        <v>13</v>
      </c>
      <c r="E6" s="109" t="s">
        <v>14</v>
      </c>
      <c r="F6" s="110" t="s">
        <v>191</v>
      </c>
      <c r="G6" s="111">
        <v>0.0800007936</v>
      </c>
      <c r="H6" s="111" t="s">
        <v>191</v>
      </c>
      <c r="I6" s="111">
        <v>0.0800007936</v>
      </c>
      <c r="J6" s="111" t="s">
        <v>191</v>
      </c>
      <c r="K6" s="111">
        <v>0.0700006944</v>
      </c>
      <c r="L6" s="111" t="s">
        <v>191</v>
      </c>
      <c r="M6" s="111">
        <v>0.0300002976</v>
      </c>
      <c r="N6" s="111" t="s">
        <v>191</v>
      </c>
      <c r="O6" s="112">
        <f>AVERAGE(G6,I6,K6,M6)</f>
        <v>0.0650006448</v>
      </c>
      <c r="P6" s="111" t="s">
        <v>191</v>
      </c>
      <c r="Q6" s="111"/>
      <c r="R6" s="111" t="s">
        <v>191</v>
      </c>
      <c r="S6" s="111"/>
      <c r="T6" s="111" t="s">
        <v>191</v>
      </c>
      <c r="U6" s="111"/>
      <c r="V6" s="110" t="s">
        <v>191</v>
      </c>
      <c r="W6" s="110"/>
      <c r="X6" s="109">
        <v>0.0650006448</v>
      </c>
    </row>
    <row r="7" spans="1:24" s="109" customFormat="1" ht="12.75">
      <c r="A7" s="109" t="s">
        <v>177</v>
      </c>
      <c r="B7" s="109" t="s">
        <v>25</v>
      </c>
      <c r="C7" s="109" t="s">
        <v>228</v>
      </c>
      <c r="D7" s="109" t="s">
        <v>15</v>
      </c>
      <c r="E7" s="109" t="s">
        <v>14</v>
      </c>
      <c r="F7" s="110" t="s">
        <v>191</v>
      </c>
      <c r="G7" s="113">
        <v>7.827453562283542</v>
      </c>
      <c r="H7" s="113" t="s">
        <v>191</v>
      </c>
      <c r="I7" s="113">
        <v>1.9766780792176235</v>
      </c>
      <c r="J7" s="113" t="s">
        <v>191</v>
      </c>
      <c r="K7" s="113">
        <v>2.7407831783696124</v>
      </c>
      <c r="L7" s="110" t="s">
        <v>191</v>
      </c>
      <c r="M7" s="113">
        <v>1.838867311418911</v>
      </c>
      <c r="N7" s="110" t="s">
        <v>191</v>
      </c>
      <c r="O7" s="113">
        <f>AVERAGE(G7,I7,K7,M7)</f>
        <v>3.595945532822422</v>
      </c>
      <c r="P7" s="110" t="s">
        <v>191</v>
      </c>
      <c r="Q7" s="110"/>
      <c r="R7" s="110" t="s">
        <v>191</v>
      </c>
      <c r="S7" s="110"/>
      <c r="T7" s="110" t="s">
        <v>191</v>
      </c>
      <c r="U7" s="110"/>
      <c r="V7" s="110" t="s">
        <v>191</v>
      </c>
      <c r="W7" s="110"/>
      <c r="X7" s="109">
        <v>3.595945532822422</v>
      </c>
    </row>
    <row r="9" spans="2:4" ht="12.75">
      <c r="B9" s="73" t="s">
        <v>69</v>
      </c>
      <c r="C9" s="109" t="s">
        <v>192</v>
      </c>
      <c r="D9" s="73" t="s">
        <v>228</v>
      </c>
    </row>
    <row r="10" spans="2:13" ht="12.75">
      <c r="B10" s="4" t="s">
        <v>55</v>
      </c>
      <c r="C10" s="4"/>
      <c r="D10" s="4" t="s">
        <v>16</v>
      </c>
      <c r="E10" s="109"/>
      <c r="F10" s="109"/>
      <c r="G10" s="113">
        <v>20630</v>
      </c>
      <c r="H10" s="113"/>
      <c r="I10" s="113">
        <v>20840</v>
      </c>
      <c r="J10" s="113"/>
      <c r="K10" s="113">
        <v>20040</v>
      </c>
      <c r="L10" s="113"/>
      <c r="M10" s="113">
        <v>19980</v>
      </c>
    </row>
    <row r="11" spans="2:13" ht="12.75">
      <c r="B11" s="4" t="s">
        <v>65</v>
      </c>
      <c r="C11" s="4"/>
      <c r="D11" s="4" t="s">
        <v>17</v>
      </c>
      <c r="E11" s="109"/>
      <c r="F11" s="109"/>
      <c r="G11" s="113">
        <v>13.5</v>
      </c>
      <c r="H11" s="113"/>
      <c r="I11" s="113">
        <v>13.8</v>
      </c>
      <c r="J11" s="113"/>
      <c r="K11" s="113">
        <v>13.8</v>
      </c>
      <c r="L11" s="113"/>
      <c r="M11" s="113">
        <v>13.6</v>
      </c>
    </row>
    <row r="12" spans="1:63" s="109" customFormat="1" ht="12.75">
      <c r="A12" s="109" t="s">
        <v>177</v>
      </c>
      <c r="B12" s="4" t="s">
        <v>66</v>
      </c>
      <c r="C12" s="4"/>
      <c r="D12" s="4" t="s">
        <v>17</v>
      </c>
      <c r="G12" s="113">
        <v>1.9</v>
      </c>
      <c r="H12" s="113"/>
      <c r="I12" s="113">
        <v>3</v>
      </c>
      <c r="J12" s="113"/>
      <c r="K12" s="113">
        <v>3</v>
      </c>
      <c r="L12" s="113"/>
      <c r="M12" s="113">
        <v>2.8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</row>
    <row r="13" spans="2:63" s="109" customFormat="1" ht="12.75">
      <c r="B13" s="4" t="s">
        <v>54</v>
      </c>
      <c r="C13" s="4"/>
      <c r="D13" s="4" t="s">
        <v>18</v>
      </c>
      <c r="G13" s="113">
        <v>74</v>
      </c>
      <c r="H13" s="113"/>
      <c r="I13" s="113">
        <v>76</v>
      </c>
      <c r="J13" s="113"/>
      <c r="K13" s="113">
        <v>77</v>
      </c>
      <c r="L13" s="113"/>
      <c r="M13" s="113">
        <v>75</v>
      </c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</row>
    <row r="15" spans="2:13" ht="12.75">
      <c r="B15" s="73" t="s">
        <v>193</v>
      </c>
      <c r="C15" s="73" t="s">
        <v>27</v>
      </c>
      <c r="D15" s="73" t="s">
        <v>17</v>
      </c>
      <c r="G15" s="114">
        <v>99.999952</v>
      </c>
      <c r="H15" s="114"/>
      <c r="I15" s="114">
        <v>99.999994</v>
      </c>
      <c r="J15" s="114"/>
      <c r="K15" s="114">
        <v>99.999985</v>
      </c>
      <c r="L15" s="114"/>
      <c r="M15" s="114">
        <v>99.999956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X121"/>
  <sheetViews>
    <sheetView workbookViewId="0" topLeftCell="B93">
      <selection activeCell="B2" sqref="B2"/>
    </sheetView>
  </sheetViews>
  <sheetFormatPr defaultColWidth="9.140625" defaultRowHeight="12.75"/>
  <cols>
    <col min="1" max="1" width="2.421875" style="14" hidden="1" customWidth="1"/>
    <col min="2" max="2" width="20.57421875" style="4" customWidth="1"/>
    <col min="3" max="3" width="9.7109375" style="4" customWidth="1"/>
    <col min="4" max="4" width="8.8515625" style="4" customWidth="1"/>
    <col min="5" max="5" width="4.00390625" style="14" customWidth="1"/>
    <col min="6" max="6" width="10.8515625" style="19" customWidth="1"/>
    <col min="7" max="7" width="4.28125" style="16" customWidth="1"/>
    <col min="8" max="8" width="10.421875" style="14" customWidth="1"/>
    <col min="9" max="9" width="4.28125" style="14" customWidth="1"/>
    <col min="10" max="10" width="10.140625" style="14" customWidth="1"/>
    <col min="11" max="11" width="3.8515625" style="14" customWidth="1"/>
    <col min="12" max="12" width="11.421875" style="14" customWidth="1"/>
    <col min="13" max="13" width="4.57421875" style="14" customWidth="1"/>
    <col min="14" max="14" width="11.421875" style="14" customWidth="1"/>
    <col min="15" max="15" width="4.421875" style="14" customWidth="1"/>
    <col min="16" max="16" width="11.421875" style="14" customWidth="1"/>
    <col min="17" max="17" width="3.8515625" style="14" customWidth="1"/>
    <col min="18" max="18" width="9.57421875" style="14" customWidth="1"/>
    <col min="19" max="19" width="3.8515625" style="14" customWidth="1"/>
    <col min="20" max="20" width="10.28125" style="14" customWidth="1"/>
    <col min="21" max="21" width="4.00390625" style="14" customWidth="1"/>
    <col min="22" max="22" width="9.421875" style="14" customWidth="1"/>
    <col min="23" max="23" width="3.8515625" style="14" customWidth="1"/>
    <col min="24" max="24" width="11.421875" style="14" customWidth="1"/>
    <col min="25" max="25" width="4.140625" style="14" customWidth="1"/>
    <col min="26" max="26" width="11.140625" style="14" customWidth="1"/>
    <col min="27" max="27" width="4.140625" style="14" customWidth="1"/>
    <col min="28" max="28" width="11.421875" style="14" customWidth="1"/>
    <col min="29" max="29" width="4.421875" style="14" customWidth="1"/>
    <col min="30" max="30" width="11.57421875" style="14" customWidth="1"/>
    <col min="31" max="31" width="4.140625" style="14" customWidth="1"/>
    <col min="32" max="32" width="11.7109375" style="14" customWidth="1"/>
    <col min="33" max="33" width="4.00390625" style="14" customWidth="1"/>
    <col min="34" max="34" width="11.8515625" style="14" customWidth="1"/>
    <col min="35" max="35" width="4.421875" style="14" customWidth="1"/>
    <col min="36" max="36" width="11.57421875" style="14" customWidth="1"/>
    <col min="37" max="37" width="4.00390625" style="14" customWidth="1"/>
    <col min="38" max="38" width="11.140625" style="14" customWidth="1"/>
    <col min="39" max="39" width="4.140625" style="14" customWidth="1"/>
    <col min="40" max="40" width="10.7109375" style="14" customWidth="1"/>
    <col min="41" max="41" width="4.57421875" style="14" customWidth="1"/>
    <col min="42" max="42" width="9.8515625" style="14" customWidth="1"/>
    <col min="43" max="43" width="4.00390625" style="14" customWidth="1"/>
    <col min="44" max="44" width="10.00390625" style="14" customWidth="1"/>
    <col min="45" max="45" width="4.8515625" style="14" customWidth="1"/>
    <col min="46" max="46" width="9.8515625" style="14" customWidth="1"/>
    <col min="47" max="47" width="3.8515625" style="14" customWidth="1"/>
    <col min="48" max="48" width="11.140625" style="14" customWidth="1"/>
    <col min="49" max="49" width="3.8515625" style="14" customWidth="1"/>
    <col min="50" max="50" width="9.7109375" style="14" customWidth="1"/>
    <col min="51" max="51" width="4.28125" style="14" customWidth="1"/>
    <col min="52" max="52" width="9.57421875" style="14" customWidth="1"/>
    <col min="53" max="53" width="4.57421875" style="14" customWidth="1"/>
    <col min="54" max="54" width="10.140625" style="14" customWidth="1"/>
    <col min="55" max="55" width="4.28125" style="14" customWidth="1"/>
    <col min="56" max="56" width="8.8515625" style="14" customWidth="1"/>
    <col min="57" max="57" width="4.00390625" style="14" customWidth="1"/>
    <col min="58" max="58" width="9.28125" style="14" customWidth="1"/>
    <col min="59" max="59" width="4.28125" style="14" customWidth="1"/>
    <col min="60" max="60" width="9.8515625" style="14" customWidth="1"/>
    <col min="61" max="61" width="2.421875" style="14" customWidth="1"/>
    <col min="62" max="62" width="8.8515625" style="14" customWidth="1"/>
    <col min="63" max="63" width="2.421875" style="14" customWidth="1"/>
    <col min="64" max="64" width="8.8515625" style="14" customWidth="1"/>
    <col min="65" max="65" width="2.7109375" style="14" customWidth="1"/>
    <col min="66" max="66" width="8.8515625" style="14" customWidth="1"/>
    <col min="67" max="67" width="2.421875" style="14" customWidth="1"/>
    <col min="68" max="68" width="10.28125" style="14" customWidth="1"/>
    <col min="69" max="69" width="4.140625" style="14" customWidth="1"/>
    <col min="70" max="70" width="8.8515625" style="14" customWidth="1"/>
    <col min="71" max="71" width="4.00390625" style="14" customWidth="1"/>
    <col min="72" max="72" width="8.8515625" style="14" customWidth="1"/>
    <col min="73" max="73" width="3.8515625" style="14" customWidth="1"/>
    <col min="74" max="74" width="8.8515625" style="14" customWidth="1"/>
    <col min="75" max="75" width="4.28125" style="14" customWidth="1"/>
    <col min="76" max="16384" width="8.8515625" style="14" customWidth="1"/>
  </cols>
  <sheetData>
    <row r="1" spans="2:3" ht="12.75">
      <c r="B1" s="17" t="s">
        <v>209</v>
      </c>
      <c r="C1" s="17"/>
    </row>
    <row r="3" spans="15:16" ht="12.75">
      <c r="O3" s="19"/>
      <c r="P3" s="16"/>
    </row>
    <row r="4" spans="1:76" ht="12.75">
      <c r="A4" s="14" t="s">
        <v>71</v>
      </c>
      <c r="B4" s="17" t="s">
        <v>170</v>
      </c>
      <c r="C4" s="17" t="s">
        <v>70</v>
      </c>
      <c r="F4" s="16" t="s">
        <v>186</v>
      </c>
      <c r="H4" s="16" t="s">
        <v>187</v>
      </c>
      <c r="I4" s="16"/>
      <c r="J4" s="16" t="s">
        <v>188</v>
      </c>
      <c r="L4" s="16" t="s">
        <v>186</v>
      </c>
      <c r="M4" s="16"/>
      <c r="N4" s="16" t="s">
        <v>187</v>
      </c>
      <c r="O4" s="16"/>
      <c r="P4" s="16" t="s">
        <v>188</v>
      </c>
      <c r="Q4" s="17"/>
      <c r="R4" s="16" t="s">
        <v>186</v>
      </c>
      <c r="S4" s="16"/>
      <c r="T4" s="16" t="s">
        <v>187</v>
      </c>
      <c r="U4" s="16"/>
      <c r="V4" s="16" t="s">
        <v>188</v>
      </c>
      <c r="W4" s="17"/>
      <c r="X4" s="16" t="s">
        <v>186</v>
      </c>
      <c r="Y4" s="16"/>
      <c r="Z4" s="16" t="s">
        <v>187</v>
      </c>
      <c r="AA4" s="16"/>
      <c r="AB4" s="16" t="s">
        <v>188</v>
      </c>
      <c r="AC4" s="17"/>
      <c r="AD4" s="16" t="s">
        <v>186</v>
      </c>
      <c r="AE4" s="16"/>
      <c r="AF4" s="16" t="s">
        <v>187</v>
      </c>
      <c r="AG4" s="16"/>
      <c r="AH4" s="16" t="s">
        <v>188</v>
      </c>
      <c r="AJ4" s="16" t="s">
        <v>186</v>
      </c>
      <c r="AK4" s="16"/>
      <c r="AL4" s="16" t="s">
        <v>187</v>
      </c>
      <c r="AM4" s="16"/>
      <c r="AN4" s="16" t="s">
        <v>188</v>
      </c>
      <c r="AP4" s="16" t="s">
        <v>186</v>
      </c>
      <c r="AQ4" s="16"/>
      <c r="AR4" s="16" t="s">
        <v>187</v>
      </c>
      <c r="AS4" s="16"/>
      <c r="AT4" s="16" t="s">
        <v>188</v>
      </c>
      <c r="AV4" s="16" t="s">
        <v>186</v>
      </c>
      <c r="AW4" s="16"/>
      <c r="AX4" s="16" t="s">
        <v>187</v>
      </c>
      <c r="AY4" s="16"/>
      <c r="AZ4" s="16" t="s">
        <v>188</v>
      </c>
      <c r="BB4" s="16" t="s">
        <v>186</v>
      </c>
      <c r="BC4" s="16"/>
      <c r="BD4" s="16" t="s">
        <v>187</v>
      </c>
      <c r="BE4" s="16"/>
      <c r="BF4" s="16" t="s">
        <v>188</v>
      </c>
      <c r="BG4" s="16"/>
      <c r="BH4" s="16" t="s">
        <v>190</v>
      </c>
      <c r="BJ4" s="16" t="s">
        <v>186</v>
      </c>
      <c r="BK4" s="16"/>
      <c r="BL4" s="16" t="s">
        <v>187</v>
      </c>
      <c r="BM4" s="16"/>
      <c r="BN4" s="16" t="s">
        <v>188</v>
      </c>
      <c r="BO4" s="16"/>
      <c r="BP4" s="16" t="s">
        <v>190</v>
      </c>
      <c r="BR4" s="16" t="s">
        <v>186</v>
      </c>
      <c r="BS4" s="16"/>
      <c r="BT4" s="16" t="s">
        <v>187</v>
      </c>
      <c r="BU4" s="16"/>
      <c r="BV4" s="16" t="s">
        <v>188</v>
      </c>
      <c r="BX4" s="16" t="s">
        <v>190</v>
      </c>
    </row>
    <row r="5" spans="1:7" ht="12.75">
      <c r="A5" s="13"/>
      <c r="F5" s="14"/>
      <c r="G5" s="14"/>
    </row>
    <row r="6" spans="1:76" ht="12.75">
      <c r="A6" s="13"/>
      <c r="B6" s="4" t="s">
        <v>243</v>
      </c>
      <c r="F6" s="16" t="s">
        <v>245</v>
      </c>
      <c r="G6" s="14"/>
      <c r="H6" s="16" t="s">
        <v>245</v>
      </c>
      <c r="J6" s="16" t="s">
        <v>245</v>
      </c>
      <c r="L6" s="16" t="s">
        <v>247</v>
      </c>
      <c r="N6" s="16" t="s">
        <v>247</v>
      </c>
      <c r="P6" s="16" t="s">
        <v>247</v>
      </c>
      <c r="R6" s="16" t="s">
        <v>248</v>
      </c>
      <c r="T6" s="16" t="s">
        <v>248</v>
      </c>
      <c r="V6" s="16" t="s">
        <v>248</v>
      </c>
      <c r="X6" s="16" t="s">
        <v>249</v>
      </c>
      <c r="Z6" s="16" t="s">
        <v>249</v>
      </c>
      <c r="AB6" s="16" t="s">
        <v>249</v>
      </c>
      <c r="AD6" s="16" t="s">
        <v>250</v>
      </c>
      <c r="AF6" s="16" t="s">
        <v>250</v>
      </c>
      <c r="AH6" s="16" t="s">
        <v>250</v>
      </c>
      <c r="AJ6" s="16" t="s">
        <v>251</v>
      </c>
      <c r="AL6" s="16" t="s">
        <v>251</v>
      </c>
      <c r="AN6" s="16" t="s">
        <v>251</v>
      </c>
      <c r="AP6" s="16" t="s">
        <v>252</v>
      </c>
      <c r="AR6" s="16" t="s">
        <v>252</v>
      </c>
      <c r="AT6" s="16" t="s">
        <v>252</v>
      </c>
      <c r="AV6" s="16" t="s">
        <v>254</v>
      </c>
      <c r="AX6" s="16" t="s">
        <v>254</v>
      </c>
      <c r="AZ6" s="16" t="s">
        <v>254</v>
      </c>
      <c r="BJ6" s="16" t="s">
        <v>255</v>
      </c>
      <c r="BL6" s="16" t="s">
        <v>255</v>
      </c>
      <c r="BN6" s="16" t="s">
        <v>255</v>
      </c>
      <c r="BP6" s="16" t="s">
        <v>255</v>
      </c>
      <c r="BR6" s="16" t="s">
        <v>256</v>
      </c>
      <c r="BT6" s="16" t="s">
        <v>256</v>
      </c>
      <c r="BV6" s="16" t="s">
        <v>256</v>
      </c>
      <c r="BX6" s="16" t="s">
        <v>256</v>
      </c>
    </row>
    <row r="7" spans="1:76" ht="12.75">
      <c r="A7" s="13"/>
      <c r="B7" s="4" t="s">
        <v>244</v>
      </c>
      <c r="F7" s="16" t="s">
        <v>246</v>
      </c>
      <c r="G7" s="14"/>
      <c r="H7" s="16" t="s">
        <v>246</v>
      </c>
      <c r="J7" s="16" t="s">
        <v>246</v>
      </c>
      <c r="L7" s="16" t="s">
        <v>246</v>
      </c>
      <c r="N7" s="16" t="s">
        <v>246</v>
      </c>
      <c r="P7" s="16" t="s">
        <v>246</v>
      </c>
      <c r="R7" s="16" t="s">
        <v>246</v>
      </c>
      <c r="T7" s="16" t="s">
        <v>246</v>
      </c>
      <c r="V7" s="16" t="s">
        <v>246</v>
      </c>
      <c r="X7" s="14" t="s">
        <v>257</v>
      </c>
      <c r="Z7" s="14" t="s">
        <v>257</v>
      </c>
      <c r="AB7" s="14" t="s">
        <v>257</v>
      </c>
      <c r="AD7" s="16" t="s">
        <v>246</v>
      </c>
      <c r="AF7" s="16" t="s">
        <v>246</v>
      </c>
      <c r="AH7" s="16" t="s">
        <v>246</v>
      </c>
      <c r="AJ7" s="16" t="s">
        <v>253</v>
      </c>
      <c r="AL7" s="16" t="s">
        <v>253</v>
      </c>
      <c r="AN7" s="16" t="s">
        <v>253</v>
      </c>
      <c r="AP7" s="16" t="s">
        <v>253</v>
      </c>
      <c r="AR7" s="16" t="s">
        <v>253</v>
      </c>
      <c r="AT7" s="16" t="s">
        <v>253</v>
      </c>
      <c r="AV7" s="16" t="s">
        <v>253</v>
      </c>
      <c r="AX7" s="16" t="s">
        <v>253</v>
      </c>
      <c r="AZ7" s="16" t="s">
        <v>253</v>
      </c>
      <c r="BJ7" s="16" t="s">
        <v>35</v>
      </c>
      <c r="BL7" s="16" t="s">
        <v>35</v>
      </c>
      <c r="BN7" s="16" t="s">
        <v>35</v>
      </c>
      <c r="BP7" s="16" t="s">
        <v>35</v>
      </c>
      <c r="BR7" s="16" t="s">
        <v>99</v>
      </c>
      <c r="BT7" s="16" t="s">
        <v>99</v>
      </c>
      <c r="BV7" s="16" t="s">
        <v>99</v>
      </c>
      <c r="BX7" s="16" t="s">
        <v>99</v>
      </c>
    </row>
    <row r="8" spans="1:76" ht="12.75">
      <c r="A8" s="13"/>
      <c r="B8" s="4" t="s">
        <v>259</v>
      </c>
      <c r="F8" s="16"/>
      <c r="G8" s="14"/>
      <c r="H8" s="16"/>
      <c r="J8" s="16"/>
      <c r="L8" s="16"/>
      <c r="N8" s="16"/>
      <c r="P8" s="16"/>
      <c r="R8" s="16"/>
      <c r="T8" s="16"/>
      <c r="V8" s="16"/>
      <c r="AD8" s="16"/>
      <c r="AF8" s="16"/>
      <c r="AH8" s="16"/>
      <c r="AJ8" s="16"/>
      <c r="AL8" s="16"/>
      <c r="AN8" s="16"/>
      <c r="AP8" s="16"/>
      <c r="AR8" s="16"/>
      <c r="AT8" s="16"/>
      <c r="AV8" s="16"/>
      <c r="AX8" s="16"/>
      <c r="AZ8" s="16"/>
      <c r="BB8" s="14" t="s">
        <v>42</v>
      </c>
      <c r="BD8" s="14" t="s">
        <v>42</v>
      </c>
      <c r="BF8" s="14" t="s">
        <v>42</v>
      </c>
      <c r="BH8" s="14" t="s">
        <v>42</v>
      </c>
      <c r="BJ8" s="16" t="s">
        <v>35</v>
      </c>
      <c r="BL8" s="16" t="s">
        <v>35</v>
      </c>
      <c r="BN8" s="16" t="s">
        <v>35</v>
      </c>
      <c r="BP8" s="16" t="s">
        <v>35</v>
      </c>
      <c r="BR8" s="16" t="s">
        <v>99</v>
      </c>
      <c r="BT8" s="16" t="s">
        <v>99</v>
      </c>
      <c r="BV8" s="16" t="s">
        <v>99</v>
      </c>
      <c r="BX8" s="16" t="s">
        <v>99</v>
      </c>
    </row>
    <row r="9" spans="2:76" ht="12.75">
      <c r="B9" s="4" t="s">
        <v>20</v>
      </c>
      <c r="C9" s="17"/>
      <c r="F9" s="19" t="s">
        <v>93</v>
      </c>
      <c r="H9" s="19" t="s">
        <v>93</v>
      </c>
      <c r="J9" s="19" t="s">
        <v>93</v>
      </c>
      <c r="L9" s="4" t="s">
        <v>95</v>
      </c>
      <c r="N9" s="4" t="s">
        <v>95</v>
      </c>
      <c r="O9" s="19"/>
      <c r="P9" s="4" t="s">
        <v>95</v>
      </c>
      <c r="R9" s="14" t="s">
        <v>98</v>
      </c>
      <c r="T9" s="14" t="s">
        <v>98</v>
      </c>
      <c r="V9" s="14" t="s">
        <v>98</v>
      </c>
      <c r="X9" s="16" t="s">
        <v>114</v>
      </c>
      <c r="Y9" s="16"/>
      <c r="Z9" s="16" t="s">
        <v>114</v>
      </c>
      <c r="AA9" s="16"/>
      <c r="AB9" s="16" t="s">
        <v>114</v>
      </c>
      <c r="AD9" s="16" t="s">
        <v>115</v>
      </c>
      <c r="AE9" s="16"/>
      <c r="AF9" s="16" t="s">
        <v>115</v>
      </c>
      <c r="AG9" s="16"/>
      <c r="AH9" s="16" t="s">
        <v>115</v>
      </c>
      <c r="AJ9" s="16" t="s">
        <v>116</v>
      </c>
      <c r="AL9" s="16" t="s">
        <v>116</v>
      </c>
      <c r="AN9" s="16" t="s">
        <v>116</v>
      </c>
      <c r="AP9" s="16" t="s">
        <v>117</v>
      </c>
      <c r="AR9" s="16" t="s">
        <v>117</v>
      </c>
      <c r="AT9" s="16" t="s">
        <v>117</v>
      </c>
      <c r="AV9" s="16" t="s">
        <v>118</v>
      </c>
      <c r="AX9" s="16" t="s">
        <v>118</v>
      </c>
      <c r="AZ9" s="16" t="s">
        <v>118</v>
      </c>
      <c r="BJ9" s="16" t="s">
        <v>35</v>
      </c>
      <c r="BL9" s="16" t="s">
        <v>35</v>
      </c>
      <c r="BN9" s="16" t="s">
        <v>35</v>
      </c>
      <c r="BO9" s="16"/>
      <c r="BP9" s="16" t="s">
        <v>35</v>
      </c>
      <c r="BR9" s="16" t="s">
        <v>99</v>
      </c>
      <c r="BT9" s="16" t="s">
        <v>99</v>
      </c>
      <c r="BV9" s="16" t="s">
        <v>99</v>
      </c>
      <c r="BX9" s="16" t="s">
        <v>99</v>
      </c>
    </row>
    <row r="10" spans="2:74" ht="12.75">
      <c r="B10" s="4" t="s">
        <v>92</v>
      </c>
      <c r="D10" s="4" t="s">
        <v>33</v>
      </c>
      <c r="F10" s="19">
        <v>1.13</v>
      </c>
      <c r="H10" s="14">
        <v>1.11</v>
      </c>
      <c r="J10" s="14">
        <v>0.36</v>
      </c>
      <c r="L10" s="19">
        <v>8.66</v>
      </c>
      <c r="M10" s="16"/>
      <c r="N10" s="14">
        <v>8.66</v>
      </c>
      <c r="P10" s="14">
        <v>8.66</v>
      </c>
      <c r="Q10" s="4"/>
      <c r="R10" s="19">
        <v>1.95</v>
      </c>
      <c r="S10" s="16"/>
      <c r="T10" s="14">
        <v>1.9</v>
      </c>
      <c r="V10" s="14">
        <v>1.88</v>
      </c>
      <c r="X10" s="19">
        <v>3.09</v>
      </c>
      <c r="Y10" s="16"/>
      <c r="Z10" s="14">
        <v>2.99</v>
      </c>
      <c r="AB10" s="14">
        <v>2.96</v>
      </c>
      <c r="AD10" s="6">
        <v>1.38</v>
      </c>
      <c r="AE10" s="16"/>
      <c r="AF10" s="6">
        <v>1.98</v>
      </c>
      <c r="AH10" s="6">
        <v>1.86</v>
      </c>
      <c r="AJ10" s="7"/>
      <c r="AK10" s="16"/>
      <c r="AL10" s="7"/>
      <c r="AM10" s="19"/>
      <c r="AN10" s="7"/>
      <c r="AP10" s="7"/>
      <c r="AQ10" s="16"/>
      <c r="AR10" s="7"/>
      <c r="AS10" s="19"/>
      <c r="AT10" s="7"/>
      <c r="AV10" s="7"/>
      <c r="AW10" s="16"/>
      <c r="AX10" s="7"/>
      <c r="AY10" s="19"/>
      <c r="AZ10" s="7"/>
      <c r="BJ10" s="7"/>
      <c r="BK10" s="16"/>
      <c r="BL10" s="7"/>
      <c r="BM10" s="19"/>
      <c r="BN10" s="7"/>
      <c r="BO10" s="7"/>
      <c r="BP10" s="7"/>
      <c r="BR10" s="7"/>
      <c r="BS10" s="16"/>
      <c r="BT10" s="7"/>
      <c r="BU10" s="19"/>
      <c r="BV10" s="7"/>
    </row>
    <row r="11" spans="2:74" ht="12.75">
      <c r="B11" s="4" t="s">
        <v>21</v>
      </c>
      <c r="D11" s="4" t="s">
        <v>22</v>
      </c>
      <c r="F11" s="19">
        <v>16500</v>
      </c>
      <c r="H11" s="14">
        <v>16500</v>
      </c>
      <c r="J11" s="14">
        <v>16500</v>
      </c>
      <c r="K11" s="14" t="s">
        <v>19</v>
      </c>
      <c r="L11" s="19">
        <v>100</v>
      </c>
      <c r="M11" s="16" t="s">
        <v>19</v>
      </c>
      <c r="N11" s="14">
        <v>100</v>
      </c>
      <c r="O11" s="14" t="s">
        <v>19</v>
      </c>
      <c r="P11" s="14">
        <v>100</v>
      </c>
      <c r="Q11" s="4"/>
      <c r="R11" s="19">
        <v>12000</v>
      </c>
      <c r="S11" s="16"/>
      <c r="T11" s="14">
        <v>11600</v>
      </c>
      <c r="V11" s="14">
        <v>12000</v>
      </c>
      <c r="X11" s="19">
        <v>6067</v>
      </c>
      <c r="Y11" s="16"/>
      <c r="Z11" s="14">
        <v>6133</v>
      </c>
      <c r="AB11" s="14">
        <v>5750</v>
      </c>
      <c r="AD11" s="19">
        <v>10900</v>
      </c>
      <c r="AE11" s="16"/>
      <c r="AF11" s="14">
        <v>10900</v>
      </c>
      <c r="AH11" s="14">
        <v>11000</v>
      </c>
      <c r="AJ11" s="7"/>
      <c r="AK11" s="16"/>
      <c r="AL11" s="7"/>
      <c r="AM11" s="19"/>
      <c r="AN11" s="7"/>
      <c r="AP11" s="7"/>
      <c r="AQ11" s="16"/>
      <c r="AR11" s="7"/>
      <c r="AS11" s="19"/>
      <c r="AT11" s="7"/>
      <c r="AV11" s="7"/>
      <c r="AW11" s="16"/>
      <c r="AX11" s="7"/>
      <c r="AY11" s="19"/>
      <c r="AZ11" s="7"/>
      <c r="BJ11" s="7"/>
      <c r="BK11" s="16"/>
      <c r="BL11" s="7"/>
      <c r="BM11" s="19"/>
      <c r="BN11" s="7"/>
      <c r="BO11" s="7"/>
      <c r="BP11" s="7"/>
      <c r="BR11" s="7"/>
      <c r="BS11" s="16"/>
      <c r="BT11" s="7"/>
      <c r="BU11" s="19"/>
      <c r="BV11" s="7"/>
    </row>
    <row r="12" spans="2:74" ht="12.75">
      <c r="B12" s="4" t="s">
        <v>94</v>
      </c>
      <c r="F12" s="19">
        <v>0.88</v>
      </c>
      <c r="H12" s="14">
        <v>0.87</v>
      </c>
      <c r="J12" s="14">
        <v>0.86</v>
      </c>
      <c r="L12" s="6">
        <v>0.99</v>
      </c>
      <c r="M12" s="16"/>
      <c r="N12" s="14">
        <v>0.99</v>
      </c>
      <c r="P12" s="14">
        <v>0.99</v>
      </c>
      <c r="Q12" s="4"/>
      <c r="R12" s="6">
        <v>1.04</v>
      </c>
      <c r="S12" s="16"/>
      <c r="T12" s="14">
        <v>1.04</v>
      </c>
      <c r="V12" s="14">
        <v>1.05</v>
      </c>
      <c r="X12" s="6">
        <v>1.39</v>
      </c>
      <c r="Y12" s="16"/>
      <c r="Z12" s="14">
        <v>1.19</v>
      </c>
      <c r="AB12" s="14">
        <v>1.19</v>
      </c>
      <c r="AD12" s="6">
        <v>1</v>
      </c>
      <c r="AE12" s="16"/>
      <c r="AF12" s="14">
        <v>0.99</v>
      </c>
      <c r="AH12" s="72">
        <v>1</v>
      </c>
      <c r="AJ12" s="6"/>
      <c r="AK12" s="16"/>
      <c r="AL12" s="6"/>
      <c r="AM12" s="19"/>
      <c r="AN12" s="6"/>
      <c r="AP12" s="6"/>
      <c r="AQ12" s="16"/>
      <c r="AR12" s="6"/>
      <c r="AS12" s="19"/>
      <c r="AT12" s="6"/>
      <c r="AV12" s="6"/>
      <c r="AW12" s="16"/>
      <c r="AX12" s="6"/>
      <c r="AY12" s="19"/>
      <c r="AZ12" s="6"/>
      <c r="BJ12" s="6"/>
      <c r="BK12" s="16"/>
      <c r="BL12" s="6"/>
      <c r="BM12" s="19"/>
      <c r="BN12" s="6"/>
      <c r="BO12" s="6"/>
      <c r="BP12" s="6"/>
      <c r="BR12" s="6"/>
      <c r="BS12" s="16"/>
      <c r="BT12" s="6"/>
      <c r="BU12" s="19"/>
      <c r="BV12" s="6"/>
    </row>
    <row r="13" spans="2:76" ht="12.75">
      <c r="B13" s="4" t="s">
        <v>92</v>
      </c>
      <c r="D13" s="4" t="s">
        <v>29</v>
      </c>
      <c r="F13" s="7">
        <f>F10*(8.32*F12)*60</f>
        <v>496.40448</v>
      </c>
      <c r="H13" s="7">
        <f>H10*(8.32*H12)*60</f>
        <v>482.07744</v>
      </c>
      <c r="J13" s="7">
        <f>J10*(8.32*J12)*60</f>
        <v>154.55232</v>
      </c>
      <c r="L13" s="7">
        <f>L10*(8.32*L12)*60</f>
        <v>4279.841280000001</v>
      </c>
      <c r="M13" s="16"/>
      <c r="N13" s="7">
        <f>N10*(8.32*N12)*60</f>
        <v>4279.841280000001</v>
      </c>
      <c r="P13" s="7">
        <f>P10*(8.32*P12)*60</f>
        <v>4279.841280000001</v>
      </c>
      <c r="Q13" s="4"/>
      <c r="R13" s="7">
        <f>R10*(8.32*R12)*60</f>
        <v>1012.3776000000001</v>
      </c>
      <c r="S13" s="16"/>
      <c r="T13" s="7">
        <f>T10*(8.32*T12)*60</f>
        <v>986.4192</v>
      </c>
      <c r="V13" s="7">
        <f>V10*(8.32*V12)*60</f>
        <v>985.4208000000001</v>
      </c>
      <c r="X13" s="7">
        <f>X10*(8.32*X12)*60</f>
        <v>2144.11392</v>
      </c>
      <c r="Y13" s="16"/>
      <c r="Z13" s="7">
        <f>Z10*(8.32*Z12)*60</f>
        <v>1776.2035200000003</v>
      </c>
      <c r="AB13" s="7">
        <f>AB10*(8.32*AB12)*60</f>
        <v>1758.3820799999999</v>
      </c>
      <c r="AD13" s="7">
        <f>AD10*(8.32*AD12)*60</f>
        <v>688.896</v>
      </c>
      <c r="AE13" s="16"/>
      <c r="AF13" s="7">
        <f>AF10*(8.32*AF12)*60</f>
        <v>978.53184</v>
      </c>
      <c r="AH13" s="7">
        <f>AH10*(8.32*AH12)*60</f>
        <v>928.5120000000001</v>
      </c>
      <c r="AJ13" s="7">
        <f>0.61*500</f>
        <v>305</v>
      </c>
      <c r="AK13" s="16"/>
      <c r="AL13" s="7">
        <f>1.22*500</f>
        <v>610</v>
      </c>
      <c r="AM13" s="19"/>
      <c r="AN13" s="7">
        <f>1.23*500</f>
        <v>615</v>
      </c>
      <c r="AP13" s="7">
        <f>1.82*500</f>
        <v>910</v>
      </c>
      <c r="AQ13" s="16"/>
      <c r="AR13" s="7">
        <f>1.84*500</f>
        <v>920</v>
      </c>
      <c r="AS13" s="19"/>
      <c r="AT13" s="7">
        <f>1.85*500</f>
        <v>925</v>
      </c>
      <c r="AV13" s="7">
        <f>5.45*300</f>
        <v>1635</v>
      </c>
      <c r="AW13" s="16"/>
      <c r="AX13" s="7">
        <f>6.12*300</f>
        <v>1836</v>
      </c>
      <c r="AY13" s="19"/>
      <c r="AZ13" s="7">
        <f>5.85*300</f>
        <v>1755</v>
      </c>
      <c r="BJ13" s="43"/>
      <c r="BK13" s="16"/>
      <c r="BL13" s="43"/>
      <c r="BM13" s="19"/>
      <c r="BN13" s="43"/>
      <c r="BO13" s="43"/>
      <c r="BP13" s="43"/>
      <c r="BR13" s="7">
        <f>F13+L13+R13+X13+AD13+AJ13+AP13+AV13+BJ13</f>
        <v>11471.63328</v>
      </c>
      <c r="BS13" s="16"/>
      <c r="BT13" s="7">
        <f>H13+N13+T13+Z13+AF13+AL13+AR13+AX13+BL13</f>
        <v>11869.07328</v>
      </c>
      <c r="BU13" s="19"/>
      <c r="BV13" s="7">
        <f>J13+P13+V13+AB13+AH13+AN13+AT13+AZ13+BN13</f>
        <v>11401.708480000001</v>
      </c>
      <c r="BX13" s="21">
        <f>AVERAGE(BR13,BT13,BV13)</f>
        <v>11580.805013333333</v>
      </c>
    </row>
    <row r="14" spans="12:74" ht="12.75">
      <c r="L14" s="6"/>
      <c r="M14" s="16"/>
      <c r="Q14" s="4"/>
      <c r="R14" s="6"/>
      <c r="S14" s="16"/>
      <c r="X14" s="6"/>
      <c r="Y14" s="16"/>
      <c r="AD14" s="6"/>
      <c r="AE14" s="16"/>
      <c r="AJ14" s="19"/>
      <c r="AK14" s="16"/>
      <c r="AM14" s="19"/>
      <c r="AN14" s="16"/>
      <c r="AP14" s="19"/>
      <c r="AQ14" s="16"/>
      <c r="AS14" s="19"/>
      <c r="AT14" s="16"/>
      <c r="AV14" s="19"/>
      <c r="AW14" s="16"/>
      <c r="AY14" s="19"/>
      <c r="AZ14" s="16"/>
      <c r="BJ14" s="19"/>
      <c r="BK14" s="16"/>
      <c r="BM14" s="19"/>
      <c r="BN14" s="16"/>
      <c r="BO14" s="16"/>
      <c r="BP14" s="16"/>
      <c r="BR14" s="49"/>
      <c r="BS14" s="47"/>
      <c r="BT14" s="49"/>
      <c r="BU14" s="46"/>
      <c r="BV14" s="49"/>
    </row>
    <row r="15" spans="2:76" ht="12.75">
      <c r="B15" s="4" t="s">
        <v>23</v>
      </c>
      <c r="D15" s="4" t="s">
        <v>17</v>
      </c>
      <c r="E15" s="16"/>
      <c r="F15" s="5">
        <v>3</v>
      </c>
      <c r="H15" s="14">
        <v>2.4</v>
      </c>
      <c r="I15" s="5"/>
      <c r="J15" s="14">
        <v>2.9</v>
      </c>
      <c r="K15" s="16"/>
      <c r="L15" s="19">
        <v>0.09</v>
      </c>
      <c r="M15" s="16"/>
      <c r="N15" s="14">
        <v>0.09</v>
      </c>
      <c r="O15" s="5"/>
      <c r="P15" s="14">
        <v>0.1</v>
      </c>
      <c r="Q15" s="4"/>
      <c r="R15" s="19">
        <v>1.74</v>
      </c>
      <c r="S15" s="16"/>
      <c r="T15" s="14">
        <v>1.71</v>
      </c>
      <c r="U15" s="5"/>
      <c r="V15" s="14">
        <v>1.78</v>
      </c>
      <c r="X15" s="19"/>
      <c r="Y15" s="16"/>
      <c r="AA15" s="5"/>
      <c r="AD15" s="19">
        <v>14.3</v>
      </c>
      <c r="AE15" s="16"/>
      <c r="AF15" s="14">
        <v>13.8</v>
      </c>
      <c r="AG15" s="5"/>
      <c r="AH15" s="14">
        <v>14.2</v>
      </c>
      <c r="AJ15" s="5">
        <v>95.9</v>
      </c>
      <c r="AK15" s="63"/>
      <c r="AL15" s="5">
        <v>94.6</v>
      </c>
      <c r="AM15" s="5"/>
      <c r="AN15" s="5">
        <v>95.6</v>
      </c>
      <c r="AO15" s="18"/>
      <c r="AP15" s="5">
        <v>88.7</v>
      </c>
      <c r="AQ15" s="63"/>
      <c r="AR15" s="5">
        <v>89.9</v>
      </c>
      <c r="AS15" s="5"/>
      <c r="AT15" s="5">
        <v>89.9</v>
      </c>
      <c r="AU15" s="18"/>
      <c r="AV15" s="5">
        <v>92.9</v>
      </c>
      <c r="AW15" s="63"/>
      <c r="AX15" s="5">
        <v>92.8</v>
      </c>
      <c r="AY15" s="5"/>
      <c r="AZ15" s="5">
        <v>92.4</v>
      </c>
      <c r="BA15" s="18"/>
      <c r="BJ15" s="5"/>
      <c r="BK15" s="63"/>
      <c r="BL15" s="5"/>
      <c r="BM15" s="5"/>
      <c r="BN15" s="5"/>
      <c r="BO15" s="5"/>
      <c r="BP15" s="5"/>
      <c r="BR15" s="6">
        <f>(F15*F$13+L15*L$13+R15*R$13+X15*X$13+AD15*AD$13+AJ15*AJ$13+AP15*AP$13+AV15*AV$13)/BR$13</f>
        <v>24.0022621241951</v>
      </c>
      <c r="BS15" s="47"/>
      <c r="BT15" s="6">
        <f>(H15*H$13+N15*N$13+T15*T$13+Z15*Z$13+AF15*AF$13+AL15*AL$13+AR15*AR$13+AX15*AX$13)/BT$13</f>
        <v>27.59503459693864</v>
      </c>
      <c r="BU15" s="46"/>
      <c r="BV15" s="6">
        <f>(J15*J$13+P15*P$13+V15*V$13+AB15*AB$13+AH15*AH$13+AN15*AN$13+AT15*AT$13+AZ15*AZ$13)/BV$13</f>
        <v>28.05970752902463</v>
      </c>
      <c r="BW15" s="96"/>
      <c r="BX15" s="97"/>
    </row>
    <row r="16" spans="2:76" ht="12.75">
      <c r="B16" s="4" t="s">
        <v>24</v>
      </c>
      <c r="D16" s="4" t="s">
        <v>17</v>
      </c>
      <c r="E16" s="16"/>
      <c r="F16" s="19">
        <v>0.13</v>
      </c>
      <c r="H16" s="14">
        <v>0.15</v>
      </c>
      <c r="I16" s="5"/>
      <c r="J16" s="14">
        <v>0.16</v>
      </c>
      <c r="K16" s="16"/>
      <c r="L16" s="19">
        <v>0.33</v>
      </c>
      <c r="M16" s="16"/>
      <c r="N16" s="14">
        <v>0.24</v>
      </c>
      <c r="O16" s="5"/>
      <c r="P16" s="14">
        <v>0.3</v>
      </c>
      <c r="Q16" s="4"/>
      <c r="R16" s="19">
        <v>21.5</v>
      </c>
      <c r="S16" s="16"/>
      <c r="T16" s="14">
        <v>22.9</v>
      </c>
      <c r="U16" s="5"/>
      <c r="V16" s="14">
        <v>22.1</v>
      </c>
      <c r="X16" s="19">
        <v>29.3</v>
      </c>
      <c r="Y16" s="16"/>
      <c r="Z16" s="14">
        <v>25.9</v>
      </c>
      <c r="AA16" s="5"/>
      <c r="AB16" s="14">
        <v>33.1</v>
      </c>
      <c r="AD16" s="19">
        <v>0.01</v>
      </c>
      <c r="AE16" s="16"/>
      <c r="AF16" s="14">
        <v>0.01</v>
      </c>
      <c r="AG16" s="5"/>
      <c r="AH16" s="14">
        <v>0.01</v>
      </c>
      <c r="AJ16" s="6">
        <v>0.2</v>
      </c>
      <c r="AK16" s="98"/>
      <c r="AL16" s="6">
        <v>0.1</v>
      </c>
      <c r="AM16" s="6"/>
      <c r="AN16" s="6">
        <v>0.08</v>
      </c>
      <c r="AP16" s="6">
        <v>0.03</v>
      </c>
      <c r="AQ16" s="16"/>
      <c r="AR16" s="6">
        <v>0.07</v>
      </c>
      <c r="AS16" s="19"/>
      <c r="AT16" s="6">
        <v>0.05</v>
      </c>
      <c r="AV16" s="6">
        <v>0.04</v>
      </c>
      <c r="AW16" s="98"/>
      <c r="AX16" s="6">
        <v>0.02</v>
      </c>
      <c r="AY16" s="6"/>
      <c r="AZ16" s="6">
        <v>0.007</v>
      </c>
      <c r="BJ16" s="6"/>
      <c r="BK16" s="98"/>
      <c r="BL16" s="6"/>
      <c r="BM16" s="6"/>
      <c r="BN16" s="6"/>
      <c r="BO16" s="6"/>
      <c r="BP16" s="6"/>
      <c r="BR16" s="6">
        <f>895/BR13*100</f>
        <v>7.801853303316195</v>
      </c>
      <c r="BS16" s="47"/>
      <c r="BT16" s="6">
        <f>738/BT13*100</f>
        <v>6.217840117674292</v>
      </c>
      <c r="BU16" s="46"/>
      <c r="BV16" s="6">
        <f>852/BV13*100</f>
        <v>7.472564322219892</v>
      </c>
      <c r="BW16" s="96"/>
      <c r="BX16" s="96"/>
    </row>
    <row r="17" spans="5:76" ht="12.75">
      <c r="E17" s="16"/>
      <c r="I17" s="19"/>
      <c r="K17" s="19"/>
      <c r="L17" s="19"/>
      <c r="M17" s="19"/>
      <c r="O17" s="7"/>
      <c r="P17" s="16"/>
      <c r="AJ17" s="19"/>
      <c r="AK17" s="16"/>
      <c r="AM17" s="19"/>
      <c r="AN17" s="16"/>
      <c r="AP17" s="19"/>
      <c r="AQ17" s="16"/>
      <c r="AS17" s="19"/>
      <c r="AT17" s="16"/>
      <c r="AV17" s="19"/>
      <c r="AW17" s="16"/>
      <c r="AY17" s="19"/>
      <c r="AZ17" s="16"/>
      <c r="BR17" s="49"/>
      <c r="BS17" s="47"/>
      <c r="BT17" s="49"/>
      <c r="BU17" s="46"/>
      <c r="BV17" s="49"/>
      <c r="BW17" s="96"/>
      <c r="BX17" s="96"/>
    </row>
    <row r="18" spans="2:76" ht="12.75">
      <c r="B18" s="4" t="s">
        <v>96</v>
      </c>
      <c r="D18" s="4" t="s">
        <v>97</v>
      </c>
      <c r="E18" s="16"/>
      <c r="F18" s="19">
        <f>15000/2</f>
        <v>7500</v>
      </c>
      <c r="H18" s="14">
        <f>15000/2</f>
        <v>7500</v>
      </c>
      <c r="I18" s="19"/>
      <c r="J18" s="14">
        <f>20000/2</f>
        <v>10000</v>
      </c>
      <c r="K18" s="19"/>
      <c r="L18" s="19">
        <v>0.9</v>
      </c>
      <c r="M18" s="19"/>
      <c r="N18" s="14">
        <f>17/2</f>
        <v>8.5</v>
      </c>
      <c r="O18" s="7"/>
      <c r="P18" s="19">
        <f>2/2</f>
        <v>1</v>
      </c>
      <c r="R18" s="14">
        <v>190000</v>
      </c>
      <c r="T18" s="14">
        <v>290000</v>
      </c>
      <c r="V18" s="14">
        <v>270000</v>
      </c>
      <c r="W18" s="18"/>
      <c r="X18" s="18">
        <f>1</f>
        <v>1</v>
      </c>
      <c r="Y18" s="18"/>
      <c r="Z18" s="18">
        <f>44.7/2</f>
        <v>22.35</v>
      </c>
      <c r="AA18" s="18"/>
      <c r="AB18" s="18">
        <f>14.3/2</f>
        <v>7.15</v>
      </c>
      <c r="AC18" s="18"/>
      <c r="AD18" s="18">
        <f>2/2</f>
        <v>1</v>
      </c>
      <c r="AE18" s="18"/>
      <c r="AF18" s="18">
        <f>3/2</f>
        <v>1.5</v>
      </c>
      <c r="AG18" s="18"/>
      <c r="AH18" s="18">
        <f>2/2</f>
        <v>1</v>
      </c>
      <c r="AJ18" s="7">
        <f>2.28/AJ13*1000000</f>
        <v>7475.4098360655735</v>
      </c>
      <c r="AK18" s="16"/>
      <c r="AL18" s="7">
        <f>4.65/AL13*1000000</f>
        <v>7622.950819672132</v>
      </c>
      <c r="AM18" s="19"/>
      <c r="AN18" s="7">
        <f>4.59/AN13*1000000</f>
        <v>7463.414634146341</v>
      </c>
      <c r="AP18" s="7">
        <f>6.96/AP13*1000000</f>
        <v>7648.351648351649</v>
      </c>
      <c r="AQ18" s="16"/>
      <c r="AR18" s="7">
        <f>6.92/AR13*1000000</f>
        <v>7521.739130434782</v>
      </c>
      <c r="AS18" s="19"/>
      <c r="AT18" s="7">
        <f>7.04/AT13*1000000</f>
        <v>7610.810810810811</v>
      </c>
      <c r="AV18" s="7">
        <f>19.54/AV13*1000000</f>
        <v>11951.070336391436</v>
      </c>
      <c r="AW18" s="16"/>
      <c r="AX18" s="7">
        <f>23.22/AX13*1000000</f>
        <v>12647.05882352941</v>
      </c>
      <c r="AY18" s="19"/>
      <c r="AZ18" s="7">
        <f>22.19/AZ13*1000000</f>
        <v>12643.874643874644</v>
      </c>
      <c r="BR18" s="7">
        <f>(F18*F$13+L18*L$13+R18*R$13+X18*X$13+AD18*AD$13+AJ18*AJ$13+AP18*AP$13+AV18*AV$13)/BR$13</f>
        <v>19601.52115907527</v>
      </c>
      <c r="BS18" s="99"/>
      <c r="BT18" s="7">
        <f>(H18*H$13+N18*N$13+T18*T$13+Z18*Z$13+AF18*AF$13+AL18*AL$13+AR18*AR$13+AX18*AX$13)/BT$13</f>
        <v>27343.72648487953</v>
      </c>
      <c r="BU18" s="49"/>
      <c r="BV18" s="7">
        <f>(J18*J$13+P18*P$13+V18*V$13+AB18*AB$13+AH18*AH$13+AN18*AN$13+AT18*AT$13+AZ18*AZ$13)/BV$13</f>
        <v>26438.74999206715</v>
      </c>
      <c r="BW18" s="96"/>
      <c r="BX18" s="96"/>
    </row>
    <row r="19" spans="2:76" ht="12.75">
      <c r="B19" s="4" t="s">
        <v>73</v>
      </c>
      <c r="D19" s="4" t="s">
        <v>97</v>
      </c>
      <c r="F19" s="19">
        <v>460000</v>
      </c>
      <c r="H19" s="14">
        <v>530000</v>
      </c>
      <c r="J19" s="14">
        <v>460000</v>
      </c>
      <c r="K19" s="19"/>
      <c r="L19" s="19">
        <v>37</v>
      </c>
      <c r="M19" s="19"/>
      <c r="N19" s="14">
        <v>120</v>
      </c>
      <c r="O19" s="7"/>
      <c r="P19" s="19">
        <v>120</v>
      </c>
      <c r="R19" s="14">
        <v>270000</v>
      </c>
      <c r="T19" s="14">
        <v>270000</v>
      </c>
      <c r="V19" s="14">
        <v>250000</v>
      </c>
      <c r="W19" s="18"/>
      <c r="X19" s="18">
        <v>8.3</v>
      </c>
      <c r="Y19" s="18"/>
      <c r="Z19" s="18">
        <f>34/2</f>
        <v>17</v>
      </c>
      <c r="AA19" s="18"/>
      <c r="AB19" s="18">
        <f>4.3/2</f>
        <v>2.15</v>
      </c>
      <c r="AC19" s="18"/>
      <c r="AD19" s="18">
        <v>1</v>
      </c>
      <c r="AE19" s="18"/>
      <c r="AF19" s="18">
        <f>3/2</f>
        <v>1.5</v>
      </c>
      <c r="AG19" s="18"/>
      <c r="AH19" s="18">
        <f>2/2</f>
        <v>1</v>
      </c>
      <c r="AJ19" s="7">
        <f>1.7/AJ13*1000000</f>
        <v>5573.770491803279</v>
      </c>
      <c r="AK19" s="16"/>
      <c r="AL19" s="7">
        <f>3.48/AL13*1000000</f>
        <v>5704.918032786885</v>
      </c>
      <c r="AM19" s="19"/>
      <c r="AN19" s="7">
        <f>3.43/AN13*1000000</f>
        <v>5577.235772357723</v>
      </c>
      <c r="AP19" s="7">
        <f>5.2/AP13*1000000</f>
        <v>5714.285714285715</v>
      </c>
      <c r="AQ19" s="16"/>
      <c r="AR19" s="7">
        <f>5.17/AR13*1000000</f>
        <v>5619.565217391305</v>
      </c>
      <c r="AS19" s="19"/>
      <c r="AT19" s="7">
        <f>5.27/AT13*1000000</f>
        <v>5697.297297297297</v>
      </c>
      <c r="AV19" s="7">
        <f>14.61/AV13*1000000</f>
        <v>8935.779816513761</v>
      </c>
      <c r="AW19" s="16"/>
      <c r="AX19" s="7">
        <f>17.36/AX13*1000000</f>
        <v>9455.337690631808</v>
      </c>
      <c r="AY19" s="19"/>
      <c r="AZ19" s="7">
        <f>16.59/AZ13*1000000</f>
        <v>9452.991452991453</v>
      </c>
      <c r="BR19" s="7">
        <f>(F19*F$13+L19*L$13+R19*R$13+X19*X$13+AD19*AD$13+AJ19*AJ$13+AP19*AP$13+AV19*AV$13)/BR$13</f>
        <v>45623.39461124197</v>
      </c>
      <c r="BS19" s="99"/>
      <c r="BT19" s="7">
        <f>(H19*H$13+N19*N$13+T19*T$13+Z19*Z$13+AF19*AF$13+AL19*AL$13+AR19*AR$13+AX19*AX$13)/BT$13</f>
        <v>46203.22568361462</v>
      </c>
      <c r="BU19" s="49"/>
      <c r="BV19" s="7">
        <f>(J19*J$13+P19*P$13+V19*V$13+AB19*AB$13+AH19*AH$13+AN19*AN$13+AT19*AT$13+AZ19*AZ$13)/BV$13</f>
        <v>30105.80017803367</v>
      </c>
      <c r="BW19" s="96"/>
      <c r="BX19" s="96"/>
    </row>
    <row r="20" spans="2:76" ht="12.75">
      <c r="B20" s="4" t="s">
        <v>28</v>
      </c>
      <c r="D20" s="4" t="s">
        <v>97</v>
      </c>
      <c r="F20" s="19">
        <f>15000/2</f>
        <v>7500</v>
      </c>
      <c r="H20" s="14">
        <f>15000/2</f>
        <v>7500</v>
      </c>
      <c r="I20" s="19"/>
      <c r="J20" s="14">
        <f>20000/2</f>
        <v>10000</v>
      </c>
      <c r="K20" s="19"/>
      <c r="L20" s="19">
        <v>2</v>
      </c>
      <c r="M20" s="19"/>
      <c r="N20" s="14">
        <v>24</v>
      </c>
      <c r="O20" s="7"/>
      <c r="P20" s="19">
        <f>2/2</f>
        <v>1</v>
      </c>
      <c r="R20" s="14">
        <v>120000</v>
      </c>
      <c r="T20" s="14">
        <v>150000</v>
      </c>
      <c r="V20" s="14">
        <v>150000</v>
      </c>
      <c r="W20" s="18"/>
      <c r="X20" s="18">
        <f>2/2</f>
        <v>1</v>
      </c>
      <c r="Y20" s="18"/>
      <c r="Z20" s="18">
        <v>23.7</v>
      </c>
      <c r="AA20" s="18"/>
      <c r="AB20" s="18">
        <f>14.3/2</f>
        <v>7.15</v>
      </c>
      <c r="AC20" s="18"/>
      <c r="AD20" s="18">
        <f>2/2</f>
        <v>1</v>
      </c>
      <c r="AE20" s="18"/>
      <c r="AF20" s="18">
        <f>3/2</f>
        <v>1.5</v>
      </c>
      <c r="AG20" s="18"/>
      <c r="AH20" s="18">
        <f>2/2</f>
        <v>1</v>
      </c>
      <c r="AJ20" s="7">
        <f>1.44/AJ13*1000000</f>
        <v>4721.311475409836</v>
      </c>
      <c r="AK20" s="16"/>
      <c r="AL20" s="7">
        <f>2.95/AL13*1000000</f>
        <v>4836.065573770492</v>
      </c>
      <c r="AM20" s="19"/>
      <c r="AN20" s="7">
        <f>2.91/AN13*1000000</f>
        <v>4731.707317073171</v>
      </c>
      <c r="AP20" s="7">
        <f>4.41/AP13*1000000</f>
        <v>4846.153846153847</v>
      </c>
      <c r="AQ20" s="16"/>
      <c r="AR20" s="7">
        <f>4.38/AR13*1000000</f>
        <v>4760.869565217391</v>
      </c>
      <c r="AS20" s="19"/>
      <c r="AT20" s="7">
        <f>4.46/AT13*1000000</f>
        <v>4821.621621621622</v>
      </c>
      <c r="AV20" s="7">
        <f>12.37/AV13*1000000</f>
        <v>7565.749235474006</v>
      </c>
      <c r="AW20" s="16"/>
      <c r="AX20" s="7">
        <f>14.71/AX13*1000000</f>
        <v>8011.982570806101</v>
      </c>
      <c r="AY20" s="19"/>
      <c r="AZ20" s="7">
        <f>14.05/AZ13*1000000</f>
        <v>8005.698005698006</v>
      </c>
      <c r="BR20" s="7">
        <f>(F20*F$13+L20*L$13+R20*R$13+X20*X$13+AD20*AD$13+AJ20*AJ$13+AP20*AP$13+AV20*AV$13)/BR$13</f>
        <v>12503.86364272621</v>
      </c>
      <c r="BS20" s="99"/>
      <c r="BT20" s="7">
        <f>(H20*H$13+N20*N$13+T20*T$13+Z20*Z$13+AF20*AF$13+AL20*AL$13+AR20*AR$13+AX20*AX$13)/BT$13</f>
        <v>14640.127052270083</v>
      </c>
      <c r="BU20" s="49"/>
      <c r="BV20" s="7">
        <f>(J20*J$13+P20*P$13+V20*V$13+AB20*AB$13+AH20*AH$13+AN20*AN$13+AT20*AT$13+AZ20*AZ$13)/BV$13</f>
        <v>14979.897467537425</v>
      </c>
      <c r="BW20" s="96"/>
      <c r="BX20" s="96"/>
    </row>
    <row r="21" spans="11:76" ht="12.75">
      <c r="K21" s="19"/>
      <c r="L21" s="19"/>
      <c r="M21" s="19"/>
      <c r="O21" s="7"/>
      <c r="P21" s="19"/>
      <c r="AJ21" s="19"/>
      <c r="AK21" s="16"/>
      <c r="AM21" s="19"/>
      <c r="AN21" s="16"/>
      <c r="AP21" s="19"/>
      <c r="AQ21" s="16"/>
      <c r="AS21" s="19"/>
      <c r="AT21" s="16"/>
      <c r="AV21" s="19"/>
      <c r="AW21" s="16"/>
      <c r="AY21" s="19"/>
      <c r="AZ21" s="16"/>
      <c r="BR21" s="46"/>
      <c r="BS21" s="47"/>
      <c r="BT21" s="96"/>
      <c r="BU21" s="46"/>
      <c r="BV21" s="47"/>
      <c r="BW21" s="96"/>
      <c r="BX21" s="96"/>
    </row>
    <row r="22" spans="2:76" ht="12.75">
      <c r="B22" s="4" t="s">
        <v>58</v>
      </c>
      <c r="D22" s="4" t="s">
        <v>97</v>
      </c>
      <c r="E22" s="14" t="s">
        <v>19</v>
      </c>
      <c r="F22" s="100">
        <f>40*1/1000/(1*F$12)</f>
        <v>0.045454545454545456</v>
      </c>
      <c r="G22" s="16" t="s">
        <v>19</v>
      </c>
      <c r="H22" s="100">
        <f>40*1/1000/(1*H$12)</f>
        <v>0.04597701149425287</v>
      </c>
      <c r="I22" s="16" t="s">
        <v>19</v>
      </c>
      <c r="J22" s="100">
        <f>40*1/1000/(1*J$12)</f>
        <v>0.046511627906976744</v>
      </c>
      <c r="K22" s="19"/>
      <c r="L22" s="100">
        <f>26600*1/1000/(1*L$12)</f>
        <v>26.868686868686872</v>
      </c>
      <c r="M22" s="19"/>
      <c r="N22" s="100">
        <f>23000*1/1000/(1*N$12)</f>
        <v>23.232323232323232</v>
      </c>
      <c r="O22" s="7"/>
      <c r="P22" s="100">
        <f>22400*1/1000/(1*P$12)</f>
        <v>22.626262626262626</v>
      </c>
      <c r="R22" s="14">
        <v>0.04</v>
      </c>
      <c r="S22" s="14" t="s">
        <v>19</v>
      </c>
      <c r="T22" s="14">
        <f>0.04</f>
        <v>0.04</v>
      </c>
      <c r="U22" s="14" t="s">
        <v>19</v>
      </c>
      <c r="V22" s="14">
        <f>0.04</f>
        <v>0.04</v>
      </c>
      <c r="X22" s="18">
        <v>3.2</v>
      </c>
      <c r="Z22" s="18">
        <v>18.11</v>
      </c>
      <c r="AA22" s="18"/>
      <c r="AB22" s="18">
        <v>3.8</v>
      </c>
      <c r="AC22" s="18" t="s">
        <v>19</v>
      </c>
      <c r="AD22" s="18">
        <v>0.2</v>
      </c>
      <c r="AE22" s="18" t="s">
        <v>19</v>
      </c>
      <c r="AF22" s="18">
        <v>0.2</v>
      </c>
      <c r="AG22" s="18" t="s">
        <v>19</v>
      </c>
      <c r="AH22" s="18">
        <v>0.2</v>
      </c>
      <c r="AJ22" s="6">
        <v>5.12</v>
      </c>
      <c r="AK22" s="16"/>
      <c r="AL22" s="6">
        <v>5.07</v>
      </c>
      <c r="AM22" s="19"/>
      <c r="AN22" s="6">
        <v>5.21</v>
      </c>
      <c r="AP22" s="6">
        <v>4.95</v>
      </c>
      <c r="AQ22" s="16"/>
      <c r="AR22" s="6">
        <v>4.57</v>
      </c>
      <c r="AS22" s="19"/>
      <c r="AT22" s="6">
        <v>3.72</v>
      </c>
      <c r="AU22" s="14" t="s">
        <v>19</v>
      </c>
      <c r="AV22" s="6">
        <f>0.16</f>
        <v>0.16</v>
      </c>
      <c r="AW22" s="16"/>
      <c r="AX22" s="6">
        <v>0.42</v>
      </c>
      <c r="AY22" s="19"/>
      <c r="AZ22" s="6">
        <v>0.5</v>
      </c>
      <c r="BJ22" s="101"/>
      <c r="BR22" s="5">
        <f>0.71/BR$13*1000000</f>
        <v>61.89179715479887</v>
      </c>
      <c r="BS22" s="102"/>
      <c r="BT22" s="5">
        <f>0.93/BT$13*1000000</f>
        <v>78.35489579183051</v>
      </c>
      <c r="BU22" s="48"/>
      <c r="BV22" s="5">
        <f>0.86/BV$13*1000000</f>
        <v>75.42729245433225</v>
      </c>
      <c r="BW22" s="96"/>
      <c r="BX22" s="96"/>
    </row>
    <row r="23" spans="2:76" ht="12.75">
      <c r="B23" s="4" t="s">
        <v>57</v>
      </c>
      <c r="D23" s="4" t="s">
        <v>97</v>
      </c>
      <c r="E23" s="14" t="s">
        <v>19</v>
      </c>
      <c r="F23" s="100">
        <f>400*1/1000/(1*F$12)</f>
        <v>0.4545454545454546</v>
      </c>
      <c r="G23" s="16" t="s">
        <v>19</v>
      </c>
      <c r="H23" s="100">
        <f>400*1/1000/(1*H$12)</f>
        <v>0.4597701149425288</v>
      </c>
      <c r="I23" s="16" t="s">
        <v>19</v>
      </c>
      <c r="J23" s="100">
        <f>400*1/1000/(1*J$12)</f>
        <v>0.4651162790697675</v>
      </c>
      <c r="K23" s="19"/>
      <c r="L23" s="100">
        <f>36300*1/1000/(1*L$12)</f>
        <v>36.666666666666664</v>
      </c>
      <c r="M23" s="19"/>
      <c r="N23" s="100">
        <f>32100*1/1000/(1*N$12)</f>
        <v>32.42424242424243</v>
      </c>
      <c r="O23" s="7"/>
      <c r="P23" s="100">
        <f>22400*1/1000/(1*P$12)</f>
        <v>22.626262626262626</v>
      </c>
      <c r="Q23" s="14" t="s">
        <v>19</v>
      </c>
      <c r="R23" s="14">
        <f>0.43</f>
        <v>0.43</v>
      </c>
      <c r="S23" s="14" t="s">
        <v>19</v>
      </c>
      <c r="T23" s="14">
        <f>0.4</f>
        <v>0.4</v>
      </c>
      <c r="U23" s="14" t="s">
        <v>19</v>
      </c>
      <c r="V23" s="14">
        <f>0.4</f>
        <v>0.4</v>
      </c>
      <c r="W23" s="14" t="s">
        <v>19</v>
      </c>
      <c r="X23" s="72">
        <f>5.01</f>
        <v>5.01</v>
      </c>
      <c r="Z23" s="18">
        <v>9.58</v>
      </c>
      <c r="AA23" s="18"/>
      <c r="AB23" s="18">
        <v>5.76</v>
      </c>
      <c r="AC23" s="18" t="s">
        <v>19</v>
      </c>
      <c r="AD23" s="18">
        <v>1.98</v>
      </c>
      <c r="AE23" s="18" t="s">
        <v>19</v>
      </c>
      <c r="AF23" s="18">
        <v>1.98</v>
      </c>
      <c r="AG23" s="18" t="s">
        <v>19</v>
      </c>
      <c r="AH23" s="18">
        <v>2</v>
      </c>
      <c r="AI23" s="14" t="s">
        <v>19</v>
      </c>
      <c r="AJ23" s="14">
        <v>1.61</v>
      </c>
      <c r="AK23" s="14" t="s">
        <v>19</v>
      </c>
      <c r="AL23" s="14">
        <v>1.67</v>
      </c>
      <c r="AM23" s="14" t="s">
        <v>19</v>
      </c>
      <c r="AN23" s="14">
        <v>1.63</v>
      </c>
      <c r="AO23" s="14" t="s">
        <v>19</v>
      </c>
      <c r="AP23" s="14">
        <f>1.72</f>
        <v>1.72</v>
      </c>
      <c r="AQ23" s="14" t="s">
        <v>19</v>
      </c>
      <c r="AR23" s="14">
        <f>1.75</f>
        <v>1.75</v>
      </c>
      <c r="AS23" s="14" t="s">
        <v>19</v>
      </c>
      <c r="AT23" s="14">
        <f>1.6</f>
        <v>1.6</v>
      </c>
      <c r="AU23" s="14" t="s">
        <v>19</v>
      </c>
      <c r="AV23" s="14">
        <v>1.63</v>
      </c>
      <c r="AW23" s="14" t="s">
        <v>19</v>
      </c>
      <c r="AX23" s="14">
        <v>1.56</v>
      </c>
      <c r="AY23" s="14" t="s">
        <v>19</v>
      </c>
      <c r="AZ23" s="14">
        <v>1.6</v>
      </c>
      <c r="BR23" s="5">
        <f>0.14/BR$13*1000000</f>
        <v>12.204016340382875</v>
      </c>
      <c r="BS23" s="102"/>
      <c r="BT23" s="5">
        <f>0.13/BT$13*1000000</f>
        <v>10.952834895632222</v>
      </c>
      <c r="BU23" s="48"/>
      <c r="BV23" s="5">
        <f>0.12/BV$13*1000000</f>
        <v>10.524738481999847</v>
      </c>
      <c r="BW23" s="96"/>
      <c r="BX23" s="96"/>
    </row>
    <row r="24" spans="2:76" ht="12.75">
      <c r="B24" s="4" t="s">
        <v>85</v>
      </c>
      <c r="D24" s="4" t="s">
        <v>97</v>
      </c>
      <c r="E24" s="14" t="s">
        <v>19</v>
      </c>
      <c r="F24" s="100">
        <f>240*1/1000/(1*F$12)</f>
        <v>0.2727272727272727</v>
      </c>
      <c r="G24" s="16" t="s">
        <v>19</v>
      </c>
      <c r="H24" s="100">
        <f>240*1/1000/(1*H$12)</f>
        <v>0.27586206896551724</v>
      </c>
      <c r="I24" s="16" t="s">
        <v>19</v>
      </c>
      <c r="J24" s="100">
        <f>240*1/1000/(1*J$12)</f>
        <v>0.27906976744186046</v>
      </c>
      <c r="K24" s="19" t="s">
        <v>19</v>
      </c>
      <c r="L24" s="100">
        <f>240*1/1000/(1*L$12)</f>
        <v>0.24242424242424243</v>
      </c>
      <c r="M24" s="19" t="s">
        <v>19</v>
      </c>
      <c r="N24" s="100">
        <f>240*1/1000/(1*N$12)</f>
        <v>0.24242424242424243</v>
      </c>
      <c r="O24" s="19" t="s">
        <v>19</v>
      </c>
      <c r="P24" s="100">
        <f>240*1/1000/(1*P$12)</f>
        <v>0.24242424242424243</v>
      </c>
      <c r="Q24" s="14" t="s">
        <v>19</v>
      </c>
      <c r="R24" s="14">
        <f>0.25</f>
        <v>0.25</v>
      </c>
      <c r="S24" s="14" t="s">
        <v>19</v>
      </c>
      <c r="T24" s="14">
        <v>0.24</v>
      </c>
      <c r="U24" s="14" t="s">
        <v>19</v>
      </c>
      <c r="V24" s="14">
        <v>0.24</v>
      </c>
      <c r="X24" s="5">
        <v>8</v>
      </c>
      <c r="Y24" s="16"/>
      <c r="Z24" s="14">
        <v>8.91</v>
      </c>
      <c r="AB24" s="14">
        <v>8.05</v>
      </c>
      <c r="AC24" s="14" t="s">
        <v>19</v>
      </c>
      <c r="AD24" s="14">
        <v>1.17</v>
      </c>
      <c r="AE24" s="14" t="s">
        <v>19</v>
      </c>
      <c r="AF24" s="14">
        <v>1.17</v>
      </c>
      <c r="AG24" s="14" t="s">
        <v>19</v>
      </c>
      <c r="AH24" s="14">
        <v>1.18</v>
      </c>
      <c r="AJ24" s="19">
        <v>106</v>
      </c>
      <c r="AK24" s="16"/>
      <c r="AL24" s="14">
        <v>34.8</v>
      </c>
      <c r="AN24" s="14">
        <v>37.4</v>
      </c>
      <c r="AP24" s="19">
        <v>93.7</v>
      </c>
      <c r="AQ24" s="16"/>
      <c r="AR24" s="14">
        <v>92.5</v>
      </c>
      <c r="AT24" s="14">
        <v>85</v>
      </c>
      <c r="AV24" s="19">
        <v>78</v>
      </c>
      <c r="AW24" s="16"/>
      <c r="AX24" s="14">
        <v>66.3</v>
      </c>
      <c r="AZ24" s="14">
        <v>76.3</v>
      </c>
      <c r="BR24" s="7">
        <f>24.5/BR$13*1000000</f>
        <v>2135.702859567003</v>
      </c>
      <c r="BS24" s="99"/>
      <c r="BT24" s="7">
        <f>22.8/BT$13*1000000</f>
        <v>1920.958735541651</v>
      </c>
      <c r="BU24" s="49"/>
      <c r="BV24" s="7">
        <f>23.6/BV$13*1000000</f>
        <v>2069.8652347933034</v>
      </c>
      <c r="BW24" s="96"/>
      <c r="BX24" s="96"/>
    </row>
    <row r="25" spans="2:76" ht="12.75">
      <c r="B25" s="4" t="s">
        <v>59</v>
      </c>
      <c r="D25" s="4" t="s">
        <v>97</v>
      </c>
      <c r="E25" s="14" t="s">
        <v>19</v>
      </c>
      <c r="F25" s="100">
        <f>40*1/1000/(1*F$12)</f>
        <v>0.045454545454545456</v>
      </c>
      <c r="G25" s="16" t="s">
        <v>19</v>
      </c>
      <c r="H25" s="100">
        <f>40*1/1000/(1*H$12)</f>
        <v>0.04597701149425287</v>
      </c>
      <c r="I25" s="16" t="s">
        <v>19</v>
      </c>
      <c r="J25" s="100">
        <f>40*1/1000/(1*J$12)</f>
        <v>0.046511627906976744</v>
      </c>
      <c r="K25" s="19" t="s">
        <v>19</v>
      </c>
      <c r="L25" s="100">
        <f>40*1/1000/(1*L$12)</f>
        <v>0.04040404040404041</v>
      </c>
      <c r="M25" s="19" t="s">
        <v>19</v>
      </c>
      <c r="N25" s="100">
        <f>40*1/1000/(1*N$12)</f>
        <v>0.04040404040404041</v>
      </c>
      <c r="O25" s="19" t="s">
        <v>19</v>
      </c>
      <c r="P25" s="100">
        <f>40*1/1000/(1*P$12)</f>
        <v>0.04040404040404041</v>
      </c>
      <c r="Q25" s="14" t="s">
        <v>19</v>
      </c>
      <c r="R25" s="14">
        <v>0.04</v>
      </c>
      <c r="S25" s="14" t="s">
        <v>19</v>
      </c>
      <c r="T25" s="14">
        <v>0.04</v>
      </c>
      <c r="U25" s="14" t="s">
        <v>19</v>
      </c>
      <c r="V25" s="14">
        <v>0.04</v>
      </c>
      <c r="W25" s="14" t="s">
        <v>19</v>
      </c>
      <c r="X25" s="43">
        <f>0.18</f>
        <v>0.18</v>
      </c>
      <c r="Y25" s="16" t="s">
        <v>19</v>
      </c>
      <c r="Z25" s="14">
        <f>0.2</f>
        <v>0.2</v>
      </c>
      <c r="AA25" s="14" t="s">
        <v>19</v>
      </c>
      <c r="AB25" s="72">
        <f>0.17</f>
        <v>0.17</v>
      </c>
      <c r="AC25" s="14" t="s">
        <v>19</v>
      </c>
      <c r="AD25" s="14">
        <v>0.19</v>
      </c>
      <c r="AE25" s="14" t="s">
        <v>19</v>
      </c>
      <c r="AF25" s="14">
        <v>0.19</v>
      </c>
      <c r="AG25" s="14" t="s">
        <v>19</v>
      </c>
      <c r="AH25" s="14">
        <v>0.2</v>
      </c>
      <c r="AJ25" s="19">
        <v>0.64</v>
      </c>
      <c r="AK25" s="16"/>
      <c r="AL25" s="14">
        <v>0.58</v>
      </c>
      <c r="AN25" s="14">
        <v>0.66</v>
      </c>
      <c r="AP25" s="19">
        <v>0.75</v>
      </c>
      <c r="AQ25" s="16"/>
      <c r="AR25" s="14">
        <v>0.92</v>
      </c>
      <c r="AT25" s="14">
        <v>0.85</v>
      </c>
      <c r="AV25" s="19">
        <v>9.96</v>
      </c>
      <c r="AW25" s="16"/>
      <c r="AX25" s="14">
        <v>10.4</v>
      </c>
      <c r="AZ25" s="14">
        <v>10.4</v>
      </c>
      <c r="BR25" s="7">
        <f>1.72/BR$13*1000000</f>
        <v>149.93505789613246</v>
      </c>
      <c r="BS25" s="99"/>
      <c r="BT25" s="7">
        <f>2.03/BT$13*1000000</f>
        <v>171.03272952410316</v>
      </c>
      <c r="BU25" s="49"/>
      <c r="BV25" s="7">
        <f>1.94/BV$13*1000000</f>
        <v>170.1499387923309</v>
      </c>
      <c r="BW25" s="96"/>
      <c r="BX25" s="96"/>
    </row>
    <row r="26" spans="2:76" ht="12.75">
      <c r="B26" s="4" t="s">
        <v>60</v>
      </c>
      <c r="D26" s="4" t="s">
        <v>97</v>
      </c>
      <c r="F26" s="100">
        <f>52.4*1/1000/(1*F$12)</f>
        <v>0.05954545454545454</v>
      </c>
      <c r="G26" s="16" t="s">
        <v>19</v>
      </c>
      <c r="H26" s="100">
        <f>40*1/1000/(1*H$12)</f>
        <v>0.04597701149425287</v>
      </c>
      <c r="I26" s="16" t="s">
        <v>19</v>
      </c>
      <c r="J26" s="100">
        <f>40*1/1000/(1*J$12)</f>
        <v>0.046511627906976744</v>
      </c>
      <c r="L26" s="100">
        <f>680*1/1000/(1*L$12)</f>
        <v>0.686868686868687</v>
      </c>
      <c r="N26" s="100">
        <f>727*1/1000/(1*N$12)</f>
        <v>0.7343434343434343</v>
      </c>
      <c r="O26" s="19"/>
      <c r="P26" s="100">
        <f>737*1/1000/(1*P$12)</f>
        <v>0.7444444444444445</v>
      </c>
      <c r="Q26" s="14" t="s">
        <v>19</v>
      </c>
      <c r="R26" s="14">
        <f>0.04</f>
        <v>0.04</v>
      </c>
      <c r="T26" s="14">
        <v>0.05</v>
      </c>
      <c r="U26" s="14" t="s">
        <v>19</v>
      </c>
      <c r="V26" s="14">
        <f>0.04</f>
        <v>0.04</v>
      </c>
      <c r="W26" s="14" t="s">
        <v>19</v>
      </c>
      <c r="X26" s="19">
        <v>0.19</v>
      </c>
      <c r="Y26" s="16"/>
      <c r="Z26" s="14">
        <v>0.2</v>
      </c>
      <c r="AB26" s="14">
        <v>0.25</v>
      </c>
      <c r="AC26" s="14" t="s">
        <v>19</v>
      </c>
      <c r="AD26" s="14">
        <v>0.19</v>
      </c>
      <c r="AE26" s="14" t="s">
        <v>19</v>
      </c>
      <c r="AF26" s="14">
        <v>0.19</v>
      </c>
      <c r="AG26" s="14" t="s">
        <v>19</v>
      </c>
      <c r="AH26" s="14">
        <v>0.2</v>
      </c>
      <c r="AJ26" s="19">
        <v>0.96</v>
      </c>
      <c r="AK26" s="16"/>
      <c r="AL26" s="14">
        <v>0.95</v>
      </c>
      <c r="AN26" s="14">
        <v>0.52</v>
      </c>
      <c r="AP26" s="19">
        <v>0.98</v>
      </c>
      <c r="AQ26" s="16"/>
      <c r="AR26" s="14">
        <v>0.78</v>
      </c>
      <c r="AT26" s="14">
        <v>1.09</v>
      </c>
      <c r="AV26" s="19">
        <v>0.78</v>
      </c>
      <c r="AW26" s="16"/>
      <c r="AX26" s="14">
        <v>0.72</v>
      </c>
      <c r="AZ26" s="14">
        <v>0.85</v>
      </c>
      <c r="BJ26" s="101"/>
      <c r="BR26" s="7">
        <f>0.25/BR$13*1000000</f>
        <v>21.792886322112277</v>
      </c>
      <c r="BS26" s="99"/>
      <c r="BT26" s="7">
        <f>0.27/BT$13*1000000</f>
        <v>22.74819555246692</v>
      </c>
      <c r="BU26" s="49"/>
      <c r="BV26" s="7">
        <f>0.29/BV$13*1000000</f>
        <v>25.434784664832964</v>
      </c>
      <c r="BW26" s="96"/>
      <c r="BX26" s="96"/>
    </row>
    <row r="27" spans="2:76" ht="12.75">
      <c r="B27" s="4" t="s">
        <v>67</v>
      </c>
      <c r="D27" s="4" t="s">
        <v>97</v>
      </c>
      <c r="E27" s="16"/>
      <c r="F27" s="100">
        <f>1050*1/1000/(1*F$12)</f>
        <v>1.1931818181818181</v>
      </c>
      <c r="H27" s="100">
        <f>130*1/1000/(1*H$12)</f>
        <v>0.14942528735632185</v>
      </c>
      <c r="I27" s="19" t="s">
        <v>19</v>
      </c>
      <c r="J27" s="100">
        <f>120*1/1000/(1*J$12)</f>
        <v>0.13953488372093023</v>
      </c>
      <c r="L27" s="100">
        <f>9130*1/1000/(1*L$12)</f>
        <v>9.222222222222223</v>
      </c>
      <c r="N27" s="100">
        <f>8380*1/1000/(1*N$12)</f>
        <v>8.464646464646465</v>
      </c>
      <c r="O27" s="19"/>
      <c r="P27" s="100">
        <f>8060*1/1000/(1*P$12)</f>
        <v>8.141414141414142</v>
      </c>
      <c r="R27" s="14">
        <v>0.17</v>
      </c>
      <c r="T27" s="14">
        <v>0.14</v>
      </c>
      <c r="V27" s="14">
        <v>0.16</v>
      </c>
      <c r="X27" s="18">
        <v>7.78</v>
      </c>
      <c r="Z27" s="14">
        <v>12.2</v>
      </c>
      <c r="AB27" s="14">
        <v>6.91</v>
      </c>
      <c r="AC27" s="14" t="s">
        <v>19</v>
      </c>
      <c r="AD27" s="14">
        <v>0.58</v>
      </c>
      <c r="AE27" s="14" t="s">
        <v>19</v>
      </c>
      <c r="AF27" s="14">
        <v>0.58</v>
      </c>
      <c r="AG27" s="14" t="s">
        <v>19</v>
      </c>
      <c r="AH27" s="14">
        <v>0.59</v>
      </c>
      <c r="AJ27" s="14">
        <v>13.6</v>
      </c>
      <c r="AL27" s="14">
        <v>13.4</v>
      </c>
      <c r="AN27" s="14">
        <v>12.8</v>
      </c>
      <c r="AP27" s="14">
        <v>21</v>
      </c>
      <c r="AR27" s="14">
        <v>18.8</v>
      </c>
      <c r="AT27" s="14">
        <v>17.3</v>
      </c>
      <c r="AV27" s="14">
        <v>54.2</v>
      </c>
      <c r="AX27" s="14">
        <v>64.2</v>
      </c>
      <c r="AZ27" s="14">
        <v>64.9</v>
      </c>
      <c r="BJ27" s="103"/>
      <c r="BR27" s="7">
        <f>11.2/BR$13*1000000</f>
        <v>976.3213072306299</v>
      </c>
      <c r="BS27" s="99"/>
      <c r="BT27" s="7">
        <f>14.4/BT$13*1000000</f>
        <v>1213.2370961315694</v>
      </c>
      <c r="BU27" s="49"/>
      <c r="BV27" s="7">
        <f>13.8/BV$13*1000000</f>
        <v>1210.3449254299826</v>
      </c>
      <c r="BW27" s="96"/>
      <c r="BX27" s="96"/>
    </row>
    <row r="28" spans="2:76" ht="12.75">
      <c r="B28" s="4" t="s">
        <v>86</v>
      </c>
      <c r="D28" s="4" t="s">
        <v>97</v>
      </c>
      <c r="E28" s="16"/>
      <c r="F28" s="100">
        <f>2280*1/1000/(1*F$12)</f>
        <v>2.590909090909091</v>
      </c>
      <c r="H28" s="100">
        <f>744*1/1000/(1*H$12)</f>
        <v>0.8551724137931035</v>
      </c>
      <c r="I28" s="19"/>
      <c r="J28" s="100">
        <f>481*1/1000/(1*J$12)</f>
        <v>0.5593023255813954</v>
      </c>
      <c r="L28" s="100">
        <f>259*1/1000/(1*L$12)</f>
        <v>0.26161616161616164</v>
      </c>
      <c r="N28" s="100">
        <f>470*1/1000/(1*N$12)</f>
        <v>0.47474747474747475</v>
      </c>
      <c r="O28" s="19"/>
      <c r="P28" s="100">
        <f>657*1/1000/(1*P$12)</f>
        <v>0.6636363636363637</v>
      </c>
      <c r="R28" s="14">
        <v>0.32</v>
      </c>
      <c r="T28" s="14">
        <v>0.85</v>
      </c>
      <c r="V28" s="14">
        <v>0.82</v>
      </c>
      <c r="X28" s="21">
        <v>24300</v>
      </c>
      <c r="Z28" s="21">
        <v>27267</v>
      </c>
      <c r="AA28" s="21"/>
      <c r="AB28" s="21">
        <v>24400</v>
      </c>
      <c r="AC28" s="21" t="s">
        <v>19</v>
      </c>
      <c r="AD28" s="14">
        <v>0.58</v>
      </c>
      <c r="AE28" s="21" t="s">
        <v>19</v>
      </c>
      <c r="AF28" s="14">
        <v>0.58</v>
      </c>
      <c r="AG28" s="21"/>
      <c r="AH28" s="14">
        <v>2.65</v>
      </c>
      <c r="AJ28" s="14">
        <v>27.5</v>
      </c>
      <c r="AL28" s="14">
        <v>28.1</v>
      </c>
      <c r="AN28" s="14">
        <v>26.1</v>
      </c>
      <c r="AP28" s="14">
        <v>24.5</v>
      </c>
      <c r="AR28" s="14">
        <v>27.4</v>
      </c>
      <c r="AT28" s="14">
        <v>26.9</v>
      </c>
      <c r="AV28" s="14">
        <v>10.4</v>
      </c>
      <c r="AX28" s="14">
        <v>9.55</v>
      </c>
      <c r="AZ28" s="14">
        <v>9.58</v>
      </c>
      <c r="BR28" s="7">
        <f>21.8/BR$13*1000000</f>
        <v>1900.3396872881906</v>
      </c>
      <c r="BS28" s="99"/>
      <c r="BT28" s="7">
        <f>24.5/BT$13*1000000</f>
        <v>2064.1881149460723</v>
      </c>
      <c r="BU28" s="49"/>
      <c r="BV28" s="7">
        <f>22.2/BV$13*1000000</f>
        <v>1947.0766191699715</v>
      </c>
      <c r="BW28" s="96"/>
      <c r="BX28" s="96"/>
    </row>
    <row r="29" spans="2:76" ht="12.75">
      <c r="B29" s="4" t="s">
        <v>56</v>
      </c>
      <c r="D29" s="4" t="s">
        <v>97</v>
      </c>
      <c r="E29" s="14" t="s">
        <v>19</v>
      </c>
      <c r="F29" s="100">
        <f>640*1/1000/(1*F$12)</f>
        <v>0.7272727272727273</v>
      </c>
      <c r="H29" s="100">
        <f>640*1/1000/(1*H$12)</f>
        <v>0.735632183908046</v>
      </c>
      <c r="I29" s="14" t="s">
        <v>19</v>
      </c>
      <c r="J29" s="100">
        <f>640*1/1000/(1*J$12)</f>
        <v>0.7441860465116279</v>
      </c>
      <c r="L29" s="100">
        <f>6880*1/1000/(1*L$12)</f>
        <v>6.94949494949495</v>
      </c>
      <c r="N29" s="100">
        <f>6890*1/1000/(1*N$12)</f>
        <v>6.959595959595959</v>
      </c>
      <c r="O29" s="19"/>
      <c r="P29" s="100">
        <f>7090*1/1000/(1*P$12)</f>
        <v>7.161616161616162</v>
      </c>
      <c r="Q29" s="14" t="s">
        <v>19</v>
      </c>
      <c r="R29" s="14">
        <f>0.66</f>
        <v>0.66</v>
      </c>
      <c r="S29" s="14" t="s">
        <v>19</v>
      </c>
      <c r="T29" s="14">
        <v>0.65</v>
      </c>
      <c r="U29" s="14" t="s">
        <v>19</v>
      </c>
      <c r="V29" s="14">
        <f>0.66</f>
        <v>0.66</v>
      </c>
      <c r="X29" s="14">
        <v>8.67</v>
      </c>
      <c r="Z29" s="14">
        <v>10.1</v>
      </c>
      <c r="AB29" s="14">
        <v>9.66</v>
      </c>
      <c r="AC29" s="14" t="s">
        <v>19</v>
      </c>
      <c r="AD29" s="14">
        <v>3.11</v>
      </c>
      <c r="AE29" s="14" t="s">
        <v>19</v>
      </c>
      <c r="AF29" s="14">
        <v>3.11</v>
      </c>
      <c r="AG29" s="14" t="s">
        <v>19</v>
      </c>
      <c r="AH29" s="14">
        <v>3.14</v>
      </c>
      <c r="AJ29" s="14">
        <v>7.15</v>
      </c>
      <c r="AL29" s="14">
        <v>8.58</v>
      </c>
      <c r="AN29" s="14">
        <v>6.84</v>
      </c>
      <c r="AP29" s="14">
        <v>12.8</v>
      </c>
      <c r="AR29" s="14">
        <v>13.1</v>
      </c>
      <c r="AT29" s="14">
        <v>16.2</v>
      </c>
      <c r="AV29" s="14">
        <v>10.1</v>
      </c>
      <c r="AX29" s="14">
        <v>9.79</v>
      </c>
      <c r="AZ29" s="14">
        <v>9.29</v>
      </c>
      <c r="BJ29" s="103"/>
      <c r="BR29" s="7">
        <f>3.08/BR$13*1000000</f>
        <v>268.4883594884232</v>
      </c>
      <c r="BS29" s="99"/>
      <c r="BT29" s="7">
        <f>3.57/BT$13*1000000</f>
        <v>300.78169674928483</v>
      </c>
      <c r="BU29" s="49"/>
      <c r="BV29" s="7">
        <f>3.59/BV$13*1000000</f>
        <v>314.8650929198287</v>
      </c>
      <c r="BW29" s="96"/>
      <c r="BX29" s="96"/>
    </row>
    <row r="30" spans="2:76" ht="12.75">
      <c r="B30" s="4" t="s">
        <v>61</v>
      </c>
      <c r="D30" s="4" t="s">
        <v>97</v>
      </c>
      <c r="E30" s="14" t="s">
        <v>19</v>
      </c>
      <c r="F30" s="41">
        <f>0.08*1/1000/(1*F$12)</f>
        <v>9.090909090909092E-05</v>
      </c>
      <c r="H30" s="41">
        <f>0.08*1/1000/(1*H$12)</f>
        <v>9.195402298850576E-05</v>
      </c>
      <c r="I30" s="14" t="s">
        <v>19</v>
      </c>
      <c r="J30" s="41">
        <f>0.08*1/1000/(1*J$12)</f>
        <v>9.30232558139535E-05</v>
      </c>
      <c r="K30" s="14" t="s">
        <v>19</v>
      </c>
      <c r="L30" s="41">
        <f>0.07*1/1000/(1*L$12)</f>
        <v>7.070707070707072E-05</v>
      </c>
      <c r="M30" s="14" t="s">
        <v>19</v>
      </c>
      <c r="N30" s="41">
        <f>0.1*1/1000/(1*N$12)</f>
        <v>0.00010101010101010101</v>
      </c>
      <c r="O30" s="19" t="s">
        <v>19</v>
      </c>
      <c r="P30" s="41">
        <f>0.08*1/1000/(1*P$12)</f>
        <v>8.080808080808081E-05</v>
      </c>
      <c r="Q30" s="14" t="s">
        <v>19</v>
      </c>
      <c r="R30" s="14">
        <v>0.08</v>
      </c>
      <c r="S30" s="14" t="s">
        <v>19</v>
      </c>
      <c r="T30" s="14">
        <v>0.08</v>
      </c>
      <c r="U30" s="14" t="s">
        <v>19</v>
      </c>
      <c r="V30" s="14">
        <v>0.09</v>
      </c>
      <c r="W30" s="14" t="s">
        <v>19</v>
      </c>
      <c r="X30" s="61">
        <v>0.08</v>
      </c>
      <c r="Y30" s="14" t="s">
        <v>19</v>
      </c>
      <c r="Z30" s="61">
        <v>0.08</v>
      </c>
      <c r="AA30" s="14" t="s">
        <v>19</v>
      </c>
      <c r="AB30" s="61">
        <v>0.08</v>
      </c>
      <c r="AC30" s="14" t="s">
        <v>19</v>
      </c>
      <c r="AD30" s="14">
        <v>0.08</v>
      </c>
      <c r="AE30" s="14" t="s">
        <v>19</v>
      </c>
      <c r="AF30" s="14">
        <v>0.07</v>
      </c>
      <c r="AG30" s="14" t="s">
        <v>19</v>
      </c>
      <c r="AH30" s="14">
        <v>0.08</v>
      </c>
      <c r="AI30" s="14" t="s">
        <v>19</v>
      </c>
      <c r="AJ30" s="14">
        <v>0.08</v>
      </c>
      <c r="AK30" s="14" t="s">
        <v>19</v>
      </c>
      <c r="AL30" s="14">
        <v>0.08</v>
      </c>
      <c r="AM30" s="14" t="s">
        <v>19</v>
      </c>
      <c r="AN30" s="14">
        <v>0.08</v>
      </c>
      <c r="AO30" s="14" t="s">
        <v>19</v>
      </c>
      <c r="AP30" s="14">
        <f>0.1</f>
        <v>0.1</v>
      </c>
      <c r="AQ30" s="14" t="s">
        <v>19</v>
      </c>
      <c r="AR30" s="14">
        <v>0.11</v>
      </c>
      <c r="AS30" s="14" t="s">
        <v>19</v>
      </c>
      <c r="AT30" s="14">
        <v>0.09</v>
      </c>
      <c r="AU30" s="14" t="s">
        <v>19</v>
      </c>
      <c r="AV30" s="14">
        <v>0.08</v>
      </c>
      <c r="AW30" s="14" t="s">
        <v>19</v>
      </c>
      <c r="AX30" s="14">
        <v>0.08</v>
      </c>
      <c r="AY30" s="14" t="s">
        <v>19</v>
      </c>
      <c r="AZ30" s="14">
        <v>0.08</v>
      </c>
      <c r="BR30" s="6">
        <f>(F30*F$13+L30*L$13+R30*R$13+X30*X$13+AD30*AD$13+AJ30*AJ$13+AP30*AP$13+AV30*AV$13)/BR$13</f>
        <v>0.048308617508386734</v>
      </c>
      <c r="BS30" s="99"/>
      <c r="BT30" s="6">
        <f>(H30*H$13+N30*N$13+T30*T$13+Z30*Z$13+AF30*AF$13+AL30*AL$13+AR30*AR$13+AX30*AX$13)/BT$13</f>
        <v>0.04944477708709538</v>
      </c>
      <c r="BU30" s="49"/>
      <c r="BV30" s="6">
        <f>(J30*J$13+P30*P$13+V30*V$13+AB30*AB$13+AH30*AH$13+AN30*AN$13+AT30*AT$13+AZ30*AZ$13)/BV$13</f>
        <v>0.05059326171440579</v>
      </c>
      <c r="BW30" s="96"/>
      <c r="BX30" s="96"/>
    </row>
    <row r="31" spans="2:76" ht="12.75">
      <c r="B31" s="4" t="s">
        <v>87</v>
      </c>
      <c r="D31" s="4" t="s">
        <v>97</v>
      </c>
      <c r="F31" s="100">
        <f>1210*1/1000/(1*F$12)</f>
        <v>1.375</v>
      </c>
      <c r="G31" s="16" t="s">
        <v>19</v>
      </c>
      <c r="H31" s="100">
        <f>240*1/1000/(1*H$12)</f>
        <v>0.27586206896551724</v>
      </c>
      <c r="I31" s="16" t="s">
        <v>19</v>
      </c>
      <c r="J31" s="100">
        <f>240*1/1000/(1*J$12)</f>
        <v>0.27906976744186046</v>
      </c>
      <c r="L31" s="100">
        <f>250*1/1000/(1*L$12)</f>
        <v>0.25252525252525254</v>
      </c>
      <c r="N31" s="100">
        <f>240*1/1000/(1*N$12)</f>
        <v>0.24242424242424243</v>
      </c>
      <c r="O31" s="19"/>
      <c r="P31" s="100">
        <f>258*1/1000/(1*P$12)</f>
        <v>0.2606060606060606</v>
      </c>
      <c r="R31" s="14">
        <v>0.26</v>
      </c>
      <c r="T31" s="14">
        <v>0.39</v>
      </c>
      <c r="V31" s="14">
        <v>0.44</v>
      </c>
      <c r="X31" s="18">
        <v>8.8</v>
      </c>
      <c r="Z31" s="14">
        <v>9.2</v>
      </c>
      <c r="AB31" s="14">
        <v>8</v>
      </c>
      <c r="AC31" s="14" t="s">
        <v>19</v>
      </c>
      <c r="AD31" s="14">
        <v>1.17</v>
      </c>
      <c r="AE31" s="14" t="s">
        <v>19</v>
      </c>
      <c r="AF31" s="14">
        <v>1.18</v>
      </c>
      <c r="AG31" s="14" t="s">
        <v>19</v>
      </c>
      <c r="AH31" s="14">
        <v>1.17</v>
      </c>
      <c r="AJ31" s="14">
        <v>22.6</v>
      </c>
      <c r="AL31" s="14">
        <v>21.7</v>
      </c>
      <c r="AN31" s="14">
        <v>21</v>
      </c>
      <c r="AP31" s="14">
        <v>18.4</v>
      </c>
      <c r="AR31" s="14">
        <v>17.6</v>
      </c>
      <c r="AT31" s="14">
        <v>18.8</v>
      </c>
      <c r="AV31" s="14">
        <v>23.3</v>
      </c>
      <c r="AX31" s="14">
        <v>26.4</v>
      </c>
      <c r="AZ31" s="14">
        <v>26.8</v>
      </c>
      <c r="BR31" s="7">
        <f>6.18/BR$13*1000000</f>
        <v>538.7201498826155</v>
      </c>
      <c r="BS31" s="99"/>
      <c r="BT31" s="7">
        <f>7.8/BT$13*1000000</f>
        <v>657.1700937379334</v>
      </c>
      <c r="BU31" s="49"/>
      <c r="BV31" s="7">
        <f>7.74/BV$13*1000000</f>
        <v>678.8456320889902</v>
      </c>
      <c r="BW31" s="96"/>
      <c r="BX31" s="96"/>
    </row>
    <row r="32" spans="2:76" ht="12.75">
      <c r="B32" s="4" t="s">
        <v>88</v>
      </c>
      <c r="D32" s="4" t="s">
        <v>97</v>
      </c>
      <c r="E32" s="14" t="s">
        <v>19</v>
      </c>
      <c r="F32" s="100">
        <f>80*1/1000/(1*F$12)</f>
        <v>0.09090909090909091</v>
      </c>
      <c r="G32" s="16" t="s">
        <v>19</v>
      </c>
      <c r="H32" s="100">
        <f>80*1/1000/(1*H$12)</f>
        <v>0.09195402298850575</v>
      </c>
      <c r="I32" s="16" t="s">
        <v>19</v>
      </c>
      <c r="J32" s="100">
        <f>80*1/1000/(1*J$12)</f>
        <v>0.09302325581395349</v>
      </c>
      <c r="K32" s="14" t="s">
        <v>19</v>
      </c>
      <c r="L32" s="100">
        <f>80*1/1000/(1*L$12)</f>
        <v>0.08080808080808081</v>
      </c>
      <c r="M32" s="14" t="s">
        <v>19</v>
      </c>
      <c r="N32" s="100">
        <f>80*1/1000/(1*N$12)</f>
        <v>0.08080808080808081</v>
      </c>
      <c r="O32" s="14" t="s">
        <v>19</v>
      </c>
      <c r="P32" s="100">
        <f>80*1/1000/(1*P$12)</f>
        <v>0.08080808080808081</v>
      </c>
      <c r="Q32" s="14" t="s">
        <v>19</v>
      </c>
      <c r="R32" s="14">
        <v>0.08</v>
      </c>
      <c r="S32" s="14" t="s">
        <v>19</v>
      </c>
      <c r="T32" s="14">
        <v>0.08</v>
      </c>
      <c r="U32" s="14" t="s">
        <v>19</v>
      </c>
      <c r="V32" s="14">
        <v>0.08</v>
      </c>
      <c r="X32" s="18">
        <v>1.86</v>
      </c>
      <c r="Z32" s="14">
        <v>3.88</v>
      </c>
      <c r="AB32" s="18">
        <v>1.69</v>
      </c>
      <c r="AC32" s="14" t="s">
        <v>19</v>
      </c>
      <c r="AD32" s="14">
        <v>0.4</v>
      </c>
      <c r="AE32" s="14" t="s">
        <v>19</v>
      </c>
      <c r="AF32" s="14">
        <v>0.4</v>
      </c>
      <c r="AG32" s="14" t="s">
        <v>19</v>
      </c>
      <c r="AH32" s="14">
        <v>0.4</v>
      </c>
      <c r="AI32" s="14" t="s">
        <v>19</v>
      </c>
      <c r="AJ32" s="14">
        <v>0.32</v>
      </c>
      <c r="AK32" s="14" t="s">
        <v>19</v>
      </c>
      <c r="AL32" s="14">
        <v>0.33</v>
      </c>
      <c r="AM32" s="14" t="s">
        <v>19</v>
      </c>
      <c r="AN32" s="14">
        <v>0.3</v>
      </c>
      <c r="AO32" s="14" t="s">
        <v>19</v>
      </c>
      <c r="AP32" s="14">
        <v>0.34</v>
      </c>
      <c r="AQ32" s="14" t="s">
        <v>19</v>
      </c>
      <c r="AR32" s="14">
        <f>0.35</f>
        <v>0.35</v>
      </c>
      <c r="AT32" s="14">
        <v>0.32</v>
      </c>
      <c r="AV32" s="14">
        <v>1.61</v>
      </c>
      <c r="AX32" s="14">
        <v>1</v>
      </c>
      <c r="AZ32" s="14">
        <v>1.07</v>
      </c>
      <c r="BR32" s="5">
        <f>0.26/BR$13*1000000</f>
        <v>22.66460177499677</v>
      </c>
      <c r="BS32" s="102"/>
      <c r="BT32" s="5">
        <f>0.19/BT$13*1000000</f>
        <v>16.007989462847092</v>
      </c>
      <c r="BU32" s="48"/>
      <c r="BV32" s="5">
        <f>0.19/BV$13*1000000</f>
        <v>16.664169263166425</v>
      </c>
      <c r="BW32" s="96"/>
      <c r="BX32" s="96"/>
    </row>
    <row r="33" spans="2:76" ht="12.75">
      <c r="B33" s="4" t="s">
        <v>89</v>
      </c>
      <c r="D33" s="4" t="s">
        <v>97</v>
      </c>
      <c r="E33" s="14" t="s">
        <v>19</v>
      </c>
      <c r="F33" s="100">
        <f>120*1/1000/(1*F$12)</f>
        <v>0.13636363636363635</v>
      </c>
      <c r="G33" s="16" t="s">
        <v>19</v>
      </c>
      <c r="H33" s="100">
        <f>120*1/1000/(1*H$12)</f>
        <v>0.13793103448275862</v>
      </c>
      <c r="I33" s="16" t="s">
        <v>19</v>
      </c>
      <c r="J33" s="100">
        <f>120*1/1000/(1*J$12)</f>
        <v>0.13953488372093023</v>
      </c>
      <c r="K33" s="14" t="s">
        <v>19</v>
      </c>
      <c r="L33" s="100">
        <f>120*1/1000/(1*L$12)</f>
        <v>0.12121212121212122</v>
      </c>
      <c r="M33" s="14" t="s">
        <v>19</v>
      </c>
      <c r="N33" s="100">
        <f>120*1/1000/(1*N$12)</f>
        <v>0.12121212121212122</v>
      </c>
      <c r="O33" s="14" t="s">
        <v>19</v>
      </c>
      <c r="P33" s="100">
        <f>120*1/1000/(1*P$12)</f>
        <v>0.12121212121212122</v>
      </c>
      <c r="Q33" s="14" t="s">
        <v>19</v>
      </c>
      <c r="R33" s="14">
        <v>0.12</v>
      </c>
      <c r="S33" s="14" t="s">
        <v>19</v>
      </c>
      <c r="T33" s="14">
        <v>0.12</v>
      </c>
      <c r="U33" s="14" t="s">
        <v>19</v>
      </c>
      <c r="V33" s="14">
        <v>0.12</v>
      </c>
      <c r="X33" s="72">
        <v>0.72</v>
      </c>
      <c r="Z33" s="18">
        <v>0.66</v>
      </c>
      <c r="AA33" s="18"/>
      <c r="AB33" s="18">
        <v>0.81</v>
      </c>
      <c r="AC33" s="18" t="s">
        <v>19</v>
      </c>
      <c r="AD33" s="18">
        <v>0.58</v>
      </c>
      <c r="AE33" s="18" t="s">
        <v>19</v>
      </c>
      <c r="AF33" s="18">
        <v>0.58</v>
      </c>
      <c r="AG33" s="18" t="s">
        <v>19</v>
      </c>
      <c r="AH33" s="18">
        <v>0.58</v>
      </c>
      <c r="AI33" s="14" t="s">
        <v>19</v>
      </c>
      <c r="AJ33" s="14">
        <v>0.53</v>
      </c>
      <c r="AK33" s="14" t="s">
        <v>19</v>
      </c>
      <c r="AL33" s="14">
        <v>0.46</v>
      </c>
      <c r="AM33" s="14" t="s">
        <v>19</v>
      </c>
      <c r="AN33" s="14">
        <v>0.56</v>
      </c>
      <c r="AP33" s="14">
        <v>0.81</v>
      </c>
      <c r="AR33" s="14">
        <v>0.62</v>
      </c>
      <c r="AT33" s="14">
        <v>0.67</v>
      </c>
      <c r="AU33" s="14" t="s">
        <v>19</v>
      </c>
      <c r="AV33" s="14">
        <v>0.56</v>
      </c>
      <c r="AW33" s="14" t="s">
        <v>19</v>
      </c>
      <c r="AX33" s="14">
        <v>0.56</v>
      </c>
      <c r="AY33" s="14" t="s">
        <v>19</v>
      </c>
      <c r="AZ33" s="14">
        <v>0.57</v>
      </c>
      <c r="BR33" s="5">
        <f>0.07/BR$13*1000000</f>
        <v>6.1020081701914375</v>
      </c>
      <c r="BS33" s="102"/>
      <c r="BT33" s="5">
        <f>0.06/BT$13*1000000</f>
        <v>5.055154567214871</v>
      </c>
      <c r="BU33" s="48"/>
      <c r="BV33" s="5">
        <f>0.06/BV$13*1000000</f>
        <v>5.262369240999924</v>
      </c>
      <c r="BW33" s="96"/>
      <c r="BX33" s="96"/>
    </row>
    <row r="34" spans="2:76" ht="12.75">
      <c r="B34" s="4" t="s">
        <v>90</v>
      </c>
      <c r="D34" s="4" t="s">
        <v>97</v>
      </c>
      <c r="E34" s="14" t="s">
        <v>19</v>
      </c>
      <c r="F34" s="100">
        <f>80*1/1000/(1*F$12)</f>
        <v>0.09090909090909091</v>
      </c>
      <c r="G34" s="16" t="s">
        <v>19</v>
      </c>
      <c r="H34" s="100">
        <f>80*1/1000/(1*H$12)</f>
        <v>0.09195402298850575</v>
      </c>
      <c r="I34" s="16" t="s">
        <v>19</v>
      </c>
      <c r="J34" s="100">
        <f>80*1/1000/(1*J$12)</f>
        <v>0.09302325581395349</v>
      </c>
      <c r="K34" s="14" t="s">
        <v>19</v>
      </c>
      <c r="L34" s="100">
        <f>80*1/1000/(1*L$12)</f>
        <v>0.08080808080808081</v>
      </c>
      <c r="M34" s="14" t="s">
        <v>19</v>
      </c>
      <c r="N34" s="100">
        <f>80*1/1000/(1*N$12)</f>
        <v>0.08080808080808081</v>
      </c>
      <c r="O34" s="14" t="s">
        <v>19</v>
      </c>
      <c r="P34" s="100">
        <f>80*1/1000/(1*P$12)</f>
        <v>0.08080808080808081</v>
      </c>
      <c r="Q34" s="14" t="s">
        <v>19</v>
      </c>
      <c r="R34" s="14">
        <f>0.08</f>
        <v>0.08</v>
      </c>
      <c r="S34" s="14" t="s">
        <v>19</v>
      </c>
      <c r="T34" s="14">
        <f>0.08</f>
        <v>0.08</v>
      </c>
      <c r="U34" s="14" t="s">
        <v>19</v>
      </c>
      <c r="V34" s="14">
        <f>0.08</f>
        <v>0.08</v>
      </c>
      <c r="W34" s="14" t="s">
        <v>19</v>
      </c>
      <c r="X34" s="18">
        <v>0.66</v>
      </c>
      <c r="Y34" s="14" t="s">
        <v>19</v>
      </c>
      <c r="Z34" s="18">
        <v>0.7</v>
      </c>
      <c r="AA34" s="18" t="s">
        <v>19</v>
      </c>
      <c r="AB34" s="21">
        <v>18.3</v>
      </c>
      <c r="AC34" s="18" t="s">
        <v>19</v>
      </c>
      <c r="AD34" s="18">
        <v>0.4</v>
      </c>
      <c r="AE34" s="18" t="s">
        <v>19</v>
      </c>
      <c r="AF34" s="18">
        <v>0.4</v>
      </c>
      <c r="AG34" s="18" t="s">
        <v>19</v>
      </c>
      <c r="AH34" s="18">
        <v>0.4</v>
      </c>
      <c r="AI34" s="14" t="s">
        <v>19</v>
      </c>
      <c r="AJ34" s="14">
        <f>0.32</f>
        <v>0.32</v>
      </c>
      <c r="AK34" s="14" t="s">
        <v>19</v>
      </c>
      <c r="AL34" s="14">
        <f>0.33</f>
        <v>0.33</v>
      </c>
      <c r="AM34" s="14" t="s">
        <v>19</v>
      </c>
      <c r="AN34" s="14">
        <f>0.3</f>
        <v>0.3</v>
      </c>
      <c r="AO34" s="14" t="s">
        <v>19</v>
      </c>
      <c r="AP34" s="14">
        <v>0.34</v>
      </c>
      <c r="AQ34" s="14" t="s">
        <v>19</v>
      </c>
      <c r="AR34" s="14">
        <v>0.35</v>
      </c>
      <c r="AS34" s="14" t="s">
        <v>19</v>
      </c>
      <c r="AT34" s="14">
        <v>0.32</v>
      </c>
      <c r="AU34" s="14" t="s">
        <v>19</v>
      </c>
      <c r="AV34" s="14">
        <v>0.33</v>
      </c>
      <c r="AW34" s="14" t="s">
        <v>19</v>
      </c>
      <c r="AX34" s="14">
        <v>0.31</v>
      </c>
      <c r="AY34" s="14" t="s">
        <v>19</v>
      </c>
      <c r="AZ34" s="14">
        <v>0.32</v>
      </c>
      <c r="BR34" s="6">
        <f>(F34*F$13+L34*L$13+R34*R$13+X34*X$13+AD34*AD$13+AJ34*AJ$13+AP34*AP$13+AV34*AV$13)/BR$13</f>
        <v>0.27103265588350467</v>
      </c>
      <c r="BS34" s="99"/>
      <c r="BT34" s="6">
        <f>(H34*H$13+N34*N$13+T34*T$13+Z34*Z$13+AF34*AF$13+AL34*AL$13+AR34*AR$13+AX34*AX$13)/BT$13</f>
        <v>0.26929680023005137</v>
      </c>
      <c r="BU34" s="49"/>
      <c r="BV34" s="6">
        <f>(J34*J$13+P34*P$13+V34*V$13+AB34*AB$13+AH34*AH$13+AN34*AN$13+AT34*AT$13+AZ34*AZ$13)/BV$13</f>
        <v>2.9847240269030273</v>
      </c>
      <c r="BW34" s="96"/>
      <c r="BX34" s="96"/>
    </row>
    <row r="35" spans="2:76" ht="12.75">
      <c r="B35" s="4" t="s">
        <v>91</v>
      </c>
      <c r="D35" s="4" t="s">
        <v>97</v>
      </c>
      <c r="F35" s="100">
        <f>1220*1/1000/(1*F$12)</f>
        <v>1.3863636363636362</v>
      </c>
      <c r="H35" s="100">
        <f>446*1/1000/(1*H$12)</f>
        <v>0.5126436781609196</v>
      </c>
      <c r="J35" s="100">
        <f>344*1/1000/(1*J$12)</f>
        <v>0.39999999999999997</v>
      </c>
      <c r="L35" s="100">
        <f>365*1/1000/(1*L$12)</f>
        <v>0.3686868686868687</v>
      </c>
      <c r="N35" s="100">
        <f>418*1/1000/(1*N$12)</f>
        <v>0.4222222222222222</v>
      </c>
      <c r="O35" s="19"/>
      <c r="P35" s="100">
        <f>460*1/1000/(1*P$12)</f>
        <v>0.4646464646464647</v>
      </c>
      <c r="R35" s="14">
        <v>0.58</v>
      </c>
      <c r="T35" s="14">
        <v>1.73</v>
      </c>
      <c r="V35" s="14">
        <v>1.28</v>
      </c>
      <c r="X35" s="21">
        <v>2813</v>
      </c>
      <c r="Z35" s="21">
        <v>3220</v>
      </c>
      <c r="AB35" s="14">
        <v>2840</v>
      </c>
      <c r="AC35" s="21"/>
      <c r="AD35" s="72">
        <v>0.96</v>
      </c>
      <c r="AE35" s="21"/>
      <c r="AF35" s="72">
        <v>1.67</v>
      </c>
      <c r="AG35" s="21"/>
      <c r="AH35" s="72">
        <v>2.48</v>
      </c>
      <c r="AJ35" s="14">
        <v>62.8</v>
      </c>
      <c r="AL35" s="14">
        <v>62.7</v>
      </c>
      <c r="AN35" s="14">
        <v>58.1</v>
      </c>
      <c r="AP35" s="14">
        <v>116</v>
      </c>
      <c r="AR35" s="14">
        <v>92.4</v>
      </c>
      <c r="AT35" s="14">
        <v>88.1</v>
      </c>
      <c r="AV35" s="14">
        <v>63.8</v>
      </c>
      <c r="AX35" s="14">
        <v>70.6</v>
      </c>
      <c r="AZ35" s="14">
        <v>71.2</v>
      </c>
      <c r="BR35" s="7">
        <f>24.9/BR$13*1000000</f>
        <v>2170.571477682383</v>
      </c>
      <c r="BS35" s="99"/>
      <c r="BT35" s="7">
        <f>27.6/BT$13*1000000</f>
        <v>2325.371100918841</v>
      </c>
      <c r="BU35" s="49"/>
      <c r="BV35" s="7">
        <f>26.1/BV$13*1000000</f>
        <v>2289.130619834967</v>
      </c>
      <c r="BW35" s="96"/>
      <c r="BX35" s="96"/>
    </row>
    <row r="36" spans="15:40" ht="12.75">
      <c r="O36" s="19"/>
      <c r="P36" s="16"/>
      <c r="AJ36" s="43"/>
      <c r="AK36" s="16"/>
      <c r="AL36" s="43"/>
      <c r="AM36" s="19"/>
      <c r="AN36" s="43"/>
    </row>
    <row r="37" spans="5:16" ht="12.75">
      <c r="E37" s="16"/>
      <c r="I37" s="19"/>
      <c r="J37" s="16"/>
      <c r="O37" s="19"/>
      <c r="P37" s="16"/>
    </row>
    <row r="38" spans="2:76" ht="12.75">
      <c r="B38" s="4" t="s">
        <v>39</v>
      </c>
      <c r="D38" s="4" t="s">
        <v>16</v>
      </c>
      <c r="E38" s="16"/>
      <c r="F38" s="19">
        <f>'emiss 1'!G46</f>
        <v>21200</v>
      </c>
      <c r="H38" s="14">
        <f>'emiss 1'!I46</f>
        <v>20900</v>
      </c>
      <c r="I38" s="19"/>
      <c r="J38" s="19">
        <f>'emiss 1'!K46</f>
        <v>22400</v>
      </c>
      <c r="K38" s="21"/>
      <c r="L38" s="19">
        <f>$F38</f>
        <v>21200</v>
      </c>
      <c r="M38" s="16"/>
      <c r="N38" s="19">
        <f>$H38</f>
        <v>20900</v>
      </c>
      <c r="O38" s="19"/>
      <c r="P38" s="19">
        <f>$J38</f>
        <v>22400</v>
      </c>
      <c r="R38" s="19">
        <f>$F38</f>
        <v>21200</v>
      </c>
      <c r="S38" s="16"/>
      <c r="T38" s="19">
        <f>$H38</f>
        <v>20900</v>
      </c>
      <c r="U38" s="19"/>
      <c r="V38" s="19">
        <f>$J38</f>
        <v>22400</v>
      </c>
      <c r="X38" s="19">
        <f>$F38</f>
        <v>21200</v>
      </c>
      <c r="Y38" s="16"/>
      <c r="Z38" s="19">
        <f>$H38</f>
        <v>20900</v>
      </c>
      <c r="AA38" s="19"/>
      <c r="AB38" s="19">
        <f>$J38</f>
        <v>22400</v>
      </c>
      <c r="AD38" s="19">
        <f>$F38</f>
        <v>21200</v>
      </c>
      <c r="AE38" s="16"/>
      <c r="AF38" s="19">
        <f>$H38</f>
        <v>20900</v>
      </c>
      <c r="AG38" s="19"/>
      <c r="AH38" s="19">
        <f>$J38</f>
        <v>22400</v>
      </c>
      <c r="AJ38" s="19">
        <f>$F38</f>
        <v>21200</v>
      </c>
      <c r="AK38" s="16"/>
      <c r="AL38" s="19">
        <f>$H38</f>
        <v>20900</v>
      </c>
      <c r="AM38" s="19"/>
      <c r="AN38" s="19">
        <f>$J38</f>
        <v>22400</v>
      </c>
      <c r="AP38" s="19">
        <f>$F38</f>
        <v>21200</v>
      </c>
      <c r="AQ38" s="16"/>
      <c r="AR38" s="19">
        <f>$H38</f>
        <v>20900</v>
      </c>
      <c r="AS38" s="19"/>
      <c r="AT38" s="19">
        <f>$J38</f>
        <v>22400</v>
      </c>
      <c r="AU38" s="19"/>
      <c r="AV38" s="19">
        <f>$F38</f>
        <v>21200</v>
      </c>
      <c r="AW38" s="16"/>
      <c r="AX38" s="19">
        <f>$H38</f>
        <v>20900</v>
      </c>
      <c r="AY38" s="19"/>
      <c r="AZ38" s="19">
        <f>$J38</f>
        <v>22400</v>
      </c>
      <c r="BJ38" s="19">
        <f>$F38</f>
        <v>21200</v>
      </c>
      <c r="BK38" s="16"/>
      <c r="BL38" s="19">
        <f>$H38</f>
        <v>20900</v>
      </c>
      <c r="BM38" s="19"/>
      <c r="BN38" s="19">
        <f>$J38</f>
        <v>22400</v>
      </c>
      <c r="BO38" s="19"/>
      <c r="BP38" s="19"/>
      <c r="BR38" s="19">
        <f>$F38</f>
        <v>21200</v>
      </c>
      <c r="BS38" s="16"/>
      <c r="BT38" s="19">
        <f>$H38</f>
        <v>20900</v>
      </c>
      <c r="BU38" s="19"/>
      <c r="BV38" s="19">
        <f>$J38</f>
        <v>22400</v>
      </c>
      <c r="BX38" s="21">
        <f>AVERAGE(BR38,BT38,BV38)</f>
        <v>21500</v>
      </c>
    </row>
    <row r="39" spans="2:76" ht="12.75">
      <c r="B39" s="4" t="s">
        <v>40</v>
      </c>
      <c r="D39" s="4" t="s">
        <v>17</v>
      </c>
      <c r="E39" s="16"/>
      <c r="F39" s="5">
        <f>'emiss 1'!G47</f>
        <v>13.4</v>
      </c>
      <c r="G39" s="63"/>
      <c r="H39" s="18">
        <f>'emiss 1'!I47</f>
        <v>13.4</v>
      </c>
      <c r="I39" s="5"/>
      <c r="J39" s="5">
        <f>'emiss 1'!K47</f>
        <v>13.4</v>
      </c>
      <c r="K39" s="18"/>
      <c r="L39" s="5">
        <f>$F39</f>
        <v>13.4</v>
      </c>
      <c r="M39" s="63"/>
      <c r="N39" s="5">
        <f>$H39</f>
        <v>13.4</v>
      </c>
      <c r="O39" s="5"/>
      <c r="P39" s="5">
        <f>$J39</f>
        <v>13.4</v>
      </c>
      <c r="R39" s="5">
        <f>$F39</f>
        <v>13.4</v>
      </c>
      <c r="S39" s="63"/>
      <c r="T39" s="5">
        <f>$H39</f>
        <v>13.4</v>
      </c>
      <c r="U39" s="5"/>
      <c r="V39" s="5">
        <f>$J39</f>
        <v>13.4</v>
      </c>
      <c r="X39" s="5">
        <f>$F39</f>
        <v>13.4</v>
      </c>
      <c r="Y39" s="63"/>
      <c r="Z39" s="5">
        <f>$H39</f>
        <v>13.4</v>
      </c>
      <c r="AA39" s="5"/>
      <c r="AB39" s="5">
        <f>$J39</f>
        <v>13.4</v>
      </c>
      <c r="AD39" s="5">
        <f>$F39</f>
        <v>13.4</v>
      </c>
      <c r="AE39" s="63"/>
      <c r="AF39" s="5">
        <f>$H39</f>
        <v>13.4</v>
      </c>
      <c r="AG39" s="5"/>
      <c r="AH39" s="5">
        <f>$J39</f>
        <v>13.4</v>
      </c>
      <c r="AJ39" s="5">
        <f>$F39</f>
        <v>13.4</v>
      </c>
      <c r="AK39" s="63"/>
      <c r="AL39" s="5">
        <f>$H39</f>
        <v>13.4</v>
      </c>
      <c r="AM39" s="5"/>
      <c r="AN39" s="5">
        <f>$J39</f>
        <v>13.4</v>
      </c>
      <c r="AP39" s="5">
        <f>$F39</f>
        <v>13.4</v>
      </c>
      <c r="AQ39" s="63"/>
      <c r="AR39" s="5">
        <f>$H39</f>
        <v>13.4</v>
      </c>
      <c r="AS39" s="5"/>
      <c r="AT39" s="5">
        <f>$J39</f>
        <v>13.4</v>
      </c>
      <c r="AU39" s="5"/>
      <c r="AV39" s="5">
        <f>$F39</f>
        <v>13.4</v>
      </c>
      <c r="AW39" s="63"/>
      <c r="AX39" s="5">
        <f>$H39</f>
        <v>13.4</v>
      </c>
      <c r="AY39" s="5"/>
      <c r="AZ39" s="5">
        <f>$J39</f>
        <v>13.4</v>
      </c>
      <c r="BJ39" s="5">
        <f>$F39</f>
        <v>13.4</v>
      </c>
      <c r="BK39" s="63"/>
      <c r="BL39" s="5">
        <f>$H39</f>
        <v>13.4</v>
      </c>
      <c r="BM39" s="5"/>
      <c r="BN39" s="5">
        <f>$J39</f>
        <v>13.4</v>
      </c>
      <c r="BO39" s="5"/>
      <c r="BP39" s="5"/>
      <c r="BR39" s="5">
        <f>$F39</f>
        <v>13.4</v>
      </c>
      <c r="BS39" s="63"/>
      <c r="BT39" s="5">
        <f>$H39</f>
        <v>13.4</v>
      </c>
      <c r="BU39" s="5"/>
      <c r="BV39" s="5">
        <f>$J39</f>
        <v>13.4</v>
      </c>
      <c r="BX39" s="18">
        <f>AVERAGE(BR39,BT39,BV39)</f>
        <v>13.4</v>
      </c>
    </row>
    <row r="40" spans="5:42" ht="12.75">
      <c r="E40" s="16"/>
      <c r="I40" s="19"/>
      <c r="J40" s="16"/>
      <c r="P40" s="16"/>
      <c r="AP40" s="72"/>
    </row>
    <row r="41" spans="2:76" ht="12.75">
      <c r="B41" s="4" t="s">
        <v>258</v>
      </c>
      <c r="D41" s="4" t="s">
        <v>34</v>
      </c>
      <c r="E41" s="16"/>
      <c r="F41" s="5">
        <f>F11*F13/1000000</f>
        <v>8.19067392</v>
      </c>
      <c r="H41" s="5">
        <f>H11*H13/1000000</f>
        <v>7.954277760000001</v>
      </c>
      <c r="I41" s="19"/>
      <c r="J41" s="5">
        <f>J11*J13/1000000</f>
        <v>2.55011328</v>
      </c>
      <c r="L41" s="5">
        <f>L11*L13/1000000</f>
        <v>0.427984128</v>
      </c>
      <c r="M41" s="16"/>
      <c r="N41" s="5">
        <f>N11*N13/1000000</f>
        <v>0.427984128</v>
      </c>
      <c r="O41" s="19"/>
      <c r="P41" s="5">
        <f>P11*P13/1000000</f>
        <v>0.427984128</v>
      </c>
      <c r="R41" s="5">
        <f>R11*R13/1000000</f>
        <v>12.1485312</v>
      </c>
      <c r="S41" s="16"/>
      <c r="T41" s="5">
        <f>T11*T13/1000000</f>
        <v>11.44246272</v>
      </c>
      <c r="U41" s="19"/>
      <c r="V41" s="5">
        <f>V11*V13/1000000</f>
        <v>11.825049600000002</v>
      </c>
      <c r="X41" s="5">
        <f>X11*X13/1000000</f>
        <v>13.008339152639998</v>
      </c>
      <c r="Y41" s="16"/>
      <c r="Z41" s="5">
        <f>Z11*Z13/1000000</f>
        <v>10.893456188160002</v>
      </c>
      <c r="AA41" s="19"/>
      <c r="AB41" s="5">
        <f>AB11*AB13/1000000</f>
        <v>10.110696959999999</v>
      </c>
      <c r="AC41" s="5"/>
      <c r="AD41" s="5">
        <f>AD11*AD13/1000000</f>
        <v>7.508966399999999</v>
      </c>
      <c r="AE41" s="16"/>
      <c r="AF41" s="5">
        <f>AF11*AF13/1000000</f>
        <v>10.665997056</v>
      </c>
      <c r="AG41" s="19"/>
      <c r="AH41" s="5">
        <f>AH11*AH13/1000000</f>
        <v>10.213632</v>
      </c>
      <c r="AJ41" s="5">
        <f>AJ11*AJ13/1000000</f>
        <v>0</v>
      </c>
      <c r="AK41" s="16"/>
      <c r="AL41" s="5">
        <f>AL11*AL13/1000000</f>
        <v>0</v>
      </c>
      <c r="AM41" s="19"/>
      <c r="AN41" s="5">
        <f>AN11*AN13/1000000</f>
        <v>0</v>
      </c>
      <c r="AP41" s="5">
        <f>AP11*AP13/1000000</f>
        <v>0</v>
      </c>
      <c r="AQ41" s="16"/>
      <c r="AR41" s="5">
        <f>AR11*AR13/1000000</f>
        <v>0</v>
      </c>
      <c r="AS41" s="19"/>
      <c r="AT41" s="5">
        <f>AT11*AT13/1000000</f>
        <v>0</v>
      </c>
      <c r="AV41" s="5">
        <f>AV11*AV13/1000000</f>
        <v>0</v>
      </c>
      <c r="AW41" s="16"/>
      <c r="AX41" s="5">
        <f>AX11*AX13/1000000</f>
        <v>0</v>
      </c>
      <c r="AY41" s="19"/>
      <c r="AZ41" s="5">
        <f>AZ11*AZ13/1000000</f>
        <v>0</v>
      </c>
      <c r="BB41" s="18">
        <f>BR41</f>
        <v>41.28449480064</v>
      </c>
      <c r="BD41" s="18">
        <f>BT41</f>
        <v>41.38417785216</v>
      </c>
      <c r="BF41" s="18">
        <f>BV41</f>
        <v>35.127475968</v>
      </c>
      <c r="BH41" s="18">
        <f>AVERAGE(BB41,BD41,BF41)</f>
        <v>39.2653828736</v>
      </c>
      <c r="BR41" s="5">
        <f>F41+L41+R41+X41+AD41+AJ41+AP41+AV41</f>
        <v>41.28449480064</v>
      </c>
      <c r="BT41" s="5">
        <f>H41+N41+T41+Z41+AF41+AL41+AR41+AX41</f>
        <v>41.38417785216</v>
      </c>
      <c r="BV41" s="5">
        <f>J41+P41+V41+AB41+AH41+AN41+AT41+AZ41</f>
        <v>35.127475968</v>
      </c>
      <c r="BX41" s="18">
        <f>AVERAGE(BR41,BT41,BV41)</f>
        <v>39.2653828736</v>
      </c>
    </row>
    <row r="42" spans="2:76" ht="12.75">
      <c r="B42" s="4" t="s">
        <v>261</v>
      </c>
      <c r="D42" s="4" t="s">
        <v>34</v>
      </c>
      <c r="E42" s="16"/>
      <c r="F42" s="18"/>
      <c r="I42" s="5"/>
      <c r="J42" s="16"/>
      <c r="N42" s="5"/>
      <c r="P42" s="63"/>
      <c r="AJ42" s="18">
        <f>AJ38/9000*(21-AJ39)/21*60</f>
        <v>51.149206349206345</v>
      </c>
      <c r="AL42" s="18">
        <f>AL38/9000*(21-AL39)/21*60</f>
        <v>50.42539682539683</v>
      </c>
      <c r="AN42" s="18">
        <f>AN38/9000*(21-AN39)/21*60</f>
        <v>54.04444444444445</v>
      </c>
      <c r="AP42" s="18"/>
      <c r="BR42" s="21">
        <f>BR38/9000*(21-BR39)/21*60</f>
        <v>51.149206349206345</v>
      </c>
      <c r="BS42" s="21"/>
      <c r="BT42" s="21">
        <f>BT38/9000*(21-BT39)/21*60</f>
        <v>50.42539682539683</v>
      </c>
      <c r="BU42" s="21"/>
      <c r="BV42" s="21">
        <f>BV38/9000*(21-BV39)/21*60</f>
        <v>54.04444444444445</v>
      </c>
      <c r="BX42" s="18">
        <f>AVERAGE(BR42,BT42,BV42)</f>
        <v>51.87301587301587</v>
      </c>
    </row>
    <row r="43" spans="5:40" ht="12.75">
      <c r="E43" s="16"/>
      <c r="F43" s="18"/>
      <c r="I43" s="5"/>
      <c r="J43" s="16"/>
      <c r="N43" s="5"/>
      <c r="P43" s="63"/>
      <c r="AJ43" s="18"/>
      <c r="AL43" s="18"/>
      <c r="AN43" s="18"/>
    </row>
    <row r="44" spans="8:76" ht="12.75">
      <c r="H44" s="19"/>
      <c r="J44" s="19"/>
      <c r="L44" s="4"/>
      <c r="N44" s="4"/>
      <c r="O44" s="19"/>
      <c r="P44" s="4"/>
      <c r="X44" s="16"/>
      <c r="Y44" s="16"/>
      <c r="Z44" s="16"/>
      <c r="AA44" s="16"/>
      <c r="AB44" s="16"/>
      <c r="AD44" s="16"/>
      <c r="AE44" s="16"/>
      <c r="AF44" s="16"/>
      <c r="AG44" s="16"/>
      <c r="AH44" s="16"/>
      <c r="AJ44" s="16"/>
      <c r="AL44" s="16"/>
      <c r="AN44" s="16"/>
      <c r="AP44" s="16"/>
      <c r="AR44" s="16"/>
      <c r="AT44" s="16"/>
      <c r="AV44" s="16"/>
      <c r="AX44" s="16"/>
      <c r="AZ44" s="16"/>
      <c r="BJ44" s="16"/>
      <c r="BL44" s="16"/>
      <c r="BN44" s="16"/>
      <c r="BO44" s="16"/>
      <c r="BP44" s="16"/>
      <c r="BR44" s="16"/>
      <c r="BT44" s="16"/>
      <c r="BV44" s="16"/>
      <c r="BX44" s="16"/>
    </row>
    <row r="45" spans="2:76" ht="12.75">
      <c r="B45" s="64" t="s">
        <v>50</v>
      </c>
      <c r="C45" s="64"/>
      <c r="F45" s="16"/>
      <c r="H45" s="16"/>
      <c r="I45" s="16"/>
      <c r="J45" s="16"/>
      <c r="L45" s="16"/>
      <c r="M45" s="16"/>
      <c r="N45" s="16"/>
      <c r="O45" s="16"/>
      <c r="P45" s="16"/>
      <c r="Q45" s="17"/>
      <c r="R45" s="16"/>
      <c r="S45" s="16"/>
      <c r="T45" s="16"/>
      <c r="U45" s="16"/>
      <c r="V45" s="16"/>
      <c r="W45" s="17"/>
      <c r="X45" s="16"/>
      <c r="Y45" s="16"/>
      <c r="Z45" s="16"/>
      <c r="AA45" s="16"/>
      <c r="AB45" s="16"/>
      <c r="AC45" s="17"/>
      <c r="AD45" s="16"/>
      <c r="AE45" s="16"/>
      <c r="AF45" s="16"/>
      <c r="AG45" s="16"/>
      <c r="AH45" s="16"/>
      <c r="AJ45" s="16"/>
      <c r="AK45" s="16"/>
      <c r="AL45" s="16"/>
      <c r="AM45" s="19"/>
      <c r="AN45" s="16"/>
      <c r="AP45" s="16"/>
      <c r="AQ45" s="16"/>
      <c r="AR45" s="16"/>
      <c r="AS45" s="19"/>
      <c r="AT45" s="16"/>
      <c r="AV45" s="16"/>
      <c r="AW45" s="16"/>
      <c r="AX45" s="16"/>
      <c r="AY45" s="19"/>
      <c r="AZ45" s="16"/>
      <c r="BJ45" s="16"/>
      <c r="BK45" s="16"/>
      <c r="BL45" s="16"/>
      <c r="BM45" s="19"/>
      <c r="BN45" s="16"/>
      <c r="BO45" s="16"/>
      <c r="BP45" s="16"/>
      <c r="BR45" s="16"/>
      <c r="BS45" s="16"/>
      <c r="BT45" s="16"/>
      <c r="BU45" s="19"/>
      <c r="BV45" s="16"/>
      <c r="BX45" s="16"/>
    </row>
    <row r="46" spans="2:76" ht="12.75">
      <c r="B46" s="4" t="s">
        <v>23</v>
      </c>
      <c r="D46" s="4" t="s">
        <v>41</v>
      </c>
      <c r="F46" s="5">
        <f>F$13*F15/100*1/60*1/(F$38*0.0283)*454*1000*(21-7)/(21-F$39)</f>
        <v>345.98215263473713</v>
      </c>
      <c r="H46" s="5">
        <f>H$13*H15/100*1/60*1/(H$38*0.0283)*454*1000*(21-7)/(21-H$39)</f>
        <v>272.6555698994388</v>
      </c>
      <c r="I46" s="5"/>
      <c r="J46" s="5">
        <f>J$13*J15/100*1/60*1/(J$38*0.0283)*454*1000*(21-7)/(21-J$39)</f>
        <v>98.550338106751</v>
      </c>
      <c r="K46" s="22"/>
      <c r="L46" s="5">
        <f>L$13*L15/100*1/60*1/(L$38*0.0283)*454*1000*(21-7)/(21-L$39)</f>
        <v>89.48843686842284</v>
      </c>
      <c r="M46" s="16"/>
      <c r="N46" s="5">
        <f>N$13*N15/100*1/60*1/(N$38*0.0283)*454*1000*(21-7)/(21-N$39)</f>
        <v>90.77295988567292</v>
      </c>
      <c r="O46" s="5"/>
      <c r="P46" s="5">
        <f>P$13*P15/100*1/60*1/(P$38*0.0283)*454*1000*(21-7)/(21-P$39)</f>
        <v>94.10490384973035</v>
      </c>
      <c r="R46" s="5">
        <f>R$13*R15/100*1/60*1/(R$38*0.0283)*454*1000*(21-7)/(21-R$39)</f>
        <v>409.2498463546694</v>
      </c>
      <c r="S46" s="16"/>
      <c r="T46" s="5">
        <f>T$13*T15/100*1/60*1/(T$38*0.0283)*454*1000*(21-7)/(21-T$39)</f>
        <v>397.50624092515255</v>
      </c>
      <c r="U46" s="5"/>
      <c r="V46" s="5">
        <f>V$13*V15/100*1/60*1/(V$38*0.0283)*454*1000*(21-7)/(21-V$39)</f>
        <v>385.6792903105822</v>
      </c>
      <c r="X46" s="5">
        <f>X$13*X15/100*1/60*1/(X$38*0.0283)*454*1000*(21-7)/(21-X$39)</f>
        <v>0</v>
      </c>
      <c r="Y46" s="16"/>
      <c r="Z46" s="5">
        <f>Z$13*Z15/100*1/60*1/(Z$38*0.0283)*454*1000*(21-7)/(21-Z$39)</f>
        <v>0</v>
      </c>
      <c r="AA46" s="5"/>
      <c r="AB46" s="5">
        <f>AB$13*AB15/100*1/60*1/(AB$38*0.0283)*454*1000*(21-7)/(21-AB$39)</f>
        <v>0</v>
      </c>
      <c r="AC46" s="7"/>
      <c r="AD46" s="5">
        <f>AD$13*AD15/100*1/60*1/(AD$38*0.0283)*454*1000*(21-7)/(21-AD$39)</f>
        <v>2288.6872486235925</v>
      </c>
      <c r="AE46" s="7"/>
      <c r="AF46" s="5">
        <f>AF$13*AF15/100*1/60*1/(AF$38*0.0283)*454*1000*(21-7)/(21-AF$39)</f>
        <v>3182.2945290173548</v>
      </c>
      <c r="AG46" s="7"/>
      <c r="AH46" s="5">
        <f>AH$13*AH15/100*1/60*1/(AH$38*0.0283)*454*1000*(21-7)/(21-AH$39)</f>
        <v>2899.0817184303514</v>
      </c>
      <c r="AJ46" s="5">
        <f>AJ$13*AJ15/100*1/60*1/(AJ$38*0.0283)*454*1000*(21-7)/(21-AJ$39)</f>
        <v>6795.402661347015</v>
      </c>
      <c r="AL46" s="5">
        <f>AL$13*AL15/100*1/60*1/(AL$38*0.0283)*454*1000*(21-7)/(21-AL$39)</f>
        <v>13599.01007866514</v>
      </c>
      <c r="AN46" s="5">
        <f>AN$13*AN15/100*1/60*1/(AN$38*0.0283)*454*1000*(21-7)/(21-AN$39)</f>
        <v>12927.590896410642</v>
      </c>
      <c r="AP46" s="5">
        <f>AP$13*AP15/100*1/60*1/(AP$38*0.0283)*454*1000*(21-7)/(21-AP$39)</f>
        <v>18752.61172382253</v>
      </c>
      <c r="AR46" s="5">
        <f>AR$13*AR15/100*1/60*1/(AR$38*0.0283)*454*1000*(21-7)/(21-AR$39)</f>
        <v>19490.98751579102</v>
      </c>
      <c r="AT46" s="5">
        <f>AT$13*AT15/100*1/60*1/(AT$38*0.0283)*454*1000*(21-7)/(21-AT$39)</f>
        <v>18284.62326033724</v>
      </c>
      <c r="AV46" s="5">
        <f>AV$13*AV15/100*1/60*1/(AV$38*0.0283)*454*1000*(21-7)/(21-AV$39)</f>
        <v>35288.25803299168</v>
      </c>
      <c r="AX46" s="5">
        <f>AX$13*AX15/100*1/60*1/(AX$38*0.0283)*454*1000*(21-7)/(21-AX$39)</f>
        <v>40151.98101429712</v>
      </c>
      <c r="AZ46" s="5">
        <f>AZ$13*AZ15/100*1/60*1/(AZ$38*0.0283)*454*1000*(21-7)/(21-AZ$39)</f>
        <v>35656.08726985309</v>
      </c>
      <c r="BB46" s="21">
        <f>F46+L46+R46+X46+AD46+AJ46+AP46+AV46</f>
        <v>63969.68010264265</v>
      </c>
      <c r="BC46" s="21"/>
      <c r="BD46" s="21">
        <f>H46+N46+T46+Z46+AF46+AL46+AR46+AX46</f>
        <v>77185.2079084809</v>
      </c>
      <c r="BE46" s="21"/>
      <c r="BF46" s="21">
        <f>J46+P46+V46+AB46+AH46+AN46+AT46+AZ46</f>
        <v>70345.71767729838</v>
      </c>
      <c r="BG46" s="21"/>
      <c r="BH46" s="21">
        <f>AVERAGE(BB46,BD46,BF46)</f>
        <v>70500.20189614064</v>
      </c>
      <c r="BR46" s="5">
        <f>BR$13*BR15/100*1/60*1/(BR$38*0.0283)*454*1000*(21-7)/(21-BR$39)</f>
        <v>63969.68010264265</v>
      </c>
      <c r="BT46" s="5">
        <f>BT$13*BT15/100*1/60*1/(BT$38*0.0283)*454*1000*(21-7)/(21-BT$39)</f>
        <v>77185.20790848088</v>
      </c>
      <c r="BV46" s="5">
        <f>BV$13*BV15/100*1/60*1/(BV$38*0.0283)*454*1000*(21-7)/(21-BV$39)</f>
        <v>70345.71767729838</v>
      </c>
      <c r="BX46" s="21">
        <f>AVERAGE(BR46,BT46,BV46)</f>
        <v>70500.20189614063</v>
      </c>
    </row>
    <row r="47" spans="2:76" ht="12.75">
      <c r="B47" s="4" t="s">
        <v>24</v>
      </c>
      <c r="D47" s="4" t="s">
        <v>36</v>
      </c>
      <c r="F47" s="7">
        <f>F$13*F16/100*1/60*1/(F$38*0.0283)*454*1000000*(21-7)/(21-F$39)</f>
        <v>14992.559947505273</v>
      </c>
      <c r="G47" s="65"/>
      <c r="H47" s="7">
        <f>H$13*H16/100*1/60*1/(H$38*0.0283)*454*1000000*(21-7)/(21-H$39)</f>
        <v>17040.973118714926</v>
      </c>
      <c r="I47" s="7"/>
      <c r="J47" s="7">
        <f>J$13*J16/100*1/60*1/(J$38*0.0283)*454*1000000*(21-7)/(21-J$39)</f>
        <v>5437.260033475916</v>
      </c>
      <c r="K47" s="7"/>
      <c r="L47" s="7">
        <f>L$13*L16/100*1/60*1/(L$38*0.0283)*454*1000000*(21-7)/(21-L$39)</f>
        <v>328124.2685175505</v>
      </c>
      <c r="M47" s="65"/>
      <c r="N47" s="7">
        <f>N$13*N16/100*1/60*1/(N$38*0.0283)*454*1000000*(21-7)/(21-N$39)</f>
        <v>242061.22636179437</v>
      </c>
      <c r="O47" s="7"/>
      <c r="P47" s="7">
        <f>P$13*P16/100*1/60*1/(P$38*0.0283)*454*1000000*(21-7)/(21-P$39)</f>
        <v>282314.7115491911</v>
      </c>
      <c r="Q47" s="21"/>
      <c r="R47" s="7">
        <f>R$13*R16/100*1/60*1/(R$38*0.0283)*454*1000000*(21-7)/(21-R$39)</f>
        <v>5056822.814152524</v>
      </c>
      <c r="S47" s="65"/>
      <c r="T47" s="7">
        <f>T$13*T16/100*1/60*1/(T$38*0.0283)*454*1000000*(21-7)/(21-T$39)</f>
        <v>5323329.191336838</v>
      </c>
      <c r="U47" s="7"/>
      <c r="V47" s="7">
        <f>V$13*V16/100*1/60*1/(V$38*0.0283)*454*1000000*(21-7)/(21-V$39)</f>
        <v>4788490.06509206</v>
      </c>
      <c r="W47" s="21"/>
      <c r="X47" s="7">
        <f>X$13*X16/100*1/60*1/(X$38*0.0283)*454*1000000*(21-7)/(21-X$39)</f>
        <v>14595273.113702321</v>
      </c>
      <c r="Y47" s="65"/>
      <c r="Z47" s="7">
        <f>Z$13*Z16/100*1/60*1/(Z$38*0.0283)*454*1000000*(21-7)/(21-Z$39)</f>
        <v>10841236.402960332</v>
      </c>
      <c r="AA47" s="7"/>
      <c r="AB47" s="7">
        <f>AB$13*AB16/100*1/60*1/(AB$38*0.0283)*454*1000000*(21-7)/(21-AB$39)</f>
        <v>12797520.52966338</v>
      </c>
      <c r="AC47" s="7"/>
      <c r="AD47" s="7">
        <f>AD$13*AD16/100*1/60*1/(AD$38*0.0283)*454*1000000*(21-7)/(21-AD$39)</f>
        <v>1600.4805934430715</v>
      </c>
      <c r="AE47" s="7"/>
      <c r="AF47" s="7">
        <f>AF$13*AF16/100*1/60*1/(AF$38*0.0283)*454*1000000*(21-7)/(21-AF$39)</f>
        <v>2306.010528273445</v>
      </c>
      <c r="AG47" s="7"/>
      <c r="AH47" s="7">
        <f>AH$13*AH16/100*1/60*1/(AH$38*0.0283)*454*1000000*(21-7)/(21-AH$39)</f>
        <v>2041.6068439650367</v>
      </c>
      <c r="AI47" s="21"/>
      <c r="AJ47" s="7">
        <f>AJ$13*AJ16/100*1/60*1/(AJ$38*0.0283)*454*1000000*(21-7)/(21-AJ$39)</f>
        <v>14171.85122283006</v>
      </c>
      <c r="AK47" s="21"/>
      <c r="AL47" s="7">
        <f>AL$13*AL16/100*1/60*1/(AL$38*0.0283)*454*1000000*(21-7)/(21-AL$39)</f>
        <v>14375.274924593168</v>
      </c>
      <c r="AM47" s="21"/>
      <c r="AN47" s="7">
        <f>AN$13*AN16/100*1/60*1/(AN$38*0.0283)*454*1000000*(21-7)/(21-AN$39)</f>
        <v>10818.06769574112</v>
      </c>
      <c r="AO47" s="21"/>
      <c r="AP47" s="7">
        <f>AP$13*AP16/100*1/60*1/(AP$38*0.0283)*454*1000000*(21-7)/(21-AP$39)</f>
        <v>6342.484235791158</v>
      </c>
      <c r="AQ47" s="21"/>
      <c r="AR47" s="7">
        <f>AR$13*AR16/100*1/60*1/(AR$38*0.0283)*454*1000000*(21-7)/(21-AR$39)</f>
        <v>15176.519756455746</v>
      </c>
      <c r="AS47" s="21"/>
      <c r="AT47" s="7">
        <f>AT$13*AT16/100*1/60*1/(AT$38*0.0283)*454*1000000*(21-7)/(21-AT$39)</f>
        <v>10169.423392846073</v>
      </c>
      <c r="AU47" s="21"/>
      <c r="AV47" s="7">
        <f>AV$13*AV16/100*1/60*1/(AV$38*0.0283)*454*1000000*(21-7)/(21-AV$39)</f>
        <v>15194.083114312887</v>
      </c>
      <c r="AW47" s="21"/>
      <c r="AX47" s="7">
        <f>AX$13*AX16/100*1/60*1/(AX$38*0.0283)*454*1000000*(21-7)/(21-AX$39)</f>
        <v>8653.444184115759</v>
      </c>
      <c r="AY47" s="21"/>
      <c r="AZ47" s="7">
        <f>AZ$13*AZ16/100*1/60*1/(AZ$38*0.0283)*454*1000000*(21-7)/(21-AZ$39)</f>
        <v>2701.2187325646273</v>
      </c>
      <c r="BA47" s="21"/>
      <c r="BB47" s="21">
        <f>F47+L47+R47+X47+AD47+AJ47+AP47+AV47</f>
        <v>20032521.65548628</v>
      </c>
      <c r="BC47" s="21"/>
      <c r="BD47" s="21">
        <f>H47+N47+T47+Z47+AF47+AL47+AR47+AX47</f>
        <v>16464179.043171115</v>
      </c>
      <c r="BE47" s="21"/>
      <c r="BF47" s="21">
        <f>J47+P47+V47+AB47+AH47+AN47+AT47+AZ47</f>
        <v>17899492.883003224</v>
      </c>
      <c r="BG47" s="21"/>
      <c r="BH47" s="21">
        <f>AVERAGE(BB47,BD47,BF47)</f>
        <v>18132064.527220204</v>
      </c>
      <c r="BI47" s="21"/>
      <c r="BJ47" s="21">
        <f>BR47-(F47+L47+R47+X47+AD47+AJ47+AP47+AV47)</f>
        <v>760604.3189938962</v>
      </c>
      <c r="BK47" s="21"/>
      <c r="BL47" s="21">
        <f>BT47-(H47+N47+T47+Z47+AF47+AL47+AR47+AX47)</f>
        <v>927547.0131399706</v>
      </c>
      <c r="BM47" s="21"/>
      <c r="BN47" s="21">
        <f>BV47-(J47+P47+V47+AB47+AH47+AN47+AT47+AZ47)</f>
        <v>834234.1023045704</v>
      </c>
      <c r="BO47" s="21"/>
      <c r="BP47" s="21">
        <f>AVERAGE(BJ47,BL47,BN47)</f>
        <v>840795.1448128124</v>
      </c>
      <c r="BQ47" s="21"/>
      <c r="BR47" s="7">
        <f>BR$13*BR16/100*1/60*1/(BR$38*0.0283)*454*1000000*(21-7)/(21-BR$39)</f>
        <v>20793125.974480174</v>
      </c>
      <c r="BS47" s="21"/>
      <c r="BT47" s="7">
        <f>BT$13*BT16/100*1/60*1/(BT$38*0.0283)*454*1000000*(21-7)/(21-BT$39)</f>
        <v>17391726.056311086</v>
      </c>
      <c r="BU47" s="21"/>
      <c r="BV47" s="7">
        <f>BV$13*BV16/100*1/60*1/(BV$38*0.0283)*454*1000000*(21-7)/(21-BV$39)</f>
        <v>18733726.985307794</v>
      </c>
      <c r="BW47" s="21"/>
      <c r="BX47" s="21">
        <f>AVERAGE(BR47,BT47,BV47)</f>
        <v>18972859.672033016</v>
      </c>
    </row>
    <row r="48" spans="5:42" ht="12.75">
      <c r="E48" s="16"/>
      <c r="F48" s="7"/>
      <c r="I48" s="7"/>
      <c r="J48" s="7"/>
      <c r="K48" s="7"/>
      <c r="P48" s="65"/>
      <c r="AP48" s="85"/>
    </row>
    <row r="49" spans="2:76" ht="12.75">
      <c r="B49" s="4" t="s">
        <v>58</v>
      </c>
      <c r="D49" s="4" t="s">
        <v>36</v>
      </c>
      <c r="E49" s="16">
        <v>100</v>
      </c>
      <c r="F49" s="6">
        <f>F22*F$13/1000000*1/60*1/(F$38*0.0283)*454*1000000*(21-7)/(21-F$39)</f>
        <v>0.5242153827799046</v>
      </c>
      <c r="G49" s="16">
        <v>100</v>
      </c>
      <c r="H49" s="6">
        <f>H22*H$13/1000000*1/60*1/(H$38*0.0283)*454*1000000*(21-7)/(21-H$39)</f>
        <v>0.5223286779682734</v>
      </c>
      <c r="I49" s="16">
        <v>100</v>
      </c>
      <c r="J49" s="6">
        <f aca="true" t="shared" si="0" ref="J49:J62">J22*J$13/1000000*1/60*1/(J$38*0.0283)*454*1000000*(21-7)/(21-J$39)</f>
        <v>0.15805988469406734</v>
      </c>
      <c r="K49" s="16"/>
      <c r="L49" s="6">
        <f aca="true" t="shared" si="1" ref="L49:L62">L22*L$13/1000000*1/60*1/(L$38*0.0283)*454*1000000*(21-7)/(21-L$39)</f>
        <v>2671.5964317621188</v>
      </c>
      <c r="M49" s="16"/>
      <c r="N49" s="6">
        <f aca="true" t="shared" si="2" ref="N49:N62">N22*N$13/1000000*1/60*1/(N$38*0.0283)*454*1000000*(21-7)/(21-N$39)</f>
        <v>2343.1852720207376</v>
      </c>
      <c r="O49" s="16"/>
      <c r="P49" s="6">
        <f aca="true" t="shared" si="3" ref="P49:P62">P22*P$13/1000000*1/60*1/(P$38*0.0283)*454*1000000*(21-7)/(21-P$39)</f>
        <v>2129.242268923192</v>
      </c>
      <c r="Q49" s="16">
        <f>Q22</f>
        <v>0</v>
      </c>
      <c r="R49" s="6">
        <f aca="true" t="shared" si="4" ref="R49:R62">R22*R$13/1000000*1/60*1/(R$38*0.0283)*454*1000000*(21-7)/(21-R$39)</f>
        <v>0.9408042444934928</v>
      </c>
      <c r="S49" s="16">
        <v>100</v>
      </c>
      <c r="T49" s="6">
        <f aca="true" t="shared" si="5" ref="T49:T62">T22*T$13/1000000*1/60*1/(T$38*0.0283)*454*1000000*(21-7)/(21-T$39)</f>
        <v>0.9298391600588365</v>
      </c>
      <c r="U49" s="16">
        <v>100</v>
      </c>
      <c r="V49" s="6">
        <f aca="true" t="shared" si="6" ref="V49:V62">V22*V$13/1000000*1/60*1/(V$38*0.0283)*454*1000000*(21-7)/(21-V$39)</f>
        <v>0.8666950344058029</v>
      </c>
      <c r="W49" s="16"/>
      <c r="X49" s="6">
        <f aca="true" t="shared" si="7" ref="X49:X62">X22*X$13/1000000*1/60*1/(X$38*0.0283)*454*1000000*(21-7)/(21-X$39)</f>
        <v>159.40230021790927</v>
      </c>
      <c r="Y49" s="16"/>
      <c r="Z49" s="6">
        <f aca="true" t="shared" si="8" ref="Z49:Z62">Z22*Z$13/1000000*1/60*1/(Z$38*0.0283)*454*1000000*(21-7)/(21-Z$39)</f>
        <v>758.0493870950258</v>
      </c>
      <c r="AA49" s="16"/>
      <c r="AB49" s="6">
        <f aca="true" t="shared" si="9" ref="AB49:AB62">AB22*AB$13/1000000*1/60*1/(AB$38*0.0283)*454*1000000*(21-7)/(21-AB$39)</f>
        <v>146.92017526501766</v>
      </c>
      <c r="AC49" s="16">
        <v>100</v>
      </c>
      <c r="AD49" s="6">
        <f aca="true" t="shared" si="10" ref="AD49:AD62">AD22*AD$13/1000000*1/60*1/(AD$38*0.0283)*454*1000000*(21-7)/(21-AD$39)</f>
        <v>3.2009611868861443</v>
      </c>
      <c r="AE49" s="16">
        <v>100</v>
      </c>
      <c r="AF49" s="6">
        <f aca="true" t="shared" si="11" ref="AF49:AF62">AF22*AF$13/1000000*1/60*1/(AF$38*0.0283)*454*1000000*(21-7)/(21-AF$39)</f>
        <v>4.61202105654689</v>
      </c>
      <c r="AG49" s="16">
        <v>100</v>
      </c>
      <c r="AH49" s="6">
        <f aca="true" t="shared" si="12" ref="AH49:AH62">AH22*AH$13/1000000*1/60*1/(AH$38*0.0283)*454*1000000*(21-7)/(21-AH$39)</f>
        <v>4.0832136879300736</v>
      </c>
      <c r="AI49" s="16"/>
      <c r="AJ49" s="6">
        <f aca="true" t="shared" si="13" ref="AJ49:AJ62">AJ22*AJ$13/1000000*1/60*1/(AJ$38*0.0283)*454*1000000*(21-7)/(21-AJ$39)</f>
        <v>36.279939130444966</v>
      </c>
      <c r="AK49" s="16"/>
      <c r="AL49" s="6">
        <f aca="true" t="shared" si="14" ref="AL49:AL62">AL22*AL$13/1000000*1/60*1/(AL$38*0.0283)*454*1000000*(21-7)/(21-AL$39)</f>
        <v>72.88264386768739</v>
      </c>
      <c r="AM49" s="16"/>
      <c r="AN49" s="6">
        <f aca="true" t="shared" si="15" ref="AN49:AN62">AN22*AN$13/1000000*1/60*1/(AN$38*0.0283)*454*1000000*(21-7)/(21-AN$39)</f>
        <v>70.45266586851403</v>
      </c>
      <c r="AO49" s="16"/>
      <c r="AP49" s="6">
        <f aca="true" t="shared" si="16" ref="AP49:AP62">AP22*AP$13/1000000*1/60*1/(AP$38*0.0283)*454*1000000*(21-7)/(21-AP$39)</f>
        <v>104.65098989055413</v>
      </c>
      <c r="AQ49" s="16"/>
      <c r="AR49" s="6">
        <f aca="true" t="shared" si="17" ref="AR49:AR62">AR22*AR$13/1000000*1/60*1/(AR$38*0.0283)*454*1000000*(21-7)/(21-AR$39)</f>
        <v>99.08099326714677</v>
      </c>
      <c r="AS49" s="16"/>
      <c r="AT49" s="6">
        <f aca="true" t="shared" si="18" ref="AT49:AT62">AT22*AT$13/1000000*1/60*1/(AT$38*0.0283)*454*1000000*(21-7)/(21-AT$39)</f>
        <v>75.66051004277479</v>
      </c>
      <c r="AU49" s="16">
        <v>100</v>
      </c>
      <c r="AV49" s="6">
        <f aca="true" t="shared" si="19" ref="AV49:AV62">AV22*AV$13/1000000*1/60*1/(AV$38*0.0283)*454*1000000*(21-7)/(21-AV$39)</f>
        <v>6.077633245725155</v>
      </c>
      <c r="AW49" s="16"/>
      <c r="AX49" s="6">
        <f aca="true" t="shared" si="20" ref="AX49:AX62">AX22*AX$13/1000000*1/60*1/(AX$38*0.0283)*454*1000000*(21-7)/(21-AX$39)</f>
        <v>18.17223278664309</v>
      </c>
      <c r="AY49" s="16"/>
      <c r="AZ49" s="6">
        <f aca="true" t="shared" si="21" ref="AZ49:AZ62">AZ22*AZ$13/1000000*1/60*1/(AZ$38*0.0283)*454*1000000*(21-7)/(21-AZ$39)</f>
        <v>19.294419518318765</v>
      </c>
      <c r="BA49" s="21"/>
      <c r="BB49" s="21">
        <f aca="true" t="shared" si="22" ref="BB49:BB64">F49+L49+R49+X49+AD49+AJ49+AP49+AV49</f>
        <v>2982.6732750609117</v>
      </c>
      <c r="BC49" s="21"/>
      <c r="BD49" s="21">
        <f aca="true" t="shared" si="23" ref="BD49:BD64">H49+N49+T49+Z49+AF49+AL49+AR49+AX49</f>
        <v>3297.4347179318147</v>
      </c>
      <c r="BE49" s="21"/>
      <c r="BF49" s="21">
        <f aca="true" t="shared" si="24" ref="BF49:BF64">J49+P49+V49+AB49+AH49+AN49+AT49+AZ49</f>
        <v>2446.678008224847</v>
      </c>
      <c r="BG49" s="21"/>
      <c r="BH49" s="21">
        <f aca="true" t="shared" si="25" ref="BH49:BH64">AVERAGE(BB49,BD49,BF49)</f>
        <v>2908.9286670725246</v>
      </c>
      <c r="BJ49" s="21">
        <f>BR49-(F49+L49+R49+X49+AD49+AJ49+AP49+AV49)</f>
        <v>13512.432246593755</v>
      </c>
      <c r="BL49" s="21">
        <f>BT49-(H49+N49+T49+Z49+AF49+AL49+AR49+AX49)</f>
        <v>18618.96803595614</v>
      </c>
      <c r="BN49" s="21">
        <f>BV49-(J49+P49+V49+AB49+AH49+AN49+AT49+AZ49)</f>
        <v>16462.952516851095</v>
      </c>
      <c r="BO49" s="21"/>
      <c r="BP49" s="21">
        <f>AVERAGE(BJ49,BL49,BN49)</f>
        <v>16198.117599800331</v>
      </c>
      <c r="BQ49" s="21">
        <f aca="true" t="shared" si="26" ref="BQ49:BQ62">(BA49*BB49+BI49*BJ49)/BR49</f>
        <v>0</v>
      </c>
      <c r="BR49" s="7">
        <f aca="true" t="shared" si="27" ref="BR49:BR62">BR$13*BR22/1000000*1/60*1/(BR$38*0.0283)*454*1000000*(21-7)/(21-BR$39)</f>
        <v>16495.105521654667</v>
      </c>
      <c r="BS49" s="21">
        <f aca="true" t="shared" si="28" ref="BS49:BS62">(BC49*BD49+BK49*BL49)/BT49</f>
        <v>0</v>
      </c>
      <c r="BT49" s="7">
        <f aca="true" t="shared" si="29" ref="BT49:BT62">BT$13*BT22/1000000*1/60*1/(BT$38*0.0283)*454*1000000*(21-7)/(21-BT$39)</f>
        <v>21916.402753887953</v>
      </c>
      <c r="BU49" s="21">
        <f aca="true" t="shared" si="30" ref="BU49:BU62">(BE49*BF49+BM49*BN49)/BV49</f>
        <v>0</v>
      </c>
      <c r="BV49" s="7">
        <f aca="true" t="shared" si="31" ref="BV49:BV62">BV$13*BV22/1000000*1/60*1/(BV$38*0.0283)*454*1000000*(21-7)/(21-BV$39)</f>
        <v>18909.630525075943</v>
      </c>
      <c r="BW49" s="21">
        <f aca="true" t="shared" si="32" ref="BW49:BW62">(BG49*BH49+BO49*BP49)/BX49</f>
        <v>0</v>
      </c>
      <c r="BX49" s="21">
        <f>AVERAGE(BR49,BT49,BV49)</f>
        <v>19107.046266872854</v>
      </c>
    </row>
    <row r="50" spans="2:76" ht="12.75">
      <c r="B50" s="4" t="s">
        <v>57</v>
      </c>
      <c r="D50" s="4" t="s">
        <v>36</v>
      </c>
      <c r="E50" s="16">
        <v>100</v>
      </c>
      <c r="F50" s="6">
        <f aca="true" t="shared" si="33" ref="F50:H62">F23*F$13/1000000*1/60*1/(F$38*0.0283)*454*1000000*(21-7)/(21-F$39)</f>
        <v>5.242153827799047</v>
      </c>
      <c r="G50" s="16">
        <v>100</v>
      </c>
      <c r="H50" s="6">
        <f t="shared" si="33"/>
        <v>5.223286779682735</v>
      </c>
      <c r="I50" s="16">
        <v>100</v>
      </c>
      <c r="J50" s="6">
        <f t="shared" si="0"/>
        <v>1.5805988469406735</v>
      </c>
      <c r="K50" s="16"/>
      <c r="L50" s="6">
        <f t="shared" si="1"/>
        <v>3645.8252057505592</v>
      </c>
      <c r="M50" s="16"/>
      <c r="N50" s="6">
        <f t="shared" si="2"/>
        <v>3270.2716187767687</v>
      </c>
      <c r="O50" s="16"/>
      <c r="P50" s="6">
        <f t="shared" si="3"/>
        <v>2129.242268923192</v>
      </c>
      <c r="Q50" s="16">
        <v>100</v>
      </c>
      <c r="R50" s="6">
        <f t="shared" si="4"/>
        <v>10.113645628305047</v>
      </c>
      <c r="S50" s="16">
        <v>100</v>
      </c>
      <c r="T50" s="6">
        <f t="shared" si="5"/>
        <v>9.298391600588365</v>
      </c>
      <c r="U50" s="16">
        <v>100</v>
      </c>
      <c r="V50" s="6">
        <f t="shared" si="6"/>
        <v>8.666950344058026</v>
      </c>
      <c r="W50" s="16">
        <v>100</v>
      </c>
      <c r="X50" s="6">
        <f t="shared" si="7"/>
        <v>249.5642262786642</v>
      </c>
      <c r="Y50" s="16"/>
      <c r="Z50" s="6">
        <f t="shared" si="8"/>
        <v>401.0001727427027</v>
      </c>
      <c r="AA50" s="16"/>
      <c r="AB50" s="6">
        <f t="shared" si="9"/>
        <v>222.70005513855307</v>
      </c>
      <c r="AC50" s="16">
        <v>100</v>
      </c>
      <c r="AD50" s="6">
        <f t="shared" si="10"/>
        <v>31.68951575017282</v>
      </c>
      <c r="AE50" s="16">
        <v>100</v>
      </c>
      <c r="AF50" s="6">
        <f t="shared" si="11"/>
        <v>45.65900845981422</v>
      </c>
      <c r="AG50" s="16">
        <v>100</v>
      </c>
      <c r="AH50" s="6">
        <f t="shared" si="12"/>
        <v>40.832136879300734</v>
      </c>
      <c r="AI50" s="16">
        <v>100</v>
      </c>
      <c r="AJ50" s="6">
        <f t="shared" si="13"/>
        <v>11.408340234378201</v>
      </c>
      <c r="AK50" s="16">
        <v>100</v>
      </c>
      <c r="AL50" s="6">
        <f t="shared" si="14"/>
        <v>24.006709124070593</v>
      </c>
      <c r="AM50" s="16">
        <v>100</v>
      </c>
      <c r="AN50" s="6">
        <f t="shared" si="15"/>
        <v>22.04181293007253</v>
      </c>
      <c r="AO50" s="16">
        <v>100</v>
      </c>
      <c r="AP50" s="6">
        <f t="shared" si="16"/>
        <v>36.36357628520265</v>
      </c>
      <c r="AQ50" s="16">
        <v>100</v>
      </c>
      <c r="AR50" s="6">
        <f t="shared" si="17"/>
        <v>37.94129939113936</v>
      </c>
      <c r="AS50" s="16">
        <v>100</v>
      </c>
      <c r="AT50" s="6">
        <f t="shared" si="18"/>
        <v>32.542154857107434</v>
      </c>
      <c r="AU50" s="16">
        <v>100</v>
      </c>
      <c r="AV50" s="6">
        <f t="shared" si="19"/>
        <v>61.915888690825</v>
      </c>
      <c r="AW50" s="16">
        <v>100</v>
      </c>
      <c r="AX50" s="6">
        <f t="shared" si="20"/>
        <v>67.49686463610291</v>
      </c>
      <c r="AY50" s="16">
        <v>100</v>
      </c>
      <c r="AZ50" s="6">
        <f t="shared" si="21"/>
        <v>61.74214245862006</v>
      </c>
      <c r="BA50" s="21">
        <f>(E50*F50+K50*L50+Q50*R50+W50*X50+AC50*AD50+AI50*AJ50+AO50*AP50+AU50*AV50)/BB50</f>
        <v>10.026778347315814</v>
      </c>
      <c r="BB50" s="21">
        <f t="shared" si="22"/>
        <v>4052.122552445906</v>
      </c>
      <c r="BC50" s="21">
        <f>(G50*H50+M50*N50+S50*T50+Y50*Z50+AE50*AF50+AK50*AL50+AQ50*AR50+AW50*AX50)/BD50</f>
        <v>4.911437490488908</v>
      </c>
      <c r="BD50" s="21">
        <f t="shared" si="23"/>
        <v>3860.8973515108696</v>
      </c>
      <c r="BE50" s="21">
        <f>(I50*J50+O50*P50+U50*V50+AA50*AB50+AG50*AH50+AM50*AN50+AS50*AT50+AY50*AZ50)/BF50</f>
        <v>6.644806049709096</v>
      </c>
      <c r="BF50" s="21">
        <f t="shared" si="24"/>
        <v>2519.3481203778447</v>
      </c>
      <c r="BG50" s="21">
        <f>AVERAGE(BA50*BB50,BC50*BD50,BE50*BF50)/BH50</f>
        <v>7.316926523511233</v>
      </c>
      <c r="BH50" s="21">
        <f t="shared" si="25"/>
        <v>3477.45600811154</v>
      </c>
      <c r="BJ50" s="21"/>
      <c r="BL50" s="21"/>
      <c r="BN50" s="21"/>
      <c r="BO50" s="21"/>
      <c r="BP50" s="21"/>
      <c r="BQ50" s="21">
        <f t="shared" si="26"/>
        <v>12.491632562285712</v>
      </c>
      <c r="BR50" s="7">
        <f t="shared" si="27"/>
        <v>3252.556018354441</v>
      </c>
      <c r="BS50" s="21">
        <f t="shared" si="28"/>
        <v>6.189665787076924</v>
      </c>
      <c r="BT50" s="7">
        <f t="shared" si="29"/>
        <v>3063.583180651003</v>
      </c>
      <c r="BU50" s="21">
        <f t="shared" si="30"/>
        <v>6.344605933333333</v>
      </c>
      <c r="BV50" s="7">
        <f t="shared" si="31"/>
        <v>2638.5530965222247</v>
      </c>
      <c r="BW50" s="21">
        <f t="shared" si="32"/>
        <v>8.524343191380026</v>
      </c>
      <c r="BX50" s="21">
        <f aca="true" t="shared" si="34" ref="BX50:BX64">AVERAGE(BR50,BT50,BV50)</f>
        <v>2984.8974318425567</v>
      </c>
    </row>
    <row r="51" spans="2:76" ht="12.75">
      <c r="B51" s="4" t="s">
        <v>85</v>
      </c>
      <c r="D51" s="4" t="s">
        <v>36</v>
      </c>
      <c r="E51" s="16">
        <v>100</v>
      </c>
      <c r="F51" s="6">
        <f t="shared" si="33"/>
        <v>3.145292296679428</v>
      </c>
      <c r="G51" s="16">
        <v>100</v>
      </c>
      <c r="H51" s="6">
        <f t="shared" si="33"/>
        <v>3.133972067809641</v>
      </c>
      <c r="I51" s="16">
        <v>100</v>
      </c>
      <c r="J51" s="6">
        <f t="shared" si="0"/>
        <v>0.9483593081644044</v>
      </c>
      <c r="K51" s="16">
        <v>100</v>
      </c>
      <c r="L51" s="6">
        <f t="shared" si="1"/>
        <v>24.104629459507834</v>
      </c>
      <c r="M51" s="16">
        <v>100</v>
      </c>
      <c r="N51" s="6">
        <f t="shared" si="2"/>
        <v>24.450628925433787</v>
      </c>
      <c r="O51" s="16">
        <v>100</v>
      </c>
      <c r="P51" s="6">
        <f t="shared" si="3"/>
        <v>22.813310024177056</v>
      </c>
      <c r="Q51" s="16">
        <v>100</v>
      </c>
      <c r="R51" s="6">
        <f t="shared" si="4"/>
        <v>5.880026528084328</v>
      </c>
      <c r="S51" s="16">
        <v>100</v>
      </c>
      <c r="T51" s="6">
        <f t="shared" si="5"/>
        <v>5.5790349603530185</v>
      </c>
      <c r="U51" s="16">
        <v>100</v>
      </c>
      <c r="V51" s="6">
        <f t="shared" si="6"/>
        <v>5.200170206434818</v>
      </c>
      <c r="W51" s="16"/>
      <c r="X51" s="6">
        <f t="shared" si="7"/>
        <v>398.50575054477315</v>
      </c>
      <c r="Y51" s="16"/>
      <c r="Z51" s="6">
        <f t="shared" si="8"/>
        <v>372.95527548407944</v>
      </c>
      <c r="AA51" s="16"/>
      <c r="AB51" s="6">
        <f t="shared" si="9"/>
        <v>311.2387923377349</v>
      </c>
      <c r="AC51" s="16">
        <v>100</v>
      </c>
      <c r="AD51" s="6">
        <f t="shared" si="10"/>
        <v>18.725622943283938</v>
      </c>
      <c r="AE51" s="16">
        <v>100</v>
      </c>
      <c r="AF51" s="6">
        <f t="shared" si="11"/>
        <v>26.980323180799306</v>
      </c>
      <c r="AG51" s="16">
        <v>100</v>
      </c>
      <c r="AH51" s="6">
        <f t="shared" si="12"/>
        <v>24.090960758787435</v>
      </c>
      <c r="AI51" s="16"/>
      <c r="AJ51" s="6">
        <f t="shared" si="13"/>
        <v>751.1081148099933</v>
      </c>
      <c r="AK51" s="16"/>
      <c r="AL51" s="6">
        <f t="shared" si="14"/>
        <v>500.2595673758424</v>
      </c>
      <c r="AM51" s="16"/>
      <c r="AN51" s="6">
        <f t="shared" si="15"/>
        <v>505.7446647758975</v>
      </c>
      <c r="AO51" s="16"/>
      <c r="AP51" s="6">
        <f t="shared" si="16"/>
        <v>1980.9692429787726</v>
      </c>
      <c r="AQ51" s="16"/>
      <c r="AR51" s="6">
        <f t="shared" si="17"/>
        <v>2005.4686821030803</v>
      </c>
      <c r="AS51" s="16"/>
      <c r="AT51" s="6">
        <f t="shared" si="18"/>
        <v>1728.8019767838327</v>
      </c>
      <c r="AU51" s="16"/>
      <c r="AV51" s="6">
        <f t="shared" si="19"/>
        <v>2962.846207291013</v>
      </c>
      <c r="AW51" s="16"/>
      <c r="AX51" s="6">
        <f t="shared" si="20"/>
        <v>2868.616747034373</v>
      </c>
      <c r="AY51" s="16"/>
      <c r="AZ51" s="6">
        <f t="shared" si="21"/>
        <v>2944.3284184954437</v>
      </c>
      <c r="BA51" s="21">
        <f>(E51*F51+K51*L51+Q51*R51+W51*X51+AC51*AD51+AI51*AJ51+AO51*AP51+AU51*AV51)/BB51</f>
        <v>0.8438269694949536</v>
      </c>
      <c r="BB51" s="21">
        <f t="shared" si="22"/>
        <v>6145.284886852107</v>
      </c>
      <c r="BC51" s="21">
        <f>(G51*H51+M51*N51+S51*T51+Y51*Z51+AE51*AF51+AK51*AL51+AQ51*AR51+AW51*AX51)/BD51</f>
        <v>1.0356355866834512</v>
      </c>
      <c r="BD51" s="21">
        <f t="shared" si="23"/>
        <v>5807.444231131771</v>
      </c>
      <c r="BE51" s="21">
        <f>(I51*J51+O51*P51+U51*V51+AA51*AB51+AG51*AH51+AM51*AN51+AS51*AT51+AY51*AZ51)/BF51</f>
        <v>0.9570847066597504</v>
      </c>
      <c r="BF51" s="21">
        <f t="shared" si="24"/>
        <v>5543.166652690473</v>
      </c>
      <c r="BG51" s="21">
        <f>AVERAGE(BA51*BB51,BC51*BD51,BE51*BF51)/BH51</f>
        <v>0.9433774230420745</v>
      </c>
      <c r="BH51" s="21">
        <f t="shared" si="25"/>
        <v>5831.96525689145</v>
      </c>
      <c r="BJ51" s="21"/>
      <c r="BL51" s="21"/>
      <c r="BN51" s="21"/>
      <c r="BO51" s="21"/>
      <c r="BP51" s="21"/>
      <c r="BQ51" s="21">
        <f t="shared" si="26"/>
        <v>0.009110298122448979</v>
      </c>
      <c r="BR51" s="7">
        <f t="shared" si="27"/>
        <v>569197.3032120271</v>
      </c>
      <c r="BS51" s="21">
        <f t="shared" si="28"/>
        <v>0.011193627284210528</v>
      </c>
      <c r="BT51" s="7">
        <f t="shared" si="29"/>
        <v>537305.3578372529</v>
      </c>
      <c r="BU51" s="21">
        <f t="shared" si="30"/>
        <v>0.010223785220338987</v>
      </c>
      <c r="BV51" s="7">
        <f t="shared" si="31"/>
        <v>518915.4423160374</v>
      </c>
      <c r="BW51" s="21">
        <f t="shared" si="32"/>
        <v>0.010154453818238237</v>
      </c>
      <c r="BX51" s="21">
        <f t="shared" si="34"/>
        <v>541806.0344551058</v>
      </c>
    </row>
    <row r="52" spans="2:76" ht="12.75">
      <c r="B52" s="4" t="s">
        <v>59</v>
      </c>
      <c r="D52" s="4" t="s">
        <v>36</v>
      </c>
      <c r="E52" s="16">
        <v>100</v>
      </c>
      <c r="F52" s="6">
        <f t="shared" si="33"/>
        <v>0.5242153827799046</v>
      </c>
      <c r="G52" s="16">
        <v>100</v>
      </c>
      <c r="H52" s="6">
        <f t="shared" si="33"/>
        <v>0.5223286779682734</v>
      </c>
      <c r="I52" s="16">
        <v>100</v>
      </c>
      <c r="J52" s="6">
        <f t="shared" si="0"/>
        <v>0.15805988469406734</v>
      </c>
      <c r="K52" s="16">
        <v>100</v>
      </c>
      <c r="L52" s="6">
        <f t="shared" si="1"/>
        <v>4.0174382432513065</v>
      </c>
      <c r="M52" s="16">
        <v>100</v>
      </c>
      <c r="N52" s="6">
        <f t="shared" si="2"/>
        <v>4.075104820905631</v>
      </c>
      <c r="O52" s="16">
        <v>100</v>
      </c>
      <c r="P52" s="6">
        <f t="shared" si="3"/>
        <v>3.802218337362843</v>
      </c>
      <c r="Q52" s="16">
        <v>100</v>
      </c>
      <c r="R52" s="6">
        <f t="shared" si="4"/>
        <v>0.9408042444934928</v>
      </c>
      <c r="S52" s="16">
        <v>100</v>
      </c>
      <c r="T52" s="6">
        <f t="shared" si="5"/>
        <v>0.9298391600588365</v>
      </c>
      <c r="U52" s="16">
        <v>100</v>
      </c>
      <c r="V52" s="6">
        <f t="shared" si="6"/>
        <v>0.8666950344058029</v>
      </c>
      <c r="W52" s="16">
        <v>100</v>
      </c>
      <c r="X52" s="6">
        <f t="shared" si="7"/>
        <v>8.966379387257398</v>
      </c>
      <c r="Y52" s="16">
        <v>100</v>
      </c>
      <c r="Z52" s="6">
        <f t="shared" si="8"/>
        <v>8.371611121977091</v>
      </c>
      <c r="AA52" s="16">
        <v>100</v>
      </c>
      <c r="AB52" s="6">
        <f t="shared" si="9"/>
        <v>6.572744682908686</v>
      </c>
      <c r="AC52" s="16">
        <v>100</v>
      </c>
      <c r="AD52" s="6">
        <f t="shared" si="10"/>
        <v>3.0409131275418364</v>
      </c>
      <c r="AE52" s="16">
        <v>100</v>
      </c>
      <c r="AF52" s="6">
        <f t="shared" si="11"/>
        <v>4.381420003719547</v>
      </c>
      <c r="AG52" s="16">
        <v>100</v>
      </c>
      <c r="AH52" s="6">
        <f t="shared" si="12"/>
        <v>4.0832136879300736</v>
      </c>
      <c r="AI52" s="16"/>
      <c r="AJ52" s="6">
        <f t="shared" si="13"/>
        <v>4.534992391305621</v>
      </c>
      <c r="AK52" s="16"/>
      <c r="AL52" s="6">
        <f t="shared" si="14"/>
        <v>8.337659456264038</v>
      </c>
      <c r="AM52" s="16"/>
      <c r="AN52" s="6">
        <f t="shared" si="15"/>
        <v>8.924905848986425</v>
      </c>
      <c r="AO52" s="16"/>
      <c r="AP52" s="6">
        <f t="shared" si="16"/>
        <v>15.856210589477895</v>
      </c>
      <c r="AQ52" s="16"/>
      <c r="AR52" s="6">
        <f t="shared" si="17"/>
        <v>19.94628310848469</v>
      </c>
      <c r="AS52" s="16"/>
      <c r="AT52" s="6">
        <f t="shared" si="18"/>
        <v>17.288019767838325</v>
      </c>
      <c r="AU52" s="16"/>
      <c r="AV52" s="6">
        <f t="shared" si="19"/>
        <v>378.33266954639095</v>
      </c>
      <c r="AW52" s="16"/>
      <c r="AX52" s="6">
        <f t="shared" si="20"/>
        <v>449.9790975740194</v>
      </c>
      <c r="AY52" s="16"/>
      <c r="AZ52" s="6">
        <f t="shared" si="21"/>
        <v>401.3239259810304</v>
      </c>
      <c r="BA52" s="21">
        <f>(E52*F52+K52*L52+Q52*R52+W52*X52+AC52*AD52+AI52*AJ52+AO52*AP52+AU52*AV52)/BB52</f>
        <v>4.202109066718571</v>
      </c>
      <c r="BB52" s="21">
        <f t="shared" si="22"/>
        <v>416.2136229124984</v>
      </c>
      <c r="BC52" s="21">
        <f>(G52*H52+M52*N52+S52*T52+Y52*Z52+AE52*AF52+AK52*AL52+AQ52*AR52+AW52*AX52)/BD52</f>
        <v>3.6815121999600318</v>
      </c>
      <c r="BD52" s="21">
        <f t="shared" si="23"/>
        <v>496.5433439233975</v>
      </c>
      <c r="BE52" s="21">
        <f>(I52*J52+O52*P52+U52*V52+AA52*AB52+AG52*AH52+AM52*AN52+AS52*AT52+AY52*AZ52)/BF52</f>
        <v>3.494862354585316</v>
      </c>
      <c r="BF52" s="21">
        <f t="shared" si="24"/>
        <v>443.01978322515663</v>
      </c>
      <c r="BG52" s="21">
        <f>AVERAGE(BA52*BB52,BC52*BD52,BE52*BF52)/BH52</f>
        <v>3.78034110667164</v>
      </c>
      <c r="BH52" s="21">
        <f t="shared" si="25"/>
        <v>451.9255833536842</v>
      </c>
      <c r="BJ52" s="21"/>
      <c r="BL52" s="21"/>
      <c r="BN52" s="21"/>
      <c r="BO52" s="21"/>
      <c r="BP52" s="21"/>
      <c r="BQ52" s="21">
        <f t="shared" si="26"/>
        <v>0.04376817265116279</v>
      </c>
      <c r="BR52" s="7">
        <f t="shared" si="27"/>
        <v>39959.97393978313</v>
      </c>
      <c r="BS52" s="21">
        <f t="shared" si="28"/>
        <v>0.038212112394088685</v>
      </c>
      <c r="BT52" s="7">
        <f t="shared" si="29"/>
        <v>47839.02966708874</v>
      </c>
      <c r="BU52" s="21">
        <f t="shared" si="30"/>
        <v>0.036296677608247424</v>
      </c>
      <c r="BV52" s="7">
        <f t="shared" si="31"/>
        <v>42656.60839377597</v>
      </c>
      <c r="BW52" s="21">
        <f t="shared" si="32"/>
        <v>0.03928768184921034</v>
      </c>
      <c r="BX52" s="21">
        <f t="shared" si="34"/>
        <v>43485.20400021595</v>
      </c>
    </row>
    <row r="53" spans="2:76" ht="12.75">
      <c r="B53" s="4" t="s">
        <v>60</v>
      </c>
      <c r="D53" s="4" t="s">
        <v>36</v>
      </c>
      <c r="E53" s="16"/>
      <c r="F53" s="6">
        <f t="shared" si="33"/>
        <v>0.686722151441675</v>
      </c>
      <c r="G53" s="16">
        <v>100</v>
      </c>
      <c r="H53" s="6">
        <f t="shared" si="33"/>
        <v>0.5223286779682734</v>
      </c>
      <c r="I53" s="16">
        <v>100</v>
      </c>
      <c r="J53" s="6">
        <f t="shared" si="0"/>
        <v>0.15805988469406734</v>
      </c>
      <c r="K53" s="16"/>
      <c r="L53" s="6">
        <f t="shared" si="1"/>
        <v>68.29645013527221</v>
      </c>
      <c r="M53" s="16"/>
      <c r="N53" s="6">
        <f t="shared" si="2"/>
        <v>74.06503011995983</v>
      </c>
      <c r="O53" s="16"/>
      <c r="P53" s="6">
        <f t="shared" si="3"/>
        <v>70.05587286591037</v>
      </c>
      <c r="Q53" s="16">
        <v>100</v>
      </c>
      <c r="R53" s="6">
        <f t="shared" si="4"/>
        <v>0.9408042444934928</v>
      </c>
      <c r="S53" s="16"/>
      <c r="T53" s="6">
        <f t="shared" si="5"/>
        <v>1.1622989500735457</v>
      </c>
      <c r="U53" s="16">
        <v>100</v>
      </c>
      <c r="V53" s="6">
        <f t="shared" si="6"/>
        <v>0.8666950344058029</v>
      </c>
      <c r="W53" s="16">
        <v>100</v>
      </c>
      <c r="X53" s="6">
        <f t="shared" si="7"/>
        <v>9.464511575438362</v>
      </c>
      <c r="Y53" s="16"/>
      <c r="Z53" s="6">
        <f t="shared" si="8"/>
        <v>8.371611121977091</v>
      </c>
      <c r="AA53" s="16"/>
      <c r="AB53" s="6">
        <f t="shared" si="9"/>
        <v>9.665801004277478</v>
      </c>
      <c r="AC53" s="16">
        <v>100</v>
      </c>
      <c r="AD53" s="6">
        <f t="shared" si="10"/>
        <v>3.0409131275418364</v>
      </c>
      <c r="AE53" s="16">
        <v>100</v>
      </c>
      <c r="AF53" s="6">
        <f t="shared" si="11"/>
        <v>4.381420003719547</v>
      </c>
      <c r="AG53" s="16">
        <v>100</v>
      </c>
      <c r="AH53" s="6">
        <f t="shared" si="12"/>
        <v>4.0832136879300736</v>
      </c>
      <c r="AI53" s="16"/>
      <c r="AJ53" s="6">
        <f t="shared" si="13"/>
        <v>6.802488586958431</v>
      </c>
      <c r="AK53" s="16"/>
      <c r="AL53" s="6">
        <f t="shared" si="14"/>
        <v>13.656511178363512</v>
      </c>
      <c r="AM53" s="16"/>
      <c r="AN53" s="6">
        <f t="shared" si="15"/>
        <v>7.0317440022317275</v>
      </c>
      <c r="AO53" s="16"/>
      <c r="AP53" s="6">
        <f t="shared" si="16"/>
        <v>20.718781836917785</v>
      </c>
      <c r="AQ53" s="16"/>
      <c r="AR53" s="6">
        <f t="shared" si="17"/>
        <v>16.910979157193538</v>
      </c>
      <c r="AS53" s="16"/>
      <c r="AT53" s="6">
        <f t="shared" si="18"/>
        <v>22.169342996404442</v>
      </c>
      <c r="AU53" s="16"/>
      <c r="AV53" s="6">
        <f t="shared" si="19"/>
        <v>29.628462072910136</v>
      </c>
      <c r="AW53" s="16"/>
      <c r="AX53" s="6">
        <f t="shared" si="20"/>
        <v>31.152399062816727</v>
      </c>
      <c r="AY53" s="16"/>
      <c r="AZ53" s="6">
        <f t="shared" si="21"/>
        <v>32.8005131811419</v>
      </c>
      <c r="BA53" s="21">
        <f>(E53*F53+K53*L53+Q53*R53+W53*X53+AC53*AD53+AI53*AJ53+AO53*AP53+AU53*AV53)/BB53</f>
        <v>9.633409083473806</v>
      </c>
      <c r="BB53" s="21">
        <f t="shared" si="22"/>
        <v>139.57913373097392</v>
      </c>
      <c r="BC53" s="21">
        <f>(G53*H53+M53*N53+S53*T53+Y53*Z53+AE53*AF53+AK53*AL53+AQ53*AR53+AW53*AX53)/BD53</f>
        <v>3.2643220067801737</v>
      </c>
      <c r="BD53" s="21">
        <f t="shared" si="23"/>
        <v>150.22257827207207</v>
      </c>
      <c r="BE53" s="21">
        <f>(I53*J53+O53*P53+U53*V53+AA53*AB53+AG53*AH53+AM53*AN53+AS53*AT53+AY53*AZ53)/BF53</f>
        <v>3.4788022730028785</v>
      </c>
      <c r="BF53" s="21">
        <f t="shared" si="24"/>
        <v>146.83124265699587</v>
      </c>
      <c r="BG53" s="21">
        <f>AVERAGE(BA53*BB53,BC53*BD53,BE53*BF53)/BH53</f>
        <v>5.372463527049988</v>
      </c>
      <c r="BH53" s="21">
        <f t="shared" si="25"/>
        <v>145.54431822001393</v>
      </c>
      <c r="BJ53" s="21">
        <f>BR53-(F53+L53+R53+X53+AD53+AJ53+AP53+AV53)</f>
        <v>5668.556613330527</v>
      </c>
      <c r="BL53" s="21">
        <f>BT53-(H53+N53+T53+Z53+AF53+AL53+AR53+AX53)</f>
        <v>6212.604027695397</v>
      </c>
      <c r="BN53" s="21">
        <f>BV53-(J53+P53+V53+AB53+AH53+AN53+AT53+AZ53)</f>
        <v>6229.672073938379</v>
      </c>
      <c r="BO53" s="21"/>
      <c r="BP53" s="21">
        <f>AVERAGE(BJ53,BL53,BN53)</f>
        <v>6036.944238321435</v>
      </c>
      <c r="BQ53" s="21">
        <f t="shared" si="26"/>
        <v>0.23150679551999995</v>
      </c>
      <c r="BR53" s="7">
        <f t="shared" si="27"/>
        <v>5808.135747061501</v>
      </c>
      <c r="BS53" s="21">
        <f t="shared" si="28"/>
        <v>0.07706871466666666</v>
      </c>
      <c r="BT53" s="7">
        <f t="shared" si="29"/>
        <v>6362.82660596747</v>
      </c>
      <c r="BU53" s="21">
        <f t="shared" si="30"/>
        <v>0.08010610758620694</v>
      </c>
      <c r="BV53" s="7">
        <f t="shared" si="31"/>
        <v>6376.503316595375</v>
      </c>
      <c r="BW53" s="21">
        <f t="shared" si="32"/>
        <v>0.12647521043594182</v>
      </c>
      <c r="BX53" s="21">
        <f t="shared" si="34"/>
        <v>6182.488556541449</v>
      </c>
    </row>
    <row r="54" spans="2:76" ht="12.75">
      <c r="B54" s="4" t="s">
        <v>67</v>
      </c>
      <c r="D54" s="4" t="s">
        <v>36</v>
      </c>
      <c r="E54" s="16"/>
      <c r="F54" s="6">
        <f t="shared" si="33"/>
        <v>13.760653797972497</v>
      </c>
      <c r="H54" s="6">
        <f t="shared" si="33"/>
        <v>1.6975682033968893</v>
      </c>
      <c r="I54" s="16">
        <v>100</v>
      </c>
      <c r="J54" s="6">
        <f t="shared" si="0"/>
        <v>0.4741796540822022</v>
      </c>
      <c r="K54" s="16"/>
      <c r="L54" s="6">
        <f t="shared" si="1"/>
        <v>916.9802790221106</v>
      </c>
      <c r="M54" s="16"/>
      <c r="N54" s="6">
        <f t="shared" si="2"/>
        <v>853.7344599797294</v>
      </c>
      <c r="O54" s="16"/>
      <c r="P54" s="6">
        <f t="shared" si="3"/>
        <v>766.1469949786127</v>
      </c>
      <c r="Q54" s="16"/>
      <c r="R54" s="6">
        <f t="shared" si="4"/>
        <v>3.9984180390973445</v>
      </c>
      <c r="S54" s="16"/>
      <c r="T54" s="6">
        <f t="shared" si="5"/>
        <v>3.2544370602059276</v>
      </c>
      <c r="U54" s="16"/>
      <c r="V54" s="6">
        <f t="shared" si="6"/>
        <v>3.4667801376232115</v>
      </c>
      <c r="W54" s="16"/>
      <c r="X54" s="6">
        <f t="shared" si="7"/>
        <v>387.54684240479196</v>
      </c>
      <c r="Y54" s="16"/>
      <c r="Z54" s="6">
        <f t="shared" si="8"/>
        <v>510.6682784406024</v>
      </c>
      <c r="AA54" s="16"/>
      <c r="AB54" s="6">
        <f t="shared" si="9"/>
        <v>267.16273975822946</v>
      </c>
      <c r="AC54" s="16">
        <v>100</v>
      </c>
      <c r="AD54" s="6">
        <f t="shared" si="10"/>
        <v>9.282787441969816</v>
      </c>
      <c r="AE54" s="16">
        <v>100</v>
      </c>
      <c r="AF54" s="6">
        <f t="shared" si="11"/>
        <v>13.374861063985984</v>
      </c>
      <c r="AG54" s="16">
        <v>100</v>
      </c>
      <c r="AH54" s="6">
        <f t="shared" si="12"/>
        <v>12.045480379393718</v>
      </c>
      <c r="AI54" s="16"/>
      <c r="AJ54" s="6">
        <f t="shared" si="13"/>
        <v>96.36858831524441</v>
      </c>
      <c r="AK54" s="16"/>
      <c r="AL54" s="6">
        <f t="shared" si="14"/>
        <v>192.62868398954853</v>
      </c>
      <c r="AM54" s="16"/>
      <c r="AN54" s="6">
        <f t="shared" si="15"/>
        <v>173.08908313185793</v>
      </c>
      <c r="AO54" s="16"/>
      <c r="AP54" s="6">
        <f t="shared" si="16"/>
        <v>443.9738965053811</v>
      </c>
      <c r="AQ54" s="16"/>
      <c r="AR54" s="6">
        <f t="shared" si="17"/>
        <v>407.59795917338283</v>
      </c>
      <c r="AS54" s="16"/>
      <c r="AT54" s="6">
        <f t="shared" si="18"/>
        <v>351.86204939247415</v>
      </c>
      <c r="AU54" s="16"/>
      <c r="AV54" s="6">
        <f t="shared" si="19"/>
        <v>2058.798261989396</v>
      </c>
      <c r="AW54" s="16"/>
      <c r="AX54" s="6">
        <f t="shared" si="20"/>
        <v>2777.7555831011587</v>
      </c>
      <c r="AY54" s="16"/>
      <c r="AZ54" s="6">
        <f t="shared" si="21"/>
        <v>2504.4156534777762</v>
      </c>
      <c r="BA54" s="21"/>
      <c r="BB54" s="21">
        <f t="shared" si="22"/>
        <v>3930.709727515964</v>
      </c>
      <c r="BC54" s="21"/>
      <c r="BD54" s="21">
        <f t="shared" si="23"/>
        <v>4760.71183101201</v>
      </c>
      <c r="BE54" s="21"/>
      <c r="BF54" s="21">
        <f t="shared" si="24"/>
        <v>4078.6629609100496</v>
      </c>
      <c r="BG54" s="21"/>
      <c r="BH54" s="21">
        <f t="shared" si="25"/>
        <v>4256.694839812674</v>
      </c>
      <c r="BJ54" s="21">
        <f>BR54-(F54+L54+R54+X54+AD54+AJ54+AP54+AV54)</f>
        <v>256273.77174083923</v>
      </c>
      <c r="BL54" s="21">
        <f>BT54-(H54+N54+T54+Z54+AF54+AL54+AR54+AX54)</f>
        <v>334590.04048725305</v>
      </c>
      <c r="BN54" s="21">
        <f>BV54-(J54+P54+V54+AB54+AH54+AN54+AT54+AZ54)</f>
        <v>299354.9431391458</v>
      </c>
      <c r="BO54" s="21"/>
      <c r="BP54" s="21">
        <f>AVERAGE(BJ54,BL54,BN54)</f>
        <v>296739.5851224127</v>
      </c>
      <c r="BQ54" s="21">
        <f t="shared" si="26"/>
        <v>0</v>
      </c>
      <c r="BR54" s="7">
        <f t="shared" si="27"/>
        <v>260204.4814683552</v>
      </c>
      <c r="BS54" s="21">
        <f t="shared" si="28"/>
        <v>0</v>
      </c>
      <c r="BT54" s="7">
        <f t="shared" si="29"/>
        <v>339350.75231826503</v>
      </c>
      <c r="BU54" s="21">
        <f t="shared" si="30"/>
        <v>0</v>
      </c>
      <c r="BV54" s="7">
        <f t="shared" si="31"/>
        <v>303433.60610005585</v>
      </c>
      <c r="BW54" s="21">
        <f t="shared" si="32"/>
        <v>0</v>
      </c>
      <c r="BX54" s="21">
        <f t="shared" si="34"/>
        <v>300996.27996222535</v>
      </c>
    </row>
    <row r="55" spans="2:76" ht="12.75">
      <c r="B55" s="4" t="s">
        <v>86</v>
      </c>
      <c r="D55" s="4" t="s">
        <v>36</v>
      </c>
      <c r="E55" s="16"/>
      <c r="F55" s="6">
        <f t="shared" si="33"/>
        <v>29.880276818454565</v>
      </c>
      <c r="H55" s="6">
        <f t="shared" si="33"/>
        <v>9.715313410209887</v>
      </c>
      <c r="I55" s="16"/>
      <c r="J55" s="6">
        <f t="shared" si="0"/>
        <v>1.9006701134461597</v>
      </c>
      <c r="K55" s="16"/>
      <c r="L55" s="6">
        <f t="shared" si="1"/>
        <v>26.012912625052202</v>
      </c>
      <c r="M55" s="16"/>
      <c r="N55" s="6">
        <f t="shared" si="2"/>
        <v>47.88248164564116</v>
      </c>
      <c r="O55" s="16"/>
      <c r="P55" s="6">
        <f t="shared" si="3"/>
        <v>62.451436191184705</v>
      </c>
      <c r="Q55" s="16"/>
      <c r="R55" s="6">
        <f t="shared" si="4"/>
        <v>7.526433955947942</v>
      </c>
      <c r="S55" s="16"/>
      <c r="T55" s="6">
        <f t="shared" si="5"/>
        <v>19.759082151250276</v>
      </c>
      <c r="U55" s="16"/>
      <c r="V55" s="6">
        <f t="shared" si="6"/>
        <v>17.767248205318953</v>
      </c>
      <c r="W55" s="16"/>
      <c r="X55" s="6">
        <f t="shared" si="7"/>
        <v>1210461.2172797485</v>
      </c>
      <c r="Y55" s="16"/>
      <c r="Z55" s="6">
        <f t="shared" si="8"/>
        <v>1141343.602314747</v>
      </c>
      <c r="AA55" s="16"/>
      <c r="AB55" s="6">
        <f t="shared" si="9"/>
        <v>943382.1780174819</v>
      </c>
      <c r="AC55" s="16">
        <v>100</v>
      </c>
      <c r="AD55" s="6">
        <f t="shared" si="10"/>
        <v>9.282787441969816</v>
      </c>
      <c r="AE55" s="16">
        <v>100</v>
      </c>
      <c r="AF55" s="6">
        <f t="shared" si="11"/>
        <v>13.374861063985984</v>
      </c>
      <c r="AG55" s="16"/>
      <c r="AH55" s="6">
        <f t="shared" si="12"/>
        <v>54.10258136507348</v>
      </c>
      <c r="AI55" s="16"/>
      <c r="AJ55" s="6">
        <f t="shared" si="13"/>
        <v>194.86295431391335</v>
      </c>
      <c r="AK55" s="16"/>
      <c r="AL55" s="6">
        <f t="shared" si="14"/>
        <v>403.9452253810681</v>
      </c>
      <c r="AM55" s="16"/>
      <c r="AN55" s="6">
        <f t="shared" si="15"/>
        <v>352.9394585735541</v>
      </c>
      <c r="AO55" s="16"/>
      <c r="AP55" s="6">
        <f t="shared" si="16"/>
        <v>517.9695459229446</v>
      </c>
      <c r="AQ55" s="16"/>
      <c r="AR55" s="6">
        <f t="shared" si="17"/>
        <v>594.0523447526962</v>
      </c>
      <c r="AS55" s="16"/>
      <c r="AT55" s="6">
        <f t="shared" si="18"/>
        <v>547.1149785351187</v>
      </c>
      <c r="AU55" s="16"/>
      <c r="AV55" s="6">
        <f t="shared" si="19"/>
        <v>395.046160972135</v>
      </c>
      <c r="AW55" s="16"/>
      <c r="AX55" s="6">
        <f t="shared" si="20"/>
        <v>413.20195979152754</v>
      </c>
      <c r="AY55" s="16"/>
      <c r="AZ55" s="6">
        <f t="shared" si="21"/>
        <v>369.6810779709877</v>
      </c>
      <c r="BA55" s="21"/>
      <c r="BB55" s="21">
        <f t="shared" si="22"/>
        <v>1211641.798351799</v>
      </c>
      <c r="BC55" s="21"/>
      <c r="BD55" s="21">
        <f t="shared" si="23"/>
        <v>1142845.5335829433</v>
      </c>
      <c r="BE55" s="21"/>
      <c r="BF55" s="21">
        <f t="shared" si="24"/>
        <v>944788.1354684366</v>
      </c>
      <c r="BG55" s="21"/>
      <c r="BH55" s="21">
        <f t="shared" si="25"/>
        <v>1099758.489134393</v>
      </c>
      <c r="BJ55" s="21"/>
      <c r="BL55" s="21"/>
      <c r="BN55" s="21"/>
      <c r="BO55" s="21"/>
      <c r="BP55" s="21"/>
      <c r="BQ55" s="21">
        <f t="shared" si="26"/>
        <v>0</v>
      </c>
      <c r="BR55" s="7">
        <f t="shared" si="27"/>
        <v>506469.43714376295</v>
      </c>
      <c r="BS55" s="21">
        <f t="shared" si="28"/>
        <v>0</v>
      </c>
      <c r="BT55" s="7">
        <f t="shared" si="29"/>
        <v>577367.5994303813</v>
      </c>
      <c r="BU55" s="21">
        <f t="shared" si="30"/>
        <v>0</v>
      </c>
      <c r="BV55" s="7">
        <f t="shared" si="31"/>
        <v>488132.32285661146</v>
      </c>
      <c r="BW55" s="21">
        <f t="shared" si="32"/>
        <v>0</v>
      </c>
      <c r="BX55" s="21">
        <f t="shared" si="34"/>
        <v>523989.78647691867</v>
      </c>
    </row>
    <row r="56" spans="2:76" ht="12.75" customHeight="1">
      <c r="B56" s="4" t="s">
        <v>56</v>
      </c>
      <c r="D56" s="4" t="s">
        <v>36</v>
      </c>
      <c r="E56" s="16">
        <v>100</v>
      </c>
      <c r="F56" s="6">
        <f t="shared" si="33"/>
        <v>8.387446124478474</v>
      </c>
      <c r="H56" s="6">
        <f t="shared" si="33"/>
        <v>8.357258847492375</v>
      </c>
      <c r="I56" s="16">
        <v>100</v>
      </c>
      <c r="J56" s="6">
        <f t="shared" si="0"/>
        <v>2.5289581551050775</v>
      </c>
      <c r="K56" s="16"/>
      <c r="L56" s="6">
        <f t="shared" si="1"/>
        <v>690.9993778392246</v>
      </c>
      <c r="M56" s="16"/>
      <c r="N56" s="6">
        <f t="shared" si="2"/>
        <v>701.9368054009947</v>
      </c>
      <c r="O56" s="16"/>
      <c r="P56" s="6">
        <f t="shared" si="3"/>
        <v>673.9432002975637</v>
      </c>
      <c r="Q56" s="16">
        <v>100</v>
      </c>
      <c r="R56" s="6">
        <f t="shared" si="4"/>
        <v>15.523270034142637</v>
      </c>
      <c r="S56" s="16">
        <v>100</v>
      </c>
      <c r="T56" s="6">
        <f t="shared" si="5"/>
        <v>15.109886350956094</v>
      </c>
      <c r="U56" s="16">
        <v>100</v>
      </c>
      <c r="V56" s="6">
        <f t="shared" si="6"/>
        <v>14.300468067695743</v>
      </c>
      <c r="W56" s="16"/>
      <c r="X56" s="6">
        <f t="shared" si="7"/>
        <v>431.88060715289794</v>
      </c>
      <c r="Y56" s="16"/>
      <c r="Z56" s="6">
        <f t="shared" si="8"/>
        <v>422.7663616598431</v>
      </c>
      <c r="AA56" s="16"/>
      <c r="AB56" s="6">
        <f t="shared" si="9"/>
        <v>373.48655080528187</v>
      </c>
      <c r="AC56" s="16">
        <v>100</v>
      </c>
      <c r="AD56" s="6">
        <f t="shared" si="10"/>
        <v>49.77494645607953</v>
      </c>
      <c r="AE56" s="16">
        <v>100</v>
      </c>
      <c r="AF56" s="6">
        <f t="shared" si="11"/>
        <v>71.71692742930415</v>
      </c>
      <c r="AG56" s="16">
        <v>100</v>
      </c>
      <c r="AH56" s="6">
        <f t="shared" si="12"/>
        <v>64.10645490050213</v>
      </c>
      <c r="AI56" s="16"/>
      <c r="AJ56" s="6">
        <f t="shared" si="13"/>
        <v>50.66436812161748</v>
      </c>
      <c r="AK56" s="16"/>
      <c r="AL56" s="6">
        <f t="shared" si="14"/>
        <v>123.3398588530094</v>
      </c>
      <c r="AM56" s="16"/>
      <c r="AN56" s="6">
        <f t="shared" si="15"/>
        <v>92.4944787985866</v>
      </c>
      <c r="AO56" s="16"/>
      <c r="AP56" s="6">
        <f t="shared" si="16"/>
        <v>270.61266072708935</v>
      </c>
      <c r="AQ56" s="16"/>
      <c r="AR56" s="6">
        <f t="shared" si="17"/>
        <v>284.01772687081456</v>
      </c>
      <c r="AS56" s="16"/>
      <c r="AT56" s="6">
        <f t="shared" si="18"/>
        <v>329.48931792821287</v>
      </c>
      <c r="AU56" s="16"/>
      <c r="AV56" s="6">
        <f t="shared" si="19"/>
        <v>383.6505986364004</v>
      </c>
      <c r="AW56" s="16"/>
      <c r="AX56" s="6">
        <f t="shared" si="20"/>
        <v>423.58609281246635</v>
      </c>
      <c r="AY56" s="16"/>
      <c r="AZ56" s="6">
        <f t="shared" si="21"/>
        <v>358.4903146503627</v>
      </c>
      <c r="BA56" s="21">
        <f aca="true" t="shared" si="35" ref="BA56:BA61">(E56*F56+K56*L56+Q56*R56+W56*X56+AC56*AD56+AI56*AJ56+AO56*AP56+AU56*AV56)/BB56</f>
        <v>3.8751471582847543</v>
      </c>
      <c r="BB56" s="21">
        <f t="shared" si="22"/>
        <v>1901.4932750919304</v>
      </c>
      <c r="BC56" s="21">
        <f aca="true" t="shared" si="36" ref="BC56:BC61">(G56*H56+M56*N56+S56*T56+Y56*Z56+AE56*AF56+AK56*AL56+AQ56*AR56+AW56*AX56)/BD56</f>
        <v>4.233738286694748</v>
      </c>
      <c r="BD56" s="21">
        <f t="shared" si="23"/>
        <v>2050.830918224881</v>
      </c>
      <c r="BE56" s="21">
        <f aca="true" t="shared" si="37" ref="BE56:BE61">(I56*J56+O56*P56+U56*V56+AA56*AB56+AG56*AH56+AM56*AN56+AS56*AT56+AY56*AZ56)/BF56</f>
        <v>4.240056369033921</v>
      </c>
      <c r="BF56" s="21">
        <f t="shared" si="24"/>
        <v>1908.8397436033108</v>
      </c>
      <c r="BG56" s="21">
        <f aca="true" t="shared" si="38" ref="BG56:BG61">AVERAGE(BA56*BB56,BC56*BD56,BE56*BF56)/BH56</f>
        <v>4.119460914535316</v>
      </c>
      <c r="BH56" s="21">
        <f t="shared" si="25"/>
        <v>1953.7213123067074</v>
      </c>
      <c r="BJ56" s="21">
        <f>BR56-(F56+L56+R56+X56+AD56+AJ56+AP56+AV56)</f>
        <v>69654.73912870577</v>
      </c>
      <c r="BL56" s="21">
        <f>BT56-(H56+N56+T56+Z56+AF56+AL56+AR56+AX56)</f>
        <v>82079.87642734498</v>
      </c>
      <c r="BN56" s="21">
        <f>BV56-(J56+P56+V56+AB56+AH56+AN56+AT56+AZ56)</f>
        <v>77027.87372735322</v>
      </c>
      <c r="BO56" s="21"/>
      <c r="BP56" s="21">
        <f>AVERAGE(BJ56,BL56,BN56)</f>
        <v>76254.163094468</v>
      </c>
      <c r="BQ56" s="21">
        <f t="shared" si="26"/>
        <v>0.10297588363636365</v>
      </c>
      <c r="BR56" s="7">
        <f t="shared" si="27"/>
        <v>71556.2324037977</v>
      </c>
      <c r="BS56" s="21">
        <f t="shared" si="28"/>
        <v>0.10320466393277311</v>
      </c>
      <c r="BT56" s="7">
        <f t="shared" si="29"/>
        <v>84130.70734556986</v>
      </c>
      <c r="BU56" s="21">
        <f t="shared" si="30"/>
        <v>0.10253262083565459</v>
      </c>
      <c r="BV56" s="7">
        <f t="shared" si="31"/>
        <v>78936.71347095653</v>
      </c>
      <c r="BW56" s="21">
        <f t="shared" si="32"/>
        <v>0.10290878784140785</v>
      </c>
      <c r="BX56" s="21">
        <f t="shared" si="34"/>
        <v>78207.8844067747</v>
      </c>
    </row>
    <row r="57" spans="2:76" ht="12.75">
      <c r="B57" s="4" t="s">
        <v>61</v>
      </c>
      <c r="D57" s="4" t="s">
        <v>36</v>
      </c>
      <c r="E57" s="16">
        <v>100</v>
      </c>
      <c r="F57" s="6">
        <f t="shared" si="33"/>
        <v>0.0010484307655598095</v>
      </c>
      <c r="H57" s="6">
        <f t="shared" si="33"/>
        <v>0.0010446573559365472</v>
      </c>
      <c r="I57" s="16">
        <v>100</v>
      </c>
      <c r="J57" s="6">
        <f t="shared" si="0"/>
        <v>0.0003161197693881347</v>
      </c>
      <c r="K57" s="16">
        <v>100</v>
      </c>
      <c r="L57" s="6">
        <f t="shared" si="1"/>
        <v>0.007030516925689786</v>
      </c>
      <c r="M57" s="16">
        <v>100</v>
      </c>
      <c r="N57" s="6">
        <f t="shared" si="2"/>
        <v>0.010187762052264075</v>
      </c>
      <c r="O57" s="16">
        <v>100</v>
      </c>
      <c r="P57" s="6">
        <f t="shared" si="3"/>
        <v>0.007604436674725687</v>
      </c>
      <c r="Q57" s="16">
        <v>100</v>
      </c>
      <c r="R57" s="6">
        <f t="shared" si="4"/>
        <v>1.8816084889869855</v>
      </c>
      <c r="S57" s="16">
        <v>100</v>
      </c>
      <c r="T57" s="6">
        <f t="shared" si="5"/>
        <v>1.859678320117673</v>
      </c>
      <c r="U57" s="16">
        <v>100</v>
      </c>
      <c r="V57" s="6">
        <f t="shared" si="6"/>
        <v>1.9500638274130557</v>
      </c>
      <c r="W57" s="16">
        <v>100</v>
      </c>
      <c r="X57" s="6">
        <f t="shared" si="7"/>
        <v>3.9850575054477324</v>
      </c>
      <c r="Y57" s="16">
        <v>100</v>
      </c>
      <c r="Z57" s="6">
        <f t="shared" si="8"/>
        <v>3.3486444487908367</v>
      </c>
      <c r="AA57" s="16">
        <v>100</v>
      </c>
      <c r="AB57" s="6">
        <f t="shared" si="9"/>
        <v>3.093056321368793</v>
      </c>
      <c r="AC57" s="16">
        <v>100</v>
      </c>
      <c r="AD57" s="6">
        <f t="shared" si="10"/>
        <v>1.2803844747544575</v>
      </c>
      <c r="AE57" s="16">
        <v>100</v>
      </c>
      <c r="AF57" s="6">
        <f t="shared" si="11"/>
        <v>1.6142073697914119</v>
      </c>
      <c r="AG57" s="16">
        <v>100</v>
      </c>
      <c r="AH57" s="6">
        <f t="shared" si="12"/>
        <v>1.6332854751720294</v>
      </c>
      <c r="AI57" s="16">
        <v>100</v>
      </c>
      <c r="AJ57" s="6">
        <f t="shared" si="13"/>
        <v>0.5668740489132026</v>
      </c>
      <c r="AK57" s="16">
        <v>100</v>
      </c>
      <c r="AL57" s="6">
        <f t="shared" si="14"/>
        <v>1.1500219939674536</v>
      </c>
      <c r="AM57" s="16">
        <v>100</v>
      </c>
      <c r="AN57" s="6">
        <f t="shared" si="15"/>
        <v>1.0818067695741123</v>
      </c>
      <c r="AO57" s="16">
        <v>100</v>
      </c>
      <c r="AP57" s="6">
        <f t="shared" si="16"/>
        <v>2.1141614119303855</v>
      </c>
      <c r="AQ57" s="16">
        <v>100</v>
      </c>
      <c r="AR57" s="6">
        <f t="shared" si="17"/>
        <v>2.3848816760144738</v>
      </c>
      <c r="AS57" s="16">
        <v>100</v>
      </c>
      <c r="AT57" s="6">
        <f t="shared" si="18"/>
        <v>1.8304962107122935</v>
      </c>
      <c r="AU57" s="16">
        <v>100</v>
      </c>
      <c r="AV57" s="6">
        <f t="shared" si="19"/>
        <v>3.0388166228625777</v>
      </c>
      <c r="AW57" s="16">
        <v>100</v>
      </c>
      <c r="AX57" s="6">
        <f t="shared" si="20"/>
        <v>3.4613776736463038</v>
      </c>
      <c r="AY57" s="16">
        <v>100</v>
      </c>
      <c r="AZ57" s="6">
        <f t="shared" si="21"/>
        <v>3.087107122931003</v>
      </c>
      <c r="BA57" s="21">
        <f t="shared" si="35"/>
        <v>100</v>
      </c>
      <c r="BB57" s="21">
        <f t="shared" si="22"/>
        <v>12.87498150058659</v>
      </c>
      <c r="BC57" s="21">
        <f t="shared" si="36"/>
        <v>99.99244646392043</v>
      </c>
      <c r="BD57" s="21">
        <f t="shared" si="23"/>
        <v>13.830043901736353</v>
      </c>
      <c r="BE57" s="21">
        <f t="shared" si="37"/>
        <v>100</v>
      </c>
      <c r="BF57" s="21">
        <f t="shared" si="24"/>
        <v>12.683736283615401</v>
      </c>
      <c r="BG57" s="21">
        <f t="shared" si="38"/>
        <v>99.9973478288953</v>
      </c>
      <c r="BH57" s="21">
        <f t="shared" si="25"/>
        <v>13.129587228646116</v>
      </c>
      <c r="BJ57" s="21"/>
      <c r="BL57" s="21"/>
      <c r="BN57" s="21"/>
      <c r="BO57" s="21"/>
      <c r="BP57" s="21"/>
      <c r="BQ57" s="21">
        <f t="shared" si="26"/>
        <v>100.00000000000001</v>
      </c>
      <c r="BR57" s="7">
        <f t="shared" si="27"/>
        <v>12.874981500586589</v>
      </c>
      <c r="BS57" s="21">
        <f t="shared" si="28"/>
        <v>99.99244646392044</v>
      </c>
      <c r="BT57" s="7">
        <f t="shared" si="29"/>
        <v>13.830043901736351</v>
      </c>
      <c r="BU57" s="21">
        <f t="shared" si="30"/>
        <v>100</v>
      </c>
      <c r="BV57" s="7">
        <f t="shared" si="31"/>
        <v>12.683736283615401</v>
      </c>
      <c r="BW57" s="21">
        <f t="shared" si="32"/>
        <v>99.99734782889531</v>
      </c>
      <c r="BX57" s="21">
        <f t="shared" si="34"/>
        <v>13.129587228646114</v>
      </c>
    </row>
    <row r="58" spans="2:76" ht="12.75">
      <c r="B58" s="4" t="s">
        <v>87</v>
      </c>
      <c r="D58" s="4" t="s">
        <v>36</v>
      </c>
      <c r="E58" s="16"/>
      <c r="F58" s="6">
        <f t="shared" si="33"/>
        <v>15.857515329092118</v>
      </c>
      <c r="G58" s="16">
        <v>100</v>
      </c>
      <c r="H58" s="6">
        <f t="shared" si="33"/>
        <v>3.133972067809641</v>
      </c>
      <c r="I58" s="16">
        <v>100</v>
      </c>
      <c r="J58" s="6">
        <f t="shared" si="0"/>
        <v>0.9483593081644044</v>
      </c>
      <c r="K58" s="16"/>
      <c r="L58" s="6">
        <f t="shared" si="1"/>
        <v>25.10898902032066</v>
      </c>
      <c r="M58" s="16"/>
      <c r="N58" s="6">
        <f t="shared" si="2"/>
        <v>24.450628925433787</v>
      </c>
      <c r="O58" s="16"/>
      <c r="P58" s="6">
        <f t="shared" si="3"/>
        <v>24.52430827599034</v>
      </c>
      <c r="Q58" s="16"/>
      <c r="R58" s="6">
        <f t="shared" si="4"/>
        <v>6.115227589207703</v>
      </c>
      <c r="S58" s="16"/>
      <c r="T58" s="6">
        <f t="shared" si="5"/>
        <v>9.065931810573657</v>
      </c>
      <c r="U58" s="16"/>
      <c r="V58" s="6">
        <f t="shared" si="6"/>
        <v>9.53364537846383</v>
      </c>
      <c r="W58" s="16"/>
      <c r="X58" s="6">
        <f t="shared" si="7"/>
        <v>438.35632559925057</v>
      </c>
      <c r="Y58" s="16"/>
      <c r="Z58" s="6">
        <f t="shared" si="8"/>
        <v>385.0941116109461</v>
      </c>
      <c r="AA58" s="16"/>
      <c r="AB58" s="6">
        <f t="shared" si="9"/>
        <v>309.3056321368793</v>
      </c>
      <c r="AC58" s="16">
        <v>100</v>
      </c>
      <c r="AD58" s="6">
        <f t="shared" si="10"/>
        <v>18.725622943283938</v>
      </c>
      <c r="AE58" s="16">
        <v>100</v>
      </c>
      <c r="AF58" s="6">
        <f t="shared" si="11"/>
        <v>27.210924233626653</v>
      </c>
      <c r="AG58" s="16">
        <v>100</v>
      </c>
      <c r="AH58" s="6">
        <f t="shared" si="12"/>
        <v>23.88680007439093</v>
      </c>
      <c r="AI58" s="16"/>
      <c r="AJ58" s="6">
        <f t="shared" si="13"/>
        <v>160.14191881797973</v>
      </c>
      <c r="AK58" s="16"/>
      <c r="AL58" s="6">
        <f t="shared" si="14"/>
        <v>311.94346586367186</v>
      </c>
      <c r="AM58" s="16"/>
      <c r="AN58" s="6">
        <f t="shared" si="15"/>
        <v>283.97427701320436</v>
      </c>
      <c r="AO58" s="16"/>
      <c r="AP58" s="6">
        <f t="shared" si="16"/>
        <v>389.00569979519105</v>
      </c>
      <c r="AQ58" s="16"/>
      <c r="AR58" s="6">
        <f t="shared" si="17"/>
        <v>381.5810681623158</v>
      </c>
      <c r="AS58" s="16"/>
      <c r="AT58" s="6">
        <f t="shared" si="18"/>
        <v>382.3703195710124</v>
      </c>
      <c r="AU58" s="16"/>
      <c r="AV58" s="6">
        <f t="shared" si="19"/>
        <v>885.0553414087256</v>
      </c>
      <c r="AW58" s="16"/>
      <c r="AX58" s="6">
        <f t="shared" si="20"/>
        <v>1142.25463230328</v>
      </c>
      <c r="AY58" s="16"/>
      <c r="AZ58" s="6">
        <f t="shared" si="21"/>
        <v>1034.180886181886</v>
      </c>
      <c r="BA58" s="21">
        <f t="shared" si="35"/>
        <v>0.9660516515298779</v>
      </c>
      <c r="BB58" s="21">
        <f t="shared" si="22"/>
        <v>1938.3666405030513</v>
      </c>
      <c r="BC58" s="21">
        <f t="shared" si="36"/>
        <v>1.328158400048706</v>
      </c>
      <c r="BD58" s="21">
        <f t="shared" si="23"/>
        <v>2284.7347349776574</v>
      </c>
      <c r="BE58" s="21">
        <f t="shared" si="37"/>
        <v>1.2005060436347217</v>
      </c>
      <c r="BF58" s="21">
        <f t="shared" si="24"/>
        <v>2068.7242279399916</v>
      </c>
      <c r="BG58" s="21">
        <f t="shared" si="38"/>
        <v>1.1746301198668794</v>
      </c>
      <c r="BH58" s="21">
        <f t="shared" si="25"/>
        <v>2097.275201140233</v>
      </c>
      <c r="BJ58" s="21"/>
      <c r="BL58" s="21"/>
      <c r="BN58" s="21"/>
      <c r="BO58" s="21"/>
      <c r="BP58" s="21"/>
      <c r="BQ58" s="21">
        <f t="shared" si="26"/>
        <v>0.013042205825242719</v>
      </c>
      <c r="BR58" s="7">
        <f t="shared" si="27"/>
        <v>143577.11566736028</v>
      </c>
      <c r="BS58" s="21">
        <f t="shared" si="28"/>
        <v>0.016508390399999996</v>
      </c>
      <c r="BT58" s="7">
        <f t="shared" si="29"/>
        <v>183814.99083906022</v>
      </c>
      <c r="BU58" s="21">
        <f t="shared" si="30"/>
        <v>0.014592893023255813</v>
      </c>
      <c r="BV58" s="7">
        <f t="shared" si="31"/>
        <v>170186.67472568352</v>
      </c>
      <c r="BW58" s="21">
        <f t="shared" si="32"/>
        <v>0.01485306074432483</v>
      </c>
      <c r="BX58" s="21">
        <f t="shared" si="34"/>
        <v>165859.59374403468</v>
      </c>
    </row>
    <row r="59" spans="2:76" ht="12.75">
      <c r="B59" s="4" t="s">
        <v>88</v>
      </c>
      <c r="D59" s="4" t="s">
        <v>36</v>
      </c>
      <c r="E59" s="16">
        <v>100</v>
      </c>
      <c r="F59" s="6">
        <f t="shared" si="33"/>
        <v>1.0484307655598093</v>
      </c>
      <c r="G59" s="16">
        <v>100</v>
      </c>
      <c r="H59" s="6">
        <f t="shared" si="33"/>
        <v>1.0446573559365468</v>
      </c>
      <c r="I59" s="16">
        <v>100</v>
      </c>
      <c r="J59" s="6">
        <f t="shared" si="0"/>
        <v>0.3161197693881347</v>
      </c>
      <c r="K59" s="16">
        <v>100</v>
      </c>
      <c r="L59" s="6">
        <f t="shared" si="1"/>
        <v>8.034876486502613</v>
      </c>
      <c r="M59" s="16">
        <v>100</v>
      </c>
      <c r="N59" s="6">
        <f t="shared" si="2"/>
        <v>8.150209641811262</v>
      </c>
      <c r="O59" s="16">
        <v>100</v>
      </c>
      <c r="P59" s="6">
        <f t="shared" si="3"/>
        <v>7.604436674725686</v>
      </c>
      <c r="Q59" s="16">
        <v>100</v>
      </c>
      <c r="R59" s="6">
        <f t="shared" si="4"/>
        <v>1.8816084889869855</v>
      </c>
      <c r="S59" s="16">
        <v>100</v>
      </c>
      <c r="T59" s="6">
        <f t="shared" si="5"/>
        <v>1.859678320117673</v>
      </c>
      <c r="U59" s="16">
        <v>100</v>
      </c>
      <c r="V59" s="6">
        <f t="shared" si="6"/>
        <v>1.7333900688116057</v>
      </c>
      <c r="W59" s="16"/>
      <c r="X59" s="6">
        <f t="shared" si="7"/>
        <v>92.65258700165978</v>
      </c>
      <c r="Y59" s="16"/>
      <c r="Z59" s="6">
        <f t="shared" si="8"/>
        <v>162.40925576635556</v>
      </c>
      <c r="AA59" s="16"/>
      <c r="AB59" s="6">
        <f t="shared" si="9"/>
        <v>65.34081478891576</v>
      </c>
      <c r="AC59" s="16">
        <v>100</v>
      </c>
      <c r="AD59" s="6">
        <f t="shared" si="10"/>
        <v>6.401922373772289</v>
      </c>
      <c r="AE59" s="16">
        <v>100</v>
      </c>
      <c r="AF59" s="6">
        <f t="shared" si="11"/>
        <v>9.22404211309378</v>
      </c>
      <c r="AG59" s="16">
        <v>100</v>
      </c>
      <c r="AH59" s="6">
        <f t="shared" si="12"/>
        <v>8.166427375860147</v>
      </c>
      <c r="AI59" s="16">
        <v>100</v>
      </c>
      <c r="AJ59" s="6">
        <f t="shared" si="13"/>
        <v>2.2674961956528104</v>
      </c>
      <c r="AK59" s="16">
        <v>100</v>
      </c>
      <c r="AL59" s="6">
        <f t="shared" si="14"/>
        <v>4.743840725115746</v>
      </c>
      <c r="AM59" s="16">
        <v>100</v>
      </c>
      <c r="AN59" s="6">
        <f t="shared" si="15"/>
        <v>4.056775385902921</v>
      </c>
      <c r="AO59" s="16">
        <v>100</v>
      </c>
      <c r="AP59" s="6">
        <f t="shared" si="16"/>
        <v>7.188148800563314</v>
      </c>
      <c r="AQ59" s="16">
        <v>100</v>
      </c>
      <c r="AR59" s="6">
        <f t="shared" si="17"/>
        <v>7.588259878227871</v>
      </c>
      <c r="AS59" s="16"/>
      <c r="AT59" s="6">
        <f t="shared" si="18"/>
        <v>6.508430971421487</v>
      </c>
      <c r="AU59" s="16"/>
      <c r="AV59" s="6">
        <f t="shared" si="19"/>
        <v>61.15618453510938</v>
      </c>
      <c r="AW59" s="16"/>
      <c r="AX59" s="6">
        <f t="shared" si="20"/>
        <v>43.26722092057879</v>
      </c>
      <c r="AY59" s="16"/>
      <c r="AZ59" s="6">
        <f t="shared" si="21"/>
        <v>41.29005776920217</v>
      </c>
      <c r="BA59" s="21">
        <f t="shared" si="35"/>
        <v>14.849303440501494</v>
      </c>
      <c r="BB59" s="21">
        <f t="shared" si="22"/>
        <v>180.631254647807</v>
      </c>
      <c r="BC59" s="21">
        <f t="shared" si="36"/>
        <v>13.685457239147915</v>
      </c>
      <c r="BD59" s="21">
        <f t="shared" si="23"/>
        <v>238.28716472123722</v>
      </c>
      <c r="BE59" s="21">
        <f t="shared" si="37"/>
        <v>16.203321017780013</v>
      </c>
      <c r="BF59" s="21">
        <f t="shared" si="24"/>
        <v>135.01645280422792</v>
      </c>
      <c r="BG59" s="21">
        <f t="shared" si="38"/>
        <v>14.678678758934518</v>
      </c>
      <c r="BH59" s="21">
        <f t="shared" si="25"/>
        <v>184.64495739109074</v>
      </c>
      <c r="BJ59" s="21"/>
      <c r="BL59" s="21"/>
      <c r="BN59" s="21"/>
      <c r="BO59" s="21"/>
      <c r="BP59" s="21"/>
      <c r="BQ59" s="21">
        <f t="shared" si="26"/>
        <v>0.4440469415384615</v>
      </c>
      <c r="BR59" s="7">
        <f t="shared" si="27"/>
        <v>6040.461176943962</v>
      </c>
      <c r="BS59" s="21">
        <f t="shared" si="28"/>
        <v>0.7283163115789473</v>
      </c>
      <c r="BT59" s="7">
        <f t="shared" si="29"/>
        <v>4477.544648643775</v>
      </c>
      <c r="BU59" s="21">
        <f t="shared" si="30"/>
        <v>0.5236637810526317</v>
      </c>
      <c r="BV59" s="7">
        <f t="shared" si="31"/>
        <v>4177.709069493522</v>
      </c>
      <c r="BW59" s="21">
        <f t="shared" si="32"/>
        <v>0.5532927183232456</v>
      </c>
      <c r="BX59" s="21">
        <f t="shared" si="34"/>
        <v>4898.571631693753</v>
      </c>
    </row>
    <row r="60" spans="2:76" ht="12.75">
      <c r="B60" s="4" t="s">
        <v>89</v>
      </c>
      <c r="D60" s="4" t="s">
        <v>36</v>
      </c>
      <c r="E60" s="16">
        <v>100</v>
      </c>
      <c r="F60" s="6">
        <f t="shared" si="33"/>
        <v>1.572646148339714</v>
      </c>
      <c r="G60" s="16">
        <v>100</v>
      </c>
      <c r="H60" s="6">
        <f t="shared" si="33"/>
        <v>1.5669860339048205</v>
      </c>
      <c r="I60" s="16">
        <v>100</v>
      </c>
      <c r="J60" s="6">
        <f t="shared" si="0"/>
        <v>0.4741796540822022</v>
      </c>
      <c r="K60" s="16">
        <v>100</v>
      </c>
      <c r="L60" s="6">
        <f t="shared" si="1"/>
        <v>12.052314729753917</v>
      </c>
      <c r="M60" s="16">
        <v>100</v>
      </c>
      <c r="N60" s="6">
        <f t="shared" si="2"/>
        <v>12.225314462716893</v>
      </c>
      <c r="O60" s="16">
        <v>100</v>
      </c>
      <c r="P60" s="6">
        <f t="shared" si="3"/>
        <v>11.406655012088528</v>
      </c>
      <c r="Q60" s="16">
        <v>100</v>
      </c>
      <c r="R60" s="6">
        <f t="shared" si="4"/>
        <v>2.8224127334804785</v>
      </c>
      <c r="S60" s="16">
        <v>100</v>
      </c>
      <c r="T60" s="6">
        <f t="shared" si="5"/>
        <v>2.7895174801765092</v>
      </c>
      <c r="U60" s="16">
        <v>100</v>
      </c>
      <c r="V60" s="6">
        <f t="shared" si="6"/>
        <v>2.600085103217409</v>
      </c>
      <c r="W60" s="16"/>
      <c r="X60" s="6">
        <f t="shared" si="7"/>
        <v>35.86551754902959</v>
      </c>
      <c r="Y60" s="16"/>
      <c r="Z60" s="6">
        <f t="shared" si="8"/>
        <v>27.62631670252441</v>
      </c>
      <c r="AA60" s="16"/>
      <c r="AB60" s="6">
        <f t="shared" si="9"/>
        <v>31.317195253859037</v>
      </c>
      <c r="AC60" s="16">
        <v>100</v>
      </c>
      <c r="AD60" s="6">
        <f t="shared" si="10"/>
        <v>9.282787441969816</v>
      </c>
      <c r="AE60" s="16">
        <v>100</v>
      </c>
      <c r="AF60" s="6">
        <f t="shared" si="11"/>
        <v>13.374861063985984</v>
      </c>
      <c r="AG60" s="16">
        <v>100</v>
      </c>
      <c r="AH60" s="6">
        <f t="shared" si="12"/>
        <v>11.841319694997212</v>
      </c>
      <c r="AI60" s="16">
        <v>100</v>
      </c>
      <c r="AJ60" s="6">
        <f t="shared" si="13"/>
        <v>3.7555405740499666</v>
      </c>
      <c r="AK60" s="16">
        <v>100</v>
      </c>
      <c r="AL60" s="6">
        <f t="shared" si="14"/>
        <v>6.61262646531286</v>
      </c>
      <c r="AM60" s="16">
        <v>100</v>
      </c>
      <c r="AN60" s="6">
        <f t="shared" si="15"/>
        <v>7.572647387018784</v>
      </c>
      <c r="AO60" s="16"/>
      <c r="AP60" s="6">
        <f t="shared" si="16"/>
        <v>17.12470743663613</v>
      </c>
      <c r="AQ60" s="16"/>
      <c r="AR60" s="6">
        <f t="shared" si="17"/>
        <v>13.44206035571794</v>
      </c>
      <c r="AS60" s="16"/>
      <c r="AT60" s="6">
        <f t="shared" si="18"/>
        <v>13.627027346413737</v>
      </c>
      <c r="AU60" s="16">
        <v>100</v>
      </c>
      <c r="AV60" s="6">
        <f t="shared" si="19"/>
        <v>21.27171636003805</v>
      </c>
      <c r="AW60" s="16">
        <v>100</v>
      </c>
      <c r="AX60" s="6">
        <f t="shared" si="20"/>
        <v>24.22964371552413</v>
      </c>
      <c r="AY60" s="16">
        <v>100</v>
      </c>
      <c r="AZ60" s="6">
        <f t="shared" si="21"/>
        <v>21.995638250883392</v>
      </c>
      <c r="BA60" s="21">
        <f t="shared" si="35"/>
        <v>48.92392398803293</v>
      </c>
      <c r="BB60" s="21">
        <f t="shared" si="22"/>
        <v>103.74764297329767</v>
      </c>
      <c r="BC60" s="21">
        <f t="shared" si="36"/>
        <v>59.68444587873661</v>
      </c>
      <c r="BD60" s="21">
        <f t="shared" si="23"/>
        <v>101.86732627986355</v>
      </c>
      <c r="BE60" s="21">
        <f t="shared" si="37"/>
        <v>55.42784246076753</v>
      </c>
      <c r="BF60" s="21">
        <f t="shared" si="24"/>
        <v>100.8347477025603</v>
      </c>
      <c r="BG60" s="21">
        <f t="shared" si="38"/>
        <v>54.64090291058576</v>
      </c>
      <c r="BH60" s="21">
        <f t="shared" si="25"/>
        <v>102.14990565190719</v>
      </c>
      <c r="BJ60" s="21"/>
      <c r="BL60" s="21"/>
      <c r="BN60" s="21"/>
      <c r="BO60" s="21"/>
      <c r="BP60" s="21"/>
      <c r="BQ60" s="21">
        <f t="shared" si="26"/>
        <v>3.1210787885714284</v>
      </c>
      <c r="BR60" s="7">
        <f t="shared" si="27"/>
        <v>1626.2780091772206</v>
      </c>
      <c r="BS60" s="21">
        <f t="shared" si="28"/>
        <v>4.299901418666667</v>
      </c>
      <c r="BT60" s="7">
        <f t="shared" si="29"/>
        <v>1413.961467992771</v>
      </c>
      <c r="BU60" s="21">
        <f t="shared" si="30"/>
        <v>4.23645256</v>
      </c>
      <c r="BV60" s="7">
        <f t="shared" si="31"/>
        <v>1319.2765482611123</v>
      </c>
      <c r="BW60" s="21">
        <f t="shared" si="32"/>
        <v>3.8409514114581604</v>
      </c>
      <c r="BX60" s="21">
        <f t="shared" si="34"/>
        <v>1453.1720084770348</v>
      </c>
    </row>
    <row r="61" spans="2:76" ht="12.75">
      <c r="B61" s="4" t="s">
        <v>90</v>
      </c>
      <c r="D61" s="4" t="s">
        <v>36</v>
      </c>
      <c r="E61" s="16">
        <v>100</v>
      </c>
      <c r="F61" s="6">
        <f t="shared" si="33"/>
        <v>1.0484307655598093</v>
      </c>
      <c r="G61" s="16">
        <v>100</v>
      </c>
      <c r="H61" s="6">
        <f t="shared" si="33"/>
        <v>1.0446573559365468</v>
      </c>
      <c r="I61" s="16">
        <v>100</v>
      </c>
      <c r="J61" s="6">
        <f t="shared" si="0"/>
        <v>0.3161197693881347</v>
      </c>
      <c r="K61" s="16">
        <v>100</v>
      </c>
      <c r="L61" s="6">
        <f t="shared" si="1"/>
        <v>8.034876486502613</v>
      </c>
      <c r="M61" s="16">
        <v>100</v>
      </c>
      <c r="N61" s="6">
        <f t="shared" si="2"/>
        <v>8.150209641811262</v>
      </c>
      <c r="O61" s="16">
        <v>100</v>
      </c>
      <c r="P61" s="6">
        <f t="shared" si="3"/>
        <v>7.604436674725686</v>
      </c>
      <c r="Q61" s="16">
        <v>100</v>
      </c>
      <c r="R61" s="6">
        <f t="shared" si="4"/>
        <v>1.8816084889869855</v>
      </c>
      <c r="S61" s="16">
        <v>100</v>
      </c>
      <c r="T61" s="6">
        <f t="shared" si="5"/>
        <v>1.859678320117673</v>
      </c>
      <c r="U61" s="16">
        <v>100</v>
      </c>
      <c r="V61" s="6">
        <f t="shared" si="6"/>
        <v>1.7333900688116057</v>
      </c>
      <c r="W61" s="16">
        <v>100</v>
      </c>
      <c r="X61" s="6">
        <f t="shared" si="7"/>
        <v>32.87672441994379</v>
      </c>
      <c r="Y61" s="16">
        <v>100</v>
      </c>
      <c r="Z61" s="6">
        <f t="shared" si="8"/>
        <v>29.30063892691982</v>
      </c>
      <c r="AA61" s="16">
        <v>100</v>
      </c>
      <c r="AB61" s="6">
        <f t="shared" si="9"/>
        <v>707.5366335131114</v>
      </c>
      <c r="AC61" s="16">
        <v>100</v>
      </c>
      <c r="AD61" s="6">
        <f t="shared" si="10"/>
        <v>6.401922373772289</v>
      </c>
      <c r="AE61" s="16">
        <v>100</v>
      </c>
      <c r="AF61" s="6">
        <f t="shared" si="11"/>
        <v>9.22404211309378</v>
      </c>
      <c r="AG61" s="16">
        <v>100</v>
      </c>
      <c r="AH61" s="6">
        <f t="shared" si="12"/>
        <v>8.166427375860147</v>
      </c>
      <c r="AI61" s="16">
        <v>100</v>
      </c>
      <c r="AJ61" s="6">
        <f t="shared" si="13"/>
        <v>2.2674961956528104</v>
      </c>
      <c r="AK61" s="16">
        <v>100</v>
      </c>
      <c r="AL61" s="6">
        <f t="shared" si="14"/>
        <v>4.743840725115746</v>
      </c>
      <c r="AM61" s="16">
        <v>100</v>
      </c>
      <c r="AN61" s="6">
        <f t="shared" si="15"/>
        <v>4.056775385902921</v>
      </c>
      <c r="AO61" s="16">
        <v>100</v>
      </c>
      <c r="AP61" s="6">
        <f t="shared" si="16"/>
        <v>7.188148800563314</v>
      </c>
      <c r="AQ61" s="16">
        <v>100</v>
      </c>
      <c r="AR61" s="6">
        <f t="shared" si="17"/>
        <v>7.588259878227871</v>
      </c>
      <c r="AS61" s="16">
        <v>100</v>
      </c>
      <c r="AT61" s="6">
        <f t="shared" si="18"/>
        <v>6.508430971421487</v>
      </c>
      <c r="AU61" s="16">
        <v>100</v>
      </c>
      <c r="AV61" s="6">
        <f t="shared" si="19"/>
        <v>12.535118569308134</v>
      </c>
      <c r="AW61" s="16">
        <v>100</v>
      </c>
      <c r="AX61" s="6">
        <f t="shared" si="20"/>
        <v>13.412838485379426</v>
      </c>
      <c r="AY61" s="16">
        <v>100</v>
      </c>
      <c r="AZ61" s="6">
        <f t="shared" si="21"/>
        <v>12.348428491724013</v>
      </c>
      <c r="BA61" s="21">
        <f t="shared" si="35"/>
        <v>99.99999999999999</v>
      </c>
      <c r="BB61" s="21">
        <f t="shared" si="22"/>
        <v>72.23432610028975</v>
      </c>
      <c r="BC61" s="21">
        <f t="shared" si="36"/>
        <v>99.99999999999997</v>
      </c>
      <c r="BD61" s="21">
        <f t="shared" si="23"/>
        <v>75.32416544660214</v>
      </c>
      <c r="BE61" s="21">
        <f t="shared" si="37"/>
        <v>99.99999999999999</v>
      </c>
      <c r="BF61" s="21">
        <f t="shared" si="24"/>
        <v>748.2706422509455</v>
      </c>
      <c r="BG61" s="21">
        <f t="shared" si="38"/>
        <v>99.99999999999999</v>
      </c>
      <c r="BH61" s="21">
        <f t="shared" si="25"/>
        <v>298.6097112659458</v>
      </c>
      <c r="BJ61" s="21"/>
      <c r="BL61" s="21"/>
      <c r="BN61" s="21"/>
      <c r="BO61" s="21"/>
      <c r="BP61" s="21"/>
      <c r="BQ61" s="21">
        <f t="shared" si="26"/>
        <v>99.99999999999999</v>
      </c>
      <c r="BR61" s="7">
        <f t="shared" si="27"/>
        <v>72.23432610028975</v>
      </c>
      <c r="BS61" s="21">
        <f t="shared" si="28"/>
        <v>100</v>
      </c>
      <c r="BT61" s="7">
        <f t="shared" si="29"/>
        <v>75.32416544660212</v>
      </c>
      <c r="BU61" s="21">
        <f t="shared" si="30"/>
        <v>99.99999999999999</v>
      </c>
      <c r="BV61" s="7">
        <f t="shared" si="31"/>
        <v>748.2706422509455</v>
      </c>
      <c r="BW61" s="21">
        <f t="shared" si="32"/>
        <v>99.99999999999999</v>
      </c>
      <c r="BX61" s="21">
        <f t="shared" si="34"/>
        <v>298.6097112659458</v>
      </c>
    </row>
    <row r="62" spans="2:76" ht="12.75">
      <c r="B62" s="4" t="s">
        <v>91</v>
      </c>
      <c r="D62" s="4" t="s">
        <v>36</v>
      </c>
      <c r="E62" s="16"/>
      <c r="F62" s="6">
        <f t="shared" si="33"/>
        <v>15.988569174787091</v>
      </c>
      <c r="H62" s="6">
        <f t="shared" si="33"/>
        <v>5.823964759346252</v>
      </c>
      <c r="I62" s="16"/>
      <c r="J62" s="6">
        <f t="shared" si="0"/>
        <v>1.3593150083689791</v>
      </c>
      <c r="K62" s="16"/>
      <c r="L62" s="6">
        <f t="shared" si="1"/>
        <v>36.65912396966817</v>
      </c>
      <c r="M62" s="16"/>
      <c r="N62" s="6">
        <f t="shared" si="2"/>
        <v>42.58484537846384</v>
      </c>
      <c r="O62" s="16"/>
      <c r="P62" s="6">
        <f t="shared" si="3"/>
        <v>43.72551087967269</v>
      </c>
      <c r="Q62" s="16"/>
      <c r="R62" s="6">
        <f t="shared" si="4"/>
        <v>13.641661545155642</v>
      </c>
      <c r="S62" s="16"/>
      <c r="T62" s="6">
        <f t="shared" si="5"/>
        <v>40.215543672544676</v>
      </c>
      <c r="U62" s="16"/>
      <c r="V62" s="6">
        <f t="shared" si="6"/>
        <v>27.73424110098569</v>
      </c>
      <c r="W62" s="16"/>
      <c r="X62" s="6">
        <f t="shared" si="7"/>
        <v>140124.5845353059</v>
      </c>
      <c r="Y62" s="16"/>
      <c r="Z62" s="6">
        <f t="shared" si="8"/>
        <v>134782.93906383117</v>
      </c>
      <c r="AA62" s="16"/>
      <c r="AB62" s="6">
        <f t="shared" si="9"/>
        <v>109803.49940859216</v>
      </c>
      <c r="AC62" s="16"/>
      <c r="AD62" s="6">
        <f t="shared" si="10"/>
        <v>15.364613697053489</v>
      </c>
      <c r="AE62" s="16"/>
      <c r="AF62" s="6">
        <f t="shared" si="11"/>
        <v>38.510375822166544</v>
      </c>
      <c r="AG62" s="16"/>
      <c r="AH62" s="6">
        <f t="shared" si="12"/>
        <v>50.631849730332895</v>
      </c>
      <c r="AI62" s="16"/>
      <c r="AJ62" s="6">
        <f t="shared" si="13"/>
        <v>444.99612839686404</v>
      </c>
      <c r="AK62" s="16"/>
      <c r="AL62" s="6">
        <f t="shared" si="14"/>
        <v>901.3297377719919</v>
      </c>
      <c r="AM62" s="16"/>
      <c r="AN62" s="6">
        <f t="shared" si="15"/>
        <v>785.6621664031989</v>
      </c>
      <c r="AO62" s="16"/>
      <c r="AP62" s="6">
        <f t="shared" si="16"/>
        <v>2452.4272378392484</v>
      </c>
      <c r="AQ62" s="16"/>
      <c r="AR62" s="6">
        <f t="shared" si="17"/>
        <v>2003.300607852158</v>
      </c>
      <c r="AS62" s="16"/>
      <c r="AT62" s="6">
        <f t="shared" si="18"/>
        <v>1791.852401819478</v>
      </c>
      <c r="AU62" s="16"/>
      <c r="AV62" s="6">
        <f t="shared" si="19"/>
        <v>2423.456256732905</v>
      </c>
      <c r="AW62" s="16"/>
      <c r="AX62" s="6">
        <f t="shared" si="20"/>
        <v>3054.665796992863</v>
      </c>
      <c r="AY62" s="16"/>
      <c r="AZ62" s="6">
        <f t="shared" si="21"/>
        <v>2747.5253394085926</v>
      </c>
      <c r="BA62" s="21"/>
      <c r="BB62" s="21">
        <f t="shared" si="22"/>
        <v>145527.11812666157</v>
      </c>
      <c r="BC62" s="21"/>
      <c r="BD62" s="21">
        <f t="shared" si="23"/>
        <v>140869.36993608074</v>
      </c>
      <c r="BE62" s="21"/>
      <c r="BF62" s="21">
        <f t="shared" si="24"/>
        <v>115251.99023294279</v>
      </c>
      <c r="BG62" s="21"/>
      <c r="BH62" s="21">
        <f t="shared" si="25"/>
        <v>133882.8260985617</v>
      </c>
      <c r="BJ62" s="21"/>
      <c r="BL62" s="21"/>
      <c r="BN62" s="21"/>
      <c r="BO62" s="21"/>
      <c r="BP62" s="21"/>
      <c r="BQ62" s="21">
        <f t="shared" si="26"/>
        <v>0</v>
      </c>
      <c r="BR62" s="7">
        <f t="shared" si="27"/>
        <v>578490.3204073255</v>
      </c>
      <c r="BS62" s="21">
        <f t="shared" si="28"/>
        <v>0</v>
      </c>
      <c r="BT62" s="7">
        <f t="shared" si="29"/>
        <v>650422.2752766748</v>
      </c>
      <c r="BU62" s="21">
        <f t="shared" si="30"/>
        <v>0</v>
      </c>
      <c r="BV62" s="7">
        <f t="shared" si="31"/>
        <v>573885.2984935839</v>
      </c>
      <c r="BW62" s="21">
        <f t="shared" si="32"/>
        <v>0</v>
      </c>
      <c r="BX62" s="21">
        <f t="shared" si="34"/>
        <v>600932.6313925281</v>
      </c>
    </row>
    <row r="63" spans="2:76" ht="12.75">
      <c r="B63" s="4" t="s">
        <v>37</v>
      </c>
      <c r="D63" s="4" t="s">
        <v>36</v>
      </c>
      <c r="E63" s="16"/>
      <c r="F63" s="7">
        <f>F53+F56</f>
        <v>9.07416827592015</v>
      </c>
      <c r="H63" s="7">
        <f>H53+H56</f>
        <v>8.879587525460648</v>
      </c>
      <c r="J63" s="7">
        <f>J53+J56</f>
        <v>2.687018039799145</v>
      </c>
      <c r="L63" s="7">
        <f>L53+L56</f>
        <v>759.2958279744969</v>
      </c>
      <c r="M63" s="16"/>
      <c r="N63" s="7">
        <f>N53+N56</f>
        <v>776.0018355209545</v>
      </c>
      <c r="P63" s="7">
        <f>P53+P56</f>
        <v>743.9990731634741</v>
      </c>
      <c r="R63" s="7">
        <f>R53+R56</f>
        <v>16.46407427863613</v>
      </c>
      <c r="S63" s="16"/>
      <c r="T63" s="7">
        <f>T53+T56</f>
        <v>16.27218530102964</v>
      </c>
      <c r="V63" s="7">
        <f>V53+V56</f>
        <v>15.167163102101545</v>
      </c>
      <c r="X63" s="7">
        <f>X53+X56</f>
        <v>441.3451187283363</v>
      </c>
      <c r="Y63" s="16"/>
      <c r="Z63" s="7">
        <f>Z53+Z56</f>
        <v>431.13797278182017</v>
      </c>
      <c r="AB63" s="7">
        <f>AB53+AB56</f>
        <v>383.1523518095593</v>
      </c>
      <c r="AD63" s="7">
        <f>AD53+AD56</f>
        <v>52.81585958362137</v>
      </c>
      <c r="AE63" s="16"/>
      <c r="AF63" s="7">
        <f>AF53+AF56</f>
        <v>76.09834743302369</v>
      </c>
      <c r="AH63" s="7">
        <f>AH53+AH56</f>
        <v>68.1896685884322</v>
      </c>
      <c r="AJ63" s="7">
        <f>AJ53+AJ56</f>
        <v>57.46685670857591</v>
      </c>
      <c r="AK63" s="16"/>
      <c r="AL63" s="7">
        <f>AL53+AL56</f>
        <v>136.99637003137292</v>
      </c>
      <c r="AN63" s="7">
        <f>AN53+AN56</f>
        <v>99.52622280081833</v>
      </c>
      <c r="AP63" s="7">
        <f>AP53+AP56</f>
        <v>291.33144256400715</v>
      </c>
      <c r="AQ63" s="16"/>
      <c r="AR63" s="7">
        <f>AR53+AR56</f>
        <v>300.9287060280081</v>
      </c>
      <c r="AT63" s="7">
        <f>AT53+AT56</f>
        <v>351.6586609246173</v>
      </c>
      <c r="AV63" s="7">
        <f>AV53+AV56</f>
        <v>413.2790607093105</v>
      </c>
      <c r="AW63" s="16"/>
      <c r="AX63" s="7">
        <f>AX53+AX56</f>
        <v>454.7384918752831</v>
      </c>
      <c r="AZ63" s="7">
        <f>AZ53+AZ56</f>
        <v>391.2908278315046</v>
      </c>
      <c r="BA63" s="21">
        <f>(BA56*BB56+BA53*BB53)/BB63</f>
        <v>4.268927020204233</v>
      </c>
      <c r="BB63" s="21">
        <f t="shared" si="22"/>
        <v>2041.0724088229042</v>
      </c>
      <c r="BC63" s="21">
        <f>(BC56*BD56+BC53*BD53)/BD63</f>
        <v>4.167575327357566</v>
      </c>
      <c r="BD63" s="21">
        <f t="shared" si="23"/>
        <v>2201.053496496953</v>
      </c>
      <c r="BE63" s="21">
        <f>(BE56*BF56+BE53*BF53)/BF63</f>
        <v>4.185681964936644</v>
      </c>
      <c r="BF63" s="21">
        <f t="shared" si="24"/>
        <v>2055.6709862603066</v>
      </c>
      <c r="BG63" s="21">
        <f>(BG56*BH56+BG53*BH53)/BH63</f>
        <v>4.206332917922799</v>
      </c>
      <c r="BH63" s="21">
        <f t="shared" si="25"/>
        <v>2099.2656305267215</v>
      </c>
      <c r="BJ63" s="7">
        <f>BJ53+BJ56</f>
        <v>75323.2957420363</v>
      </c>
      <c r="BK63" s="16"/>
      <c r="BL63" s="7">
        <f>BL53+BL56</f>
        <v>88292.48045504038</v>
      </c>
      <c r="BN63" s="7">
        <f>BN53+BN56</f>
        <v>83257.54580129159</v>
      </c>
      <c r="BP63" s="21">
        <f>AVERAGE(BJ63,BL63,BN63)</f>
        <v>82291.10733278941</v>
      </c>
      <c r="BQ63" s="21">
        <f>(BQ56*BR56+BQ53*BR53)/BR63</f>
        <v>0.1126253514954955</v>
      </c>
      <c r="BR63" s="7">
        <f>BR53+BR56</f>
        <v>77364.3681508592</v>
      </c>
      <c r="BS63" s="21">
        <f>(BS56*BT56+BS53*BT53)/BT63</f>
        <v>0.10136698000000001</v>
      </c>
      <c r="BT63" s="7">
        <f>BT53+BT56</f>
        <v>90493.53395153732</v>
      </c>
      <c r="BU63" s="21">
        <f>(BU56*BV56+BU53*BV53)/BV63</f>
        <v>0.10085641237113403</v>
      </c>
      <c r="BV63" s="7">
        <f>BV53+BV56</f>
        <v>85313.21678755191</v>
      </c>
      <c r="BW63" s="21">
        <f>(BW56*BX56+BW53*BX53)/BX63</f>
        <v>0.10463527787686085</v>
      </c>
      <c r="BX63" s="21">
        <f t="shared" si="34"/>
        <v>84390.37296331614</v>
      </c>
    </row>
    <row r="64" spans="2:76" ht="12.75">
      <c r="B64" s="4" t="s">
        <v>38</v>
      </c>
      <c r="D64" s="4" t="s">
        <v>36</v>
      </c>
      <c r="E64" s="16"/>
      <c r="F64" s="7">
        <f>F49+F52+F54</f>
        <v>14.809084563532306</v>
      </c>
      <c r="H64" s="7">
        <f>H49+H52+H54</f>
        <v>2.742225559333436</v>
      </c>
      <c r="J64" s="7">
        <f>J49+J52+J54</f>
        <v>0.7902994234703369</v>
      </c>
      <c r="L64" s="7">
        <f>L49+L52+L54</f>
        <v>3592.594149027481</v>
      </c>
      <c r="M64" s="16"/>
      <c r="N64" s="7">
        <f>N49+N52+N54</f>
        <v>3200.9948368213727</v>
      </c>
      <c r="P64" s="7">
        <f>P49+P52+P54</f>
        <v>2899.1914822391677</v>
      </c>
      <c r="R64" s="7">
        <f>R49+R52+R54</f>
        <v>5.88002652808433</v>
      </c>
      <c r="S64" s="16"/>
      <c r="T64" s="7">
        <f>T49+T52+T54</f>
        <v>5.1141153803236</v>
      </c>
      <c r="V64" s="7">
        <f>V49+V52+V54</f>
        <v>5.200170206434818</v>
      </c>
      <c r="X64" s="7">
        <f>X49+X52+X54</f>
        <v>555.9155220099586</v>
      </c>
      <c r="Y64" s="16"/>
      <c r="Z64" s="7">
        <f>Z49+Z52+Z54</f>
        <v>1277.0892766576053</v>
      </c>
      <c r="AB64" s="7">
        <f>AB49+AB52+AB54</f>
        <v>420.6556597061558</v>
      </c>
      <c r="AD64" s="7">
        <f>AD49+AD52+AD54</f>
        <v>15.524661756397798</v>
      </c>
      <c r="AE64" s="16"/>
      <c r="AF64" s="7">
        <f>AF49+AF52+AF54</f>
        <v>22.368302124252423</v>
      </c>
      <c r="AH64" s="7">
        <f>AH49+AH52+AH54</f>
        <v>20.211907755253865</v>
      </c>
      <c r="AJ64" s="7">
        <f>AJ49+AJ52+AJ54</f>
        <v>137.183519836995</v>
      </c>
      <c r="AK64" s="16"/>
      <c r="AL64" s="7">
        <f>AL49+AL52+AL54</f>
        <v>273.84898731349995</v>
      </c>
      <c r="AN64" s="7">
        <f>AN49+AN52+AN54</f>
        <v>252.4666548493584</v>
      </c>
      <c r="AP64" s="7">
        <f>AP49+AP52+AP54</f>
        <v>564.4810969854132</v>
      </c>
      <c r="AQ64" s="16"/>
      <c r="AR64" s="7">
        <f>AR49+AR52+AR54</f>
        <v>526.6252355490143</v>
      </c>
      <c r="AT64" s="7">
        <f>AT49+AT52+AT54</f>
        <v>444.8105792030873</v>
      </c>
      <c r="AV64" s="7">
        <f>AV49+AV52+AV54</f>
        <v>2443.208564781512</v>
      </c>
      <c r="AW64" s="16"/>
      <c r="AX64" s="7">
        <f>AX49+AX52+AX54</f>
        <v>3245.906913461821</v>
      </c>
      <c r="AZ64" s="7">
        <f>AZ49+AZ52+AZ54</f>
        <v>2925.0339989771255</v>
      </c>
      <c r="BA64" s="21">
        <f>(BA49*BB49+BA52*BB52+BA54*BB54)/BB64</f>
        <v>0.23861818431455908</v>
      </c>
      <c r="BB64" s="21">
        <f t="shared" si="22"/>
        <v>7329.596625489375</v>
      </c>
      <c r="BC64" s="21">
        <f>(BC49*BD49+BC52*BD52+BC54*BD54)/BD64</f>
        <v>0.2136875095831496</v>
      </c>
      <c r="BD64" s="21">
        <f t="shared" si="23"/>
        <v>8554.689892867224</v>
      </c>
      <c r="BE64" s="21">
        <f>(BE49*BF49+BE52*BF52+BE54*BF54)/BF64</f>
        <v>0.22218900796801733</v>
      </c>
      <c r="BF64" s="21">
        <f t="shared" si="24"/>
        <v>6968.360752360054</v>
      </c>
      <c r="BG64" s="21">
        <f>(BG49*BH49+BG52*BH52+BG54*BH54)/BH64</f>
        <v>0.224275923879201</v>
      </c>
      <c r="BH64" s="21">
        <f t="shared" si="25"/>
        <v>7617.549090238885</v>
      </c>
      <c r="BJ64" s="7">
        <f>BJ49+BJ52+BJ54</f>
        <v>269786.203987433</v>
      </c>
      <c r="BK64" s="16"/>
      <c r="BL64" s="7">
        <f>BL49+BL52+BL54</f>
        <v>353209.0085232092</v>
      </c>
      <c r="BN64" s="7">
        <f>BN49+BN52+BN54</f>
        <v>315817.89565599686</v>
      </c>
      <c r="BP64" s="21">
        <f>AVERAGE(BJ64,BL64,BN64)</f>
        <v>312937.702722213</v>
      </c>
      <c r="BQ64" s="21">
        <f>(BQ49*BR49+BQ52*BR52+BQ54*BR54)/BR64</f>
        <v>0.005523203005135731</v>
      </c>
      <c r="BR64" s="7">
        <f>BR49+BR52+BR54</f>
        <v>316659.560929793</v>
      </c>
      <c r="BS64" s="21">
        <f>(BS49*BT49+BS52*BT52+BS54*BT54)/BT64</f>
        <v>0.004468351852534563</v>
      </c>
      <c r="BT64" s="7">
        <f>BT49+BT52+BT54</f>
        <v>409106.1847392417</v>
      </c>
      <c r="BU64" s="21">
        <f>(BU49*BV49+BU52*BV52+BU54*BV54)/BV64</f>
        <v>0.0042419008771084335</v>
      </c>
      <c r="BV64" s="7">
        <f>BV49+BV52+BV54</f>
        <v>364999.8450189078</v>
      </c>
      <c r="BW64" s="21">
        <f>(BW49*BX49+BW52*BX52+BW54*BX54)/BX64</f>
        <v>0.004698808454796385</v>
      </c>
      <c r="BX64" s="21">
        <f t="shared" si="34"/>
        <v>363588.53022931423</v>
      </c>
    </row>
    <row r="66" ht="12.75">
      <c r="BB66" s="21"/>
    </row>
    <row r="68" spans="1:56" ht="12.75">
      <c r="A68" s="14" t="s">
        <v>71</v>
      </c>
      <c r="B68" s="17" t="s">
        <v>171</v>
      </c>
      <c r="C68" s="17" t="s">
        <v>70</v>
      </c>
      <c r="F68" s="16" t="s">
        <v>186</v>
      </c>
      <c r="H68" s="16" t="s">
        <v>187</v>
      </c>
      <c r="I68" s="16"/>
      <c r="J68" s="16" t="s">
        <v>188</v>
      </c>
      <c r="L68" s="16" t="s">
        <v>186</v>
      </c>
      <c r="M68" s="16"/>
      <c r="N68" s="16" t="s">
        <v>187</v>
      </c>
      <c r="O68" s="16"/>
      <c r="P68" s="16" t="s">
        <v>188</v>
      </c>
      <c r="Q68" s="17"/>
      <c r="R68" s="16" t="s">
        <v>186</v>
      </c>
      <c r="S68" s="16"/>
      <c r="T68" s="16" t="s">
        <v>187</v>
      </c>
      <c r="U68" s="16"/>
      <c r="V68" s="16" t="s">
        <v>188</v>
      </c>
      <c r="W68" s="17"/>
      <c r="X68" s="16" t="s">
        <v>186</v>
      </c>
      <c r="Y68" s="16"/>
      <c r="Z68" s="16" t="s">
        <v>187</v>
      </c>
      <c r="AA68" s="16"/>
      <c r="AB68" s="16" t="s">
        <v>188</v>
      </c>
      <c r="AC68" s="17"/>
      <c r="AD68" s="16" t="s">
        <v>186</v>
      </c>
      <c r="AE68" s="16"/>
      <c r="AF68" s="16" t="s">
        <v>187</v>
      </c>
      <c r="AG68" s="16"/>
      <c r="AH68" s="16" t="s">
        <v>188</v>
      </c>
      <c r="AJ68" s="16" t="s">
        <v>186</v>
      </c>
      <c r="AK68" s="16"/>
      <c r="AL68" s="16" t="s">
        <v>187</v>
      </c>
      <c r="AM68" s="16"/>
      <c r="AN68" s="16" t="s">
        <v>188</v>
      </c>
      <c r="AP68" s="16" t="s">
        <v>186</v>
      </c>
      <c r="AQ68" s="16"/>
      <c r="AR68" s="16" t="s">
        <v>187</v>
      </c>
      <c r="AS68" s="16"/>
      <c r="AT68" s="16" t="s">
        <v>188</v>
      </c>
      <c r="AV68" s="16" t="s">
        <v>190</v>
      </c>
      <c r="AX68" s="16" t="s">
        <v>186</v>
      </c>
      <c r="AY68" s="16"/>
      <c r="AZ68" s="16" t="s">
        <v>187</v>
      </c>
      <c r="BA68" s="16"/>
      <c r="BB68" s="16" t="s">
        <v>188</v>
      </c>
      <c r="BD68" s="16" t="s">
        <v>190</v>
      </c>
    </row>
    <row r="69" spans="6:68" ht="12.75">
      <c r="F69" s="14"/>
      <c r="G69" s="14"/>
      <c r="AX69" s="16"/>
      <c r="AZ69" s="16"/>
      <c r="BB69" s="16"/>
      <c r="BD69" s="16"/>
      <c r="BF69" s="16"/>
      <c r="BG69" s="16"/>
      <c r="BH69" s="16"/>
      <c r="BJ69" s="16"/>
      <c r="BL69" s="16"/>
      <c r="BN69" s="16"/>
      <c r="BP69" s="16"/>
    </row>
    <row r="70" spans="2:68" ht="12.75">
      <c r="B70" s="4" t="s">
        <v>243</v>
      </c>
      <c r="F70" s="16" t="s">
        <v>245</v>
      </c>
      <c r="G70" s="14"/>
      <c r="H70" s="16" t="s">
        <v>245</v>
      </c>
      <c r="J70" s="16" t="s">
        <v>245</v>
      </c>
      <c r="L70" s="16" t="s">
        <v>247</v>
      </c>
      <c r="N70" s="16" t="s">
        <v>247</v>
      </c>
      <c r="P70" s="16" t="s">
        <v>247</v>
      </c>
      <c r="R70" s="16" t="s">
        <v>248</v>
      </c>
      <c r="T70" s="16" t="s">
        <v>248</v>
      </c>
      <c r="V70" s="16" t="s">
        <v>248</v>
      </c>
      <c r="X70" s="16" t="s">
        <v>249</v>
      </c>
      <c r="Z70" s="16" t="s">
        <v>249</v>
      </c>
      <c r="AB70" s="16" t="s">
        <v>249</v>
      </c>
      <c r="AD70" s="16" t="s">
        <v>250</v>
      </c>
      <c r="AF70" s="16" t="s">
        <v>250</v>
      </c>
      <c r="AH70" s="16" t="s">
        <v>250</v>
      </c>
      <c r="AJ70" s="16" t="s">
        <v>251</v>
      </c>
      <c r="AL70" s="16" t="s">
        <v>251</v>
      </c>
      <c r="AN70" s="16" t="s">
        <v>251</v>
      </c>
      <c r="AX70" s="16" t="s">
        <v>252</v>
      </c>
      <c r="AZ70" s="16" t="s">
        <v>252</v>
      </c>
      <c r="BB70" s="16" t="s">
        <v>252</v>
      </c>
      <c r="BD70" s="16" t="s">
        <v>252</v>
      </c>
      <c r="BF70" s="16"/>
      <c r="BH70" s="16"/>
      <c r="BJ70" s="16"/>
      <c r="BL70" s="16"/>
      <c r="BN70" s="16"/>
      <c r="BP70" s="16"/>
    </row>
    <row r="71" spans="2:68" ht="12.75">
      <c r="B71" s="4" t="s">
        <v>244</v>
      </c>
      <c r="F71" s="14" t="s">
        <v>246</v>
      </c>
      <c r="G71" s="14"/>
      <c r="H71" s="14" t="s">
        <v>246</v>
      </c>
      <c r="J71" s="14" t="s">
        <v>246</v>
      </c>
      <c r="L71" s="14" t="s">
        <v>257</v>
      </c>
      <c r="N71" s="14" t="s">
        <v>257</v>
      </c>
      <c r="P71" s="14" t="s">
        <v>257</v>
      </c>
      <c r="R71" s="14" t="s">
        <v>246</v>
      </c>
      <c r="T71" s="14" t="s">
        <v>246</v>
      </c>
      <c r="V71" s="14" t="s">
        <v>246</v>
      </c>
      <c r="X71" s="16" t="s">
        <v>226</v>
      </c>
      <c r="Z71" s="16" t="s">
        <v>226</v>
      </c>
      <c r="AB71" s="16" t="s">
        <v>226</v>
      </c>
      <c r="AD71" s="14" t="s">
        <v>257</v>
      </c>
      <c r="AF71" s="14" t="s">
        <v>257</v>
      </c>
      <c r="AH71" s="14" t="s">
        <v>257</v>
      </c>
      <c r="AJ71" s="14" t="s">
        <v>253</v>
      </c>
      <c r="AL71" s="14" t="s">
        <v>253</v>
      </c>
      <c r="AN71" s="14" t="s">
        <v>253</v>
      </c>
      <c r="AX71" s="16" t="s">
        <v>99</v>
      </c>
      <c r="AZ71" s="16" t="s">
        <v>99</v>
      </c>
      <c r="BB71" s="16" t="s">
        <v>99</v>
      </c>
      <c r="BD71" s="16" t="s">
        <v>99</v>
      </c>
      <c r="BF71" s="16"/>
      <c r="BG71" s="16"/>
      <c r="BH71" s="16"/>
      <c r="BJ71" s="16"/>
      <c r="BL71" s="16"/>
      <c r="BN71" s="16"/>
      <c r="BP71" s="16"/>
    </row>
    <row r="72" spans="2:68" ht="12.75">
      <c r="B72" s="4" t="s">
        <v>259</v>
      </c>
      <c r="F72" s="14"/>
      <c r="G72" s="14"/>
      <c r="X72" s="16" t="s">
        <v>260</v>
      </c>
      <c r="Z72" s="16" t="s">
        <v>260</v>
      </c>
      <c r="AB72" s="16" t="s">
        <v>260</v>
      </c>
      <c r="AD72" s="16"/>
      <c r="AP72" s="14" t="s">
        <v>42</v>
      </c>
      <c r="AR72" s="14" t="s">
        <v>42</v>
      </c>
      <c r="AT72" s="14" t="s">
        <v>42</v>
      </c>
      <c r="AV72" s="14" t="s">
        <v>42</v>
      </c>
      <c r="AX72" s="16" t="s">
        <v>99</v>
      </c>
      <c r="AZ72" s="16" t="s">
        <v>99</v>
      </c>
      <c r="BB72" s="16" t="s">
        <v>99</v>
      </c>
      <c r="BD72" s="16" t="s">
        <v>99</v>
      </c>
      <c r="BF72" s="16"/>
      <c r="BG72" s="16"/>
      <c r="BH72" s="16"/>
      <c r="BJ72" s="16"/>
      <c r="BL72" s="16"/>
      <c r="BN72" s="16"/>
      <c r="BP72" s="16"/>
    </row>
    <row r="73" spans="2:68" ht="12.75">
      <c r="B73" s="4" t="s">
        <v>20</v>
      </c>
      <c r="C73" s="17"/>
      <c r="D73" s="62"/>
      <c r="F73" s="19" t="s">
        <v>95</v>
      </c>
      <c r="H73" s="19" t="s">
        <v>95</v>
      </c>
      <c r="J73" s="19" t="s">
        <v>95</v>
      </c>
      <c r="L73" s="4" t="s">
        <v>114</v>
      </c>
      <c r="N73" s="4" t="s">
        <v>114</v>
      </c>
      <c r="O73" s="19"/>
      <c r="P73" s="4" t="s">
        <v>114</v>
      </c>
      <c r="R73" s="16" t="s">
        <v>119</v>
      </c>
      <c r="T73" s="16" t="s">
        <v>119</v>
      </c>
      <c r="V73" s="16" t="s">
        <v>119</v>
      </c>
      <c r="X73" s="16" t="s">
        <v>120</v>
      </c>
      <c r="Y73" s="16"/>
      <c r="Z73" s="16" t="s">
        <v>120</v>
      </c>
      <c r="AA73" s="16"/>
      <c r="AB73" s="16" t="s">
        <v>120</v>
      </c>
      <c r="AD73" s="16" t="s">
        <v>121</v>
      </c>
      <c r="AE73" s="16"/>
      <c r="AF73" s="16" t="s">
        <v>121</v>
      </c>
      <c r="AG73" s="16"/>
      <c r="AH73" s="16" t="s">
        <v>121</v>
      </c>
      <c r="AJ73" s="16" t="s">
        <v>122</v>
      </c>
      <c r="AL73" s="16" t="s">
        <v>122</v>
      </c>
      <c r="AN73" s="16" t="s">
        <v>122</v>
      </c>
      <c r="AW73" s="16"/>
      <c r="AX73" s="16" t="s">
        <v>99</v>
      </c>
      <c r="AZ73" s="16" t="s">
        <v>99</v>
      </c>
      <c r="BB73" s="16" t="s">
        <v>99</v>
      </c>
      <c r="BD73" s="16" t="s">
        <v>99</v>
      </c>
      <c r="BE73" s="19"/>
      <c r="BF73" s="16"/>
      <c r="BG73" s="16"/>
      <c r="BH73" s="16"/>
      <c r="BJ73" s="16"/>
      <c r="BK73" s="16"/>
      <c r="BL73" s="16"/>
      <c r="BM73" s="19"/>
      <c r="BN73" s="16"/>
      <c r="BP73" s="16"/>
    </row>
    <row r="74" spans="2:56" ht="12.75">
      <c r="B74" s="4" t="s">
        <v>92</v>
      </c>
      <c r="D74" s="4" t="s">
        <v>29</v>
      </c>
      <c r="F74" s="19">
        <v>903.21</v>
      </c>
      <c r="H74" s="14">
        <v>731.98</v>
      </c>
      <c r="J74" s="14">
        <v>343.11</v>
      </c>
      <c r="L74" s="14">
        <v>2081</v>
      </c>
      <c r="N74" s="14">
        <v>2081</v>
      </c>
      <c r="P74" s="14">
        <v>2093</v>
      </c>
      <c r="R74" s="14">
        <v>1510.7</v>
      </c>
      <c r="T74" s="14">
        <v>1553.1</v>
      </c>
      <c r="V74" s="14">
        <v>1528.3</v>
      </c>
      <c r="X74" s="18">
        <v>886.99</v>
      </c>
      <c r="Y74" s="18"/>
      <c r="Z74" s="18">
        <v>831.97</v>
      </c>
      <c r="AA74" s="18"/>
      <c r="AB74" s="18">
        <v>777.09</v>
      </c>
      <c r="AD74" s="14">
        <v>2223.8</v>
      </c>
      <c r="AF74" s="14">
        <v>2151.2</v>
      </c>
      <c r="AH74" s="14">
        <v>1550.1</v>
      </c>
      <c r="AJ74" s="14">
        <v>672</v>
      </c>
      <c r="AL74" s="14">
        <v>669</v>
      </c>
      <c r="AN74" s="14">
        <v>633</v>
      </c>
      <c r="AX74" s="21">
        <f>F74+L74+R74+X74+AD74+AJ74</f>
        <v>8277.7</v>
      </c>
      <c r="AZ74" s="21">
        <f>H74+N74+T74+Z74+AF74+AL74</f>
        <v>8018.25</v>
      </c>
      <c r="BB74" s="21">
        <f>J74+P74+V74+AB74+AH74+AN74</f>
        <v>6924.6</v>
      </c>
      <c r="BD74" s="21">
        <f>AVERAGE(AX74,AZ74,BB74)</f>
        <v>7740.183333333334</v>
      </c>
    </row>
    <row r="75" spans="2:40" ht="12.75">
      <c r="B75" s="4" t="s">
        <v>21</v>
      </c>
      <c r="D75" s="4" t="s">
        <v>22</v>
      </c>
      <c r="F75" s="19">
        <v>17100</v>
      </c>
      <c r="H75" s="14">
        <v>14900</v>
      </c>
      <c r="J75" s="14">
        <v>16200</v>
      </c>
      <c r="L75" s="14">
        <v>5800</v>
      </c>
      <c r="N75" s="14">
        <v>8600</v>
      </c>
      <c r="P75" s="14">
        <v>7900</v>
      </c>
      <c r="R75" s="14">
        <v>5500</v>
      </c>
      <c r="S75" s="14" t="s">
        <v>19</v>
      </c>
      <c r="T75" s="14">
        <v>1000</v>
      </c>
      <c r="V75" s="14">
        <v>2400</v>
      </c>
      <c r="X75" s="14">
        <v>19000</v>
      </c>
      <c r="Z75" s="14">
        <v>19200</v>
      </c>
      <c r="AB75" s="14">
        <v>20500</v>
      </c>
      <c r="AD75" s="14">
        <v>5100</v>
      </c>
      <c r="AF75" s="14">
        <v>1000</v>
      </c>
      <c r="AH75" s="14">
        <v>9500</v>
      </c>
      <c r="AJ75" s="14">
        <v>4985</v>
      </c>
      <c r="AL75" s="14">
        <v>4985</v>
      </c>
      <c r="AN75" s="14">
        <v>4985</v>
      </c>
    </row>
    <row r="76" spans="2:34" ht="12.75">
      <c r="B76" s="4" t="s">
        <v>123</v>
      </c>
      <c r="D76" s="4" t="s">
        <v>124</v>
      </c>
      <c r="F76" s="19">
        <v>0.88</v>
      </c>
      <c r="H76" s="14">
        <v>0.86</v>
      </c>
      <c r="J76" s="14">
        <v>0.89</v>
      </c>
      <c r="L76" s="14">
        <v>1.12</v>
      </c>
      <c r="N76" s="14">
        <v>1.12</v>
      </c>
      <c r="P76" s="14">
        <v>1.13</v>
      </c>
      <c r="R76" s="14">
        <v>1.07</v>
      </c>
      <c r="T76" s="14">
        <v>1.1</v>
      </c>
      <c r="V76" s="14">
        <v>1.11</v>
      </c>
      <c r="X76" s="14">
        <v>0.86</v>
      </c>
      <c r="Z76" s="14">
        <v>0.87</v>
      </c>
      <c r="AB76" s="14">
        <v>0.83</v>
      </c>
      <c r="AD76" s="14">
        <v>1.2</v>
      </c>
      <c r="AF76" s="14">
        <v>1.2</v>
      </c>
      <c r="AH76" s="14">
        <v>0.9</v>
      </c>
    </row>
    <row r="78" spans="2:56" ht="12.75">
      <c r="B78" s="4" t="s">
        <v>23</v>
      </c>
      <c r="D78" s="4" t="s">
        <v>17</v>
      </c>
      <c r="F78" s="5">
        <f>4.8/28*60</f>
        <v>10.285714285714286</v>
      </c>
      <c r="H78" s="18">
        <f>6/28*60</f>
        <v>12.857142857142856</v>
      </c>
      <c r="J78" s="18">
        <f>5.5/28*60</f>
        <v>11.785714285714285</v>
      </c>
      <c r="L78" s="72">
        <f>23.4/28*60</f>
        <v>50.14285714285714</v>
      </c>
      <c r="N78" s="14">
        <f>23.1/28*60</f>
        <v>49.50000000000001</v>
      </c>
      <c r="P78" s="18">
        <f>25.7/28*60</f>
        <v>55.07142857142857</v>
      </c>
      <c r="R78" s="18">
        <f>1.2/28*60</f>
        <v>2.5714285714285716</v>
      </c>
      <c r="S78" s="18"/>
      <c r="T78" s="18">
        <f>1.1/28*60</f>
        <v>2.3571428571428577</v>
      </c>
      <c r="U78" s="18"/>
      <c r="V78" s="18">
        <f>0.5/28*60</f>
        <v>1.0714285714285714</v>
      </c>
      <c r="AD78" s="21">
        <f>15/28*60</f>
        <v>32.14285714285714</v>
      </c>
      <c r="AF78" s="21">
        <f>29.8/28*60</f>
        <v>63.857142857142854</v>
      </c>
      <c r="AH78" s="21">
        <f>18.7/28*60</f>
        <v>40.07142857142857</v>
      </c>
      <c r="AJ78" s="72">
        <f>324.6/AJ74*100</f>
        <v>48.30357142857144</v>
      </c>
      <c r="AL78" s="72">
        <f>323.2/AL74*100</f>
        <v>48.31091180866965</v>
      </c>
      <c r="AN78" s="72">
        <f>305.8/AN74*100</f>
        <v>48.30963665086888</v>
      </c>
      <c r="AX78" s="97"/>
      <c r="AY78" s="96"/>
      <c r="AZ78" s="97"/>
      <c r="BA78" s="96"/>
      <c r="BB78" s="97"/>
      <c r="BC78" s="96"/>
      <c r="BD78" s="97"/>
    </row>
    <row r="79" spans="2:56" ht="12.75">
      <c r="B79" s="4" t="s">
        <v>24</v>
      </c>
      <c r="D79" s="4" t="s">
        <v>17</v>
      </c>
      <c r="F79" s="19">
        <v>1.5</v>
      </c>
      <c r="H79" s="14">
        <v>1.1</v>
      </c>
      <c r="J79" s="18">
        <v>1</v>
      </c>
      <c r="L79" s="14">
        <v>42.3</v>
      </c>
      <c r="N79" s="14">
        <v>38</v>
      </c>
      <c r="P79" s="14">
        <v>40.7</v>
      </c>
      <c r="R79" s="14">
        <v>36</v>
      </c>
      <c r="T79" s="14">
        <v>44</v>
      </c>
      <c r="V79" s="14">
        <v>35</v>
      </c>
      <c r="X79" s="14">
        <v>0.03</v>
      </c>
      <c r="Z79" s="14">
        <v>0.02</v>
      </c>
      <c r="AB79" s="14">
        <v>0.05</v>
      </c>
      <c r="AD79" s="14">
        <v>51</v>
      </c>
      <c r="AF79" s="14">
        <v>51</v>
      </c>
      <c r="AH79" s="14">
        <v>37</v>
      </c>
      <c r="AJ79" s="72">
        <f>4.7/AJ74*100</f>
        <v>0.699404761904762</v>
      </c>
      <c r="AL79" s="72">
        <f>4.7/AL74*100</f>
        <v>0.70254110612855</v>
      </c>
      <c r="AN79" s="72">
        <f>4.4/AN74*100</f>
        <v>0.6951026856240128</v>
      </c>
      <c r="AX79" s="97"/>
      <c r="AY79" s="96"/>
      <c r="AZ79" s="97"/>
      <c r="BA79" s="96"/>
      <c r="BB79" s="97"/>
      <c r="BC79" s="96"/>
      <c r="BD79" s="97"/>
    </row>
    <row r="81" spans="2:56" ht="12.75">
      <c r="B81" s="4" t="s">
        <v>58</v>
      </c>
      <c r="D81" s="4" t="s">
        <v>97</v>
      </c>
      <c r="E81" s="14" t="s">
        <v>19</v>
      </c>
      <c r="F81" s="19">
        <v>1.1</v>
      </c>
      <c r="G81" s="14" t="s">
        <v>19</v>
      </c>
      <c r="H81" s="19">
        <v>1.1</v>
      </c>
      <c r="I81" s="14" t="s">
        <v>19</v>
      </c>
      <c r="J81" s="19">
        <v>1.1</v>
      </c>
      <c r="K81" s="14" t="s">
        <v>19</v>
      </c>
      <c r="L81" s="14">
        <v>1.1</v>
      </c>
      <c r="M81" s="14" t="s">
        <v>19</v>
      </c>
      <c r="N81" s="14">
        <v>1.1</v>
      </c>
      <c r="O81" s="14" t="s">
        <v>19</v>
      </c>
      <c r="P81" s="14">
        <v>1.1</v>
      </c>
      <c r="Q81" s="14" t="s">
        <v>19</v>
      </c>
      <c r="R81" s="14">
        <v>1.1</v>
      </c>
      <c r="S81" s="14" t="s">
        <v>19</v>
      </c>
      <c r="T81" s="14">
        <v>1.1</v>
      </c>
      <c r="U81" s="14" t="s">
        <v>19</v>
      </c>
      <c r="V81" s="14">
        <v>1.1</v>
      </c>
      <c r="W81" s="14" t="s">
        <v>19</v>
      </c>
      <c r="X81" s="14">
        <v>0.72</v>
      </c>
      <c r="Y81" s="14" t="s">
        <v>19</v>
      </c>
      <c r="Z81" s="14">
        <v>0.72</v>
      </c>
      <c r="AA81" s="14" t="s">
        <v>19</v>
      </c>
      <c r="AB81" s="14">
        <v>0.72</v>
      </c>
      <c r="AC81" s="14" t="s">
        <v>19</v>
      </c>
      <c r="AD81" s="14">
        <v>1.1</v>
      </c>
      <c r="AE81" s="14" t="s">
        <v>19</v>
      </c>
      <c r="AF81" s="14">
        <v>1.1</v>
      </c>
      <c r="AG81" s="14" t="s">
        <v>19</v>
      </c>
      <c r="AH81" s="14">
        <v>1.1</v>
      </c>
      <c r="AJ81" s="72">
        <f>0.0007/AJ$74*1000000</f>
        <v>1.0416666666666667</v>
      </c>
      <c r="AL81" s="72">
        <f>0.0007/AL$74*1000000</f>
        <v>1.046337817638266</v>
      </c>
      <c r="AN81" s="72">
        <f>0.0007/AN$74*1000000</f>
        <v>1.1058451816745656</v>
      </c>
      <c r="AX81" s="44"/>
      <c r="AZ81" s="44"/>
      <c r="BB81" s="44"/>
      <c r="BD81" s="105"/>
    </row>
    <row r="82" spans="2:56" ht="12.75">
      <c r="B82" s="4" t="s">
        <v>57</v>
      </c>
      <c r="D82" s="4" t="s">
        <v>97</v>
      </c>
      <c r="E82" s="14" t="s">
        <v>19</v>
      </c>
      <c r="F82" s="19">
        <v>5.8</v>
      </c>
      <c r="G82" s="14" t="s">
        <v>19</v>
      </c>
      <c r="H82" s="19">
        <v>5.8</v>
      </c>
      <c r="I82" s="14" t="s">
        <v>19</v>
      </c>
      <c r="J82" s="19">
        <v>5.8</v>
      </c>
      <c r="L82" s="14">
        <v>9.53</v>
      </c>
      <c r="N82" s="14">
        <v>6.17</v>
      </c>
      <c r="O82" s="14" t="s">
        <v>19</v>
      </c>
      <c r="P82" s="14">
        <v>5.8</v>
      </c>
      <c r="Q82" s="14" t="s">
        <v>19</v>
      </c>
      <c r="R82" s="14">
        <v>5.8</v>
      </c>
      <c r="T82" s="14">
        <v>7.5</v>
      </c>
      <c r="U82" s="14" t="s">
        <v>19</v>
      </c>
      <c r="V82" s="14">
        <v>5.8</v>
      </c>
      <c r="W82" s="14" t="s">
        <v>19</v>
      </c>
      <c r="X82" s="14">
        <v>5.8</v>
      </c>
      <c r="Y82" s="14" t="s">
        <v>19</v>
      </c>
      <c r="Z82" s="14">
        <v>5.8</v>
      </c>
      <c r="AA82" s="14" t="s">
        <v>19</v>
      </c>
      <c r="AB82" s="14">
        <v>5.8</v>
      </c>
      <c r="AC82" s="14" t="s">
        <v>19</v>
      </c>
      <c r="AD82" s="14">
        <v>5.8</v>
      </c>
      <c r="AF82" s="14">
        <v>8</v>
      </c>
      <c r="AG82" s="14" t="s">
        <v>19</v>
      </c>
      <c r="AH82" s="14">
        <v>5.8</v>
      </c>
      <c r="AJ82" s="72">
        <f>0.0029/AJ$74*1000000</f>
        <v>4.31547619047619</v>
      </c>
      <c r="AL82" s="72">
        <f>0.0029/AL$74*1000000</f>
        <v>4.334828101644245</v>
      </c>
      <c r="AN82" s="72">
        <f>0.0028/AN$74*1000000</f>
        <v>4.423380726698262</v>
      </c>
      <c r="AX82" s="44"/>
      <c r="AZ82" s="44"/>
      <c r="BB82" s="44"/>
      <c r="BD82" s="105"/>
    </row>
    <row r="83" spans="2:56" ht="12.75">
      <c r="B83" s="4" t="s">
        <v>85</v>
      </c>
      <c r="D83" s="4" t="s">
        <v>97</v>
      </c>
      <c r="F83" s="19">
        <v>3.8</v>
      </c>
      <c r="G83" s="16" t="s">
        <v>19</v>
      </c>
      <c r="H83" s="14">
        <v>0.8</v>
      </c>
      <c r="I83" s="14" t="s">
        <v>19</v>
      </c>
      <c r="J83" s="14">
        <v>0.8</v>
      </c>
      <c r="L83" s="14">
        <v>0.84</v>
      </c>
      <c r="M83" s="14" t="s">
        <v>19</v>
      </c>
      <c r="N83" s="14">
        <v>0.8</v>
      </c>
      <c r="O83" s="14" t="s">
        <v>19</v>
      </c>
      <c r="P83" s="14">
        <v>0.8</v>
      </c>
      <c r="R83" s="14">
        <v>2.1</v>
      </c>
      <c r="S83" s="14" t="s">
        <v>19</v>
      </c>
      <c r="T83" s="14">
        <v>0.8</v>
      </c>
      <c r="U83" s="14" t="s">
        <v>19</v>
      </c>
      <c r="V83" s="14">
        <v>0.8</v>
      </c>
      <c r="X83" s="14">
        <f>9.1</f>
        <v>9.1</v>
      </c>
      <c r="Y83" s="14" t="s">
        <v>19</v>
      </c>
      <c r="Z83" s="14">
        <v>0.8</v>
      </c>
      <c r="AA83" s="14" t="s">
        <v>19</v>
      </c>
      <c r="AB83" s="14">
        <v>0.8</v>
      </c>
      <c r="AD83" s="14">
        <v>1.1</v>
      </c>
      <c r="AE83" s="14" t="s">
        <v>19</v>
      </c>
      <c r="AF83" s="14">
        <v>0.8</v>
      </c>
      <c r="AG83" s="14" t="s">
        <v>19</v>
      </c>
      <c r="AH83" s="14">
        <v>0.8</v>
      </c>
      <c r="AJ83" s="72">
        <f>0.0205/AJ$74*1000000</f>
        <v>30.50595238095238</v>
      </c>
      <c r="AL83" s="72">
        <f>0.0204/AL$74*1000000</f>
        <v>30.493273542600896</v>
      </c>
      <c r="AN83" s="72">
        <f>0.0193/AN$74*1000000</f>
        <v>30.48973143759874</v>
      </c>
      <c r="AX83" s="44"/>
      <c r="AZ83" s="44"/>
      <c r="BB83" s="44"/>
      <c r="BD83" s="105"/>
    </row>
    <row r="84" spans="2:56" ht="12.75">
      <c r="B84" s="4" t="s">
        <v>59</v>
      </c>
      <c r="D84" s="4" t="s">
        <v>97</v>
      </c>
      <c r="E84" s="14" t="s">
        <v>19</v>
      </c>
      <c r="F84" s="19">
        <v>0.18</v>
      </c>
      <c r="G84" s="16" t="s">
        <v>19</v>
      </c>
      <c r="H84" s="19">
        <v>0.18</v>
      </c>
      <c r="J84" s="19">
        <v>0.21</v>
      </c>
      <c r="K84" s="14" t="s">
        <v>19</v>
      </c>
      <c r="L84" s="14">
        <v>0.18</v>
      </c>
      <c r="M84" s="14" t="s">
        <v>19</v>
      </c>
      <c r="N84" s="14">
        <v>0.18</v>
      </c>
      <c r="O84" s="14" t="s">
        <v>19</v>
      </c>
      <c r="P84" s="14">
        <v>0.18</v>
      </c>
      <c r="Q84" s="14" t="s">
        <v>19</v>
      </c>
      <c r="R84" s="14">
        <v>0.18</v>
      </c>
      <c r="S84" s="14" t="s">
        <v>19</v>
      </c>
      <c r="T84" s="14">
        <v>0.18</v>
      </c>
      <c r="U84" s="14" t="s">
        <v>19</v>
      </c>
      <c r="V84" s="14">
        <v>0.18</v>
      </c>
      <c r="W84" s="14" t="s">
        <v>19</v>
      </c>
      <c r="X84" s="14">
        <v>0.18</v>
      </c>
      <c r="Y84" s="14" t="s">
        <v>19</v>
      </c>
      <c r="Z84" s="14">
        <v>0.18</v>
      </c>
      <c r="AA84" s="14" t="s">
        <v>19</v>
      </c>
      <c r="AB84" s="14">
        <v>0.18</v>
      </c>
      <c r="AC84" s="14" t="s">
        <v>19</v>
      </c>
      <c r="AD84" s="14">
        <v>0.1</v>
      </c>
      <c r="AE84" s="14" t="s">
        <v>19</v>
      </c>
      <c r="AF84" s="14">
        <v>0.1</v>
      </c>
      <c r="AG84" s="14" t="s">
        <v>19</v>
      </c>
      <c r="AH84" s="14">
        <v>0.1</v>
      </c>
      <c r="AJ84" s="72">
        <f>0.0012/AJ$74*1000000</f>
        <v>1.7857142857142854</v>
      </c>
      <c r="AL84" s="72">
        <f>0.0012/AL$74*1000000</f>
        <v>1.7937219730941703</v>
      </c>
      <c r="AN84" s="72">
        <f>0.0012/AN$74*1000000</f>
        <v>1.895734597156398</v>
      </c>
      <c r="AX84" s="44"/>
      <c r="AZ84" s="44"/>
      <c r="BB84" s="44"/>
      <c r="BD84" s="105"/>
    </row>
    <row r="85" spans="2:56" ht="12.75">
      <c r="B85" s="4" t="s">
        <v>60</v>
      </c>
      <c r="D85" s="4" t="s">
        <v>97</v>
      </c>
      <c r="E85" s="14" t="s">
        <v>19</v>
      </c>
      <c r="F85" s="19">
        <v>0.42</v>
      </c>
      <c r="G85" s="14" t="s">
        <v>19</v>
      </c>
      <c r="H85" s="19">
        <v>0.42</v>
      </c>
      <c r="I85" s="14" t="s">
        <v>19</v>
      </c>
      <c r="J85" s="19">
        <v>0.42</v>
      </c>
      <c r="K85" s="14" t="s">
        <v>19</v>
      </c>
      <c r="L85" s="14">
        <v>0.42</v>
      </c>
      <c r="M85" s="14" t="s">
        <v>19</v>
      </c>
      <c r="N85" s="14">
        <v>0.42</v>
      </c>
      <c r="O85" s="14" t="s">
        <v>19</v>
      </c>
      <c r="P85" s="14">
        <v>0.42</v>
      </c>
      <c r="Q85" s="14" t="s">
        <v>19</v>
      </c>
      <c r="R85" s="14">
        <v>0.42</v>
      </c>
      <c r="S85" s="14" t="s">
        <v>19</v>
      </c>
      <c r="T85" s="14">
        <v>0.42</v>
      </c>
      <c r="U85" s="14" t="s">
        <v>19</v>
      </c>
      <c r="V85" s="14">
        <v>0.42</v>
      </c>
      <c r="W85" s="14" t="s">
        <v>19</v>
      </c>
      <c r="X85" s="14">
        <v>0.42</v>
      </c>
      <c r="Y85" s="14" t="s">
        <v>19</v>
      </c>
      <c r="Z85" s="14">
        <v>0.42</v>
      </c>
      <c r="AA85" s="14" t="s">
        <v>19</v>
      </c>
      <c r="AB85" s="14">
        <v>0.42</v>
      </c>
      <c r="AC85" s="14" t="s">
        <v>19</v>
      </c>
      <c r="AD85" s="14">
        <v>0.4</v>
      </c>
      <c r="AE85" s="14" t="s">
        <v>19</v>
      </c>
      <c r="AF85" s="14">
        <v>0.4</v>
      </c>
      <c r="AG85" s="14" t="s">
        <v>19</v>
      </c>
      <c r="AH85" s="14">
        <v>0.4</v>
      </c>
      <c r="AJ85" s="72">
        <f>0.00002/AJ$74*1000000</f>
        <v>0.029761904761904764</v>
      </c>
      <c r="AL85" s="72">
        <f>0.00002/AL$74*1000000</f>
        <v>0.029895366218236175</v>
      </c>
      <c r="AN85" s="72">
        <f>0.00002/AN$74*1000000</f>
        <v>0.0315955766192733</v>
      </c>
      <c r="AX85" s="44"/>
      <c r="AZ85" s="44"/>
      <c r="BB85" s="44"/>
      <c r="BD85" s="105"/>
    </row>
    <row r="86" spans="2:56" ht="12.75">
      <c r="B86" s="4" t="s">
        <v>67</v>
      </c>
      <c r="D86" s="4" t="s">
        <v>97</v>
      </c>
      <c r="E86" s="14" t="s">
        <v>19</v>
      </c>
      <c r="F86" s="19">
        <v>1.1</v>
      </c>
      <c r="G86" s="14" t="s">
        <v>19</v>
      </c>
      <c r="H86" s="19">
        <v>1.1</v>
      </c>
      <c r="I86" s="14" t="s">
        <v>19</v>
      </c>
      <c r="J86" s="19">
        <v>1.1</v>
      </c>
      <c r="L86" s="14">
        <v>1.37</v>
      </c>
      <c r="N86" s="14">
        <v>1.47</v>
      </c>
      <c r="P86" s="14">
        <v>1.1</v>
      </c>
      <c r="Q86" s="14" t="s">
        <v>19</v>
      </c>
      <c r="R86" s="14">
        <v>1.1</v>
      </c>
      <c r="S86" s="14" t="s">
        <v>19</v>
      </c>
      <c r="T86" s="14">
        <v>1.1</v>
      </c>
      <c r="U86" s="14" t="s">
        <v>19</v>
      </c>
      <c r="V86" s="14">
        <v>1.1</v>
      </c>
      <c r="X86" s="14">
        <v>31.4</v>
      </c>
      <c r="Z86" s="14">
        <v>0.37</v>
      </c>
      <c r="AA86" s="14" t="s">
        <v>19</v>
      </c>
      <c r="AB86" s="14">
        <v>1.1</v>
      </c>
      <c r="AC86" s="14" t="s">
        <v>19</v>
      </c>
      <c r="AD86" s="14">
        <v>1.1</v>
      </c>
      <c r="AE86" s="14" t="s">
        <v>19</v>
      </c>
      <c r="AF86" s="14">
        <v>1.1</v>
      </c>
      <c r="AG86" s="14" t="s">
        <v>19</v>
      </c>
      <c r="AH86" s="14">
        <v>1.1</v>
      </c>
      <c r="AJ86" s="72">
        <f>0.0082/AJ$74*1000000</f>
        <v>12.202380952380953</v>
      </c>
      <c r="AL86" s="72">
        <f>0.0082/AL$74*1000000</f>
        <v>12.257100149476832</v>
      </c>
      <c r="AN86" s="72">
        <f>0.0078/AN$74*1000000</f>
        <v>12.322274881516586</v>
      </c>
      <c r="AX86" s="44"/>
      <c r="AZ86" s="44"/>
      <c r="BB86" s="44"/>
      <c r="BD86" s="105"/>
    </row>
    <row r="87" spans="2:56" ht="12.75">
      <c r="B87" s="4" t="s">
        <v>56</v>
      </c>
      <c r="D87" s="4" t="s">
        <v>97</v>
      </c>
      <c r="F87" s="19">
        <v>0.38</v>
      </c>
      <c r="G87" s="16" t="s">
        <v>19</v>
      </c>
      <c r="H87" s="14">
        <v>0.26</v>
      </c>
      <c r="I87" s="14" t="s">
        <v>19</v>
      </c>
      <c r="J87" s="14">
        <v>1.3</v>
      </c>
      <c r="L87" s="14">
        <v>8.6</v>
      </c>
      <c r="N87" s="14">
        <v>1.52</v>
      </c>
      <c r="P87" s="14">
        <v>1.97</v>
      </c>
      <c r="Q87" s="14" t="s">
        <v>19</v>
      </c>
      <c r="R87" s="14">
        <v>0.26</v>
      </c>
      <c r="S87" s="14" t="s">
        <v>19</v>
      </c>
      <c r="T87" s="14">
        <v>1.3</v>
      </c>
      <c r="U87" s="14" t="s">
        <v>19</v>
      </c>
      <c r="V87" s="14">
        <v>0.26</v>
      </c>
      <c r="W87" s="14" t="s">
        <v>19</v>
      </c>
      <c r="X87" s="14">
        <v>0.26</v>
      </c>
      <c r="Y87" s="14" t="s">
        <v>19</v>
      </c>
      <c r="Z87" s="14">
        <v>0.26</v>
      </c>
      <c r="AA87" s="14" t="s">
        <v>19</v>
      </c>
      <c r="AB87" s="14">
        <v>1.3</v>
      </c>
      <c r="AC87" s="14" t="s">
        <v>19</v>
      </c>
      <c r="AD87" s="14">
        <v>0.2</v>
      </c>
      <c r="AE87" s="14" t="s">
        <v>19</v>
      </c>
      <c r="AF87" s="14">
        <v>1.3</v>
      </c>
      <c r="AG87" s="14" t="s">
        <v>19</v>
      </c>
      <c r="AH87" s="14">
        <v>0.2</v>
      </c>
      <c r="AJ87" s="72">
        <f>0.003/AJ$74*1000000</f>
        <v>4.464285714285714</v>
      </c>
      <c r="AL87" s="72">
        <f>0.003/AL$74*1000000</f>
        <v>4.4843049327354265</v>
      </c>
      <c r="AN87" s="72">
        <f>0.0028/AN$74*1000000</f>
        <v>4.423380726698262</v>
      </c>
      <c r="AX87" s="44"/>
      <c r="AZ87" s="44"/>
      <c r="BB87" s="44"/>
      <c r="BD87" s="105"/>
    </row>
    <row r="88" spans="2:56" ht="12.75">
      <c r="B88" s="4" t="s">
        <v>61</v>
      </c>
      <c r="D88" s="4" t="s">
        <v>97</v>
      </c>
      <c r="F88" s="5">
        <v>8</v>
      </c>
      <c r="H88" s="14">
        <v>9.8</v>
      </c>
      <c r="J88" s="14">
        <v>11.4</v>
      </c>
      <c r="L88" s="14">
        <v>6.77</v>
      </c>
      <c r="N88" s="14">
        <v>8.8</v>
      </c>
      <c r="P88" s="14">
        <v>10.43</v>
      </c>
      <c r="Q88" s="14" t="s">
        <v>19</v>
      </c>
      <c r="R88" s="14">
        <v>8.1</v>
      </c>
      <c r="S88" s="14" t="s">
        <v>19</v>
      </c>
      <c r="T88" s="14">
        <v>10.9</v>
      </c>
      <c r="U88" s="14" t="s">
        <v>19</v>
      </c>
      <c r="V88" s="14">
        <v>11.2</v>
      </c>
      <c r="W88" s="14" t="s">
        <v>19</v>
      </c>
      <c r="X88" s="14">
        <v>0.1</v>
      </c>
      <c r="Y88" s="14" t="s">
        <v>19</v>
      </c>
      <c r="Z88" s="14">
        <v>0.1</v>
      </c>
      <c r="AA88" s="14" t="s">
        <v>19</v>
      </c>
      <c r="AB88" s="14">
        <v>0.1</v>
      </c>
      <c r="AC88" s="14" t="s">
        <v>19</v>
      </c>
      <c r="AD88" s="14">
        <v>7.9</v>
      </c>
      <c r="AE88" s="14" t="s">
        <v>19</v>
      </c>
      <c r="AF88" s="14">
        <v>11.3</v>
      </c>
      <c r="AG88" s="14" t="s">
        <v>19</v>
      </c>
      <c r="AH88" s="14">
        <v>11.2</v>
      </c>
      <c r="AJ88" s="72">
        <f>0.0001/AJ$74*1000000</f>
        <v>0.14880952380952384</v>
      </c>
      <c r="AL88" s="72">
        <f>0.0001/AL$74*1000000</f>
        <v>0.14947683109118087</v>
      </c>
      <c r="AN88" s="72">
        <f>0.0001/AN$74*1000000</f>
        <v>0.15797788309636654</v>
      </c>
      <c r="AX88" s="44"/>
      <c r="AZ88" s="44"/>
      <c r="BB88" s="44"/>
      <c r="BD88" s="105"/>
    </row>
    <row r="89" spans="2:56" ht="12.75">
      <c r="B89" s="4" t="s">
        <v>87</v>
      </c>
      <c r="D89" s="4" t="s">
        <v>97</v>
      </c>
      <c r="E89" s="14" t="s">
        <v>19</v>
      </c>
      <c r="F89" s="19">
        <v>2.9</v>
      </c>
      <c r="G89" s="14" t="s">
        <v>19</v>
      </c>
      <c r="H89" s="19">
        <v>2.9</v>
      </c>
      <c r="I89" s="14" t="s">
        <v>19</v>
      </c>
      <c r="J89" s="19">
        <v>2.9</v>
      </c>
      <c r="K89" s="14" t="s">
        <v>19</v>
      </c>
      <c r="L89" s="14">
        <v>2.9</v>
      </c>
      <c r="M89" s="14" t="s">
        <v>19</v>
      </c>
      <c r="N89" s="14">
        <v>2.9</v>
      </c>
      <c r="O89" s="14" t="s">
        <v>19</v>
      </c>
      <c r="P89" s="14">
        <v>2.9</v>
      </c>
      <c r="Q89" s="14" t="s">
        <v>19</v>
      </c>
      <c r="R89" s="14">
        <v>2.9</v>
      </c>
      <c r="S89" s="14" t="s">
        <v>19</v>
      </c>
      <c r="T89" s="14">
        <v>2.9</v>
      </c>
      <c r="U89" s="14" t="s">
        <v>19</v>
      </c>
      <c r="V89" s="14">
        <v>2.9</v>
      </c>
      <c r="X89" s="14">
        <f>19.5</f>
        <v>19.5</v>
      </c>
      <c r="Y89" s="14" t="s">
        <v>19</v>
      </c>
      <c r="Z89" s="14">
        <v>2.9</v>
      </c>
      <c r="AA89" s="14" t="s">
        <v>19</v>
      </c>
      <c r="AB89" s="14">
        <v>2.9</v>
      </c>
      <c r="AC89" s="14" t="s">
        <v>19</v>
      </c>
      <c r="AD89" s="14">
        <v>2.9</v>
      </c>
      <c r="AE89" s="14" t="s">
        <v>19</v>
      </c>
      <c r="AF89" s="14">
        <v>2.9</v>
      </c>
      <c r="AG89" s="14" t="s">
        <v>19</v>
      </c>
      <c r="AH89" s="14">
        <v>2.9</v>
      </c>
      <c r="AJ89" s="72">
        <f>0.0053/AJ$74*1000000</f>
        <v>7.886904761904762</v>
      </c>
      <c r="AL89" s="72">
        <f>0.0053/AL$74*1000000</f>
        <v>7.922272047832586</v>
      </c>
      <c r="AN89" s="72">
        <f>0.005/AN$74*1000000</f>
        <v>7.898894154818326</v>
      </c>
      <c r="AX89" s="44"/>
      <c r="AZ89" s="44"/>
      <c r="BB89" s="44"/>
      <c r="BD89" s="105"/>
    </row>
    <row r="90" spans="2:56" ht="12.75">
      <c r="B90" s="4" t="s">
        <v>88</v>
      </c>
      <c r="D90" s="4" t="s">
        <v>97</v>
      </c>
      <c r="E90" s="14" t="s">
        <v>19</v>
      </c>
      <c r="F90" s="19">
        <v>0.56</v>
      </c>
      <c r="G90" s="14" t="s">
        <v>19</v>
      </c>
      <c r="H90" s="19">
        <v>0.56</v>
      </c>
      <c r="I90" s="14" t="s">
        <v>19</v>
      </c>
      <c r="J90" s="19">
        <v>0.56</v>
      </c>
      <c r="K90" s="14" t="s">
        <v>19</v>
      </c>
      <c r="L90" s="14">
        <v>0.56</v>
      </c>
      <c r="M90" s="14" t="s">
        <v>19</v>
      </c>
      <c r="N90" s="14">
        <v>0.56</v>
      </c>
      <c r="O90" s="14" t="s">
        <v>19</v>
      </c>
      <c r="P90" s="14">
        <v>0.56</v>
      </c>
      <c r="Q90" s="14" t="s">
        <v>19</v>
      </c>
      <c r="R90" s="14">
        <v>0.56</v>
      </c>
      <c r="S90" s="14" t="s">
        <v>19</v>
      </c>
      <c r="T90" s="14">
        <v>0.56</v>
      </c>
      <c r="U90" s="14" t="s">
        <v>19</v>
      </c>
      <c r="V90" s="14">
        <v>0.56</v>
      </c>
      <c r="W90" s="14" t="s">
        <v>19</v>
      </c>
      <c r="X90" s="14">
        <v>0.56</v>
      </c>
      <c r="Y90" s="14" t="s">
        <v>19</v>
      </c>
      <c r="Z90" s="14">
        <v>0.56</v>
      </c>
      <c r="AA90" s="14" t="s">
        <v>19</v>
      </c>
      <c r="AB90" s="14">
        <v>0.56</v>
      </c>
      <c r="AC90" s="14" t="s">
        <v>19</v>
      </c>
      <c r="AD90" s="14">
        <v>0.5</v>
      </c>
      <c r="AE90" s="14" t="s">
        <v>19</v>
      </c>
      <c r="AF90" s="14">
        <v>0.5</v>
      </c>
      <c r="AG90" s="14" t="s">
        <v>19</v>
      </c>
      <c r="AH90" s="14">
        <v>0.5</v>
      </c>
      <c r="AJ90" s="72">
        <f>0.0003/AJ$74*1000000</f>
        <v>0.44642857142857134</v>
      </c>
      <c r="AL90" s="72">
        <f>0.0003/AL$74*1000000</f>
        <v>0.44843049327354256</v>
      </c>
      <c r="AN90" s="72">
        <f>0.0003/AN$74*1000000</f>
        <v>0.4739336492890995</v>
      </c>
      <c r="AX90" s="44"/>
      <c r="AZ90" s="44"/>
      <c r="BB90" s="44"/>
      <c r="BD90" s="105"/>
    </row>
    <row r="91" spans="2:56" ht="12.75">
      <c r="B91" s="4" t="s">
        <v>89</v>
      </c>
      <c r="D91" s="4" t="s">
        <v>97</v>
      </c>
      <c r="E91" s="14" t="s">
        <v>19</v>
      </c>
      <c r="F91" s="19">
        <v>1.1</v>
      </c>
      <c r="G91" s="14" t="s">
        <v>19</v>
      </c>
      <c r="H91" s="19">
        <v>1.1</v>
      </c>
      <c r="I91" s="14" t="s">
        <v>19</v>
      </c>
      <c r="J91" s="19">
        <v>1.1</v>
      </c>
      <c r="K91" s="14" t="s">
        <v>19</v>
      </c>
      <c r="L91" s="14">
        <v>1.1</v>
      </c>
      <c r="M91" s="14" t="s">
        <v>19</v>
      </c>
      <c r="N91" s="14">
        <v>1.1</v>
      </c>
      <c r="O91" s="14" t="s">
        <v>19</v>
      </c>
      <c r="P91" s="14">
        <v>1.1</v>
      </c>
      <c r="Q91" s="14" t="s">
        <v>19</v>
      </c>
      <c r="R91" s="14">
        <v>1.1</v>
      </c>
      <c r="S91" s="14" t="s">
        <v>19</v>
      </c>
      <c r="T91" s="14">
        <v>1.1</v>
      </c>
      <c r="U91" s="14" t="s">
        <v>19</v>
      </c>
      <c r="V91" s="14">
        <v>1.1</v>
      </c>
      <c r="W91" s="14" t="s">
        <v>19</v>
      </c>
      <c r="X91" s="14">
        <v>1.1</v>
      </c>
      <c r="Y91" s="14" t="s">
        <v>19</v>
      </c>
      <c r="Z91" s="14">
        <v>1.1</v>
      </c>
      <c r="AA91" s="14" t="s">
        <v>19</v>
      </c>
      <c r="AB91" s="14">
        <v>1.1</v>
      </c>
      <c r="AC91" s="14" t="s">
        <v>19</v>
      </c>
      <c r="AD91" s="14">
        <v>1.1</v>
      </c>
      <c r="AE91" s="14" t="s">
        <v>19</v>
      </c>
      <c r="AF91" s="14">
        <v>1.1</v>
      </c>
      <c r="AG91" s="14" t="s">
        <v>19</v>
      </c>
      <c r="AH91" s="14">
        <v>1.1</v>
      </c>
      <c r="AJ91" s="72">
        <f>0.0006/AJ$74*1000000</f>
        <v>0.8928571428571427</v>
      </c>
      <c r="AL91" s="72">
        <f>0.0006/AL$74*1000000</f>
        <v>0.8968609865470851</v>
      </c>
      <c r="AN91" s="72">
        <f>0.0006/AN$74*1000000</f>
        <v>0.947867298578199</v>
      </c>
      <c r="AX91" s="44"/>
      <c r="AZ91" s="44"/>
      <c r="BB91" s="44"/>
      <c r="BD91" s="105"/>
    </row>
    <row r="92" spans="2:56" ht="12.75">
      <c r="B92" s="4" t="s">
        <v>90</v>
      </c>
      <c r="D92" s="4" t="s">
        <v>97</v>
      </c>
      <c r="E92" s="14" t="s">
        <v>19</v>
      </c>
      <c r="F92" s="19">
        <v>0.8</v>
      </c>
      <c r="G92" s="14" t="s">
        <v>19</v>
      </c>
      <c r="H92" s="19">
        <v>0.8</v>
      </c>
      <c r="I92" s="14" t="s">
        <v>19</v>
      </c>
      <c r="J92" s="19">
        <v>0.8</v>
      </c>
      <c r="K92" s="14" t="s">
        <v>19</v>
      </c>
      <c r="L92" s="14">
        <v>0.8</v>
      </c>
      <c r="M92" s="14" t="s">
        <v>19</v>
      </c>
      <c r="N92" s="14">
        <v>0.8</v>
      </c>
      <c r="O92" s="14" t="s">
        <v>19</v>
      </c>
      <c r="P92" s="14">
        <v>0.8</v>
      </c>
      <c r="Q92" s="14" t="s">
        <v>19</v>
      </c>
      <c r="R92" s="14">
        <v>0.8</v>
      </c>
      <c r="S92" s="14" t="s">
        <v>19</v>
      </c>
      <c r="T92" s="14">
        <v>0.8</v>
      </c>
      <c r="U92" s="14" t="s">
        <v>19</v>
      </c>
      <c r="V92" s="14">
        <v>0.8</v>
      </c>
      <c r="W92" s="14" t="s">
        <v>19</v>
      </c>
      <c r="X92" s="14">
        <v>1.4</v>
      </c>
      <c r="Y92" s="14" t="s">
        <v>19</v>
      </c>
      <c r="Z92" s="14">
        <v>1.4</v>
      </c>
      <c r="AA92" s="14" t="s">
        <v>19</v>
      </c>
      <c r="AB92" s="14">
        <v>1.4</v>
      </c>
      <c r="AC92" s="14" t="s">
        <v>19</v>
      </c>
      <c r="AD92" s="14">
        <v>0.8</v>
      </c>
      <c r="AE92" s="14" t="s">
        <v>19</v>
      </c>
      <c r="AF92" s="14">
        <v>0.8</v>
      </c>
      <c r="AG92" s="14" t="s">
        <v>19</v>
      </c>
      <c r="AH92" s="14">
        <v>0.8</v>
      </c>
      <c r="AJ92" s="72">
        <f>0.0004/AJ$74*1000000</f>
        <v>0.5952380952380953</v>
      </c>
      <c r="AL92" s="72">
        <f>0.0004/AL$74*1000000</f>
        <v>0.5979073243647235</v>
      </c>
      <c r="AN92" s="72">
        <f>0.0004/AN$74*1000000</f>
        <v>0.6319115323854662</v>
      </c>
      <c r="AX92" s="44"/>
      <c r="AZ92" s="44"/>
      <c r="BB92" s="44"/>
      <c r="BD92" s="105"/>
    </row>
    <row r="95" spans="2:56" ht="12.75">
      <c r="B95" s="4" t="s">
        <v>39</v>
      </c>
      <c r="D95" s="4" t="s">
        <v>16</v>
      </c>
      <c r="F95" s="19">
        <f>'emiss 1'!G113</f>
        <v>24158</v>
      </c>
      <c r="H95" s="19">
        <f>'emiss 1'!I113</f>
        <v>24461</v>
      </c>
      <c r="J95" s="19">
        <f>'emiss 1'!K113</f>
        <v>25007</v>
      </c>
      <c r="L95" s="14">
        <f>$F95</f>
        <v>24158</v>
      </c>
      <c r="N95" s="14">
        <f>$H95</f>
        <v>24461</v>
      </c>
      <c r="P95" s="14">
        <f>$J95</f>
        <v>25007</v>
      </c>
      <c r="R95" s="14">
        <f>$F95</f>
        <v>24158</v>
      </c>
      <c r="T95" s="14">
        <f>$H95</f>
        <v>24461</v>
      </c>
      <c r="V95" s="14">
        <f>$J95</f>
        <v>25007</v>
      </c>
      <c r="X95" s="14">
        <f>$F95</f>
        <v>24158</v>
      </c>
      <c r="Z95" s="14">
        <f>$H95</f>
        <v>24461</v>
      </c>
      <c r="AB95" s="14">
        <f>$J95</f>
        <v>25007</v>
      </c>
      <c r="AD95" s="14">
        <f>$F95</f>
        <v>24158</v>
      </c>
      <c r="AF95" s="14">
        <f>$H95</f>
        <v>24461</v>
      </c>
      <c r="AH95" s="14">
        <f>$J95</f>
        <v>25007</v>
      </c>
      <c r="AJ95" s="14">
        <f>$F95</f>
        <v>24158</v>
      </c>
      <c r="AL95" s="14">
        <f>$H95</f>
        <v>24461</v>
      </c>
      <c r="AN95" s="14">
        <f>$J95</f>
        <v>25007</v>
      </c>
      <c r="AX95" s="14">
        <f>$F95</f>
        <v>24158</v>
      </c>
      <c r="AZ95" s="14">
        <f>$H95</f>
        <v>24461</v>
      </c>
      <c r="BB95" s="14">
        <f>$J95</f>
        <v>25007</v>
      </c>
      <c r="BD95" s="14">
        <f>AVERAGE(AX95,AZ95,BB95)</f>
        <v>24542</v>
      </c>
    </row>
    <row r="96" spans="2:56" ht="12.75">
      <c r="B96" s="4" t="s">
        <v>40</v>
      </c>
      <c r="D96" s="4" t="s">
        <v>17</v>
      </c>
      <c r="F96" s="19">
        <f>'emiss 1'!G114</f>
        <v>10.8</v>
      </c>
      <c r="H96" s="5">
        <f>'emiss 1'!I114</f>
        <v>11</v>
      </c>
      <c r="J96" s="5">
        <f>'emiss 1'!K114</f>
        <v>11</v>
      </c>
      <c r="L96" s="14">
        <f>$F96</f>
        <v>10.8</v>
      </c>
      <c r="N96" s="14">
        <f>$H96</f>
        <v>11</v>
      </c>
      <c r="P96" s="14">
        <f>$J96</f>
        <v>11</v>
      </c>
      <c r="R96" s="14">
        <f>$F96</f>
        <v>10.8</v>
      </c>
      <c r="T96" s="14">
        <f>$H96</f>
        <v>11</v>
      </c>
      <c r="V96" s="14">
        <f>$J96</f>
        <v>11</v>
      </c>
      <c r="X96" s="14">
        <f>$F96</f>
        <v>10.8</v>
      </c>
      <c r="Z96" s="14">
        <f>$H96</f>
        <v>11</v>
      </c>
      <c r="AB96" s="14">
        <f>$J96</f>
        <v>11</v>
      </c>
      <c r="AD96" s="14">
        <f>$F96</f>
        <v>10.8</v>
      </c>
      <c r="AF96" s="14">
        <f>$H96</f>
        <v>11</v>
      </c>
      <c r="AH96" s="14">
        <f>$J96</f>
        <v>11</v>
      </c>
      <c r="AJ96" s="14">
        <f>$F96</f>
        <v>10.8</v>
      </c>
      <c r="AL96" s="14">
        <f>$H96</f>
        <v>11</v>
      </c>
      <c r="AN96" s="14">
        <f>$J96</f>
        <v>11</v>
      </c>
      <c r="AX96" s="14">
        <f>$F96</f>
        <v>10.8</v>
      </c>
      <c r="AZ96" s="14">
        <f>$H96</f>
        <v>11</v>
      </c>
      <c r="BB96" s="14">
        <f>$J96</f>
        <v>11</v>
      </c>
      <c r="BD96" s="18">
        <f>AVERAGE(AX96,AZ96,BB96)</f>
        <v>10.933333333333332</v>
      </c>
    </row>
    <row r="98" spans="2:56" ht="12.75">
      <c r="B98" s="4" t="s">
        <v>258</v>
      </c>
      <c r="D98" s="4" t="s">
        <v>34</v>
      </c>
      <c r="F98" s="5">
        <f>F75*F74/1000000</f>
        <v>15.444891</v>
      </c>
      <c r="H98" s="5">
        <f>H75*H74/1000000</f>
        <v>10.906502</v>
      </c>
      <c r="J98" s="5">
        <f>J75*J74/1000000</f>
        <v>5.558382</v>
      </c>
      <c r="L98" s="5">
        <f>L75*L74/1000000</f>
        <v>12.0698</v>
      </c>
      <c r="N98" s="5">
        <f>N75*N74/1000000</f>
        <v>17.8966</v>
      </c>
      <c r="P98" s="5">
        <f>P75*P74/1000000</f>
        <v>16.5347</v>
      </c>
      <c r="R98" s="5">
        <f>R75*R74/1000000</f>
        <v>8.30885</v>
      </c>
      <c r="T98" s="5">
        <f>T75*T74/1000000</f>
        <v>1.5531</v>
      </c>
      <c r="V98" s="5">
        <f>V75*V74/1000000</f>
        <v>3.66792</v>
      </c>
      <c r="X98" s="5">
        <f>X75*X74/1000000</f>
        <v>16.85281</v>
      </c>
      <c r="Z98" s="5">
        <f>Z75*Z74/1000000</f>
        <v>15.973824</v>
      </c>
      <c r="AB98" s="5">
        <f>AB75*AB74/1000000</f>
        <v>15.930345</v>
      </c>
      <c r="AD98" s="5">
        <f>AD75*AD74/1000000</f>
        <v>11.34138</v>
      </c>
      <c r="AF98" s="5">
        <f>AF75*AF74/1000000</f>
        <v>2.1512</v>
      </c>
      <c r="AH98" s="5">
        <f>AH75*AH74/1000000</f>
        <v>14.72595</v>
      </c>
      <c r="AJ98" s="6">
        <f>AJ75*AJ74/1000000</f>
        <v>3.34992</v>
      </c>
      <c r="AL98" s="6">
        <f>AL75*AL74/1000000</f>
        <v>3.334965</v>
      </c>
      <c r="AN98" s="6">
        <f>AN75*AN74/1000000</f>
        <v>3.155505</v>
      </c>
      <c r="AX98" s="18">
        <f>F98+L98+R98+X98+AD98+AJ98</f>
        <v>67.367651</v>
      </c>
      <c r="AZ98" s="18">
        <f>H98+N98+T98+Z98+AF98+AL98</f>
        <v>51.816191</v>
      </c>
      <c r="BB98" s="18">
        <f>J98+P98+V98+AB98+AH98+AN98</f>
        <v>59.572801999999996</v>
      </c>
      <c r="BD98" s="18">
        <f>AVERAGE(AX98,AZ98,BB98)</f>
        <v>59.585547999999996</v>
      </c>
    </row>
    <row r="99" spans="2:56" ht="12.75">
      <c r="B99" s="4" t="s">
        <v>261</v>
      </c>
      <c r="D99" s="4" t="s">
        <v>34</v>
      </c>
      <c r="AX99" s="21">
        <f>AX95/9000*(21-AX96)/21*60</f>
        <v>78.22590476190476</v>
      </c>
      <c r="AZ99" s="21">
        <f>AZ95/9000*(21-AZ96)/21*60</f>
        <v>77.65396825396826</v>
      </c>
      <c r="BB99" s="21">
        <f>BB95/9000*(21-BB96)/21*60</f>
        <v>79.3873015873016</v>
      </c>
      <c r="BD99" s="18">
        <f>AVERAGE(AX99,AZ99,BB99)</f>
        <v>78.42239153439154</v>
      </c>
    </row>
    <row r="102" ht="12.75">
      <c r="B102" s="64" t="s">
        <v>50</v>
      </c>
    </row>
    <row r="103" spans="2:56" ht="12.75">
      <c r="B103" s="4" t="s">
        <v>23</v>
      </c>
      <c r="D103" s="4" t="s">
        <v>41</v>
      </c>
      <c r="F103" s="7">
        <f>F$74*F78/100*1/60*454*1000/(F$95*0.0283)*(21-7)/(21-F$96)</f>
        <v>1411.2639493183426</v>
      </c>
      <c r="H103" s="7">
        <f>H$74*H78/100*1/60*454*1000/(H$95*0.0283)*(21-7)/(21-H$96)</f>
        <v>1440.1763649729874</v>
      </c>
      <c r="J103" s="7">
        <f>J$74*J78/100*1/60*454*1000/(J$95*0.0283)*(21-7)/(21-J$96)</f>
        <v>605.3044864752358</v>
      </c>
      <c r="L103" s="7">
        <f>L$74*L78/100*1/60*454*1000/(L$95*0.0283)*(21-7)/(21-L$96)</f>
        <v>15851.348366205997</v>
      </c>
      <c r="M103" s="16"/>
      <c r="N103" s="7">
        <f>N$74*N78/100*1/60*454*1000/(N$95*0.0283)*(21-7)/(21-N$96)</f>
        <v>15763.377427947253</v>
      </c>
      <c r="P103" s="7">
        <f>P$74*P78/100*1/60*454*1000/(P$95*0.0283)*(21-7)/(21-P$96)</f>
        <v>17253.61803288719</v>
      </c>
      <c r="R103" s="7">
        <f>R$74*R78/100*1/60*454*1000/(R$95*0.0283)*(21-7)/(21-R$96)</f>
        <v>590.1164868179106</v>
      </c>
      <c r="S103" s="16"/>
      <c r="T103" s="7">
        <f>T$74*T78/100*1/60*454*1000/(T$95*0.0283)*(21-7)/(21-T$96)</f>
        <v>560.2183355837367</v>
      </c>
      <c r="V103" s="7">
        <f>V$74*V78/100*1/60*454*1000/(V$95*0.0283)*(21-7)/(21-V$96)</f>
        <v>245.1074123273752</v>
      </c>
      <c r="X103" s="7">
        <f>X$74*X78/100*1/60*454*1000/(X$95*0.0283)*(21-7)/(21-X$96)</f>
        <v>0</v>
      </c>
      <c r="Y103" s="16"/>
      <c r="Z103" s="7">
        <f>Z$74*Z78/100*1/60*454*1000/(Z$95*0.0283)*(21-7)/(21-Z$96)</f>
        <v>0</v>
      </c>
      <c r="AB103" s="7">
        <f>AB$74*AB78/100*1/60*454*1000/(AB$95*0.0283)*(21-7)/(21-AB$96)</f>
        <v>0</v>
      </c>
      <c r="AD103" s="7">
        <f>AD$74*AD78/100*1/60*454*1000/(AD$95*0.0283)*(21-7)/(21-AD$96)</f>
        <v>10858.385544661987</v>
      </c>
      <c r="AE103" s="16"/>
      <c r="AF103" s="7">
        <f>AF$74*AF78/100*1/60*454*1000/(AF$95*0.0283)*(21-7)/(21-AF$96)</f>
        <v>21021.43055152479</v>
      </c>
      <c r="AH103" s="7">
        <f>AH$74*AH78/100*1/60*454*1000/(AH$95*0.0283)*(21-7)/(21-AH$96)</f>
        <v>9297.77752688611</v>
      </c>
      <c r="AJ103" s="7">
        <f>AJ$74*AJ78/100*1/60*454*1000/(AJ$95*0.0283)*(21-7)/(21-AJ$96)</f>
        <v>4930.983728468982</v>
      </c>
      <c r="AK103" s="16"/>
      <c r="AL103" s="7">
        <f>AL$74*AL78/100*1/60*454*1000/(AL$95*0.0283)*(21-7)/(21-AL$96)</f>
        <v>4945.877404232184</v>
      </c>
      <c r="AN103" s="7">
        <f>AN$74*AN78/100*1/60*454*1000/(AN$95*0.0283)*(21-7)/(21-AN$96)</f>
        <v>4577.433983973298</v>
      </c>
      <c r="AP103" s="21">
        <f>F103+L103+R103+AD103+AJ103</f>
        <v>33642.098075473215</v>
      </c>
      <c r="AR103" s="21">
        <f>H103+N103+T103+AF103+AL103</f>
        <v>43731.08008426095</v>
      </c>
      <c r="AT103" s="21">
        <f>J103+P103+V103+AH103+AN103</f>
        <v>31979.24144254921</v>
      </c>
      <c r="AV103" s="21">
        <f>AVERAGE(AP103,AR103,AT103)</f>
        <v>36450.80653409447</v>
      </c>
      <c r="AX103" s="21">
        <f>F103+L103+R103+X103+AD103+AJ103</f>
        <v>33642.098075473215</v>
      </c>
      <c r="AY103" s="16"/>
      <c r="AZ103" s="21">
        <f>H103+N103+T103+Z103+AF103+AL103</f>
        <v>43731.08008426095</v>
      </c>
      <c r="BB103" s="21">
        <f>J103+P103+V103+AB103+AH103+AN103</f>
        <v>31979.24144254921</v>
      </c>
      <c r="BD103" s="21">
        <f>AVERAGE(AX103,AZ103,BB103)</f>
        <v>36450.80653409447</v>
      </c>
    </row>
    <row r="104" spans="2:56" ht="12.75">
      <c r="B104" s="4" t="s">
        <v>24</v>
      </c>
      <c r="D104" s="4" t="s">
        <v>36</v>
      </c>
      <c r="F104" s="106">
        <f>F$74*F79/100*1/60*454*1000000/(F$95*0.0283)*(21-7)/(21-F$96)</f>
        <v>205809.3259422582</v>
      </c>
      <c r="H104" s="106">
        <f>H$74*H79/100*1/60*454*1000000/(H$95*0.0283)*(21-7)/(21-H$96)</f>
        <v>123215.08900324446</v>
      </c>
      <c r="J104" s="106">
        <f>J$74*J79/100*1/60*454*1000000/(J$95*0.0283)*(21-7)/(21-J$96)</f>
        <v>51359.168549413946</v>
      </c>
      <c r="L104" s="106">
        <f>L$74*L79/100*1/60*454*1000000/(L$95*0.0283)*(21-7)/(21-L$96)</f>
        <v>13372034.903799416</v>
      </c>
      <c r="M104" s="16"/>
      <c r="N104" s="106">
        <f>N$74*N79/100*1/60*454*1000000/(N$95*0.0283)*(21-7)/(21-N$96)</f>
        <v>12101178.631555462</v>
      </c>
      <c r="P104" s="106">
        <f>P$74*P79/100*1/60*454*1000000/(P$95*0.0283)*(21-7)/(21-P$96)</f>
        <v>12751117.45154231</v>
      </c>
      <c r="R104" s="106">
        <f>R$74*R79/100*1/60*454*1000000/(R$95*0.0283)*(21-7)/(21-R$96)</f>
        <v>8261630.815450748</v>
      </c>
      <c r="S104" s="16"/>
      <c r="T104" s="106">
        <f>T$74*T79/100*1/60*454*1000000/(T$95*0.0283)*(21-7)/(21-T$96)</f>
        <v>10457408.930896416</v>
      </c>
      <c r="V104" s="106">
        <f>V$74*V79/100*1/60*454*1000000/(V$95*0.0283)*(21-7)/(21-V$96)</f>
        <v>8006842.136027589</v>
      </c>
      <c r="X104" s="106">
        <f>X$74*X79/100*1/60*454*1000000/(X$95*0.0283)*(21-7)/(21-X$96)</f>
        <v>4042.267335780686</v>
      </c>
      <c r="Y104" s="16"/>
      <c r="Z104" s="106">
        <f>Z$74*Z79/100*1/60*454*1000000/(Z$95*0.0283)*(21-7)/(21-Z$96)</f>
        <v>2546.3005099004026</v>
      </c>
      <c r="AB104" s="106">
        <f>AB$74*AB79/100*1/60*454*1000000/(AB$95*0.0283)*(21-7)/(21-AB$96)</f>
        <v>5816.020560179548</v>
      </c>
      <c r="AD104" s="106">
        <f>AD$74*AD79/100*1/60*454*1000000/(AD$95*0.0283)*(21-7)/(21-AD$96)</f>
        <v>17228638.39753036</v>
      </c>
      <c r="AE104" s="16"/>
      <c r="AF104" s="106">
        <f>AF$74*AF79/100*1/60*454*1000000/(AF$95*0.0283)*(21-7)/(21-AF$96)</f>
        <v>16788927.755915776</v>
      </c>
      <c r="AH104" s="106">
        <f>AH$74*AH79/100*1/60*454*1000000/(AH$95*0.0283)*(21-7)/(21-AH$96)</f>
        <v>8585113.652276304</v>
      </c>
      <c r="AJ104" s="106">
        <f>AJ$74*AJ79/100*1/60*454*1000000/(AJ$95*0.0283)*(21-7)/(21-AJ$96)</f>
        <v>71397.48466976036</v>
      </c>
      <c r="AK104" s="16"/>
      <c r="AL104" s="106">
        <f>AL$74*AL79/100*1/60*454*1000000/(AL$95*0.0283)*(21-7)/(21-AL$96)</f>
        <v>71923.3409650101</v>
      </c>
      <c r="AN104" s="106">
        <f>AN$74*AN79/100*1/60*454*1000000/(AN$95*0.0283)*(21-7)/(21-AN$96)</f>
        <v>65862.35948163019</v>
      </c>
      <c r="AP104" s="21">
        <f>F104+L104+R104+AD104+AJ104</f>
        <v>39139510.92739254</v>
      </c>
      <c r="AR104" s="21">
        <f>H104+N104+T104+AF104+AL104</f>
        <v>39542653.748335905</v>
      </c>
      <c r="AT104" s="21">
        <f>J104+P104+V104+AH104+AN104</f>
        <v>29460294.767877247</v>
      </c>
      <c r="AV104" s="21">
        <f>AVERAGE(AP104,AR104,AT104)</f>
        <v>36047486.481201895</v>
      </c>
      <c r="AX104" s="85">
        <f>F104+L104+R104+X104+AD104+AJ104</f>
        <v>39143553.194728315</v>
      </c>
      <c r="AY104" s="104"/>
      <c r="AZ104" s="85">
        <f>H104+N104+T104+Z104+AF104+AL104</f>
        <v>39545200.048845805</v>
      </c>
      <c r="BA104" s="85"/>
      <c r="BB104" s="85">
        <f>J104+P104+V104+AB104+AH104+AN104</f>
        <v>29466110.788437426</v>
      </c>
      <c r="BC104" s="85"/>
      <c r="BD104" s="107">
        <f>AVERAGE(AX104,AZ104,BB104)</f>
        <v>36051621.34400385</v>
      </c>
    </row>
    <row r="106" spans="2:56" ht="12.75">
      <c r="B106" s="4" t="s">
        <v>58</v>
      </c>
      <c r="D106" s="4" t="s">
        <v>36</v>
      </c>
      <c r="E106" s="14">
        <v>100</v>
      </c>
      <c r="F106" s="106">
        <f>F$74*F81/1000000*1/60*454*1000000/(F$95*0.0283)*(21-7)/(21-F$96)</f>
        <v>15.092683902432274</v>
      </c>
      <c r="G106" s="14">
        <v>100</v>
      </c>
      <c r="H106" s="106">
        <f>H$74*H81/1000000*1/60*454*1000000/(H$95*0.0283)*(21-7)/(21-H$96)</f>
        <v>12.32150890032445</v>
      </c>
      <c r="I106" s="14">
        <v>100</v>
      </c>
      <c r="J106" s="106">
        <f aca="true" t="shared" si="39" ref="J106:J117">J$74*J81/1000000*1/60*454*1000000/(J$95*0.0283)*(21-7)/(21-J$96)</f>
        <v>5.649508540435535</v>
      </c>
      <c r="K106" s="14">
        <v>100</v>
      </c>
      <c r="L106" s="106">
        <f>L$74*L81/1000000*1/60*454*1000000/(L$95*0.0283)*(21-7)/(21-L$96)</f>
        <v>34.77361322501032</v>
      </c>
      <c r="M106" s="14">
        <v>100</v>
      </c>
      <c r="N106" s="106">
        <f aca="true" t="shared" si="40" ref="N106:N117">N$74*N81/1000000*1/60*454*1000000/(N$95*0.0283)*(21-7)/(21-N$96)</f>
        <v>35.02972761766057</v>
      </c>
      <c r="O106" s="14">
        <v>100</v>
      </c>
      <c r="P106" s="106">
        <f aca="true" t="shared" si="41" ref="P106:P117">P$74*P81/1000000*1/60*454*1000000/(P$95*0.0283)*(21-7)/(21-P$96)</f>
        <v>34.462479598763</v>
      </c>
      <c r="Q106" s="14">
        <v>100</v>
      </c>
      <c r="R106" s="106">
        <f aca="true" t="shared" si="42" ref="R106:R117">R$74*R81/1000000*1/60*454*1000000/(R$95*0.0283)*(21-7)/(21-R$96)</f>
        <v>25.243871936099502</v>
      </c>
      <c r="S106" s="14">
        <v>100</v>
      </c>
      <c r="T106" s="106">
        <f aca="true" t="shared" si="43" ref="T106:T117">T$74*T81/1000000*1/60*454*1000000/(T$95*0.0283)*(21-7)/(21-T$96)</f>
        <v>26.143522327241037</v>
      </c>
      <c r="U106" s="14">
        <v>100</v>
      </c>
      <c r="V106" s="106">
        <f aca="true" t="shared" si="44" ref="V106:V117">V$74*V81/1000000*1/60*454*1000000/(V$95*0.0283)*(21-7)/(21-V$96)</f>
        <v>25.164360998943856</v>
      </c>
      <c r="W106" s="14">
        <v>100</v>
      </c>
      <c r="X106" s="106">
        <f aca="true" t="shared" si="45" ref="X106:X117">X$74*X81/1000000*1/60*454*1000000/(X$95*0.0283)*(21-7)/(21-X$96)</f>
        <v>9.701441605873644</v>
      </c>
      <c r="Y106" s="14">
        <v>100</v>
      </c>
      <c r="Z106" s="106">
        <f aca="true" t="shared" si="46" ref="Z106:Z117">Z$74*Z81/1000000*1/60*454*1000000/(Z$95*0.0283)*(21-7)/(21-Z$96)</f>
        <v>9.166681835641446</v>
      </c>
      <c r="AA106" s="14">
        <v>100</v>
      </c>
      <c r="AB106" s="106">
        <f aca="true" t="shared" si="47" ref="AB106:AB117">AB$74*AB81/1000000*1/60*454*1000000/(AB$95*0.0283)*(21-7)/(21-AB$96)</f>
        <v>8.375069606658545</v>
      </c>
      <c r="AC106" s="14">
        <v>100</v>
      </c>
      <c r="AD106" s="106">
        <f aca="true" t="shared" si="48" ref="AD106:AD117">AD$74*AD81/1000000*1/60*454*1000000/(AD$95*0.0283)*(21-7)/(21-AD$96)</f>
        <v>37.15980830839881</v>
      </c>
      <c r="AE106" s="14">
        <v>100</v>
      </c>
      <c r="AF106" s="106">
        <f aca="true" t="shared" si="49" ref="AF106:AF117">AF$74*AF81/1000000*1/60*454*1000000/(AF$95*0.0283)*(21-7)/(21-AF$96)</f>
        <v>36.21141280687717</v>
      </c>
      <c r="AG106" s="14">
        <v>100</v>
      </c>
      <c r="AH106" s="106">
        <f aca="true" t="shared" si="50" ref="AH106:AH117">AH$74*AH81/1000000*1/60*454*1000000/(AH$95*0.0283)*(21-7)/(21-AH$96)</f>
        <v>25.52331085811874</v>
      </c>
      <c r="AJ106" s="106">
        <f aca="true" t="shared" si="51" ref="AJ106:AJ117">AJ$74*AJ81/1000000*1/60*454*1000000/(AJ$95*0.0283)*(21-7)/(21-AJ$96)</f>
        <v>10.633667929538777</v>
      </c>
      <c r="AL106" s="106">
        <f aca="true" t="shared" si="52" ref="AL106:AL117">AL$74*AL81/1000000*1/60*454*1000000/(AL$95*0.0283)*(21-7)/(21-AL$96)</f>
        <v>10.711986952235545</v>
      </c>
      <c r="AN106" s="106">
        <f aca="true" t="shared" si="53" ref="AN106:AN117">AN$74*AN81/1000000*1/60*454*1000000/(AN$95*0.0283)*(21-7)/(21-AN$96)</f>
        <v>10.478102644804803</v>
      </c>
      <c r="AO106" s="21">
        <f aca="true" t="shared" si="54" ref="AO106:AO117">(E106*F106+K106*L106+Q106*R106+AC106*AD106+AI106*AJ106)/AP106</f>
        <v>91.34796376181144</v>
      </c>
      <c r="AP106" s="21">
        <f aca="true" t="shared" si="55" ref="AP106:AP117">F106+L106+R106+AD106+AJ106</f>
        <v>122.90364530147967</v>
      </c>
      <c r="AQ106" s="21">
        <f aca="true" t="shared" si="56" ref="AQ106:AQ117">(G106*H106+M106*N106+S106*T106+AE106*AF106+AK106*AL106)/AR106</f>
        <v>91.10434250416317</v>
      </c>
      <c r="AR106" s="21">
        <f aca="true" t="shared" si="57" ref="AR106:AR120">H106+N106+T106+AF106+AL106</f>
        <v>120.41815860433877</v>
      </c>
      <c r="AS106" s="21">
        <f aca="true" t="shared" si="58" ref="AS106:AS117">(I106*J106+O106*P106+U106*V106+AG106*AH106+AM106*AN106)/AT106</f>
        <v>89.6540934835421</v>
      </c>
      <c r="AT106" s="21">
        <f aca="true" t="shared" si="59" ref="AT106:AT120">J106+P106+V106+AH106+AN106</f>
        <v>101.27776264106595</v>
      </c>
      <c r="AU106" s="21">
        <f aca="true" t="shared" si="60" ref="AU106:AU117">AVERAGE(AO106*AP106,AQ106*AR106,AS106*AT106)/AV106</f>
        <v>90.76500361115535</v>
      </c>
      <c r="AV106" s="21">
        <f aca="true" t="shared" si="61" ref="AV106:AV120">AVERAGE(AP106,AR106,AT106)</f>
        <v>114.86652218229479</v>
      </c>
      <c r="AW106" s="14">
        <f>(W106*X106+AO106*AP106)/AX106</f>
        <v>91.98095022028215</v>
      </c>
      <c r="AX106" s="103">
        <f aca="true" t="shared" si="62" ref="AX106:AX120">F106+L106+R106+X106+AD106+AJ106</f>
        <v>132.60508690735332</v>
      </c>
      <c r="AY106" s="14">
        <f>(Y106*Z106+AQ106*AR106)/AZ106</f>
        <v>91.733611033617</v>
      </c>
      <c r="AZ106" s="103">
        <f aca="true" t="shared" si="63" ref="AZ106:AZ120">H106+N106+T106+Z106+AF106+AL106</f>
        <v>129.5848404399802</v>
      </c>
      <c r="BA106" s="14">
        <f>(AA106*AB106+AS106*AT106)/BB106</f>
        <v>90.44429365843193</v>
      </c>
      <c r="BB106" s="103">
        <f aca="true" t="shared" si="64" ref="BB106:BB120">J106+P106+V106+AB106+AH106+AN106</f>
        <v>109.65283224772449</v>
      </c>
      <c r="BC106" s="21">
        <f aca="true" t="shared" si="65" ref="BC106:BC117">AVERAGE(AW106*AX106,AY106*AZ106,BA106*BB106)/BD106</f>
        <v>91.44160893135698</v>
      </c>
      <c r="BD106" s="21">
        <f>AVERAGE(AX106,AZ106,BB106)</f>
        <v>123.94758653168601</v>
      </c>
    </row>
    <row r="107" spans="2:56" ht="12.75">
      <c r="B107" s="4" t="s">
        <v>57</v>
      </c>
      <c r="D107" s="4" t="s">
        <v>36</v>
      </c>
      <c r="E107" s="14">
        <v>100</v>
      </c>
      <c r="F107" s="106">
        <f aca="true" t="shared" si="66" ref="F107:H117">F$74*F82/1000000*1/60*454*1000000/(F$95*0.0283)*(21-7)/(21-F$96)</f>
        <v>79.57960603100653</v>
      </c>
      <c r="G107" s="14">
        <v>100</v>
      </c>
      <c r="H107" s="106">
        <f t="shared" si="66"/>
        <v>64.96795601989255</v>
      </c>
      <c r="I107" s="14">
        <v>100</v>
      </c>
      <c r="J107" s="106">
        <f t="shared" si="39"/>
        <v>29.78831775866009</v>
      </c>
      <c r="L107" s="106">
        <f aca="true" t="shared" si="67" ref="L107:L117">L$74*L82/1000000*1/60*454*1000000/(L$95*0.0283)*(21-7)/(21-L$96)</f>
        <v>301.2659400312257</v>
      </c>
      <c r="N107" s="106">
        <f t="shared" si="40"/>
        <v>196.48492672815058</v>
      </c>
      <c r="O107" s="14">
        <v>100</v>
      </c>
      <c r="P107" s="106">
        <f t="shared" si="41"/>
        <v>181.7112560662049</v>
      </c>
      <c r="Q107" s="14">
        <v>100</v>
      </c>
      <c r="R107" s="106">
        <f t="shared" si="42"/>
        <v>133.10405202670648</v>
      </c>
      <c r="T107" s="106">
        <f t="shared" si="43"/>
        <v>178.2512885948253</v>
      </c>
      <c r="U107" s="14">
        <v>100</v>
      </c>
      <c r="V107" s="106">
        <f t="shared" si="44"/>
        <v>132.68481253988574</v>
      </c>
      <c r="W107" s="14">
        <v>100</v>
      </c>
      <c r="X107" s="106">
        <f t="shared" si="45"/>
        <v>78.15050182509326</v>
      </c>
      <c r="Y107" s="14">
        <v>100</v>
      </c>
      <c r="Z107" s="106">
        <f t="shared" si="46"/>
        <v>73.84271478711167</v>
      </c>
      <c r="AA107" s="14">
        <v>100</v>
      </c>
      <c r="AB107" s="106">
        <f t="shared" si="47"/>
        <v>67.46583849808275</v>
      </c>
      <c r="AC107" s="14">
        <v>100</v>
      </c>
      <c r="AD107" s="106">
        <f t="shared" si="48"/>
        <v>195.93353471701192</v>
      </c>
      <c r="AF107" s="106">
        <f t="shared" si="49"/>
        <v>263.35572950456117</v>
      </c>
      <c r="AG107" s="14">
        <v>100</v>
      </c>
      <c r="AH107" s="106">
        <f t="shared" si="50"/>
        <v>134.5774572518988</v>
      </c>
      <c r="AJ107" s="106">
        <f t="shared" si="51"/>
        <v>44.05376713666063</v>
      </c>
      <c r="AL107" s="106">
        <f t="shared" si="52"/>
        <v>44.378231659261544</v>
      </c>
      <c r="AN107" s="106">
        <f t="shared" si="53"/>
        <v>41.91241057921921</v>
      </c>
      <c r="AO107" s="21">
        <f t="shared" si="54"/>
        <v>54.19779729654144</v>
      </c>
      <c r="AP107" s="21">
        <f t="shared" si="55"/>
        <v>753.9368999426114</v>
      </c>
      <c r="AQ107" s="21">
        <f t="shared" si="56"/>
        <v>8.692084761852975</v>
      </c>
      <c r="AR107" s="21">
        <f t="shared" si="57"/>
        <v>747.4381325066912</v>
      </c>
      <c r="AS107" s="21">
        <f t="shared" si="58"/>
        <v>91.95035855115424</v>
      </c>
      <c r="AT107" s="21">
        <f t="shared" si="59"/>
        <v>520.6742541958687</v>
      </c>
      <c r="AU107" s="21">
        <f t="shared" si="60"/>
        <v>47.09810975929909</v>
      </c>
      <c r="AV107" s="21">
        <f t="shared" si="61"/>
        <v>674.0164288817238</v>
      </c>
      <c r="AW107" s="14">
        <f aca="true" t="shared" si="68" ref="AW107:BA117">(W107*X107+AO107*AP107)/AX107</f>
        <v>58.49958713059689</v>
      </c>
      <c r="AX107" s="103">
        <f>F107+L107+R107+X107+AD107+AJ107</f>
        <v>832.0874017677046</v>
      </c>
      <c r="AY107" s="14">
        <f t="shared" si="68"/>
        <v>16.901729933724663</v>
      </c>
      <c r="AZ107" s="103">
        <f t="shared" si="63"/>
        <v>821.2808472938028</v>
      </c>
      <c r="BA107" s="14">
        <f t="shared" si="68"/>
        <v>92.87373686986018</v>
      </c>
      <c r="BB107" s="103">
        <f t="shared" si="64"/>
        <v>588.1400926939515</v>
      </c>
      <c r="BC107" s="21">
        <f t="shared" si="65"/>
        <v>52.27756799708554</v>
      </c>
      <c r="BD107" s="21">
        <f aca="true" t="shared" si="69" ref="BD107:BD120">AVERAGE(AX107,AZ107,BB107)</f>
        <v>747.1694472518196</v>
      </c>
    </row>
    <row r="108" spans="2:56" ht="12.75">
      <c r="B108" s="4" t="s">
        <v>85</v>
      </c>
      <c r="D108" s="4" t="s">
        <v>36</v>
      </c>
      <c r="F108" s="106">
        <f t="shared" si="66"/>
        <v>52.138362572038766</v>
      </c>
      <c r="G108" s="14">
        <v>100</v>
      </c>
      <c r="H108" s="106">
        <f t="shared" si="66"/>
        <v>8.961097382054145</v>
      </c>
      <c r="I108" s="14">
        <v>100</v>
      </c>
      <c r="J108" s="106">
        <f t="shared" si="39"/>
        <v>4.108733483953115</v>
      </c>
      <c r="L108" s="106">
        <f t="shared" si="67"/>
        <v>26.554395553644234</v>
      </c>
      <c r="M108" s="14">
        <v>100</v>
      </c>
      <c r="N108" s="106">
        <f t="shared" si="40"/>
        <v>25.476165540116767</v>
      </c>
      <c r="O108" s="14">
        <v>100</v>
      </c>
      <c r="P108" s="106">
        <f t="shared" si="41"/>
        <v>25.06362152637309</v>
      </c>
      <c r="R108" s="106">
        <f t="shared" si="42"/>
        <v>48.19284642346269</v>
      </c>
      <c r="S108" s="14">
        <v>100</v>
      </c>
      <c r="T108" s="106">
        <f t="shared" si="43"/>
        <v>19.013470783448028</v>
      </c>
      <c r="U108" s="14">
        <v>100</v>
      </c>
      <c r="V108" s="106">
        <f t="shared" si="44"/>
        <v>18.301353453777352</v>
      </c>
      <c r="X108" s="106">
        <f t="shared" si="45"/>
        <v>122.6154425186808</v>
      </c>
      <c r="Y108" s="14">
        <v>100</v>
      </c>
      <c r="Z108" s="106">
        <f t="shared" si="46"/>
        <v>10.185202039601608</v>
      </c>
      <c r="AA108" s="14">
        <v>100</v>
      </c>
      <c r="AB108" s="106">
        <f t="shared" si="47"/>
        <v>9.305632896287275</v>
      </c>
      <c r="AD108" s="106">
        <f t="shared" si="48"/>
        <v>37.15980830839881</v>
      </c>
      <c r="AE108" s="14">
        <v>100</v>
      </c>
      <c r="AF108" s="106">
        <f t="shared" si="49"/>
        <v>26.33557295045612</v>
      </c>
      <c r="AG108" s="14">
        <v>100</v>
      </c>
      <c r="AH108" s="106">
        <f t="shared" si="50"/>
        <v>18.562407896813628</v>
      </c>
      <c r="AJ108" s="106">
        <f t="shared" si="51"/>
        <v>311.4145607936356</v>
      </c>
      <c r="AL108" s="106">
        <f t="shared" si="52"/>
        <v>312.17790546515016</v>
      </c>
      <c r="AN108" s="106">
        <f t="shared" si="53"/>
        <v>288.8962586353324</v>
      </c>
      <c r="AO108" s="21">
        <f t="shared" si="54"/>
        <v>0</v>
      </c>
      <c r="AP108" s="21">
        <f t="shared" si="55"/>
        <v>475.45997365118006</v>
      </c>
      <c r="AQ108" s="21">
        <f t="shared" si="56"/>
        <v>20.35550802566614</v>
      </c>
      <c r="AR108" s="21">
        <f t="shared" si="57"/>
        <v>391.9642121212252</v>
      </c>
      <c r="AS108" s="21">
        <f t="shared" si="58"/>
        <v>18.60526709112263</v>
      </c>
      <c r="AT108" s="21">
        <f t="shared" si="59"/>
        <v>354.93237499624956</v>
      </c>
      <c r="AU108" s="21">
        <f t="shared" si="60"/>
        <v>11.929614295627019</v>
      </c>
      <c r="AV108" s="21">
        <f t="shared" si="61"/>
        <v>407.45218692288495</v>
      </c>
      <c r="AW108" s="14">
        <f t="shared" si="68"/>
        <v>0</v>
      </c>
      <c r="AX108" s="103">
        <f t="shared" si="62"/>
        <v>598.0754161698609</v>
      </c>
      <c r="AY108" s="14">
        <f t="shared" si="68"/>
        <v>22.372656909975113</v>
      </c>
      <c r="AZ108" s="103">
        <f t="shared" si="63"/>
        <v>402.14941416082684</v>
      </c>
      <c r="BA108" s="14">
        <f t="shared" si="68"/>
        <v>20.684757665222282</v>
      </c>
      <c r="BB108" s="103">
        <f t="shared" si="64"/>
        <v>364.23800789253687</v>
      </c>
      <c r="BC108" s="21">
        <f t="shared" si="65"/>
        <v>12.115629192814708</v>
      </c>
      <c r="BD108" s="21">
        <f t="shared" si="69"/>
        <v>454.82094607440814</v>
      </c>
    </row>
    <row r="109" spans="2:56" ht="12.75">
      <c r="B109" s="4" t="s">
        <v>59</v>
      </c>
      <c r="D109" s="4" t="s">
        <v>36</v>
      </c>
      <c r="E109" s="14">
        <v>100</v>
      </c>
      <c r="F109" s="106">
        <f t="shared" si="66"/>
        <v>2.4697119113070993</v>
      </c>
      <c r="G109" s="14">
        <v>100</v>
      </c>
      <c r="H109" s="106">
        <f t="shared" si="66"/>
        <v>2.016246910962182</v>
      </c>
      <c r="J109" s="106">
        <f t="shared" si="39"/>
        <v>1.0785425395376929</v>
      </c>
      <c r="K109" s="14">
        <v>100</v>
      </c>
      <c r="L109" s="106">
        <f t="shared" si="67"/>
        <v>5.69022761863805</v>
      </c>
      <c r="M109" s="14">
        <v>100</v>
      </c>
      <c r="N109" s="106">
        <f t="shared" si="40"/>
        <v>5.732137246526273</v>
      </c>
      <c r="O109" s="14">
        <v>100</v>
      </c>
      <c r="P109" s="106">
        <f t="shared" si="41"/>
        <v>5.6393148434339455</v>
      </c>
      <c r="Q109" s="14">
        <v>100</v>
      </c>
      <c r="R109" s="106">
        <f t="shared" si="42"/>
        <v>4.130815407725373</v>
      </c>
      <c r="S109" s="14">
        <v>100</v>
      </c>
      <c r="T109" s="106">
        <f t="shared" si="43"/>
        <v>4.2780309262758065</v>
      </c>
      <c r="U109" s="14">
        <v>100</v>
      </c>
      <c r="V109" s="106">
        <f t="shared" si="44"/>
        <v>4.117804527099905</v>
      </c>
      <c r="W109" s="14">
        <v>100</v>
      </c>
      <c r="X109" s="106">
        <f t="shared" si="45"/>
        <v>2.425360401468411</v>
      </c>
      <c r="Y109" s="14">
        <v>100</v>
      </c>
      <c r="Z109" s="106">
        <f t="shared" si="46"/>
        <v>2.2916704589103616</v>
      </c>
      <c r="AA109" s="14">
        <v>100</v>
      </c>
      <c r="AB109" s="106">
        <f t="shared" si="47"/>
        <v>2.0937674016646364</v>
      </c>
      <c r="AC109" s="14">
        <v>100</v>
      </c>
      <c r="AD109" s="106">
        <f t="shared" si="48"/>
        <v>3.378164391672619</v>
      </c>
      <c r="AE109" s="14">
        <v>100</v>
      </c>
      <c r="AF109" s="106">
        <f t="shared" si="49"/>
        <v>3.291946618807015</v>
      </c>
      <c r="AG109" s="14">
        <v>100</v>
      </c>
      <c r="AH109" s="106">
        <f t="shared" si="50"/>
        <v>2.3203009871017035</v>
      </c>
      <c r="AJ109" s="106">
        <f t="shared" si="51"/>
        <v>18.229145022066472</v>
      </c>
      <c r="AL109" s="106">
        <f t="shared" si="52"/>
        <v>18.363406203832362</v>
      </c>
      <c r="AN109" s="106">
        <f t="shared" si="53"/>
        <v>17.96246167680823</v>
      </c>
      <c r="AO109" s="21">
        <f t="shared" si="54"/>
        <v>46.223640284910736</v>
      </c>
      <c r="AP109" s="21">
        <f t="shared" si="55"/>
        <v>33.898064351409616</v>
      </c>
      <c r="AQ109" s="21">
        <f t="shared" si="56"/>
        <v>45.47968427648634</v>
      </c>
      <c r="AR109" s="21">
        <f t="shared" si="57"/>
        <v>33.681767906403635</v>
      </c>
      <c r="AS109" s="21">
        <f t="shared" si="58"/>
        <v>38.811156165449475</v>
      </c>
      <c r="AT109" s="21">
        <f t="shared" si="59"/>
        <v>31.118424573981475</v>
      </c>
      <c r="AU109" s="21">
        <f t="shared" si="60"/>
        <v>43.632686910511964</v>
      </c>
      <c r="AV109" s="21">
        <f t="shared" si="61"/>
        <v>32.89941894393157</v>
      </c>
      <c r="AW109" s="14">
        <f t="shared" si="68"/>
        <v>49.814354934629016</v>
      </c>
      <c r="AX109" s="103">
        <f t="shared" si="62"/>
        <v>36.323424752878026</v>
      </c>
      <c r="AY109" s="14">
        <f t="shared" si="68"/>
        <v>48.95287456998115</v>
      </c>
      <c r="AZ109" s="103">
        <f t="shared" si="63"/>
        <v>35.973438365313996</v>
      </c>
      <c r="BA109" s="14">
        <f t="shared" si="68"/>
        <v>42.66863135589384</v>
      </c>
      <c r="BB109" s="103">
        <f t="shared" si="64"/>
        <v>33.21219197564611</v>
      </c>
      <c r="BC109" s="21">
        <f t="shared" si="65"/>
        <v>47.27129781158108</v>
      </c>
      <c r="BD109" s="21">
        <f t="shared" si="69"/>
        <v>35.16968503127938</v>
      </c>
    </row>
    <row r="110" spans="2:56" ht="12.75">
      <c r="B110" s="4" t="s">
        <v>60</v>
      </c>
      <c r="D110" s="4" t="s">
        <v>36</v>
      </c>
      <c r="E110" s="14">
        <v>100</v>
      </c>
      <c r="F110" s="106">
        <f t="shared" si="66"/>
        <v>5.7626611263832315</v>
      </c>
      <c r="G110" s="14">
        <v>100</v>
      </c>
      <c r="H110" s="106">
        <f t="shared" si="66"/>
        <v>4.704576125578425</v>
      </c>
      <c r="I110" s="14">
        <v>100</v>
      </c>
      <c r="J110" s="106">
        <f t="shared" si="39"/>
        <v>2.1570850790753857</v>
      </c>
      <c r="K110" s="14">
        <v>100</v>
      </c>
      <c r="L110" s="106">
        <f t="shared" si="67"/>
        <v>13.277197776822117</v>
      </c>
      <c r="M110" s="14">
        <v>100</v>
      </c>
      <c r="N110" s="106">
        <f t="shared" si="40"/>
        <v>13.374986908561302</v>
      </c>
      <c r="O110" s="14">
        <v>100</v>
      </c>
      <c r="P110" s="106">
        <f t="shared" si="41"/>
        <v>13.158401301345867</v>
      </c>
      <c r="Q110" s="14">
        <v>100</v>
      </c>
      <c r="R110" s="106">
        <f t="shared" si="42"/>
        <v>9.638569284692538</v>
      </c>
      <c r="S110" s="14">
        <v>100</v>
      </c>
      <c r="T110" s="106">
        <f t="shared" si="43"/>
        <v>9.982072161310214</v>
      </c>
      <c r="U110" s="14">
        <v>100</v>
      </c>
      <c r="V110" s="106">
        <f t="shared" si="44"/>
        <v>9.608210563233108</v>
      </c>
      <c r="W110" s="14">
        <v>100</v>
      </c>
      <c r="X110" s="106">
        <f t="shared" si="45"/>
        <v>5.659174270092961</v>
      </c>
      <c r="Y110" s="14">
        <v>100</v>
      </c>
      <c r="Z110" s="106">
        <f t="shared" si="46"/>
        <v>5.347231070790844</v>
      </c>
      <c r="AA110" s="14">
        <v>100</v>
      </c>
      <c r="AB110" s="106">
        <f t="shared" si="47"/>
        <v>4.885457270550819</v>
      </c>
      <c r="AC110" s="14">
        <v>100</v>
      </c>
      <c r="AD110" s="106">
        <f t="shared" si="48"/>
        <v>13.512657566690477</v>
      </c>
      <c r="AE110" s="14">
        <v>100</v>
      </c>
      <c r="AF110" s="106">
        <f t="shared" si="49"/>
        <v>13.16778647522806</v>
      </c>
      <c r="AG110" s="14">
        <v>100</v>
      </c>
      <c r="AH110" s="106">
        <f t="shared" si="50"/>
        <v>9.281203948406814</v>
      </c>
      <c r="AJ110" s="106">
        <f t="shared" si="51"/>
        <v>0.30381908370110794</v>
      </c>
      <c r="AL110" s="106">
        <f t="shared" si="52"/>
        <v>0.3060567700638727</v>
      </c>
      <c r="AN110" s="106">
        <f t="shared" si="53"/>
        <v>0.2993743612801373</v>
      </c>
      <c r="AO110" s="21">
        <f t="shared" si="54"/>
        <v>99.28504585465654</v>
      </c>
      <c r="AP110" s="21">
        <f t="shared" si="55"/>
        <v>42.49490483828947</v>
      </c>
      <c r="AQ110" s="21">
        <f t="shared" si="56"/>
        <v>99.26314374709679</v>
      </c>
      <c r="AR110" s="21">
        <f t="shared" si="57"/>
        <v>41.535478440741876</v>
      </c>
      <c r="AS110" s="21">
        <f t="shared" si="58"/>
        <v>99.13235574698487</v>
      </c>
      <c r="AT110" s="21">
        <f t="shared" si="59"/>
        <v>34.50427525334131</v>
      </c>
      <c r="AU110" s="21">
        <f t="shared" si="60"/>
        <v>99.23292459243318</v>
      </c>
      <c r="AV110" s="21">
        <f t="shared" si="61"/>
        <v>39.511552844124225</v>
      </c>
      <c r="AW110" s="14">
        <f t="shared" si="68"/>
        <v>99.36906885288516</v>
      </c>
      <c r="AX110" s="103">
        <f t="shared" si="62"/>
        <v>48.15407910838243</v>
      </c>
      <c r="AY110" s="14">
        <f t="shared" si="68"/>
        <v>99.34718625853185</v>
      </c>
      <c r="AZ110" s="103">
        <f t="shared" si="63"/>
        <v>46.882709511532724</v>
      </c>
      <c r="BA110" s="14">
        <f t="shared" si="68"/>
        <v>99.23996853469734</v>
      </c>
      <c r="BB110" s="103">
        <f t="shared" si="64"/>
        <v>39.38973252389213</v>
      </c>
      <c r="BC110" s="21">
        <f t="shared" si="65"/>
        <v>99.32360801476634</v>
      </c>
      <c r="BD110" s="21">
        <f t="shared" si="69"/>
        <v>44.8088403812691</v>
      </c>
    </row>
    <row r="111" spans="2:56" ht="12.75">
      <c r="B111" s="4" t="s">
        <v>67</v>
      </c>
      <c r="D111" s="4" t="s">
        <v>36</v>
      </c>
      <c r="E111" s="14">
        <v>100</v>
      </c>
      <c r="F111" s="106">
        <f t="shared" si="66"/>
        <v>15.092683902432274</v>
      </c>
      <c r="G111" s="14">
        <v>100</v>
      </c>
      <c r="H111" s="106">
        <f t="shared" si="66"/>
        <v>12.32150890032445</v>
      </c>
      <c r="I111" s="14">
        <v>100</v>
      </c>
      <c r="J111" s="106">
        <f t="shared" si="39"/>
        <v>5.649508540435535</v>
      </c>
      <c r="L111" s="106">
        <f t="shared" si="67"/>
        <v>43.30895465296739</v>
      </c>
      <c r="N111" s="106">
        <f t="shared" si="40"/>
        <v>46.81245417996456</v>
      </c>
      <c r="P111" s="106">
        <f t="shared" si="41"/>
        <v>34.462479598763</v>
      </c>
      <c r="Q111" s="14">
        <v>100</v>
      </c>
      <c r="R111" s="106">
        <f t="shared" si="42"/>
        <v>25.243871936099502</v>
      </c>
      <c r="S111" s="14">
        <v>100</v>
      </c>
      <c r="T111" s="106">
        <f t="shared" si="43"/>
        <v>26.143522327241037</v>
      </c>
      <c r="U111" s="14">
        <v>100</v>
      </c>
      <c r="V111" s="106">
        <f t="shared" si="44"/>
        <v>25.164360998943856</v>
      </c>
      <c r="X111" s="106">
        <f t="shared" si="45"/>
        <v>423.0906478117118</v>
      </c>
      <c r="Z111" s="106">
        <f t="shared" si="46"/>
        <v>4.710655943315745</v>
      </c>
      <c r="AA111" s="14">
        <v>100</v>
      </c>
      <c r="AB111" s="106">
        <f t="shared" si="47"/>
        <v>12.795245232395</v>
      </c>
      <c r="AC111" s="14">
        <v>100</v>
      </c>
      <c r="AD111" s="106">
        <f t="shared" si="48"/>
        <v>37.15980830839881</v>
      </c>
      <c r="AE111" s="14">
        <v>100</v>
      </c>
      <c r="AF111" s="106">
        <f t="shared" si="49"/>
        <v>36.21141280687717</v>
      </c>
      <c r="AG111" s="14">
        <v>100</v>
      </c>
      <c r="AH111" s="106">
        <f t="shared" si="50"/>
        <v>25.52331085811874</v>
      </c>
      <c r="AJ111" s="106">
        <f t="shared" si="51"/>
        <v>124.56582431745427</v>
      </c>
      <c r="AL111" s="106">
        <f t="shared" si="52"/>
        <v>125.48327572618784</v>
      </c>
      <c r="AN111" s="106">
        <f t="shared" si="53"/>
        <v>116.75600089925351</v>
      </c>
      <c r="AO111" s="21">
        <f t="shared" si="54"/>
        <v>31.58332441311848</v>
      </c>
      <c r="AP111" s="21">
        <f t="shared" si="55"/>
        <v>245.37114311735223</v>
      </c>
      <c r="AQ111" s="21">
        <f t="shared" si="56"/>
        <v>30.2367845101468</v>
      </c>
      <c r="AR111" s="21">
        <f t="shared" si="57"/>
        <v>246.97217394059504</v>
      </c>
      <c r="AS111" s="21">
        <f t="shared" si="58"/>
        <v>27.143167357819628</v>
      </c>
      <c r="AT111" s="21">
        <f t="shared" si="59"/>
        <v>207.55566089551465</v>
      </c>
      <c r="AU111" s="21">
        <f t="shared" si="60"/>
        <v>29.791440643128894</v>
      </c>
      <c r="AV111" s="21">
        <f t="shared" si="61"/>
        <v>233.29965931782064</v>
      </c>
      <c r="AW111" s="14">
        <f t="shared" si="68"/>
        <v>11.593237668711325</v>
      </c>
      <c r="AX111" s="103">
        <f t="shared" si="62"/>
        <v>668.461790929064</v>
      </c>
      <c r="AY111" s="14">
        <f t="shared" si="68"/>
        <v>29.6708536171845</v>
      </c>
      <c r="AZ111" s="103">
        <f t="shared" si="63"/>
        <v>251.6828298839108</v>
      </c>
      <c r="BA111" s="14">
        <f t="shared" si="68"/>
        <v>31.3737877663925</v>
      </c>
      <c r="BB111" s="103">
        <f t="shared" si="64"/>
        <v>220.35090612790964</v>
      </c>
      <c r="BC111" s="21">
        <f t="shared" si="65"/>
        <v>19.404305285165517</v>
      </c>
      <c r="BD111" s="21">
        <f t="shared" si="69"/>
        <v>380.1651756469615</v>
      </c>
    </row>
    <row r="112" spans="2:56" ht="12.75">
      <c r="B112" s="4" t="s">
        <v>56</v>
      </c>
      <c r="D112" s="4" t="s">
        <v>36</v>
      </c>
      <c r="F112" s="106">
        <f t="shared" si="66"/>
        <v>5.213836257203877</v>
      </c>
      <c r="G112" s="14">
        <v>100</v>
      </c>
      <c r="H112" s="106">
        <f t="shared" si="66"/>
        <v>2.9123566491675965</v>
      </c>
      <c r="I112" s="14">
        <v>100</v>
      </c>
      <c r="J112" s="106">
        <f t="shared" si="39"/>
        <v>6.676691911423812</v>
      </c>
      <c r="L112" s="106">
        <f t="shared" si="67"/>
        <v>271.8664306682624</v>
      </c>
      <c r="N112" s="106">
        <f t="shared" si="40"/>
        <v>48.40471452622185</v>
      </c>
      <c r="P112" s="106">
        <f t="shared" si="41"/>
        <v>61.719168008693735</v>
      </c>
      <c r="Q112" s="14">
        <v>100</v>
      </c>
      <c r="R112" s="106">
        <f t="shared" si="42"/>
        <v>5.966733366714428</v>
      </c>
      <c r="S112" s="14">
        <v>100</v>
      </c>
      <c r="T112" s="106">
        <f t="shared" si="43"/>
        <v>30.896890023103047</v>
      </c>
      <c r="U112" s="14">
        <v>100</v>
      </c>
      <c r="V112" s="106">
        <f t="shared" si="44"/>
        <v>5.9479398724776384</v>
      </c>
      <c r="W112" s="14">
        <v>100</v>
      </c>
      <c r="X112" s="106">
        <f t="shared" si="45"/>
        <v>3.5032983576765946</v>
      </c>
      <c r="Y112" s="14">
        <v>100</v>
      </c>
      <c r="Z112" s="106">
        <f t="shared" si="46"/>
        <v>3.3101906628705224</v>
      </c>
      <c r="AA112" s="14">
        <v>100</v>
      </c>
      <c r="AB112" s="106">
        <f t="shared" si="47"/>
        <v>15.12165345646682</v>
      </c>
      <c r="AC112" s="14">
        <v>100</v>
      </c>
      <c r="AD112" s="106">
        <f t="shared" si="48"/>
        <v>6.756328783345238</v>
      </c>
      <c r="AE112" s="14">
        <v>100</v>
      </c>
      <c r="AF112" s="106">
        <f t="shared" si="49"/>
        <v>42.79530604449119</v>
      </c>
      <c r="AG112" s="14">
        <v>100</v>
      </c>
      <c r="AH112" s="106">
        <f t="shared" si="50"/>
        <v>4.640601974203407</v>
      </c>
      <c r="AJ112" s="106">
        <f t="shared" si="51"/>
        <v>45.57286255516619</v>
      </c>
      <c r="AL112" s="106">
        <f t="shared" si="52"/>
        <v>45.908515509580916</v>
      </c>
      <c r="AN112" s="106">
        <f t="shared" si="53"/>
        <v>41.91241057921921</v>
      </c>
      <c r="AO112" s="21">
        <f t="shared" si="54"/>
        <v>3.7936688612857727</v>
      </c>
      <c r="AP112" s="21">
        <f t="shared" si="55"/>
        <v>335.3761916306921</v>
      </c>
      <c r="AQ112" s="21">
        <f t="shared" si="56"/>
        <v>44.819533393819654</v>
      </c>
      <c r="AR112" s="21">
        <f t="shared" si="57"/>
        <v>170.91778275256462</v>
      </c>
      <c r="AS112" s="21">
        <f t="shared" si="58"/>
        <v>14.280966903155536</v>
      </c>
      <c r="AT112" s="21">
        <f t="shared" si="59"/>
        <v>120.8968123460178</v>
      </c>
      <c r="AU112" s="21">
        <f t="shared" si="60"/>
        <v>16.995282915553556</v>
      </c>
      <c r="AV112" s="21">
        <f t="shared" si="61"/>
        <v>209.06359557642486</v>
      </c>
      <c r="AW112" s="14">
        <f t="shared" si="68"/>
        <v>4.78823917856262</v>
      </c>
      <c r="AX112" s="103">
        <f t="shared" si="62"/>
        <v>338.87948998836873</v>
      </c>
      <c r="AY112" s="14">
        <f t="shared" si="68"/>
        <v>45.867917655841005</v>
      </c>
      <c r="AZ112" s="103">
        <f t="shared" si="63"/>
        <v>174.22797341543514</v>
      </c>
      <c r="BA112" s="14">
        <f t="shared" si="68"/>
        <v>23.810654695665647</v>
      </c>
      <c r="BB112" s="103">
        <f t="shared" si="64"/>
        <v>136.01846580248463</v>
      </c>
      <c r="BC112" s="21">
        <f t="shared" si="65"/>
        <v>19.800162852698932</v>
      </c>
      <c r="BD112" s="21">
        <f t="shared" si="69"/>
        <v>216.37530973542948</v>
      </c>
    </row>
    <row r="113" spans="2:56" ht="12.75">
      <c r="B113" s="4" t="s">
        <v>61</v>
      </c>
      <c r="D113" s="4" t="s">
        <v>36</v>
      </c>
      <c r="F113" s="106">
        <f t="shared" si="66"/>
        <v>109.76497383587107</v>
      </c>
      <c r="G113" s="14"/>
      <c r="H113" s="106">
        <f t="shared" si="66"/>
        <v>109.77344293016327</v>
      </c>
      <c r="J113" s="106">
        <f t="shared" si="39"/>
        <v>58.549452146331895</v>
      </c>
      <c r="L113" s="106">
        <f t="shared" si="67"/>
        <v>214.0157832121089</v>
      </c>
      <c r="N113" s="106">
        <f t="shared" si="40"/>
        <v>280.23782094128455</v>
      </c>
      <c r="P113" s="106">
        <f t="shared" si="41"/>
        <v>326.7669656500891</v>
      </c>
      <c r="Q113" s="14">
        <v>100</v>
      </c>
      <c r="R113" s="106">
        <f t="shared" si="42"/>
        <v>185.8866933476418</v>
      </c>
      <c r="S113" s="14">
        <v>100</v>
      </c>
      <c r="T113" s="106">
        <f t="shared" si="43"/>
        <v>259.0585394244795</v>
      </c>
      <c r="U113" s="14">
        <v>100</v>
      </c>
      <c r="V113" s="106">
        <f t="shared" si="44"/>
        <v>256.2189483528829</v>
      </c>
      <c r="W113" s="14">
        <v>100</v>
      </c>
      <c r="X113" s="106">
        <f t="shared" si="45"/>
        <v>1.3474224452602286</v>
      </c>
      <c r="Y113" s="14">
        <v>100</v>
      </c>
      <c r="Z113" s="106">
        <f t="shared" si="46"/>
        <v>1.273150254950201</v>
      </c>
      <c r="AA113" s="14">
        <v>100</v>
      </c>
      <c r="AB113" s="106">
        <f t="shared" si="47"/>
        <v>1.1632041120359093</v>
      </c>
      <c r="AC113" s="14">
        <v>100</v>
      </c>
      <c r="AD113" s="106">
        <f t="shared" si="48"/>
        <v>266.8749869421369</v>
      </c>
      <c r="AE113" s="14">
        <v>100</v>
      </c>
      <c r="AF113" s="106">
        <f t="shared" si="49"/>
        <v>371.98996792519273</v>
      </c>
      <c r="AG113" s="14">
        <v>100</v>
      </c>
      <c r="AH113" s="106">
        <f t="shared" si="50"/>
        <v>259.8737105553907</v>
      </c>
      <c r="AJ113" s="106">
        <f t="shared" si="51"/>
        <v>1.5190954185055396</v>
      </c>
      <c r="AL113" s="106">
        <f t="shared" si="52"/>
        <v>1.5302838503193636</v>
      </c>
      <c r="AN113" s="106">
        <f t="shared" si="53"/>
        <v>1.4968718064006863</v>
      </c>
      <c r="AO113" s="21">
        <f t="shared" si="54"/>
        <v>58.1909863460132</v>
      </c>
      <c r="AP113" s="21">
        <f t="shared" si="55"/>
        <v>778.0615327562642</v>
      </c>
      <c r="AQ113" s="21">
        <f t="shared" si="56"/>
        <v>61.71080035641325</v>
      </c>
      <c r="AR113" s="21">
        <f t="shared" si="57"/>
        <v>1022.5900550714393</v>
      </c>
      <c r="AS113" s="21">
        <f t="shared" si="58"/>
        <v>57.159071745990566</v>
      </c>
      <c r="AT113" s="21">
        <f t="shared" si="59"/>
        <v>902.9059485110953</v>
      </c>
      <c r="AU113" s="21">
        <f t="shared" si="60"/>
        <v>59.17768810329587</v>
      </c>
      <c r="AV113" s="21">
        <f t="shared" si="61"/>
        <v>901.1858454462663</v>
      </c>
      <c r="AW113" s="14">
        <f t="shared" si="68"/>
        <v>58.263264709041515</v>
      </c>
      <c r="AX113" s="103">
        <f t="shared" si="62"/>
        <v>779.4089552015245</v>
      </c>
      <c r="AY113" s="14">
        <f t="shared" si="68"/>
        <v>61.75841209207723</v>
      </c>
      <c r="AZ113" s="103">
        <f t="shared" si="63"/>
        <v>1023.8632053263896</v>
      </c>
      <c r="BA113" s="14">
        <f t="shared" si="68"/>
        <v>57.214192246191146</v>
      </c>
      <c r="BB113" s="103">
        <f t="shared" si="64"/>
        <v>904.0691526231311</v>
      </c>
      <c r="BC113" s="21">
        <f t="shared" si="65"/>
        <v>59.23474131503049</v>
      </c>
      <c r="BD113" s="21">
        <f t="shared" si="69"/>
        <v>902.4471043836817</v>
      </c>
    </row>
    <row r="114" spans="2:56" ht="12.75">
      <c r="B114" s="4" t="s">
        <v>87</v>
      </c>
      <c r="D114" s="4" t="s">
        <v>36</v>
      </c>
      <c r="E114" s="14">
        <v>100</v>
      </c>
      <c r="F114" s="106">
        <f t="shared" si="66"/>
        <v>39.78980301550327</v>
      </c>
      <c r="G114" s="14">
        <v>100</v>
      </c>
      <c r="H114" s="106">
        <f t="shared" si="66"/>
        <v>32.48397800994628</v>
      </c>
      <c r="I114" s="14">
        <v>100</v>
      </c>
      <c r="J114" s="106">
        <f t="shared" si="39"/>
        <v>14.894158879330044</v>
      </c>
      <c r="K114" s="14">
        <v>100</v>
      </c>
      <c r="L114" s="106">
        <f t="shared" si="67"/>
        <v>91.6758894113908</v>
      </c>
      <c r="M114" s="14">
        <v>100</v>
      </c>
      <c r="N114" s="106">
        <f t="shared" si="40"/>
        <v>92.3511000829233</v>
      </c>
      <c r="O114" s="14">
        <v>100</v>
      </c>
      <c r="P114" s="106">
        <f t="shared" si="41"/>
        <v>90.85562803310245</v>
      </c>
      <c r="Q114" s="14">
        <v>100</v>
      </c>
      <c r="R114" s="106">
        <f t="shared" si="42"/>
        <v>66.55202601335324</v>
      </c>
      <c r="S114" s="14">
        <v>100</v>
      </c>
      <c r="T114" s="106">
        <f t="shared" si="43"/>
        <v>68.9238315899991</v>
      </c>
      <c r="U114" s="14">
        <v>100</v>
      </c>
      <c r="V114" s="106">
        <f t="shared" si="44"/>
        <v>66.34240626994287</v>
      </c>
      <c r="X114" s="106">
        <f t="shared" si="45"/>
        <v>262.7473768257446</v>
      </c>
      <c r="Y114" s="14">
        <v>100</v>
      </c>
      <c r="Z114" s="106">
        <f t="shared" si="46"/>
        <v>36.92135739355584</v>
      </c>
      <c r="AA114" s="14">
        <v>100</v>
      </c>
      <c r="AB114" s="106">
        <f t="shared" si="47"/>
        <v>33.73291924904137</v>
      </c>
      <c r="AC114" s="14">
        <v>100</v>
      </c>
      <c r="AD114" s="106">
        <f t="shared" si="48"/>
        <v>97.96676735850596</v>
      </c>
      <c r="AE114" s="14">
        <v>100</v>
      </c>
      <c r="AF114" s="106">
        <f t="shared" si="49"/>
        <v>95.46645194540345</v>
      </c>
      <c r="AG114" s="14">
        <v>100</v>
      </c>
      <c r="AH114" s="106">
        <f t="shared" si="50"/>
        <v>67.2887286259494</v>
      </c>
      <c r="AJ114" s="106">
        <f t="shared" si="51"/>
        <v>80.51205718079359</v>
      </c>
      <c r="AL114" s="106">
        <f t="shared" si="52"/>
        <v>81.10504406692625</v>
      </c>
      <c r="AN114" s="106">
        <f t="shared" si="53"/>
        <v>74.8435903200343</v>
      </c>
      <c r="AO114" s="21">
        <f t="shared" si="54"/>
        <v>78.61545911055885</v>
      </c>
      <c r="AP114" s="21">
        <f t="shared" si="55"/>
        <v>376.49654297954686</v>
      </c>
      <c r="AQ114" s="21">
        <f t="shared" si="56"/>
        <v>78.0992749124467</v>
      </c>
      <c r="AR114" s="21">
        <f t="shared" si="57"/>
        <v>370.33040569519835</v>
      </c>
      <c r="AS114" s="21">
        <f t="shared" si="58"/>
        <v>76.18149207613024</v>
      </c>
      <c r="AT114" s="21">
        <f t="shared" si="59"/>
        <v>314.22451212835904</v>
      </c>
      <c r="AU114" s="21">
        <f t="shared" si="60"/>
        <v>77.71449356577125</v>
      </c>
      <c r="AV114" s="21">
        <f t="shared" si="61"/>
        <v>353.6838202677014</v>
      </c>
      <c r="AW114" s="14">
        <f t="shared" si="68"/>
        <v>46.3022762717724</v>
      </c>
      <c r="AX114" s="103">
        <f t="shared" si="62"/>
        <v>639.2439198052915</v>
      </c>
      <c r="AY114" s="14">
        <f t="shared" si="68"/>
        <v>80.08478994620077</v>
      </c>
      <c r="AZ114" s="103">
        <f t="shared" si="63"/>
        <v>407.2517630887542</v>
      </c>
      <c r="BA114" s="14">
        <f t="shared" si="68"/>
        <v>78.4905900633409</v>
      </c>
      <c r="BB114" s="103">
        <f t="shared" si="64"/>
        <v>347.95743137740044</v>
      </c>
      <c r="BC114" s="21">
        <f t="shared" si="65"/>
        <v>64.20044078324442</v>
      </c>
      <c r="BD114" s="21">
        <f t="shared" si="69"/>
        <v>464.81770475714876</v>
      </c>
    </row>
    <row r="115" spans="2:56" ht="12.75">
      <c r="B115" s="4" t="s">
        <v>88</v>
      </c>
      <c r="D115" s="4" t="s">
        <v>36</v>
      </c>
      <c r="E115" s="14">
        <v>100</v>
      </c>
      <c r="F115" s="106">
        <f t="shared" si="66"/>
        <v>7.683548168510977</v>
      </c>
      <c r="G115" s="14">
        <v>100</v>
      </c>
      <c r="H115" s="106">
        <f t="shared" si="66"/>
        <v>6.272768167437901</v>
      </c>
      <c r="I115" s="14">
        <v>100</v>
      </c>
      <c r="J115" s="106">
        <f t="shared" si="39"/>
        <v>2.876113438767181</v>
      </c>
      <c r="K115" s="14">
        <v>100</v>
      </c>
      <c r="L115" s="106">
        <f t="shared" si="67"/>
        <v>17.702930369096155</v>
      </c>
      <c r="M115" s="14">
        <v>100</v>
      </c>
      <c r="N115" s="106">
        <f t="shared" si="40"/>
        <v>17.833315878081734</v>
      </c>
      <c r="O115" s="14">
        <v>100</v>
      </c>
      <c r="P115" s="106">
        <f t="shared" si="41"/>
        <v>17.54453506846117</v>
      </c>
      <c r="Q115" s="14">
        <v>100</v>
      </c>
      <c r="R115" s="106">
        <f t="shared" si="42"/>
        <v>12.851425712923385</v>
      </c>
      <c r="S115" s="14">
        <v>100</v>
      </c>
      <c r="T115" s="106">
        <f t="shared" si="43"/>
        <v>13.309429548413618</v>
      </c>
      <c r="U115" s="14">
        <v>100</v>
      </c>
      <c r="V115" s="106">
        <f t="shared" si="44"/>
        <v>12.810947417644144</v>
      </c>
      <c r="W115" s="14">
        <v>100</v>
      </c>
      <c r="X115" s="106">
        <f t="shared" si="45"/>
        <v>7.54556569345728</v>
      </c>
      <c r="Y115" s="14">
        <v>100</v>
      </c>
      <c r="Z115" s="106">
        <f t="shared" si="46"/>
        <v>7.129641427721128</v>
      </c>
      <c r="AA115" s="14">
        <v>100</v>
      </c>
      <c r="AB115" s="106">
        <f t="shared" si="47"/>
        <v>6.513943027401092</v>
      </c>
      <c r="AC115" s="14">
        <v>100</v>
      </c>
      <c r="AD115" s="106">
        <f t="shared" si="48"/>
        <v>16.890821958363095</v>
      </c>
      <c r="AE115" s="14">
        <v>100</v>
      </c>
      <c r="AF115" s="106">
        <f t="shared" si="49"/>
        <v>16.459733094035073</v>
      </c>
      <c r="AG115" s="14">
        <v>100</v>
      </c>
      <c r="AH115" s="106">
        <f t="shared" si="50"/>
        <v>11.601504935508519</v>
      </c>
      <c r="AJ115" s="106">
        <f t="shared" si="51"/>
        <v>4.557286255516618</v>
      </c>
      <c r="AL115" s="106">
        <f t="shared" si="52"/>
        <v>4.5908515509580905</v>
      </c>
      <c r="AN115" s="106">
        <f t="shared" si="53"/>
        <v>4.490615419202057</v>
      </c>
      <c r="AO115" s="21">
        <f t="shared" si="54"/>
        <v>92.36456572093161</v>
      </c>
      <c r="AP115" s="21">
        <f t="shared" si="55"/>
        <v>59.686012464410226</v>
      </c>
      <c r="AQ115" s="21">
        <f t="shared" si="56"/>
        <v>92.14784004877971</v>
      </c>
      <c r="AR115" s="21">
        <f t="shared" si="57"/>
        <v>58.46609823892642</v>
      </c>
      <c r="AS115" s="21">
        <f t="shared" si="58"/>
        <v>90.89562636815975</v>
      </c>
      <c r="AT115" s="21">
        <f t="shared" si="59"/>
        <v>49.32371627958307</v>
      </c>
      <c r="AU115" s="21">
        <f t="shared" si="60"/>
        <v>91.85628548825274</v>
      </c>
      <c r="AV115" s="21">
        <f t="shared" si="61"/>
        <v>55.82527566097324</v>
      </c>
      <c r="AW115" s="14">
        <f t="shared" si="68"/>
        <v>93.22150932584749</v>
      </c>
      <c r="AX115" s="103">
        <f t="shared" si="62"/>
        <v>67.2315781578675</v>
      </c>
      <c r="AY115" s="14">
        <f t="shared" si="68"/>
        <v>93.00129615995118</v>
      </c>
      <c r="AZ115" s="103">
        <f t="shared" si="63"/>
        <v>65.59573966664755</v>
      </c>
      <c r="BA115" s="14">
        <f t="shared" si="68"/>
        <v>91.95772982797584</v>
      </c>
      <c r="BB115" s="103">
        <f t="shared" si="64"/>
        <v>55.837659306984165</v>
      </c>
      <c r="BC115" s="21">
        <f t="shared" si="65"/>
        <v>92.77091411821995</v>
      </c>
      <c r="BD115" s="21">
        <f t="shared" si="69"/>
        <v>62.888325710499736</v>
      </c>
    </row>
    <row r="116" spans="2:56" ht="12.75">
      <c r="B116" s="4" t="s">
        <v>89</v>
      </c>
      <c r="D116" s="4" t="s">
        <v>36</v>
      </c>
      <c r="E116" s="14">
        <v>100</v>
      </c>
      <c r="F116" s="106">
        <f t="shared" si="66"/>
        <v>15.092683902432274</v>
      </c>
      <c r="G116" s="14">
        <v>100</v>
      </c>
      <c r="H116" s="106">
        <f t="shared" si="66"/>
        <v>12.32150890032445</v>
      </c>
      <c r="I116" s="14">
        <v>100</v>
      </c>
      <c r="J116" s="106">
        <f t="shared" si="39"/>
        <v>5.649508540435535</v>
      </c>
      <c r="K116" s="14">
        <v>100</v>
      </c>
      <c r="L116" s="106">
        <f t="shared" si="67"/>
        <v>34.77361322501032</v>
      </c>
      <c r="M116" s="14">
        <v>100</v>
      </c>
      <c r="N116" s="106">
        <f t="shared" si="40"/>
        <v>35.02972761766057</v>
      </c>
      <c r="O116" s="14">
        <v>100</v>
      </c>
      <c r="P116" s="106">
        <f t="shared" si="41"/>
        <v>34.462479598763</v>
      </c>
      <c r="Q116" s="14">
        <v>100</v>
      </c>
      <c r="R116" s="106">
        <f t="shared" si="42"/>
        <v>25.243871936099502</v>
      </c>
      <c r="S116" s="14">
        <v>100</v>
      </c>
      <c r="T116" s="106">
        <f t="shared" si="43"/>
        <v>26.143522327241037</v>
      </c>
      <c r="U116" s="14">
        <v>100</v>
      </c>
      <c r="V116" s="106">
        <f t="shared" si="44"/>
        <v>25.164360998943856</v>
      </c>
      <c r="W116" s="14">
        <v>100</v>
      </c>
      <c r="X116" s="106">
        <f t="shared" si="45"/>
        <v>14.821646897862516</v>
      </c>
      <c r="Y116" s="14">
        <v>100</v>
      </c>
      <c r="Z116" s="106">
        <f t="shared" si="46"/>
        <v>14.004652804452212</v>
      </c>
      <c r="AA116" s="14">
        <v>100</v>
      </c>
      <c r="AB116" s="106">
        <f t="shared" si="47"/>
        <v>12.795245232395</v>
      </c>
      <c r="AC116" s="14">
        <v>100</v>
      </c>
      <c r="AD116" s="106">
        <f t="shared" si="48"/>
        <v>37.15980830839881</v>
      </c>
      <c r="AE116" s="14">
        <v>100</v>
      </c>
      <c r="AF116" s="106">
        <f t="shared" si="49"/>
        <v>36.21141280687717</v>
      </c>
      <c r="AG116" s="14">
        <v>100</v>
      </c>
      <c r="AH116" s="106">
        <f t="shared" si="50"/>
        <v>25.52331085811874</v>
      </c>
      <c r="AJ116" s="106">
        <f t="shared" si="51"/>
        <v>9.114572511033236</v>
      </c>
      <c r="AL116" s="106">
        <f t="shared" si="52"/>
        <v>9.181703101916181</v>
      </c>
      <c r="AN116" s="106">
        <f t="shared" si="53"/>
        <v>8.981230838404114</v>
      </c>
      <c r="AO116" s="21">
        <f t="shared" si="54"/>
        <v>92.49115927865573</v>
      </c>
      <c r="AP116" s="21">
        <f t="shared" si="55"/>
        <v>121.38454988297413</v>
      </c>
      <c r="AQ116" s="21">
        <f t="shared" si="56"/>
        <v>92.27700627930876</v>
      </c>
      <c r="AR116" s="21">
        <f t="shared" si="57"/>
        <v>118.8878747540194</v>
      </c>
      <c r="AS116" s="21">
        <f t="shared" si="58"/>
        <v>90.99904724915133</v>
      </c>
      <c r="AT116" s="21">
        <f t="shared" si="59"/>
        <v>99.78089083466526</v>
      </c>
      <c r="AU116" s="21">
        <f t="shared" si="60"/>
        <v>91.97846184398489</v>
      </c>
      <c r="AV116" s="21">
        <f t="shared" si="61"/>
        <v>113.3511051572196</v>
      </c>
      <c r="AW116" s="14">
        <f t="shared" si="68"/>
        <v>93.3082541569683</v>
      </c>
      <c r="AX116" s="103">
        <f t="shared" si="62"/>
        <v>136.20619678083665</v>
      </c>
      <c r="AY116" s="14">
        <f t="shared" si="68"/>
        <v>93.09088082633066</v>
      </c>
      <c r="AZ116" s="103">
        <f t="shared" si="63"/>
        <v>132.8925275584716</v>
      </c>
      <c r="BA116" s="14">
        <f t="shared" si="68"/>
        <v>92.0220828746031</v>
      </c>
      <c r="BB116" s="103">
        <f t="shared" si="64"/>
        <v>112.57613606706025</v>
      </c>
      <c r="BC116" s="21">
        <f t="shared" si="65"/>
        <v>92.85320850780919</v>
      </c>
      <c r="BD116" s="21">
        <f t="shared" si="69"/>
        <v>127.22495346878951</v>
      </c>
    </row>
    <row r="117" spans="2:56" ht="12.75">
      <c r="B117" s="4" t="s">
        <v>90</v>
      </c>
      <c r="D117" s="4" t="s">
        <v>36</v>
      </c>
      <c r="E117" s="14">
        <v>100</v>
      </c>
      <c r="F117" s="106">
        <f t="shared" si="66"/>
        <v>10.976497383587109</v>
      </c>
      <c r="G117" s="14">
        <v>100</v>
      </c>
      <c r="H117" s="106">
        <f t="shared" si="66"/>
        <v>8.961097382054145</v>
      </c>
      <c r="I117" s="14">
        <v>100</v>
      </c>
      <c r="J117" s="106">
        <f t="shared" si="39"/>
        <v>4.108733483953115</v>
      </c>
      <c r="K117" s="14">
        <v>100</v>
      </c>
      <c r="L117" s="106">
        <f t="shared" si="67"/>
        <v>25.289900527280224</v>
      </c>
      <c r="M117" s="14">
        <v>100</v>
      </c>
      <c r="N117" s="106">
        <f t="shared" si="40"/>
        <v>25.476165540116767</v>
      </c>
      <c r="O117" s="14">
        <v>100</v>
      </c>
      <c r="P117" s="106">
        <f t="shared" si="41"/>
        <v>25.06362152637309</v>
      </c>
      <c r="Q117" s="14">
        <v>100</v>
      </c>
      <c r="R117" s="106">
        <f t="shared" si="42"/>
        <v>18.35917958989055</v>
      </c>
      <c r="S117" s="14">
        <v>100</v>
      </c>
      <c r="T117" s="106">
        <f t="shared" si="43"/>
        <v>19.013470783448028</v>
      </c>
      <c r="U117" s="14">
        <v>100</v>
      </c>
      <c r="V117" s="106">
        <f t="shared" si="44"/>
        <v>18.301353453777352</v>
      </c>
      <c r="W117" s="14">
        <v>100</v>
      </c>
      <c r="X117" s="106">
        <f t="shared" si="45"/>
        <v>18.863914233643197</v>
      </c>
      <c r="Y117" s="14">
        <v>100</v>
      </c>
      <c r="Z117" s="106">
        <f t="shared" si="46"/>
        <v>17.824103569302817</v>
      </c>
      <c r="AA117" s="14">
        <v>100</v>
      </c>
      <c r="AB117" s="106">
        <f t="shared" si="47"/>
        <v>16.28485756850273</v>
      </c>
      <c r="AC117" s="14">
        <v>100</v>
      </c>
      <c r="AD117" s="106">
        <f t="shared" si="48"/>
        <v>27.025315133380953</v>
      </c>
      <c r="AE117" s="14">
        <v>100</v>
      </c>
      <c r="AF117" s="106">
        <f t="shared" si="49"/>
        <v>26.33557295045612</v>
      </c>
      <c r="AG117" s="14">
        <v>100</v>
      </c>
      <c r="AH117" s="106">
        <f t="shared" si="50"/>
        <v>18.562407896813628</v>
      </c>
      <c r="AJ117" s="106">
        <f t="shared" si="51"/>
        <v>6.076381674022159</v>
      </c>
      <c r="AL117" s="106">
        <f t="shared" si="52"/>
        <v>6.121135401277455</v>
      </c>
      <c r="AN117" s="106">
        <f t="shared" si="53"/>
        <v>5.987487225602745</v>
      </c>
      <c r="AO117" s="21">
        <f t="shared" si="54"/>
        <v>93.07355469329008</v>
      </c>
      <c r="AP117" s="21">
        <f t="shared" si="55"/>
        <v>87.727274308161</v>
      </c>
      <c r="AQ117" s="21">
        <f t="shared" si="56"/>
        <v>92.87473208992658</v>
      </c>
      <c r="AR117" s="21">
        <f t="shared" si="57"/>
        <v>85.90744205735251</v>
      </c>
      <c r="AS117" s="21">
        <f t="shared" si="58"/>
        <v>91.68677082588606</v>
      </c>
      <c r="AT117" s="21">
        <f t="shared" si="59"/>
        <v>72.02360358651994</v>
      </c>
      <c r="AU117" s="21">
        <f t="shared" si="60"/>
        <v>92.59744009303121</v>
      </c>
      <c r="AV117" s="21">
        <f t="shared" si="61"/>
        <v>81.8861066506778</v>
      </c>
      <c r="AW117" s="14">
        <f t="shared" si="68"/>
        <v>94.29935836428069</v>
      </c>
      <c r="AX117" s="103">
        <f t="shared" si="62"/>
        <v>106.5911885418042</v>
      </c>
      <c r="AY117" s="14">
        <f t="shared" si="68"/>
        <v>94.09906083602735</v>
      </c>
      <c r="AZ117" s="103">
        <f t="shared" si="63"/>
        <v>103.73154562665533</v>
      </c>
      <c r="BA117" s="14">
        <f t="shared" si="68"/>
        <v>93.21980346244297</v>
      </c>
      <c r="BB117" s="103">
        <f t="shared" si="64"/>
        <v>88.30846115502267</v>
      </c>
      <c r="BC117" s="21">
        <f t="shared" si="65"/>
        <v>93.91054766358081</v>
      </c>
      <c r="BD117" s="21">
        <f t="shared" si="69"/>
        <v>99.54373177449406</v>
      </c>
    </row>
    <row r="118" spans="6:56" ht="12.75">
      <c r="F118" s="106"/>
      <c r="G118" s="14"/>
      <c r="H118" s="106"/>
      <c r="J118" s="106"/>
      <c r="L118" s="106"/>
      <c r="N118" s="106"/>
      <c r="P118" s="106"/>
      <c r="R118" s="106"/>
      <c r="T118" s="106"/>
      <c r="V118" s="106"/>
      <c r="X118" s="106"/>
      <c r="Z118" s="106"/>
      <c r="AB118" s="106"/>
      <c r="AD118" s="106"/>
      <c r="AF118" s="106"/>
      <c r="AH118" s="106"/>
      <c r="AJ118" s="106"/>
      <c r="AL118" s="106"/>
      <c r="AN118" s="106"/>
      <c r="AP118" s="21"/>
      <c r="AR118" s="21"/>
      <c r="AT118" s="21"/>
      <c r="AV118" s="21"/>
      <c r="AX118" s="103"/>
      <c r="AZ118" s="103"/>
      <c r="BB118" s="103"/>
      <c r="BD118" s="21"/>
    </row>
    <row r="119" spans="2:56" ht="12.75">
      <c r="B119" s="4" t="s">
        <v>37</v>
      </c>
      <c r="D119" s="4" t="s">
        <v>36</v>
      </c>
      <c r="F119" s="103">
        <f>F110+F112</f>
        <v>10.976497383587109</v>
      </c>
      <c r="H119" s="103">
        <f>H110+H112</f>
        <v>7.616932774746022</v>
      </c>
      <c r="J119" s="103">
        <f>J110+J112</f>
        <v>8.833776990499198</v>
      </c>
      <c r="L119" s="103">
        <f>L110+L112</f>
        <v>285.1436284450845</v>
      </c>
      <c r="N119" s="103">
        <f>N110+N112</f>
        <v>61.779701434783156</v>
      </c>
      <c r="P119" s="103">
        <f>P110+P112</f>
        <v>74.8775693100396</v>
      </c>
      <c r="R119" s="103">
        <f>R110+R112</f>
        <v>15.605302651406966</v>
      </c>
      <c r="T119" s="103">
        <f>T110+T112</f>
        <v>40.87896218441326</v>
      </c>
      <c r="V119" s="103">
        <f>V110+V112</f>
        <v>15.556150435710746</v>
      </c>
      <c r="W119" s="103">
        <f>(W110*X110+W112*X12)/X119</f>
        <v>76.93528326325772</v>
      </c>
      <c r="X119" s="103">
        <f>X110+X112</f>
        <v>9.162472627769555</v>
      </c>
      <c r="Y119" s="103">
        <f>(Y110*Z110+Y112*Z12)/Z119</f>
        <v>75.51013768190478</v>
      </c>
      <c r="Z119" s="103">
        <f>Z110+Z112</f>
        <v>8.657421733661366</v>
      </c>
      <c r="AA119" s="103">
        <f>(AA110*AB110+AA112*AB12)/AB119</f>
        <v>30.36648996172401</v>
      </c>
      <c r="AB119" s="103">
        <f>AB110+AB112</f>
        <v>20.00711072701764</v>
      </c>
      <c r="AD119" s="103">
        <f>AD110+AD112</f>
        <v>20.268986350035714</v>
      </c>
      <c r="AF119" s="103">
        <f>AF110+AF112</f>
        <v>55.963092519719254</v>
      </c>
      <c r="AH119" s="103">
        <f>AH110+AH112</f>
        <v>13.921805922610222</v>
      </c>
      <c r="AJ119" s="103">
        <f>AJ110+AJ112</f>
        <v>45.876681638867296</v>
      </c>
      <c r="AL119" s="103">
        <f>AL110+AL112</f>
        <v>46.21457227964479</v>
      </c>
      <c r="AN119" s="103">
        <f>AN110+AN112</f>
        <v>42.21178494049935</v>
      </c>
      <c r="AO119" s="103">
        <f>(AO110*AP110+AO112*AP12)/AP119</f>
        <v>11.165470486852046</v>
      </c>
      <c r="AP119" s="21">
        <f>F119+L119+R119+AD119+AJ119</f>
        <v>377.87109646898165</v>
      </c>
      <c r="AQ119" s="103">
        <f>(AQ110*AR110+AQ112*AR12)/AR119</f>
        <v>19.406349160799312</v>
      </c>
      <c r="AR119" s="21">
        <f t="shared" si="57"/>
        <v>212.45326119330647</v>
      </c>
      <c r="AS119" s="103">
        <f>(AS110*AT110+AS112*AT12)/AT119</f>
        <v>22.01072168828388</v>
      </c>
      <c r="AT119" s="21">
        <f t="shared" si="59"/>
        <v>155.40108759935913</v>
      </c>
      <c r="AU119" s="103">
        <f>(AU110*AV110+AU112*AV12)/AV119</f>
        <v>15.773286142335825</v>
      </c>
      <c r="AV119" s="21">
        <f t="shared" si="61"/>
        <v>248.57514842054908</v>
      </c>
      <c r="AW119" s="103">
        <f>(AW110*AX110+AW112*AX12)/AX119</f>
        <v>12.363335856461498</v>
      </c>
      <c r="AX119" s="103">
        <f t="shared" si="62"/>
        <v>387.0335690967512</v>
      </c>
      <c r="AY119" s="103">
        <f>(AY110*AZ110+AY112*AZ12)/AZ119</f>
        <v>21.064858615109504</v>
      </c>
      <c r="AZ119" s="103">
        <f t="shared" si="63"/>
        <v>221.11068292696783</v>
      </c>
      <c r="BA119" s="103">
        <f>(BA110*BB110+BA112*BB12)/BB119</f>
        <v>22.285365527714813</v>
      </c>
      <c r="BB119" s="103">
        <f t="shared" si="64"/>
        <v>175.40819832637675</v>
      </c>
      <c r="BC119" s="103">
        <f>(BC110*BD110+BC112*BD12)/BD119</f>
        <v>17.039991498859568</v>
      </c>
      <c r="BD119" s="21">
        <f t="shared" si="69"/>
        <v>261.1841501166986</v>
      </c>
    </row>
    <row r="120" spans="2:56" ht="12.75">
      <c r="B120" s="4" t="s">
        <v>38</v>
      </c>
      <c r="D120" s="4" t="s">
        <v>36</v>
      </c>
      <c r="F120" s="103">
        <f>F106+F109+F111</f>
        <v>32.65507971617164</v>
      </c>
      <c r="H120" s="103">
        <f>H106+H109+H111</f>
        <v>26.65926471161108</v>
      </c>
      <c r="J120" s="103">
        <f>J106+J109+J111</f>
        <v>12.377559620408764</v>
      </c>
      <c r="L120" s="103">
        <f>L106+L109+L111</f>
        <v>83.77279549661576</v>
      </c>
      <c r="N120" s="103">
        <f>N106+N109+N111</f>
        <v>87.5743190441514</v>
      </c>
      <c r="P120" s="103">
        <f>P106+P109+P111</f>
        <v>74.56427404095993</v>
      </c>
      <c r="R120" s="103">
        <f>R106+R109+R111</f>
        <v>54.618559279924376</v>
      </c>
      <c r="T120" s="103">
        <f>T106+T109+T111</f>
        <v>56.56507558075788</v>
      </c>
      <c r="V120" s="103">
        <f>V106+V109+V111</f>
        <v>54.44652652498762</v>
      </c>
      <c r="W120" s="103">
        <f>(W106*X106+W109*X109+W111*X111)/X120</f>
        <v>2.7863777089783275</v>
      </c>
      <c r="X120" s="103">
        <f>X106+X109+X111</f>
        <v>435.21744981905385</v>
      </c>
      <c r="Y120" s="103">
        <f>(Y106*Z106+Y109*Z109+Y111*Z111)/Z120</f>
        <v>70.86614173228347</v>
      </c>
      <c r="Z120" s="103">
        <f>Z106+Z109+Z111</f>
        <v>16.16900823786755</v>
      </c>
      <c r="AA120" s="103">
        <f>(AA106*AB106+AA109*AB109+AA111*AB111)/AB120</f>
        <v>100</v>
      </c>
      <c r="AB120" s="103">
        <f>AB106+AB109+AB111</f>
        <v>23.26408224071818</v>
      </c>
      <c r="AD120" s="103">
        <f>AD106+AD109+AD111</f>
        <v>77.69778100847023</v>
      </c>
      <c r="AF120" s="103">
        <f>AF106+AF109+AF111</f>
        <v>75.71477223256136</v>
      </c>
      <c r="AH120" s="103">
        <f>AH106+AH109+AH111</f>
        <v>53.366922703339185</v>
      </c>
      <c r="AJ120" s="103">
        <f>AJ106+AJ109+AJ111</f>
        <v>153.42863726905952</v>
      </c>
      <c r="AL120" s="103">
        <f>AL106+AL109+AL111</f>
        <v>154.55866888225574</v>
      </c>
      <c r="AN120" s="103">
        <f>AN106+AN109+AN111</f>
        <v>145.19656522086655</v>
      </c>
      <c r="AO120" s="103">
        <f>(AO106*AP106+AO109*AP109+AO111*AP111)/AP120</f>
        <v>51.08133466322709</v>
      </c>
      <c r="AP120" s="21">
        <f>F120+L120+R120+AD120+AJ120</f>
        <v>402.17285277024155</v>
      </c>
      <c r="AQ120" s="103">
        <f>(AQ106*AR106+AQ109*AR109+AQ111*AR111)/AR120</f>
        <v>49.791789846361326</v>
      </c>
      <c r="AR120" s="21">
        <f t="shared" si="57"/>
        <v>401.07210045133746</v>
      </c>
      <c r="AS120" s="103">
        <f>(AS106*AT106+AS109*AT109+AS111*AT111)/AT120</f>
        <v>46.83435658205742</v>
      </c>
      <c r="AT120" s="21">
        <f t="shared" si="59"/>
        <v>339.951848110562</v>
      </c>
      <c r="AU120" s="103">
        <f>(AU106*AV106+AU109*AV109+AU111*AV111)/AV120</f>
        <v>49.36599702965421</v>
      </c>
      <c r="AV120" s="21">
        <f t="shared" si="61"/>
        <v>381.065600444047</v>
      </c>
      <c r="AW120" s="103">
        <f>(AW106*AX106+AW109*AX109+AW111*AX111)/AX120</f>
        <v>25.980962781970707</v>
      </c>
      <c r="AX120" s="103">
        <f t="shared" si="62"/>
        <v>837.3903025892954</v>
      </c>
      <c r="AY120" s="103">
        <f>(AY106*AZ106+AY109*AZ109+AY111*AZ111)/AZ120</f>
        <v>50.60846721145052</v>
      </c>
      <c r="AZ120" s="103">
        <f t="shared" si="63"/>
        <v>417.241108689205</v>
      </c>
      <c r="BA120" s="103">
        <f>(BA106*BB106+BA109*BB109+BA111*BB111)/BB120</f>
        <v>50.239630958815916</v>
      </c>
      <c r="BB120" s="103">
        <f t="shared" si="64"/>
        <v>363.21593035128024</v>
      </c>
      <c r="BC120" s="103">
        <f>(BC106*BD106+BC109*BD109+BC111*BD111)/BD120</f>
        <v>37.77857896750818</v>
      </c>
      <c r="BD120" s="21">
        <f t="shared" si="69"/>
        <v>539.2824472099269</v>
      </c>
    </row>
    <row r="121" spans="42:48" ht="12.75">
      <c r="AP121" s="21"/>
      <c r="AR121" s="21"/>
      <c r="AT121" s="21"/>
      <c r="AV121" s="21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21"/>
  <sheetViews>
    <sheetView workbookViewId="0" topLeftCell="B1">
      <selection activeCell="B2" sqref="B2"/>
    </sheetView>
  </sheetViews>
  <sheetFormatPr defaultColWidth="9.140625" defaultRowHeight="12.75"/>
  <cols>
    <col min="1" max="1" width="7.140625" style="78" hidden="1" customWidth="1"/>
    <col min="2" max="2" width="20.140625" style="78" customWidth="1"/>
    <col min="3" max="3" width="2.28125" style="78" customWidth="1"/>
    <col min="4" max="4" width="8.421875" style="78" customWidth="1"/>
    <col min="5" max="5" width="2.8515625" style="78" customWidth="1"/>
    <col min="6" max="6" width="10.57421875" style="78" customWidth="1"/>
    <col min="7" max="7" width="2.7109375" style="78" customWidth="1"/>
    <col min="8" max="8" width="10.421875" style="78" customWidth="1"/>
    <col min="9" max="9" width="2.00390625" style="78" customWidth="1"/>
    <col min="10" max="10" width="10.8515625" style="78" customWidth="1"/>
    <col min="11" max="11" width="2.28125" style="78" customWidth="1"/>
    <col min="12" max="12" width="10.8515625" style="78" customWidth="1"/>
    <col min="13" max="13" width="1.8515625" style="78" customWidth="1"/>
    <col min="14" max="14" width="10.57421875" style="78" customWidth="1"/>
    <col min="15" max="15" width="2.00390625" style="78" customWidth="1"/>
    <col min="16" max="16" width="10.00390625" style="78" customWidth="1"/>
    <col min="17" max="17" width="1.8515625" style="78" customWidth="1"/>
    <col min="18" max="18" width="10.00390625" style="78" customWidth="1"/>
    <col min="19" max="19" width="1.7109375" style="78" customWidth="1"/>
    <col min="20" max="20" width="10.00390625" style="78" customWidth="1"/>
    <col min="21" max="21" width="2.00390625" style="78" customWidth="1"/>
    <col min="22" max="22" width="12.00390625" style="78" customWidth="1"/>
    <col min="23" max="23" width="2.7109375" style="78" customWidth="1"/>
    <col min="24" max="24" width="12.00390625" style="78" customWidth="1"/>
    <col min="25" max="25" width="2.421875" style="78" customWidth="1"/>
    <col min="26" max="26" width="12.00390625" style="78" customWidth="1"/>
    <col min="27" max="27" width="2.7109375" style="78" customWidth="1"/>
    <col min="28" max="28" width="12.00390625" style="78" customWidth="1"/>
    <col min="29" max="29" width="2.28125" style="78" customWidth="1"/>
    <col min="30" max="30" width="9.140625" style="78" customWidth="1"/>
    <col min="31" max="31" width="2.28125" style="78" customWidth="1"/>
    <col min="32" max="32" width="9.140625" style="78" customWidth="1"/>
    <col min="33" max="33" width="2.57421875" style="78" customWidth="1"/>
    <col min="34" max="34" width="9.140625" style="78" customWidth="1"/>
    <col min="35" max="35" width="2.421875" style="78" customWidth="1"/>
    <col min="36" max="36" width="9.140625" style="78" customWidth="1"/>
    <col min="37" max="37" width="2.57421875" style="78" customWidth="1"/>
    <col min="38" max="16384" width="9.140625" style="78" customWidth="1"/>
  </cols>
  <sheetData>
    <row r="1" spans="2:3" ht="12.75">
      <c r="B1" s="79" t="s">
        <v>210</v>
      </c>
      <c r="C1" s="79"/>
    </row>
    <row r="4" spans="2:38" ht="12.75">
      <c r="B4" s="79" t="s">
        <v>177</v>
      </c>
      <c r="C4" s="79"/>
      <c r="F4" s="91" t="s">
        <v>186</v>
      </c>
      <c r="G4" s="91"/>
      <c r="H4" s="91" t="s">
        <v>187</v>
      </c>
      <c r="I4" s="91"/>
      <c r="J4" s="91" t="s">
        <v>188</v>
      </c>
      <c r="K4" s="91"/>
      <c r="L4" s="91" t="s">
        <v>189</v>
      </c>
      <c r="M4" s="91"/>
      <c r="N4" s="91" t="s">
        <v>186</v>
      </c>
      <c r="O4" s="91"/>
      <c r="P4" s="91" t="s">
        <v>187</v>
      </c>
      <c r="Q4" s="91"/>
      <c r="R4" s="91" t="s">
        <v>188</v>
      </c>
      <c r="S4" s="91"/>
      <c r="T4" s="91" t="s">
        <v>189</v>
      </c>
      <c r="V4" s="91" t="s">
        <v>186</v>
      </c>
      <c r="W4" s="91"/>
      <c r="X4" s="91" t="s">
        <v>187</v>
      </c>
      <c r="Y4" s="91"/>
      <c r="Z4" s="91" t="s">
        <v>188</v>
      </c>
      <c r="AA4" s="91"/>
      <c r="AB4" s="91" t="s">
        <v>189</v>
      </c>
      <c r="AC4" s="91"/>
      <c r="AD4" s="91" t="s">
        <v>186</v>
      </c>
      <c r="AE4" s="91"/>
      <c r="AF4" s="91" t="s">
        <v>187</v>
      </c>
      <c r="AG4" s="91"/>
      <c r="AH4" s="91" t="s">
        <v>188</v>
      </c>
      <c r="AI4" s="91"/>
      <c r="AJ4" s="91" t="s">
        <v>189</v>
      </c>
      <c r="AK4" s="91"/>
      <c r="AL4" s="91" t="s">
        <v>190</v>
      </c>
    </row>
    <row r="5" spans="2:38" ht="12.75">
      <c r="B5" s="79"/>
      <c r="C5" s="79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2:38" ht="12.75">
      <c r="B6" s="78" t="s">
        <v>243</v>
      </c>
      <c r="F6" s="91" t="s">
        <v>245</v>
      </c>
      <c r="G6" s="91"/>
      <c r="H6" s="91" t="s">
        <v>245</v>
      </c>
      <c r="I6" s="91"/>
      <c r="J6" s="91" t="s">
        <v>245</v>
      </c>
      <c r="K6" s="91"/>
      <c r="L6" s="91" t="s">
        <v>245</v>
      </c>
      <c r="M6" s="91"/>
      <c r="N6" s="91" t="s">
        <v>247</v>
      </c>
      <c r="O6" s="91"/>
      <c r="P6" s="91" t="s">
        <v>247</v>
      </c>
      <c r="Q6" s="91"/>
      <c r="R6" s="91" t="s">
        <v>247</v>
      </c>
      <c r="S6" s="91"/>
      <c r="T6" s="91" t="s">
        <v>247</v>
      </c>
      <c r="AC6" s="91"/>
      <c r="AD6" s="91" t="s">
        <v>248</v>
      </c>
      <c r="AE6" s="91"/>
      <c r="AF6" s="91" t="s">
        <v>248</v>
      </c>
      <c r="AG6" s="91"/>
      <c r="AH6" s="91" t="s">
        <v>248</v>
      </c>
      <c r="AI6" s="91"/>
      <c r="AJ6" s="91" t="s">
        <v>248</v>
      </c>
      <c r="AK6" s="91"/>
      <c r="AL6" s="91" t="s">
        <v>248</v>
      </c>
    </row>
    <row r="7" spans="2:38" ht="12.75">
      <c r="B7" s="78" t="s">
        <v>244</v>
      </c>
      <c r="F7" s="91" t="s">
        <v>246</v>
      </c>
      <c r="H7" s="91" t="s">
        <v>246</v>
      </c>
      <c r="J7" s="91" t="s">
        <v>246</v>
      </c>
      <c r="L7" s="91" t="s">
        <v>246</v>
      </c>
      <c r="N7" s="91" t="s">
        <v>253</v>
      </c>
      <c r="P7" s="91" t="s">
        <v>253</v>
      </c>
      <c r="R7" s="91" t="s">
        <v>253</v>
      </c>
      <c r="T7" s="91" t="s">
        <v>253</v>
      </c>
      <c r="AD7" s="91" t="s">
        <v>99</v>
      </c>
      <c r="AF7" s="91" t="s">
        <v>99</v>
      </c>
      <c r="AH7" s="91" t="s">
        <v>99</v>
      </c>
      <c r="AJ7" s="91" t="s">
        <v>99</v>
      </c>
      <c r="AK7" s="91"/>
      <c r="AL7" s="91" t="s">
        <v>99</v>
      </c>
    </row>
    <row r="8" spans="2:38" ht="12.75">
      <c r="B8" s="78" t="s">
        <v>259</v>
      </c>
      <c r="F8" s="91"/>
      <c r="H8" s="91"/>
      <c r="J8" s="91"/>
      <c r="L8" s="91"/>
      <c r="N8" s="91"/>
      <c r="P8" s="91"/>
      <c r="R8" s="91"/>
      <c r="T8" s="91"/>
      <c r="V8" s="78" t="s">
        <v>42</v>
      </c>
      <c r="X8" s="78" t="s">
        <v>42</v>
      </c>
      <c r="Z8" s="78" t="s">
        <v>42</v>
      </c>
      <c r="AB8" s="78" t="s">
        <v>42</v>
      </c>
      <c r="AD8" s="91" t="s">
        <v>99</v>
      </c>
      <c r="AF8" s="91" t="s">
        <v>99</v>
      </c>
      <c r="AH8" s="91" t="s">
        <v>99</v>
      </c>
      <c r="AJ8" s="91" t="s">
        <v>99</v>
      </c>
      <c r="AK8" s="91"/>
      <c r="AL8" s="91" t="s">
        <v>99</v>
      </c>
    </row>
    <row r="9" spans="2:38" ht="12.75">
      <c r="B9" s="78" t="s">
        <v>20</v>
      </c>
      <c r="F9" s="78" t="s">
        <v>194</v>
      </c>
      <c r="H9" s="78" t="s">
        <v>194</v>
      </c>
      <c r="J9" s="78" t="s">
        <v>194</v>
      </c>
      <c r="L9" s="78" t="s">
        <v>194</v>
      </c>
      <c r="N9" s="78" t="s">
        <v>195</v>
      </c>
      <c r="P9" s="78" t="s">
        <v>195</v>
      </c>
      <c r="R9" s="78" t="s">
        <v>195</v>
      </c>
      <c r="T9" s="78" t="s">
        <v>195</v>
      </c>
      <c r="AD9" s="78" t="s">
        <v>99</v>
      </c>
      <c r="AF9" s="78" t="s">
        <v>99</v>
      </c>
      <c r="AH9" s="78" t="s">
        <v>99</v>
      </c>
      <c r="AJ9" s="91" t="s">
        <v>99</v>
      </c>
      <c r="AK9" s="91"/>
      <c r="AL9" s="91" t="s">
        <v>99</v>
      </c>
    </row>
    <row r="10" spans="1:37" ht="12.75">
      <c r="A10" s="78" t="s">
        <v>177</v>
      </c>
      <c r="B10" s="78" t="s">
        <v>196</v>
      </c>
      <c r="D10" s="78" t="s">
        <v>29</v>
      </c>
      <c r="F10" s="80">
        <v>2690</v>
      </c>
      <c r="G10" s="80"/>
      <c r="H10" s="80">
        <v>2308</v>
      </c>
      <c r="I10" s="80"/>
      <c r="J10" s="80">
        <v>2405</v>
      </c>
      <c r="K10" s="80"/>
      <c r="L10" s="80">
        <v>2260</v>
      </c>
      <c r="M10" s="80"/>
      <c r="N10" s="80">
        <v>656</v>
      </c>
      <c r="O10" s="80"/>
      <c r="P10" s="80">
        <v>638</v>
      </c>
      <c r="Q10" s="80"/>
      <c r="R10" s="80">
        <v>632</v>
      </c>
      <c r="S10" s="80"/>
      <c r="T10" s="80">
        <v>793</v>
      </c>
      <c r="AC10" s="80"/>
      <c r="AD10" s="80"/>
      <c r="AE10" s="80"/>
      <c r="AF10" s="80"/>
      <c r="AG10" s="80"/>
      <c r="AH10" s="80"/>
      <c r="AI10" s="80"/>
      <c r="AJ10" s="80"/>
      <c r="AK10" s="80"/>
    </row>
    <row r="11" spans="1:37" ht="12.75">
      <c r="A11" s="78" t="s">
        <v>177</v>
      </c>
      <c r="B11" s="78" t="s">
        <v>197</v>
      </c>
      <c r="D11" s="78" t="s">
        <v>22</v>
      </c>
      <c r="F11" s="80">
        <v>10400</v>
      </c>
      <c r="G11" s="80"/>
      <c r="H11" s="80">
        <v>12350</v>
      </c>
      <c r="I11" s="80"/>
      <c r="J11" s="80">
        <v>12020</v>
      </c>
      <c r="K11" s="80"/>
      <c r="L11" s="80">
        <v>11810</v>
      </c>
      <c r="M11" s="80"/>
      <c r="N11" s="80"/>
      <c r="O11" s="80"/>
      <c r="P11" s="80"/>
      <c r="Q11" s="80"/>
      <c r="R11" s="80"/>
      <c r="S11" s="80"/>
      <c r="T11" s="80"/>
      <c r="AC11" s="80"/>
      <c r="AD11" s="80"/>
      <c r="AE11" s="80"/>
      <c r="AF11" s="80"/>
      <c r="AG11" s="80"/>
      <c r="AH11" s="80"/>
      <c r="AI11" s="80"/>
      <c r="AJ11" s="80"/>
      <c r="AK11" s="80"/>
    </row>
    <row r="12" spans="2:37" ht="12.75">
      <c r="B12" s="78" t="s">
        <v>258</v>
      </c>
      <c r="D12" s="78" t="s">
        <v>34</v>
      </c>
      <c r="F12" s="95">
        <f>F10*F11/1000000</f>
        <v>27.976</v>
      </c>
      <c r="G12" s="80"/>
      <c r="H12" s="95">
        <f>H10*H11/1000000</f>
        <v>28.5038</v>
      </c>
      <c r="I12" s="80"/>
      <c r="J12" s="95">
        <f>J10*J11/1000000</f>
        <v>28.9081</v>
      </c>
      <c r="K12" s="80"/>
      <c r="L12" s="95">
        <f>L10*L11/1000000</f>
        <v>26.6906</v>
      </c>
      <c r="M12" s="80"/>
      <c r="N12" s="95"/>
      <c r="O12" s="80"/>
      <c r="P12" s="80"/>
      <c r="Q12" s="80"/>
      <c r="R12" s="80"/>
      <c r="S12" s="80"/>
      <c r="T12" s="80"/>
      <c r="AC12" s="80"/>
      <c r="AD12" s="80"/>
      <c r="AE12" s="80"/>
      <c r="AF12" s="80"/>
      <c r="AG12" s="80"/>
      <c r="AH12" s="80"/>
      <c r="AI12" s="80"/>
      <c r="AJ12" s="80"/>
      <c r="AK12" s="80"/>
    </row>
    <row r="13" spans="1:37" ht="12.75">
      <c r="A13" s="78" t="s">
        <v>177</v>
      </c>
      <c r="B13" s="78" t="s">
        <v>23</v>
      </c>
      <c r="D13" s="78" t="s">
        <v>198</v>
      </c>
      <c r="F13" s="80">
        <v>0.01</v>
      </c>
      <c r="G13" s="80"/>
      <c r="H13" s="80">
        <v>0.03</v>
      </c>
      <c r="I13" s="80"/>
      <c r="J13" s="80">
        <v>0.02</v>
      </c>
      <c r="K13" s="80"/>
      <c r="L13" s="80">
        <v>0.02</v>
      </c>
      <c r="M13" s="80"/>
      <c r="N13" s="80"/>
      <c r="O13" s="80"/>
      <c r="P13" s="80"/>
      <c r="Q13" s="80"/>
      <c r="R13" s="80"/>
      <c r="S13" s="80"/>
      <c r="T13" s="80"/>
      <c r="AC13" s="80"/>
      <c r="AD13" s="80"/>
      <c r="AE13" s="80"/>
      <c r="AF13" s="80"/>
      <c r="AG13" s="80"/>
      <c r="AH13" s="80"/>
      <c r="AI13" s="80"/>
      <c r="AJ13" s="80"/>
      <c r="AK13" s="80"/>
    </row>
    <row r="14" spans="1:37" ht="12.75">
      <c r="A14" s="78" t="s">
        <v>177</v>
      </c>
      <c r="B14" s="78" t="s">
        <v>24</v>
      </c>
      <c r="D14" s="78" t="s">
        <v>199</v>
      </c>
      <c r="F14" s="80">
        <v>454000</v>
      </c>
      <c r="G14" s="80"/>
      <c r="H14" s="80">
        <v>371000</v>
      </c>
      <c r="I14" s="80"/>
      <c r="J14" s="80">
        <v>378000</v>
      </c>
      <c r="K14" s="80"/>
      <c r="L14" s="80">
        <v>368000</v>
      </c>
      <c r="M14" s="80"/>
      <c r="N14" s="81">
        <v>85365.85365853658</v>
      </c>
      <c r="O14" s="81"/>
      <c r="P14" s="81">
        <v>86206.89655172414</v>
      </c>
      <c r="Q14" s="81"/>
      <c r="R14" s="81">
        <v>85443.03797468354</v>
      </c>
      <c r="S14" s="81"/>
      <c r="T14" s="81">
        <v>84489.28121059269</v>
      </c>
      <c r="AC14" s="80"/>
      <c r="AD14" s="81">
        <v>155112.65164644714</v>
      </c>
      <c r="AE14" s="80"/>
      <c r="AF14" s="81">
        <v>157418.33923652105</v>
      </c>
      <c r="AG14" s="80"/>
      <c r="AH14" s="81">
        <v>214667.31423020884</v>
      </c>
      <c r="AI14" s="80"/>
      <c r="AJ14" s="81">
        <v>102108.7680355161</v>
      </c>
      <c r="AK14" s="81"/>
    </row>
    <row r="16" spans="2:20" ht="12.75">
      <c r="B16" s="78" t="s">
        <v>200</v>
      </c>
      <c r="F16" s="78">
        <f>'emiss 2'!$G$10</f>
        <v>20630</v>
      </c>
      <c r="H16" s="78">
        <f>'emiss 2'!$I$10</f>
        <v>20840</v>
      </c>
      <c r="J16" s="78">
        <f>'emiss 2'!$K$10</f>
        <v>20040</v>
      </c>
      <c r="L16" s="78">
        <f>'emiss 2'!$M$10</f>
        <v>19980</v>
      </c>
      <c r="N16" s="78">
        <f>'emiss 2'!$G$10</f>
        <v>20630</v>
      </c>
      <c r="P16" s="78">
        <f>'emiss 2'!$I$10</f>
        <v>20840</v>
      </c>
      <c r="R16" s="78">
        <f>'emiss 2'!$K$10</f>
        <v>20040</v>
      </c>
      <c r="T16" s="78">
        <f>'emiss 2'!$M$10</f>
        <v>19980</v>
      </c>
    </row>
    <row r="17" spans="2:20" ht="12.75">
      <c r="B17" s="78" t="s">
        <v>40</v>
      </c>
      <c r="F17" s="78">
        <f>'emiss 2'!$G$11</f>
        <v>13.5</v>
      </c>
      <c r="H17" s="78">
        <f>'emiss 2'!$I$11</f>
        <v>13.8</v>
      </c>
      <c r="J17" s="78">
        <f>'emiss 2'!$K$11</f>
        <v>13.8</v>
      </c>
      <c r="L17" s="78">
        <f>'emiss 2'!$M$11</f>
        <v>13.6</v>
      </c>
      <c r="N17" s="78">
        <f>'emiss 2'!$G$11</f>
        <v>13.5</v>
      </c>
      <c r="P17" s="78">
        <f>'emiss 2'!$I$11</f>
        <v>13.8</v>
      </c>
      <c r="R17" s="78">
        <f>'emiss 2'!$K$11</f>
        <v>13.8</v>
      </c>
      <c r="T17" s="78">
        <f>'emiss 2'!$M$11</f>
        <v>13.6</v>
      </c>
    </row>
    <row r="19" spans="2:3" ht="12.75">
      <c r="B19" s="90" t="s">
        <v>201</v>
      </c>
      <c r="C19" s="90"/>
    </row>
    <row r="20" spans="2:38" ht="12.75">
      <c r="B20" s="78" t="s">
        <v>23</v>
      </c>
      <c r="D20" s="78" t="s">
        <v>41</v>
      </c>
      <c r="F20" s="81">
        <f>F13*F$10/100*1/60*454*1000/(F$16*0.0283)*(21-7)/(21-F$17)</f>
        <v>6.507856847733765</v>
      </c>
      <c r="H20" s="81">
        <f>H13*H$10/100*1/60*454*1000/(H$16*0.0283)*(21-7)/(21-H$17)</f>
        <v>17.273209910873277</v>
      </c>
      <c r="J20" s="81">
        <f>J13*J$10/100*1/60*454*1000/(J$16*0.0283)*(21-7)/(21-J$17)</f>
        <v>12.47846213083583</v>
      </c>
      <c r="L20" s="81">
        <f>L13*L$10/100*1/60*454*1000/(L$16*0.0283)*(21-7)/(21-L$17)</f>
        <v>11.443462053082275</v>
      </c>
      <c r="N20" s="81"/>
      <c r="P20" s="81"/>
      <c r="R20" s="81"/>
      <c r="T20" s="81"/>
      <c r="V20" s="95">
        <f>F20+N20</f>
        <v>6.507856847733765</v>
      </c>
      <c r="W20" s="95"/>
      <c r="X20" s="95">
        <f>H20+P20</f>
        <v>17.273209910873277</v>
      </c>
      <c r="Y20" s="95"/>
      <c r="Z20" s="95">
        <f>J20+R20</f>
        <v>12.47846213083583</v>
      </c>
      <c r="AA20" s="95"/>
      <c r="AB20" s="95">
        <f>L20+T20</f>
        <v>11.443462053082275</v>
      </c>
      <c r="AD20" s="82">
        <f>F20+N20</f>
        <v>6.507856847733765</v>
      </c>
      <c r="AF20" s="82">
        <f>H20+P20</f>
        <v>17.273209910873277</v>
      </c>
      <c r="AH20" s="82">
        <f>J20+R20</f>
        <v>12.47846213083583</v>
      </c>
      <c r="AJ20" s="82">
        <f>L20+T20</f>
        <v>11.443462053082275</v>
      </c>
      <c r="AK20" s="82"/>
      <c r="AL20" s="82">
        <f>AVERAGE(AD20,AF20,AH20,AJ20)</f>
        <v>11.925747735631287</v>
      </c>
    </row>
    <row r="21" spans="2:38" ht="12.75">
      <c r="B21" s="78" t="s">
        <v>24</v>
      </c>
      <c r="D21" s="78" t="s">
        <v>36</v>
      </c>
      <c r="F21" s="81">
        <f>F14*F$10/1000000*1/60*454*1000000/(F$16*0.0283)*(21-7)/(21-F$17)</f>
        <v>29545670.088711295</v>
      </c>
      <c r="G21" s="81"/>
      <c r="H21" s="81">
        <f>H14*H$10/1000000*1/60*454*1000000/(H$16*0.0283)*(21-7)/(21-H$17)</f>
        <v>21361202.92311329</v>
      </c>
      <c r="I21" s="81"/>
      <c r="J21" s="81">
        <f>J14*J$10/1000000*1/60*454*1000000/(J$16*0.0283)*(21-7)/(21-J$17)</f>
        <v>23584293.427279722</v>
      </c>
      <c r="K21" s="81"/>
      <c r="L21" s="81">
        <f>L14*L$10/1000000*1/60*454*1000000/(L$16*0.0283)*(21-7)/(21-L$17)</f>
        <v>21055970.177671384</v>
      </c>
      <c r="M21" s="81"/>
      <c r="N21" s="81">
        <f>N14*N$10/1000000*1/60*454*1000000/(N$16*0.0283)*(21-7)/(21-N$17)</f>
        <v>1354795.4775951332</v>
      </c>
      <c r="O21" s="81"/>
      <c r="P21" s="81">
        <f>P14*P$10/1000000*1/60*454*1000000/(P$16*0.0283)*(21-7)/(21-P$17)</f>
        <v>1372077.6214587383</v>
      </c>
      <c r="Q21" s="81"/>
      <c r="R21" s="81">
        <f>R14*R$10/1000000*1/60*454*1000000/(R$16*0.0283)*(21-7)/(21-R$17)</f>
        <v>1400908.430488846</v>
      </c>
      <c r="S21" s="81"/>
      <c r="T21" s="81">
        <f>T14*T$10/1000000*1/60*454*1000000/(T$16*0.0283)*(21-7)/(21-T$17)</f>
        <v>1696265.3928241425</v>
      </c>
      <c r="U21" s="81"/>
      <c r="V21" s="81">
        <f>F21+N21</f>
        <v>30900465.566306427</v>
      </c>
      <c r="W21" s="81"/>
      <c r="X21" s="81">
        <f>H21+P21</f>
        <v>22733280.54457203</v>
      </c>
      <c r="Y21" s="81"/>
      <c r="Z21" s="81">
        <f>J21+R21</f>
        <v>24985201.85776857</v>
      </c>
      <c r="AA21" s="81"/>
      <c r="AB21" s="81">
        <f>L21+T21</f>
        <v>22752235.570495527</v>
      </c>
      <c r="AC21" s="81"/>
      <c r="AD21" s="81">
        <f>F21+N21</f>
        <v>30900465.566306427</v>
      </c>
      <c r="AE21" s="81"/>
      <c r="AF21" s="81">
        <f>H21+P21</f>
        <v>22733280.54457203</v>
      </c>
      <c r="AG21" s="81"/>
      <c r="AH21" s="81">
        <f>J21+R21</f>
        <v>24985201.85776857</v>
      </c>
      <c r="AI21" s="81"/>
      <c r="AJ21" s="81">
        <f>L21+T21</f>
        <v>22752235.570495527</v>
      </c>
      <c r="AK21" s="81"/>
      <c r="AL21" s="81">
        <f>AVERAGE(AD21,AF21,AH21,AJ21)</f>
        <v>25342795.884785637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B1">
      <selection activeCell="B2" sqref="B2"/>
    </sheetView>
  </sheetViews>
  <sheetFormatPr defaultColWidth="9.140625" defaultRowHeight="12.75"/>
  <cols>
    <col min="1" max="1" width="3.7109375" style="0" hidden="1" customWidth="1"/>
    <col min="2" max="2" width="38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2" t="s">
        <v>44</v>
      </c>
      <c r="C1" s="9"/>
      <c r="D1" s="9"/>
      <c r="E1" s="9"/>
      <c r="F1" s="9"/>
    </row>
    <row r="2" spans="2:6" ht="12.75">
      <c r="B2" s="9"/>
      <c r="C2" s="9"/>
      <c r="D2" s="9"/>
      <c r="E2" s="9"/>
      <c r="F2" s="9"/>
    </row>
    <row r="3" spans="1:6" ht="12.75">
      <c r="A3" t="s">
        <v>71</v>
      </c>
      <c r="B3" s="2" t="s">
        <v>170</v>
      </c>
      <c r="C3" s="9"/>
      <c r="D3" s="9"/>
      <c r="E3" s="9"/>
      <c r="F3" s="9"/>
    </row>
    <row r="4" spans="2:6" ht="12.75">
      <c r="B4" s="9"/>
      <c r="C4" s="9"/>
      <c r="D4" s="9"/>
      <c r="E4" s="9"/>
      <c r="F4" s="9"/>
    </row>
    <row r="5" spans="2:6" ht="12.75">
      <c r="B5" s="9"/>
      <c r="C5" s="9"/>
      <c r="D5" s="9"/>
      <c r="E5" s="9"/>
      <c r="F5" s="9"/>
    </row>
    <row r="6" spans="2:6" ht="12.75">
      <c r="B6" s="9"/>
      <c r="C6" s="9"/>
      <c r="D6" s="9"/>
      <c r="E6" s="9"/>
      <c r="F6" s="9"/>
    </row>
    <row r="7" spans="1:7" ht="12.75">
      <c r="A7" t="s">
        <v>71</v>
      </c>
      <c r="B7" s="2" t="s">
        <v>171</v>
      </c>
      <c r="C7" s="9"/>
      <c r="D7" s="9"/>
      <c r="E7" s="115" t="s">
        <v>190</v>
      </c>
      <c r="F7" s="9"/>
      <c r="G7" s="35"/>
    </row>
    <row r="8" spans="2:6" ht="12.75">
      <c r="B8" s="9"/>
      <c r="C8" s="9"/>
      <c r="D8" s="9"/>
      <c r="E8" s="9"/>
      <c r="F8" s="9"/>
    </row>
    <row r="9" spans="2:6" ht="14.25">
      <c r="B9" s="9" t="s">
        <v>166</v>
      </c>
      <c r="C9" s="9" t="s">
        <v>75</v>
      </c>
      <c r="D9" s="3"/>
      <c r="E9" s="9">
        <v>1365</v>
      </c>
      <c r="F9" s="9"/>
    </row>
    <row r="10" spans="2:6" ht="12.75">
      <c r="B10" s="9" t="s">
        <v>167</v>
      </c>
      <c r="C10" s="9" t="s">
        <v>75</v>
      </c>
      <c r="D10" s="9"/>
      <c r="E10" s="9">
        <v>1283</v>
      </c>
      <c r="F10" s="9"/>
    </row>
    <row r="11" spans="2:6" ht="12.75">
      <c r="B11" s="9"/>
      <c r="C11" s="9"/>
      <c r="D11" s="9"/>
      <c r="E11" s="9"/>
      <c r="F11" s="9"/>
    </row>
    <row r="12" spans="2:6" ht="12.75">
      <c r="B12" s="9"/>
      <c r="C12" s="9"/>
      <c r="D12" s="9"/>
      <c r="E12" s="29"/>
      <c r="F12" s="9"/>
    </row>
    <row r="13" spans="2:6" ht="12.75">
      <c r="B13" s="9"/>
      <c r="C13" s="9"/>
      <c r="D13" s="9"/>
      <c r="E13" s="27"/>
      <c r="F13" s="9"/>
    </row>
    <row r="14" spans="2:6" ht="12.75">
      <c r="B14" s="9"/>
      <c r="C14" s="9"/>
      <c r="D14" s="9"/>
      <c r="E14" s="26"/>
      <c r="F14" s="9"/>
    </row>
    <row r="15" spans="2:6" ht="12.75">
      <c r="B15" s="9"/>
      <c r="C15" s="9"/>
      <c r="D15" s="9"/>
      <c r="E15" s="9"/>
      <c r="F15" s="9"/>
    </row>
    <row r="16" spans="2:6" ht="12.75">
      <c r="B16" s="9"/>
      <c r="C16" s="9"/>
      <c r="D16" s="9"/>
      <c r="E16" s="9"/>
      <c r="F16" s="9"/>
    </row>
    <row r="17" spans="2:6" ht="12.75">
      <c r="B17" s="9"/>
      <c r="C17" s="9"/>
      <c r="D17" s="9"/>
      <c r="E17" s="9"/>
      <c r="F17" s="9"/>
    </row>
    <row r="18" spans="2:6" ht="12.75">
      <c r="B18" s="9"/>
      <c r="C18" s="9"/>
      <c r="D18" s="9"/>
      <c r="E18" s="9"/>
      <c r="F18" s="9"/>
    </row>
    <row r="19" spans="2:6" ht="12.75">
      <c r="B19" s="9"/>
      <c r="C19" s="9"/>
      <c r="D19" s="9"/>
      <c r="E19" s="9"/>
      <c r="F19" s="9"/>
    </row>
    <row r="20" spans="2:6" ht="12.75">
      <c r="B20" s="9"/>
      <c r="C20" s="9"/>
      <c r="D20" s="9"/>
      <c r="E20" s="26"/>
      <c r="F20" s="9"/>
    </row>
    <row r="21" spans="2:6" ht="12.75">
      <c r="B21" s="9"/>
      <c r="C21" s="9"/>
      <c r="D21" s="9"/>
      <c r="E21" s="9"/>
      <c r="F21" s="9"/>
    </row>
    <row r="22" spans="2:6" ht="12.75">
      <c r="B22" s="9"/>
      <c r="C22" s="9"/>
      <c r="D22" s="9"/>
      <c r="E22" s="9"/>
      <c r="F22" s="9"/>
    </row>
    <row r="23" spans="2:6" ht="12.75">
      <c r="B23" s="9"/>
      <c r="C23" s="9"/>
      <c r="D23" s="9"/>
      <c r="E23" s="9"/>
      <c r="F23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6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4.140625" style="0" customWidth="1"/>
    <col min="4" max="4" width="6.140625" style="0" customWidth="1"/>
    <col min="5" max="5" width="8.7109375" style="0" customWidth="1"/>
    <col min="6" max="8" width="9.00390625" style="0" customWidth="1"/>
  </cols>
  <sheetData>
    <row r="1" ht="12.75">
      <c r="C1" s="2" t="s">
        <v>219</v>
      </c>
    </row>
    <row r="3" spans="3:8" ht="12.75">
      <c r="C3" s="13" t="s">
        <v>177</v>
      </c>
      <c r="E3" s="116" t="s">
        <v>186</v>
      </c>
      <c r="F3" s="116" t="s">
        <v>187</v>
      </c>
      <c r="G3" s="116" t="s">
        <v>188</v>
      </c>
      <c r="H3" s="116" t="s">
        <v>189</v>
      </c>
    </row>
    <row r="5" spans="1:31" s="92" customFormat="1" ht="12.75">
      <c r="A5" s="92" t="s">
        <v>177</v>
      </c>
      <c r="B5" s="92" t="s">
        <v>216</v>
      </c>
      <c r="C5" s="92" t="s">
        <v>217</v>
      </c>
      <c r="D5" s="92" t="s">
        <v>218</v>
      </c>
      <c r="E5" s="93">
        <v>1742</v>
      </c>
      <c r="F5" s="93">
        <v>1681</v>
      </c>
      <c r="G5" s="93">
        <v>1657</v>
      </c>
      <c r="H5" s="93">
        <v>1688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22" s="92" customFormat="1" ht="12.75">
      <c r="A6" s="92" t="s">
        <v>177</v>
      </c>
      <c r="B6" s="92" t="s">
        <v>216</v>
      </c>
      <c r="C6" s="92" t="s">
        <v>220</v>
      </c>
      <c r="D6" s="92" t="s">
        <v>218</v>
      </c>
      <c r="E6" s="93">
        <v>171</v>
      </c>
      <c r="F6" s="93">
        <v>174</v>
      </c>
      <c r="G6" s="93">
        <v>178</v>
      </c>
      <c r="H6" s="93">
        <v>178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2004-02-25T18:23:00Z</cp:lastPrinted>
  <dcterms:created xsi:type="dcterms:W3CDTF">2000-01-10T00:44:42Z</dcterms:created>
  <dcterms:modified xsi:type="dcterms:W3CDTF">2004-02-25T18:23:07Z</dcterms:modified>
  <cp:category/>
  <cp:version/>
  <cp:contentType/>
  <cp:contentStatus/>
</cp:coreProperties>
</file>