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3465" windowWidth="11970" windowHeight="3510" tabRatio="677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1" sheetId="7" r:id="rId7"/>
    <sheet name="df c12" sheetId="8" r:id="rId8"/>
    <sheet name="df c13" sheetId="9" r:id="rId9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<sst xmlns="http://schemas.openxmlformats.org/spreadsheetml/2006/main" count="975" uniqueCount="235">
  <si>
    <t>Stack Gas Emissions</t>
  </si>
  <si>
    <t>HW</t>
  </si>
  <si>
    <t>PM</t>
  </si>
  <si>
    <t>SVM</t>
  </si>
  <si>
    <t>LVM</t>
  </si>
  <si>
    <t>CO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</si>
  <si>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</si>
  <si>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</si>
  <si>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</si>
  <si>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</si>
  <si>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</si>
  <si>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</si>
  <si>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</si>
  <si>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</si>
  <si>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</si>
  <si>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</si>
  <si>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LAD010390599</t>
  </si>
  <si>
    <t>Facility Name</t>
  </si>
  <si>
    <t>Facility Location</t>
  </si>
  <si>
    <t>DeRidder</t>
  </si>
  <si>
    <t>LA</t>
  </si>
  <si>
    <t>Unit ID Name/No.</t>
  </si>
  <si>
    <t>Other Sister Facilities</t>
  </si>
  <si>
    <t>Combustor Characteristics</t>
  </si>
  <si>
    <t>ESP</t>
  </si>
  <si>
    <t>APCS Characteristics</t>
  </si>
  <si>
    <t>3 fields</t>
  </si>
  <si>
    <t>Tall oil pitch and heads fuel, fuel oil, natural gas</t>
  </si>
  <si>
    <t>Stack Characteristics</t>
  </si>
  <si>
    <t>Has Low Risk Waste Exemption (no PM/DRE), Tier I for metals/chlorine</t>
  </si>
  <si>
    <t xml:space="preserve">     Report Name/Date</t>
  </si>
  <si>
    <t>Risk Burn Report, February 1998</t>
  </si>
  <si>
    <t xml:space="preserve">     Testing Dates</t>
  </si>
  <si>
    <t>September 10-12, 1997</t>
  </si>
  <si>
    <t xml:space="preserve">     Cond. Description</t>
  </si>
  <si>
    <t xml:space="preserve">     Content</t>
  </si>
  <si>
    <t xml:space="preserve">     Report Prepar</t>
  </si>
  <si>
    <t>Westvaco Chemical Division, Deridder, LA facility</t>
  </si>
  <si>
    <t xml:space="preserve">     Testing Firm</t>
  </si>
  <si>
    <t>METCO</t>
  </si>
  <si>
    <t>Units</t>
  </si>
  <si>
    <t>Cond Avg</t>
  </si>
  <si>
    <t>y</t>
  </si>
  <si>
    <t xml:space="preserve">   Stack Gas Flowrate</t>
  </si>
  <si>
    <t xml:space="preserve">   Temperature</t>
  </si>
  <si>
    <t>Cond ID No.</t>
  </si>
  <si>
    <t>818C10</t>
  </si>
  <si>
    <t>Haz waste fuel/tall oil heads (Blr 2)</t>
  </si>
  <si>
    <t>Tall oil pitch (Blr 3)</t>
  </si>
  <si>
    <t>lb/min</t>
  </si>
  <si>
    <t>Heat Content</t>
  </si>
  <si>
    <t>Btu/lb</t>
  </si>
  <si>
    <t>% wt</t>
  </si>
  <si>
    <t>Chlorine</t>
  </si>
  <si>
    <t>ppmw</t>
  </si>
  <si>
    <t>nd</t>
  </si>
  <si>
    <t>Stack Gas Flowrate</t>
  </si>
  <si>
    <t>g/hr</t>
  </si>
  <si>
    <t>Process Information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</si>
  <si>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</si>
  <si>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</si>
  <si>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</si>
  <si>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</si>
  <si>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</si>
  <si>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</si>
  <si>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</si>
  <si>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</si>
  <si>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</si>
  <si>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</si>
  <si>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</si>
  <si>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</si>
  <si>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</si>
  <si>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</si>
  <si>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</si>
  <si>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</si>
  <si>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</si>
  <si>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</si>
  <si>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</si>
  <si>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</si>
  <si>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</si>
  <si>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</si>
  <si>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</si>
  <si>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</si>
  <si>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</si>
  <si>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</si>
  <si>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</si>
  <si>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</si>
  <si>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</si>
  <si>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</si>
  <si>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</si>
  <si>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</si>
  <si>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</si>
  <si>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</si>
  <si>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O2 (%)</t>
  </si>
  <si>
    <t>PCDD/PCDF (ng in sample)</t>
  </si>
  <si>
    <t>PCDD/PCDF (ng/dscm @ 7% O2)</t>
  </si>
  <si>
    <t>Permitting Status</t>
  </si>
  <si>
    <t>Westvaco</t>
  </si>
  <si>
    <t>1/2 ND</t>
  </si>
  <si>
    <t>PCDD/PCDF</t>
  </si>
  <si>
    <t>TEQ Cond Avg</t>
  </si>
  <si>
    <t>Total Cond Avg</t>
  </si>
  <si>
    <t>818C11</t>
  </si>
  <si>
    <t>Resinate filer cake, HC920/spage oil, acrylic process spent organics and overheads</t>
  </si>
  <si>
    <t>Risk burn</t>
  </si>
  <si>
    <t>CoC</t>
  </si>
  <si>
    <t>Detected in sample volume (pg)</t>
  </si>
  <si>
    <t>Gas sample volume (dscf)</t>
  </si>
  <si>
    <t>PCDD/PCDF (pg in sample)</t>
  </si>
  <si>
    <t>CoC Testing</t>
  </si>
  <si>
    <t>Coc testing</t>
  </si>
  <si>
    <t>April 29-30, 1992</t>
  </si>
  <si>
    <t>818C12</t>
  </si>
  <si>
    <t>Feedstreams</t>
  </si>
  <si>
    <t>Hazardous Wastes</t>
  </si>
  <si>
    <t>Boilers No. 2 and 3 (common ESP and stack)</t>
  </si>
  <si>
    <t>Capacity (MMBtu/hr)</t>
  </si>
  <si>
    <t>Haz Waste Description</t>
  </si>
  <si>
    <t>Supplemental Fuel</t>
  </si>
  <si>
    <t>Feedrate MTEC Calculations</t>
  </si>
  <si>
    <t>Phase II ID No.</t>
  </si>
  <si>
    <t>7% O2</t>
  </si>
  <si>
    <t>Source Description</t>
  </si>
  <si>
    <t xml:space="preserve">     Cond Description</t>
  </si>
  <si>
    <t>None (Boiler No. 4 also shares common ESP and stack but does not burn haz waste)</t>
  </si>
  <si>
    <t xml:space="preserve">    City</t>
  </si>
  <si>
    <t xml:space="preserve">    State</t>
  </si>
  <si>
    <t>Soot Blowing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</si>
  <si>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</si>
  <si>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</si>
  <si>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</si>
  <si>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</si>
  <si>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</si>
  <si>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SVOC</t>
  </si>
  <si>
    <t xml:space="preserve">   O2</t>
  </si>
  <si>
    <t xml:space="preserve">   Moisture</t>
  </si>
  <si>
    <t>CO (RA)</t>
  </si>
  <si>
    <t>Sampling Train</t>
  </si>
  <si>
    <t>Arsenic</t>
  </si>
  <si>
    <t>Beryllium</t>
  </si>
  <si>
    <t>Antimony</t>
  </si>
  <si>
    <t>Lead</t>
  </si>
  <si>
    <t>Nickel</t>
  </si>
  <si>
    <t>Cadmium</t>
  </si>
  <si>
    <t>Chromium</t>
  </si>
  <si>
    <t>BIF Feedrate Limits</t>
  </si>
  <si>
    <t>*</t>
  </si>
  <si>
    <t>Thermal Feedrate</t>
  </si>
  <si>
    <t>Mercury</t>
  </si>
  <si>
    <t>Feed Rate</t>
  </si>
  <si>
    <t>Feedstream Description</t>
  </si>
  <si>
    <t>Recertification Test Report</t>
  </si>
  <si>
    <t>June 29-30, 1995</t>
  </si>
  <si>
    <t>D/F</t>
  </si>
  <si>
    <t>Emission Testing Services, Inc.</t>
  </si>
  <si>
    <t>D/F, PM</t>
  </si>
  <si>
    <t>Walk, Haydel &amp; Associates</t>
  </si>
  <si>
    <t>TRC Environmental Corp.</t>
  </si>
  <si>
    <t>Recertification of Compliance Test Report</t>
  </si>
  <si>
    <t>June 24-26, 1998</t>
  </si>
  <si>
    <t>Metco Environmental</t>
  </si>
  <si>
    <t>7/5/1995</t>
  </si>
  <si>
    <t>Air Permit</t>
  </si>
  <si>
    <t>PM, CO, THC</t>
  </si>
  <si>
    <t>818C13</t>
  </si>
  <si>
    <t>818C14</t>
  </si>
  <si>
    <t>For each test boiler #2 operating with Haz Waste fuel and boiler #3 with tall oil pitch</t>
  </si>
  <si>
    <t>BIF sampling point for BIF CO and O2 is the boiler #2 duct.</t>
  </si>
  <si>
    <t>Each boiler routed to common ESP and stack.</t>
  </si>
  <si>
    <t>All</t>
  </si>
  <si>
    <t>Avg</t>
  </si>
  <si>
    <t>HWC Burn Status (Date if Terminated)</t>
  </si>
  <si>
    <t>Air Quality Compliance Test</t>
  </si>
  <si>
    <t>Non D/F organics (no PM, chlorine, metals, volatiles, semi-vol, TOC)</t>
  </si>
  <si>
    <t>(COC test 6/24-26/98)</t>
  </si>
  <si>
    <t>Thallium</t>
  </si>
  <si>
    <t>Silver</t>
  </si>
  <si>
    <t>R1</t>
  </si>
  <si>
    <t>R2</t>
  </si>
  <si>
    <t>R3</t>
  </si>
  <si>
    <t>Selenium</t>
  </si>
  <si>
    <t>Haz waste fuel/Tall oil heads (Blr 2)</t>
  </si>
  <si>
    <t>Barium</t>
  </si>
  <si>
    <t>lb/hr</t>
  </si>
  <si>
    <t>Heating Value</t>
  </si>
  <si>
    <t xml:space="preserve">     Cond Dates</t>
  </si>
  <si>
    <t>Cond Description</t>
  </si>
  <si>
    <t>Watertube boilers. Both units identical, Combustion Engineering Stirling type boilers (Model VA-X) with Coen burners, watertube, single wall fired, 60,000 lb/hr steam</t>
  </si>
  <si>
    <t>Liquid-fired boiler</t>
  </si>
  <si>
    <t>Number of Sister Facilities</t>
  </si>
  <si>
    <t>APCS Detailed Acronym</t>
  </si>
  <si>
    <t>APCS General Class</t>
  </si>
  <si>
    <t>natural gas, oil, misc. fuel</t>
  </si>
  <si>
    <t>(Risk Burn)</t>
  </si>
  <si>
    <t>(COC test 6/29-30/95)</t>
  </si>
  <si>
    <t>(COC test 7/5/95)</t>
  </si>
  <si>
    <t>E1</t>
  </si>
  <si>
    <t>Combustor Type</t>
  </si>
  <si>
    <t>HC (RA)</t>
  </si>
  <si>
    <t>Liq, solid</t>
  </si>
  <si>
    <t>source</t>
  </si>
  <si>
    <t>cond</t>
  </si>
  <si>
    <t>emiss</t>
  </si>
  <si>
    <t>feed</t>
  </si>
  <si>
    <t>process</t>
  </si>
  <si>
    <t>Liquid injection</t>
  </si>
  <si>
    <t>Combustor Class</t>
  </si>
  <si>
    <t>Feedstream Number</t>
  </si>
  <si>
    <t>Feed Class</t>
  </si>
  <si>
    <t>F1</t>
  </si>
  <si>
    <t>Liq HW</t>
  </si>
  <si>
    <t>Liq non-HW</t>
  </si>
  <si>
    <t>F2</t>
  </si>
  <si>
    <t>Tall oil derived fuel (Blr 3)</t>
  </si>
  <si>
    <t>Tall derived fuel (Blr 3)</t>
  </si>
  <si>
    <t>MMBtu/hr</t>
  </si>
  <si>
    <t>F3</t>
  </si>
  <si>
    <t>Feed Class 2</t>
  </si>
  <si>
    <t>Non-HW</t>
  </si>
  <si>
    <t>Estimated Firing Rate</t>
  </si>
  <si>
    <t>df c11</t>
  </si>
  <si>
    <t>df c12</t>
  </si>
  <si>
    <t>df c13</t>
  </si>
  <si>
    <t>Full ND</t>
  </si>
  <si>
    <t xml:space="preserve">Facility Name and ID:  </t>
  </si>
  <si>
    <t>Westvaco (DeRidder, LA)</t>
  </si>
  <si>
    <t xml:space="preserve">Condition/Test Date: </t>
  </si>
  <si>
    <t>CoC testing.  December 1996 (1995?)</t>
  </si>
  <si>
    <t xml:space="preserve">Facility Name and ID: </t>
  </si>
  <si>
    <t>CoC testing. April 29-30, 1992</t>
  </si>
  <si>
    <t>CoC testing June 24-26, 1998</t>
  </si>
  <si>
    <t>Condition ID:</t>
  </si>
  <si>
    <t>N</t>
  </si>
  <si>
    <t>Yes, every 8 hrs (6 blowers activated for 15 sec each, duration 15 min)</t>
  </si>
  <si>
    <t>Sampling points for (PM, D/F, THC, TOC, vol, semi-vol) are in the duct after ESP.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</si>
</sst>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#,##0.0"/>
    <numFmt numFmtId="171" formatCode="#,##0.000"/>
    <numFmt numFmtId="172" formatCode="#,##0.0000"/>
    <numFmt numFmtId="173" formatCode="0.00000000"/>
    <numFmt numFmtId="174" formatCode="mmmm\-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15" fontId="4" fillId="0" borderId="0" xfId="0" applyNumberFormat="1" applyFont="1" applyAlignment="1" quotePrefix="1">
      <alignment/>
    </xf>
    <xf numFmtId="0" fontId="5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11" fontId="4" fillId="0" borderId="0" xfId="19" applyNumberFormat="1" applyFont="1" applyBorder="1">
      <alignment/>
      <protection/>
    </xf>
    <xf numFmtId="166" fontId="4" fillId="0" borderId="0" xfId="19" applyNumberFormat="1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11" fontId="4" fillId="0" borderId="0" xfId="19" applyNumberFormat="1" applyFont="1" applyBorder="1" applyAlignment="1">
      <alignment horizontal="left"/>
      <protection/>
    </xf>
    <xf numFmtId="166" fontId="4" fillId="0" borderId="0" xfId="19" applyNumberFormat="1" applyFont="1" applyBorder="1" applyAlignment="1">
      <alignment horizontal="center"/>
      <protection/>
    </xf>
    <xf numFmtId="11" fontId="4" fillId="0" borderId="0" xfId="19" applyNumberFormat="1" applyFont="1" applyBorder="1" applyAlignment="1">
      <alignment horizontal="center"/>
      <protection/>
    </xf>
    <xf numFmtId="1" fontId="4" fillId="0" borderId="0" xfId="19" applyNumberFormat="1" applyFont="1" applyBorder="1" applyAlignment="1">
      <alignment horizontal="centerContinuous"/>
      <protection/>
    </xf>
    <xf numFmtId="1" fontId="4" fillId="0" borderId="0" xfId="19" applyNumberFormat="1" applyFont="1" applyBorder="1" applyAlignment="1">
      <alignment horizontal="center"/>
      <protection/>
    </xf>
    <xf numFmtId="164" fontId="4" fillId="0" borderId="0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1" fontId="4" fillId="0" borderId="0" xfId="19" applyNumberFormat="1" applyFont="1" applyBorder="1">
      <alignment/>
      <protection/>
    </xf>
    <xf numFmtId="2" fontId="4" fillId="0" borderId="0" xfId="19" applyNumberFormat="1" applyFont="1" applyBorder="1">
      <alignment/>
      <protection/>
    </xf>
    <xf numFmtId="0" fontId="4" fillId="0" borderId="0" xfId="19" applyFont="1">
      <alignment/>
      <protection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19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81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200</v>
      </c>
    </row>
    <row r="2" ht="12.75">
      <c r="A2" t="s">
        <v>201</v>
      </c>
    </row>
    <row r="3" ht="12.75">
      <c r="A3" t="s">
        <v>202</v>
      </c>
    </row>
    <row r="4" ht="12.75">
      <c r="A4" t="s">
        <v>203</v>
      </c>
    </row>
    <row r="5" ht="12.75">
      <c r="A5" t="s">
        <v>220</v>
      </c>
    </row>
    <row r="6" ht="12.75">
      <c r="A6" t="s">
        <v>221</v>
      </c>
    </row>
    <row r="7" ht="12.75">
      <c r="A7" t="s">
        <v>222</v>
      </c>
    </row>
    <row r="8" ht="12.75">
      <c r="A8" t="s">
        <v>204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23" sqref="C23"/>
    </sheetView>
  </sheetViews>
  <sheetFormatPr defaultColWidth="9.140625" defaultRowHeight="12.75"/>
  <cols>
    <col min="1" max="1" width="9.140625" style="1" hidden="1" customWidth="1"/>
    <col min="2" max="2" width="25.00390625" style="1" customWidth="1"/>
    <col min="3" max="3" width="58.7109375" style="1" customWidth="1"/>
    <col min="4" max="4" width="9.00390625" style="1" hidden="1" customWidth="1"/>
    <col min="5" max="5" width="0.85546875" style="1" hidden="1" customWidth="1"/>
    <col min="6" max="6" width="1.28515625" style="1" hidden="1" customWidth="1"/>
    <col min="7" max="16384" width="11.421875" style="1" customWidth="1"/>
  </cols>
  <sheetData>
    <row r="1" ht="12.75">
      <c r="B1" s="7" t="s">
        <v>122</v>
      </c>
    </row>
    <row r="3" spans="2:3" ht="12.75">
      <c r="B3" s="1" t="s">
        <v>120</v>
      </c>
      <c r="C3" s="3">
        <v>818</v>
      </c>
    </row>
    <row r="4" spans="2:3" ht="12.75">
      <c r="B4" s="1" t="s">
        <v>15</v>
      </c>
      <c r="C4" s="1" t="s">
        <v>16</v>
      </c>
    </row>
    <row r="5" spans="2:3" ht="12.75">
      <c r="B5" s="1" t="s">
        <v>17</v>
      </c>
      <c r="C5" s="1" t="s">
        <v>97</v>
      </c>
    </row>
    <row r="6" ht="12.75">
      <c r="B6" s="1" t="s">
        <v>18</v>
      </c>
    </row>
    <row r="7" spans="2:3" ht="12.75">
      <c r="B7" s="1" t="s">
        <v>125</v>
      </c>
      <c r="C7" s="1" t="s">
        <v>19</v>
      </c>
    </row>
    <row r="8" spans="2:3" ht="12.75">
      <c r="B8" s="1" t="s">
        <v>126</v>
      </c>
      <c r="C8" s="1" t="s">
        <v>20</v>
      </c>
    </row>
    <row r="9" spans="2:3" ht="12.75">
      <c r="B9" s="1" t="s">
        <v>21</v>
      </c>
      <c r="C9" s="1" t="s">
        <v>115</v>
      </c>
    </row>
    <row r="10" spans="2:3" s="8" customFormat="1" ht="25.5">
      <c r="B10" s="8" t="s">
        <v>22</v>
      </c>
      <c r="C10" s="8" t="s">
        <v>124</v>
      </c>
    </row>
    <row r="11" spans="2:3" s="8" customFormat="1" ht="12.75">
      <c r="B11" s="8" t="s">
        <v>189</v>
      </c>
      <c r="C11" s="3">
        <v>0</v>
      </c>
    </row>
    <row r="12" spans="2:3" ht="12.75">
      <c r="B12" s="1" t="s">
        <v>206</v>
      </c>
      <c r="C12" s="1" t="s">
        <v>188</v>
      </c>
    </row>
    <row r="13" spans="2:3" ht="12.75">
      <c r="B13" s="1" t="s">
        <v>197</v>
      </c>
      <c r="C13" s="1" t="s">
        <v>205</v>
      </c>
    </row>
    <row r="14" spans="2:3" ht="38.25">
      <c r="B14" s="9" t="s">
        <v>23</v>
      </c>
      <c r="C14" s="10" t="s">
        <v>187</v>
      </c>
    </row>
    <row r="15" spans="2:3" ht="12.75">
      <c r="B15" s="9" t="s">
        <v>116</v>
      </c>
      <c r="C15" s="26">
        <v>86</v>
      </c>
    </row>
    <row r="16" spans="2:3" ht="25.5">
      <c r="B16" s="9" t="s">
        <v>127</v>
      </c>
      <c r="C16" s="10" t="s">
        <v>233</v>
      </c>
    </row>
    <row r="17" spans="2:3" ht="12.75">
      <c r="B17" s="1" t="s">
        <v>190</v>
      </c>
      <c r="C17" s="1" t="s">
        <v>24</v>
      </c>
    </row>
    <row r="18" spans="2:3" ht="12.75">
      <c r="B18" s="1" t="s">
        <v>191</v>
      </c>
      <c r="C18" s="1" t="s">
        <v>24</v>
      </c>
    </row>
    <row r="19" spans="2:3" ht="12.75">
      <c r="B19" s="1" t="s">
        <v>25</v>
      </c>
      <c r="C19" s="1" t="s">
        <v>26</v>
      </c>
    </row>
    <row r="20" spans="2:3" ht="12.75">
      <c r="B20" s="1" t="s">
        <v>114</v>
      </c>
      <c r="C20" s="1" t="s">
        <v>199</v>
      </c>
    </row>
    <row r="21" spans="2:3" ht="25.5">
      <c r="B21" s="9" t="s">
        <v>117</v>
      </c>
      <c r="C21" s="10" t="s">
        <v>103</v>
      </c>
    </row>
    <row r="22" spans="2:3" ht="12.75">
      <c r="B22" s="1" t="s">
        <v>118</v>
      </c>
      <c r="C22" s="1" t="s">
        <v>192</v>
      </c>
    </row>
    <row r="23" ht="12.75">
      <c r="C23" s="1" t="s">
        <v>27</v>
      </c>
    </row>
    <row r="24" ht="12.75">
      <c r="B24" s="1" t="s">
        <v>28</v>
      </c>
    </row>
    <row r="25" spans="2:3" ht="12.75">
      <c r="B25" s="1" t="s">
        <v>128</v>
      </c>
      <c r="C25" s="3">
        <v>8</v>
      </c>
    </row>
    <row r="26" spans="2:3" ht="12.75">
      <c r="B26" s="1" t="s">
        <v>129</v>
      </c>
      <c r="C26" s="3">
        <v>250</v>
      </c>
    </row>
    <row r="27" spans="2:3" ht="12.75">
      <c r="B27" s="1" t="s">
        <v>130</v>
      </c>
      <c r="C27" s="3">
        <v>46.5</v>
      </c>
    </row>
    <row r="28" spans="2:3" ht="12.75">
      <c r="B28" s="1" t="s">
        <v>131</v>
      </c>
      <c r="C28" s="3">
        <v>383</v>
      </c>
    </row>
    <row r="29" ht="12.75">
      <c r="C29" s="3"/>
    </row>
    <row r="30" spans="2:3" ht="25.5">
      <c r="B30" s="9" t="s">
        <v>96</v>
      </c>
      <c r="C30" s="10" t="s">
        <v>29</v>
      </c>
    </row>
    <row r="31" s="10" customFormat="1" ht="25.5">
      <c r="B31" s="8" t="s">
        <v>171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5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" hidden="1" customWidth="1"/>
    <col min="2" max="2" width="21.140625" style="1" customWidth="1"/>
    <col min="3" max="3" width="59.8515625" style="1" customWidth="1"/>
    <col min="4" max="16384" width="9.140625" style="1" customWidth="1"/>
  </cols>
  <sheetData>
    <row r="1" ht="12.75">
      <c r="B1" s="7" t="s">
        <v>186</v>
      </c>
    </row>
    <row r="3" ht="12.75">
      <c r="B3" s="47" t="s">
        <v>46</v>
      </c>
    </row>
    <row r="5" spans="2:3" ht="12.75">
      <c r="B5" s="1" t="s">
        <v>30</v>
      </c>
      <c r="C5" s="1" t="s">
        <v>31</v>
      </c>
    </row>
    <row r="6" spans="2:3" ht="12.75">
      <c r="B6" s="1" t="s">
        <v>36</v>
      </c>
      <c r="C6" s="1" t="s">
        <v>37</v>
      </c>
    </row>
    <row r="7" spans="2:3" ht="12.75">
      <c r="B7" s="1" t="s">
        <v>38</v>
      </c>
      <c r="C7" s="1" t="s">
        <v>39</v>
      </c>
    </row>
    <row r="8" spans="2:3" ht="12.75">
      <c r="B8" s="1" t="s">
        <v>32</v>
      </c>
      <c r="C8" s="1" t="s">
        <v>33</v>
      </c>
    </row>
    <row r="9" spans="2:3" ht="12.75">
      <c r="B9" s="1" t="s">
        <v>185</v>
      </c>
      <c r="C9" s="52">
        <v>34212</v>
      </c>
    </row>
    <row r="10" spans="2:3" ht="12.75">
      <c r="B10" s="1" t="s">
        <v>34</v>
      </c>
      <c r="C10" s="1" t="s">
        <v>104</v>
      </c>
    </row>
    <row r="11" spans="2:3" ht="12.75">
      <c r="B11" s="1" t="s">
        <v>35</v>
      </c>
      <c r="C11" s="1" t="s">
        <v>173</v>
      </c>
    </row>
    <row r="13" ht="12.75">
      <c r="B13" s="47" t="s">
        <v>102</v>
      </c>
    </row>
    <row r="14" ht="12.75">
      <c r="B14" s="47"/>
    </row>
    <row r="15" spans="2:3" ht="12.75">
      <c r="B15" s="1" t="s">
        <v>30</v>
      </c>
      <c r="C15" s="1" t="s">
        <v>151</v>
      </c>
    </row>
    <row r="16" spans="2:3" ht="12.75">
      <c r="B16" s="1" t="s">
        <v>36</v>
      </c>
      <c r="C16" s="1" t="s">
        <v>97</v>
      </c>
    </row>
    <row r="17" spans="2:3" ht="12.75">
      <c r="B17" s="1" t="s">
        <v>38</v>
      </c>
      <c r="C17" s="1" t="s">
        <v>154</v>
      </c>
    </row>
    <row r="18" spans="2:3" ht="12.75">
      <c r="B18" s="1" t="s">
        <v>32</v>
      </c>
      <c r="C18" s="11" t="s">
        <v>152</v>
      </c>
    </row>
    <row r="19" spans="2:3" ht="12.75">
      <c r="B19" s="1" t="s">
        <v>185</v>
      </c>
      <c r="C19" s="46">
        <v>33389</v>
      </c>
    </row>
    <row r="20" spans="2:3" ht="12.75">
      <c r="B20" s="1" t="s">
        <v>123</v>
      </c>
      <c r="C20" s="1" t="s">
        <v>105</v>
      </c>
    </row>
    <row r="21" spans="2:3" ht="12.75">
      <c r="B21" s="1" t="s">
        <v>35</v>
      </c>
      <c r="C21" s="1" t="s">
        <v>153</v>
      </c>
    </row>
    <row r="23" ht="12.75">
      <c r="B23" s="47" t="s">
        <v>112</v>
      </c>
    </row>
    <row r="24" ht="12.75">
      <c r="B24" s="47"/>
    </row>
    <row r="25" spans="2:3" ht="12.75">
      <c r="B25" s="1" t="s">
        <v>30</v>
      </c>
      <c r="C25" s="1" t="s">
        <v>109</v>
      </c>
    </row>
    <row r="26" spans="2:3" ht="12.75">
      <c r="B26" s="1" t="s">
        <v>36</v>
      </c>
      <c r="C26" s="1" t="s">
        <v>156</v>
      </c>
    </row>
    <row r="27" spans="2:3" ht="12.75">
      <c r="B27" s="1" t="s">
        <v>38</v>
      </c>
      <c r="C27" s="1" t="s">
        <v>157</v>
      </c>
    </row>
    <row r="28" spans="2:3" ht="12.75">
      <c r="B28" s="1" t="s">
        <v>32</v>
      </c>
      <c r="C28" s="1" t="s">
        <v>111</v>
      </c>
    </row>
    <row r="29" spans="2:3" ht="12.75">
      <c r="B29" s="1" t="s">
        <v>185</v>
      </c>
      <c r="C29" s="46">
        <v>32233</v>
      </c>
    </row>
    <row r="30" spans="2:3" ht="12.75">
      <c r="B30" s="1" t="s">
        <v>123</v>
      </c>
      <c r="C30" s="1" t="s">
        <v>110</v>
      </c>
    </row>
    <row r="31" spans="2:3" ht="12.75">
      <c r="B31" s="1" t="s">
        <v>35</v>
      </c>
      <c r="C31" s="1" t="s">
        <v>155</v>
      </c>
    </row>
    <row r="33" ht="12.75">
      <c r="B33" s="47" t="s">
        <v>164</v>
      </c>
    </row>
    <row r="34" ht="12.75">
      <c r="B34" s="47"/>
    </row>
    <row r="35" spans="2:3" ht="12.75">
      <c r="B35" s="1" t="s">
        <v>30</v>
      </c>
      <c r="C35" s="1" t="s">
        <v>158</v>
      </c>
    </row>
    <row r="36" spans="2:3" ht="12.75">
      <c r="B36" s="1" t="s">
        <v>36</v>
      </c>
      <c r="C36" s="1" t="s">
        <v>97</v>
      </c>
    </row>
    <row r="37" spans="2:3" ht="12.75">
      <c r="B37" s="1" t="s">
        <v>38</v>
      </c>
      <c r="C37" s="1" t="s">
        <v>160</v>
      </c>
    </row>
    <row r="38" spans="2:3" ht="12.75">
      <c r="B38" s="1" t="s">
        <v>32</v>
      </c>
      <c r="C38" s="1" t="s">
        <v>159</v>
      </c>
    </row>
    <row r="39" spans="2:3" ht="12.75">
      <c r="B39" s="1" t="s">
        <v>185</v>
      </c>
      <c r="C39" s="46">
        <v>34485</v>
      </c>
    </row>
    <row r="40" spans="2:3" ht="12.75">
      <c r="B40" s="1" t="s">
        <v>123</v>
      </c>
      <c r="C40" s="1" t="s">
        <v>110</v>
      </c>
    </row>
    <row r="41" spans="2:3" ht="12.75">
      <c r="B41" s="1" t="s">
        <v>35</v>
      </c>
      <c r="C41" s="1" t="s">
        <v>153</v>
      </c>
    </row>
    <row r="43" ht="12.75">
      <c r="B43" s="47" t="s">
        <v>165</v>
      </c>
    </row>
    <row r="44" ht="12.75">
      <c r="B44" s="47"/>
    </row>
    <row r="45" spans="2:3" ht="12.75">
      <c r="B45" s="1" t="s">
        <v>30</v>
      </c>
      <c r="C45" s="1" t="s">
        <v>172</v>
      </c>
    </row>
    <row r="46" spans="2:3" ht="12.75">
      <c r="B46" s="1" t="s">
        <v>36</v>
      </c>
      <c r="C46" s="1" t="s">
        <v>97</v>
      </c>
    </row>
    <row r="47" spans="2:3" ht="12.75">
      <c r="B47" s="1" t="s">
        <v>38</v>
      </c>
      <c r="C47" s="1" t="s">
        <v>154</v>
      </c>
    </row>
    <row r="48" spans="2:3" ht="12.75">
      <c r="B48" s="1" t="s">
        <v>32</v>
      </c>
      <c r="C48" s="27" t="s">
        <v>161</v>
      </c>
    </row>
    <row r="49" spans="2:3" ht="12.75">
      <c r="B49" s="1" t="s">
        <v>185</v>
      </c>
      <c r="C49" s="46">
        <v>33419</v>
      </c>
    </row>
    <row r="50" spans="2:3" ht="12.75">
      <c r="B50" s="1" t="s">
        <v>123</v>
      </c>
      <c r="C50" s="1" t="s">
        <v>162</v>
      </c>
    </row>
    <row r="51" spans="2:3" ht="12.75">
      <c r="B51" s="1" t="s">
        <v>35</v>
      </c>
      <c r="C51" s="1" t="s">
        <v>163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workbookViewId="0" topLeftCell="A10">
      <selection activeCell="B2" sqref="B2"/>
    </sheetView>
  </sheetViews>
  <sheetFormatPr defaultColWidth="9.140625" defaultRowHeight="12.75"/>
  <cols>
    <col min="1" max="1" width="0.13671875" style="1" customWidth="1"/>
    <col min="2" max="2" width="20.00390625" style="1" customWidth="1"/>
    <col min="3" max="3" width="10.28125" style="1" customWidth="1"/>
    <col min="4" max="4" width="9.140625" style="1" customWidth="1"/>
    <col min="5" max="5" width="6.8515625" style="1" customWidth="1"/>
    <col min="6" max="6" width="2.421875" style="1" customWidth="1"/>
    <col min="7" max="7" width="9.140625" style="1" customWidth="1"/>
    <col min="8" max="8" width="2.8515625" style="1" customWidth="1"/>
    <col min="9" max="9" width="8.28125" style="1" customWidth="1"/>
    <col min="10" max="10" width="2.7109375" style="1" customWidth="1"/>
    <col min="11" max="11" width="8.28125" style="1" customWidth="1"/>
    <col min="12" max="12" width="2.57421875" style="1" customWidth="1"/>
    <col min="13" max="13" width="12.00390625" style="1" customWidth="1"/>
    <col min="14" max="16384" width="11.421875" style="1" customWidth="1"/>
  </cols>
  <sheetData>
    <row r="1" spans="2:3" ht="12.75">
      <c r="B1" s="7" t="s">
        <v>0</v>
      </c>
      <c r="C1" s="7"/>
    </row>
    <row r="2" ht="12.75" customHeight="1"/>
    <row r="3" spans="3:13" ht="12.75">
      <c r="C3" s="1" t="s">
        <v>132</v>
      </c>
      <c r="D3" s="1" t="s">
        <v>40</v>
      </c>
      <c r="E3" s="1" t="s">
        <v>121</v>
      </c>
      <c r="G3" s="2"/>
      <c r="H3" s="2"/>
      <c r="I3" s="2"/>
      <c r="J3" s="2"/>
      <c r="K3" s="2"/>
      <c r="L3" s="4"/>
      <c r="M3" s="2"/>
    </row>
    <row r="4" spans="7:12" ht="12.75">
      <c r="G4" s="2"/>
      <c r="H4" s="2"/>
      <c r="I4" s="2"/>
      <c r="J4" s="2"/>
      <c r="K4" s="2"/>
      <c r="L4" s="2"/>
    </row>
    <row r="5" spans="7:12" ht="12.75">
      <c r="G5" s="2"/>
      <c r="H5" s="2"/>
      <c r="I5" s="2"/>
      <c r="J5" s="2"/>
      <c r="K5" s="2"/>
      <c r="L5" s="2"/>
    </row>
    <row r="6" spans="1:13" ht="12.75">
      <c r="A6" s="1">
        <v>10</v>
      </c>
      <c r="B6" s="7" t="s">
        <v>46</v>
      </c>
      <c r="C6" s="7" t="s">
        <v>193</v>
      </c>
      <c r="G6" s="2" t="s">
        <v>177</v>
      </c>
      <c r="H6" s="2"/>
      <c r="I6" s="2" t="s">
        <v>178</v>
      </c>
      <c r="J6" s="2"/>
      <c r="K6" s="2" t="s">
        <v>179</v>
      </c>
      <c r="L6" s="2"/>
      <c r="M6" s="1" t="s">
        <v>41</v>
      </c>
    </row>
    <row r="7" spans="2:12" ht="12.75">
      <c r="B7" s="7"/>
      <c r="C7" s="7"/>
      <c r="G7" s="2"/>
      <c r="H7" s="2"/>
      <c r="I7" s="2"/>
      <c r="J7" s="2"/>
      <c r="K7" s="2"/>
      <c r="L7" s="2"/>
    </row>
    <row r="8" spans="2:13" ht="12.75">
      <c r="B8" s="1" t="s">
        <v>136</v>
      </c>
      <c r="C8" s="1" t="s">
        <v>196</v>
      </c>
      <c r="D8" s="1" t="s">
        <v>9</v>
      </c>
      <c r="E8" s="1" t="s">
        <v>42</v>
      </c>
      <c r="G8" s="1">
        <v>27.7</v>
      </c>
      <c r="I8" s="1">
        <v>10.1</v>
      </c>
      <c r="K8" s="1">
        <v>12.2</v>
      </c>
      <c r="M8" s="5">
        <f>AVERAGE(G8,I8,K8)</f>
        <v>16.666666666666668</v>
      </c>
    </row>
    <row r="9" ht="12" customHeight="1"/>
    <row r="10" spans="2:4" ht="12" customHeight="1">
      <c r="B10" s="1" t="s">
        <v>137</v>
      </c>
      <c r="C10" s="1" t="s">
        <v>133</v>
      </c>
      <c r="D10" s="1" t="s">
        <v>196</v>
      </c>
    </row>
    <row r="11" spans="2:13" ht="12.75">
      <c r="B11" s="1" t="s">
        <v>43</v>
      </c>
      <c r="D11" s="1" t="s">
        <v>12</v>
      </c>
      <c r="G11" s="1">
        <v>63580</v>
      </c>
      <c r="I11" s="1">
        <v>70941</v>
      </c>
      <c r="K11" s="1">
        <v>70458</v>
      </c>
      <c r="M11" s="6">
        <f>AVERAGE(G11,I11,K11)</f>
        <v>68326.33333333333</v>
      </c>
    </row>
    <row r="12" spans="2:13" ht="12.75">
      <c r="B12" s="1" t="s">
        <v>134</v>
      </c>
      <c r="D12" s="1" t="s">
        <v>13</v>
      </c>
      <c r="G12" s="1">
        <v>17</v>
      </c>
      <c r="I12" s="1">
        <v>16.8</v>
      </c>
      <c r="K12" s="1">
        <v>17.8</v>
      </c>
      <c r="M12" s="5">
        <f>AVERAGE(G12,I12,K12)</f>
        <v>17.2</v>
      </c>
    </row>
    <row r="13" spans="2:13" ht="12.75">
      <c r="B13" s="1" t="s">
        <v>135</v>
      </c>
      <c r="D13" s="1" t="s">
        <v>13</v>
      </c>
      <c r="G13" s="1">
        <v>8.96</v>
      </c>
      <c r="I13" s="1">
        <v>7.25</v>
      </c>
      <c r="K13" s="1">
        <v>6.58</v>
      </c>
      <c r="M13" s="5">
        <f>AVERAGE(G13,I13,K13)</f>
        <v>7.596666666666667</v>
      </c>
    </row>
    <row r="14" spans="2:13" ht="12.75">
      <c r="B14" s="1" t="s">
        <v>44</v>
      </c>
      <c r="D14" s="1" t="s">
        <v>14</v>
      </c>
      <c r="G14" s="1">
        <v>376</v>
      </c>
      <c r="I14" s="1">
        <v>371</v>
      </c>
      <c r="K14" s="1">
        <v>371</v>
      </c>
      <c r="M14" s="5">
        <f>AVERAGE(G14,I14,K14)</f>
        <v>372.6666666666667</v>
      </c>
    </row>
    <row r="17" spans="1:13" ht="12.75">
      <c r="A17" s="1">
        <v>11</v>
      </c>
      <c r="B17" s="7" t="s">
        <v>102</v>
      </c>
      <c r="C17" s="7" t="s">
        <v>194</v>
      </c>
      <c r="G17" s="2" t="s">
        <v>177</v>
      </c>
      <c r="H17" s="2"/>
      <c r="I17" s="2" t="s">
        <v>178</v>
      </c>
      <c r="J17" s="2"/>
      <c r="K17" s="2" t="s">
        <v>179</v>
      </c>
      <c r="L17" s="2"/>
      <c r="M17" s="1" t="s">
        <v>41</v>
      </c>
    </row>
    <row r="19" spans="2:13" ht="12.75">
      <c r="B19" s="1" t="s">
        <v>2</v>
      </c>
      <c r="C19" s="1" t="s">
        <v>196</v>
      </c>
      <c r="D19" s="1" t="s">
        <v>8</v>
      </c>
      <c r="E19" s="1" t="s">
        <v>42</v>
      </c>
      <c r="M19" s="1">
        <v>0.0239</v>
      </c>
    </row>
    <row r="20" spans="2:13" ht="12.75">
      <c r="B20" s="1" t="s">
        <v>136</v>
      </c>
      <c r="C20" s="1" t="s">
        <v>196</v>
      </c>
      <c r="D20" s="1" t="s">
        <v>9</v>
      </c>
      <c r="E20" s="1" t="s">
        <v>42</v>
      </c>
      <c r="G20" s="1">
        <v>1.7</v>
      </c>
      <c r="I20" s="1">
        <v>1.6</v>
      </c>
      <c r="K20" s="1">
        <v>1.3</v>
      </c>
      <c r="M20" s="5">
        <f>AVERAGE(G20:K20)</f>
        <v>1.5333333333333332</v>
      </c>
    </row>
    <row r="21" ht="12.75">
      <c r="M21" s="5"/>
    </row>
    <row r="22" spans="2:13" ht="12.75">
      <c r="B22" s="1" t="s">
        <v>137</v>
      </c>
      <c r="C22" s="1" t="s">
        <v>2</v>
      </c>
      <c r="D22" s="1" t="s">
        <v>196</v>
      </c>
      <c r="M22" s="5"/>
    </row>
    <row r="23" spans="2:13" ht="12.75">
      <c r="B23" s="1" t="s">
        <v>43</v>
      </c>
      <c r="D23" s="1" t="s">
        <v>12</v>
      </c>
      <c r="E23" s="1" t="s">
        <v>42</v>
      </c>
      <c r="G23" s="1">
        <v>75473</v>
      </c>
      <c r="I23" s="1">
        <v>76481</v>
      </c>
      <c r="K23" s="1">
        <v>72603</v>
      </c>
      <c r="M23" s="6">
        <f>AVERAGE(G23:K23)</f>
        <v>74852.33333333333</v>
      </c>
    </row>
    <row r="24" spans="2:13" ht="12.75">
      <c r="B24" s="1" t="s">
        <v>134</v>
      </c>
      <c r="D24" s="1" t="s">
        <v>13</v>
      </c>
      <c r="G24" s="1">
        <v>13.2</v>
      </c>
      <c r="I24" s="1">
        <v>11.7</v>
      </c>
      <c r="K24" s="1">
        <v>14.3</v>
      </c>
      <c r="M24" s="5">
        <f>AVERAGE(G24:K24)</f>
        <v>13.066666666666668</v>
      </c>
    </row>
    <row r="25" spans="2:13" ht="12.75">
      <c r="B25" s="1" t="s">
        <v>135</v>
      </c>
      <c r="D25" s="1" t="s">
        <v>13</v>
      </c>
      <c r="G25" s="1">
        <v>4.94</v>
      </c>
      <c r="I25" s="1">
        <v>5.03</v>
      </c>
      <c r="K25" s="1">
        <v>5.75</v>
      </c>
      <c r="M25" s="1">
        <f>AVERAGE(G25:K25)</f>
        <v>5.24</v>
      </c>
    </row>
    <row r="26" spans="2:13" ht="12.75">
      <c r="B26" s="1" t="s">
        <v>44</v>
      </c>
      <c r="D26" s="1" t="s">
        <v>14</v>
      </c>
      <c r="G26" s="1">
        <v>354</v>
      </c>
      <c r="I26" s="1">
        <v>359</v>
      </c>
      <c r="K26" s="1">
        <v>358</v>
      </c>
      <c r="M26" s="1">
        <f>AVERAGE(G26:K26)</f>
        <v>357</v>
      </c>
    </row>
    <row r="29" spans="2:13" ht="12.75">
      <c r="B29" s="7" t="s">
        <v>164</v>
      </c>
      <c r="C29" s="7" t="s">
        <v>174</v>
      </c>
      <c r="G29" s="2" t="s">
        <v>177</v>
      </c>
      <c r="H29" s="2"/>
      <c r="I29" s="2" t="s">
        <v>178</v>
      </c>
      <c r="J29" s="2"/>
      <c r="K29" s="2" t="s">
        <v>179</v>
      </c>
      <c r="L29" s="2"/>
      <c r="M29" s="1" t="s">
        <v>41</v>
      </c>
    </row>
    <row r="31" spans="2:13" ht="12.75">
      <c r="B31" s="1" t="s">
        <v>136</v>
      </c>
      <c r="C31" s="1" t="s">
        <v>196</v>
      </c>
      <c r="D31" s="1" t="s">
        <v>9</v>
      </c>
      <c r="E31" s="1" t="s">
        <v>42</v>
      </c>
      <c r="G31" s="1">
        <v>4</v>
      </c>
      <c r="I31" s="1">
        <v>0.9</v>
      </c>
      <c r="K31" s="1">
        <v>5.1</v>
      </c>
      <c r="M31" s="5">
        <f>AVERAGE(G31:K31)</f>
        <v>3.3333333333333335</v>
      </c>
    </row>
    <row r="32" ht="12.75">
      <c r="M32" s="5"/>
    </row>
    <row r="33" spans="2:13" ht="12.75">
      <c r="B33" s="1" t="s">
        <v>137</v>
      </c>
      <c r="C33" s="1" t="s">
        <v>5</v>
      </c>
      <c r="D33" s="1" t="s">
        <v>196</v>
      </c>
      <c r="M33" s="5"/>
    </row>
    <row r="34" spans="2:13" ht="12.75">
      <c r="B34" s="1" t="s">
        <v>43</v>
      </c>
      <c r="D34" s="1" t="s">
        <v>12</v>
      </c>
      <c r="E34" s="1" t="s">
        <v>42</v>
      </c>
      <c r="G34" s="1">
        <v>77932</v>
      </c>
      <c r="I34" s="1">
        <v>77091</v>
      </c>
      <c r="K34" s="1">
        <v>78975</v>
      </c>
      <c r="M34" s="6">
        <f>AVERAGE(G34:K34)</f>
        <v>77999.33333333333</v>
      </c>
    </row>
    <row r="35" spans="2:13" ht="12.75">
      <c r="B35" s="1" t="s">
        <v>134</v>
      </c>
      <c r="D35" s="1" t="s">
        <v>13</v>
      </c>
      <c r="G35" s="1">
        <v>13.4</v>
      </c>
      <c r="I35" s="1">
        <v>13.9</v>
      </c>
      <c r="K35" s="1">
        <v>13.8</v>
      </c>
      <c r="M35" s="5">
        <f>AVERAGE(G35:K35)</f>
        <v>13.700000000000001</v>
      </c>
    </row>
    <row r="36" spans="2:13" ht="12.75">
      <c r="B36" s="1" t="s">
        <v>135</v>
      </c>
      <c r="D36" s="1" t="s">
        <v>13</v>
      </c>
      <c r="G36" s="1">
        <v>4.54</v>
      </c>
      <c r="I36" s="1">
        <v>5.27</v>
      </c>
      <c r="K36" s="1">
        <v>5.9</v>
      </c>
      <c r="M36" s="1">
        <f>AVERAGE(G36:K36)</f>
        <v>5.236666666666666</v>
      </c>
    </row>
    <row r="37" spans="2:13" ht="12.75">
      <c r="B37" s="1" t="s">
        <v>44</v>
      </c>
      <c r="D37" s="1" t="s">
        <v>14</v>
      </c>
      <c r="G37" s="1">
        <v>361</v>
      </c>
      <c r="I37" s="1">
        <v>356</v>
      </c>
      <c r="K37" s="1">
        <v>348</v>
      </c>
      <c r="M37" s="1">
        <f>AVERAGE(G37:K37)</f>
        <v>355</v>
      </c>
    </row>
    <row r="40" spans="2:13" ht="12.75">
      <c r="B40" s="7" t="s">
        <v>165</v>
      </c>
      <c r="C40" s="7" t="s">
        <v>195</v>
      </c>
      <c r="G40" s="2" t="s">
        <v>177</v>
      </c>
      <c r="H40" s="2"/>
      <c r="I40" s="2" t="s">
        <v>178</v>
      </c>
      <c r="J40" s="2"/>
      <c r="K40" s="2" t="s">
        <v>179</v>
      </c>
      <c r="L40" s="2"/>
      <c r="M40" s="1" t="s">
        <v>41</v>
      </c>
    </row>
    <row r="42" spans="2:13" ht="12.75">
      <c r="B42" s="1" t="s">
        <v>198</v>
      </c>
      <c r="C42" s="1" t="s">
        <v>196</v>
      </c>
      <c r="D42" s="1" t="s">
        <v>9</v>
      </c>
      <c r="E42" s="1" t="s">
        <v>42</v>
      </c>
      <c r="M42" s="1">
        <v>3.1</v>
      </c>
    </row>
    <row r="44" spans="2:4" ht="12.75">
      <c r="B44" s="1" t="s">
        <v>137</v>
      </c>
      <c r="D44" s="1" t="s">
        <v>196</v>
      </c>
    </row>
    <row r="45" spans="2:13" ht="12.75">
      <c r="B45" s="1" t="s">
        <v>43</v>
      </c>
      <c r="D45" s="1" t="s">
        <v>12</v>
      </c>
      <c r="E45" s="1" t="s">
        <v>42</v>
      </c>
      <c r="M45" s="1">
        <v>77862</v>
      </c>
    </row>
    <row r="46" spans="2:13" ht="12.75">
      <c r="B46" s="1" t="s">
        <v>134</v>
      </c>
      <c r="D46" s="1" t="s">
        <v>13</v>
      </c>
      <c r="M46" s="1">
        <v>13.2</v>
      </c>
    </row>
    <row r="47" spans="2:13" ht="12.75">
      <c r="B47" s="1" t="s">
        <v>135</v>
      </c>
      <c r="D47" s="1" t="s">
        <v>13</v>
      </c>
      <c r="M47" s="1">
        <v>5.8</v>
      </c>
    </row>
    <row r="48" spans="2:13" ht="12.75">
      <c r="B48" s="1" t="s">
        <v>44</v>
      </c>
      <c r="D48" s="1" t="s">
        <v>14</v>
      </c>
      <c r="M48" s="1">
        <v>383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159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9.140625" style="13" hidden="1" customWidth="1"/>
    <col min="2" max="3" width="19.00390625" style="13" customWidth="1"/>
    <col min="4" max="4" width="8.28125" style="13" customWidth="1"/>
    <col min="5" max="5" width="3.7109375" style="13" customWidth="1"/>
    <col min="6" max="6" width="15.28125" style="13" customWidth="1"/>
    <col min="7" max="7" width="4.7109375" style="13" customWidth="1"/>
    <col min="8" max="8" width="16.421875" style="13" customWidth="1"/>
    <col min="9" max="9" width="4.00390625" style="13" customWidth="1"/>
    <col min="10" max="10" width="15.28125" style="13" customWidth="1"/>
    <col min="11" max="11" width="4.00390625" style="16" customWidth="1"/>
    <col min="12" max="12" width="15.140625" style="13" customWidth="1"/>
    <col min="13" max="13" width="4.421875" style="13" customWidth="1"/>
    <col min="14" max="14" width="10.421875" style="13" customWidth="1"/>
    <col min="15" max="15" width="4.28125" style="13" customWidth="1"/>
    <col min="16" max="16" width="12.00390625" style="13" customWidth="1"/>
    <col min="17" max="17" width="4.140625" style="13" customWidth="1"/>
    <col min="18" max="18" width="11.140625" style="13" customWidth="1"/>
    <col min="19" max="19" width="4.28125" style="13" customWidth="1"/>
    <col min="20" max="20" width="11.140625" style="13" customWidth="1"/>
    <col min="21" max="21" width="4.57421875" style="13" customWidth="1"/>
    <col min="22" max="22" width="13.28125" style="13" customWidth="1"/>
    <col min="23" max="23" width="3.7109375" style="13" customWidth="1"/>
    <col min="24" max="24" width="12.00390625" style="13" customWidth="1"/>
    <col min="25" max="25" width="3.8515625" style="13" customWidth="1"/>
    <col min="26" max="26" width="11.7109375" style="13" customWidth="1"/>
    <col min="27" max="27" width="3.8515625" style="13" customWidth="1"/>
    <col min="28" max="28" width="10.00390625" style="13" customWidth="1"/>
    <col min="29" max="29" width="1.8515625" style="13" customWidth="1"/>
    <col min="30" max="30" width="7.140625" style="13" customWidth="1"/>
    <col min="31" max="31" width="2.00390625" style="13" customWidth="1"/>
    <col min="32" max="32" width="7.140625" style="13" customWidth="1"/>
    <col min="33" max="33" width="2.140625" style="13" customWidth="1"/>
    <col min="34" max="34" width="7.00390625" style="13" customWidth="1"/>
    <col min="35" max="35" width="2.8515625" style="13" customWidth="1"/>
    <col min="36" max="36" width="7.00390625" style="13" customWidth="1"/>
    <col min="37" max="40" width="8.421875" style="13" customWidth="1"/>
    <col min="41" max="41" width="6.7109375" style="13" customWidth="1"/>
    <col min="42" max="16384" width="11.421875" style="13" customWidth="1"/>
  </cols>
  <sheetData>
    <row r="1" spans="2:3" ht="12.75">
      <c r="B1" s="12" t="s">
        <v>113</v>
      </c>
      <c r="C1" s="12"/>
    </row>
    <row r="2" ht="12.75" customHeight="1"/>
    <row r="3" spans="37:41" ht="12.75">
      <c r="AK3" s="16"/>
      <c r="AL3" s="16"/>
      <c r="AM3" s="16"/>
      <c r="AN3" s="16"/>
      <c r="AO3" s="16"/>
    </row>
    <row r="4" spans="1:41" ht="12.75">
      <c r="A4" s="13" t="s">
        <v>146</v>
      </c>
      <c r="B4" s="12" t="s">
        <v>46</v>
      </c>
      <c r="C4" s="12"/>
      <c r="F4" s="13" t="s">
        <v>177</v>
      </c>
      <c r="H4" s="13" t="s">
        <v>178</v>
      </c>
      <c r="J4" s="13" t="s">
        <v>179</v>
      </c>
      <c r="L4" s="13" t="s">
        <v>41</v>
      </c>
      <c r="N4" s="13" t="s">
        <v>177</v>
      </c>
      <c r="P4" s="13" t="s">
        <v>178</v>
      </c>
      <c r="R4" s="13" t="s">
        <v>179</v>
      </c>
      <c r="S4" s="16"/>
      <c r="T4" s="13" t="s">
        <v>41</v>
      </c>
      <c r="V4" s="13" t="s">
        <v>177</v>
      </c>
      <c r="X4" s="13" t="s">
        <v>178</v>
      </c>
      <c r="Z4" s="13" t="s">
        <v>179</v>
      </c>
      <c r="AA4" s="16"/>
      <c r="AB4" s="13" t="s">
        <v>41</v>
      </c>
      <c r="AK4" s="16"/>
      <c r="AL4" s="16"/>
      <c r="AM4" s="16"/>
      <c r="AN4" s="16"/>
      <c r="AO4" s="16"/>
    </row>
    <row r="5" spans="15:41" ht="12.75">
      <c r="O5" s="16"/>
      <c r="W5" s="16"/>
      <c r="AM5" s="16"/>
      <c r="AN5" s="16"/>
      <c r="AO5" s="16"/>
    </row>
    <row r="6" spans="2:41" ht="12.75">
      <c r="B6" s="13" t="s">
        <v>207</v>
      </c>
      <c r="F6" s="13" t="s">
        <v>209</v>
      </c>
      <c r="H6" s="13" t="s">
        <v>209</v>
      </c>
      <c r="J6" s="13" t="s">
        <v>209</v>
      </c>
      <c r="L6" s="13" t="s">
        <v>209</v>
      </c>
      <c r="N6" s="13" t="s">
        <v>212</v>
      </c>
      <c r="O6" s="16"/>
      <c r="P6" s="13" t="s">
        <v>212</v>
      </c>
      <c r="R6" s="13" t="s">
        <v>212</v>
      </c>
      <c r="T6" s="13" t="s">
        <v>212</v>
      </c>
      <c r="V6" s="13" t="s">
        <v>216</v>
      </c>
      <c r="W6" s="16"/>
      <c r="X6" s="13" t="s">
        <v>216</v>
      </c>
      <c r="Z6" s="13" t="s">
        <v>216</v>
      </c>
      <c r="AB6" s="13" t="s">
        <v>216</v>
      </c>
      <c r="AM6" s="16"/>
      <c r="AN6" s="16"/>
      <c r="AO6" s="16"/>
    </row>
    <row r="7" spans="2:41" ht="12.75">
      <c r="B7" s="13" t="s">
        <v>208</v>
      </c>
      <c r="F7" s="13" t="s">
        <v>210</v>
      </c>
      <c r="H7" s="13" t="s">
        <v>210</v>
      </c>
      <c r="J7" s="13" t="s">
        <v>210</v>
      </c>
      <c r="L7" s="13" t="s">
        <v>210</v>
      </c>
      <c r="N7" s="13" t="s">
        <v>211</v>
      </c>
      <c r="O7" s="16"/>
      <c r="P7" s="13" t="s">
        <v>211</v>
      </c>
      <c r="R7" s="13" t="s">
        <v>211</v>
      </c>
      <c r="T7" s="13" t="s">
        <v>211</v>
      </c>
      <c r="V7" s="13" t="s">
        <v>64</v>
      </c>
      <c r="W7" s="16"/>
      <c r="X7" s="13" t="s">
        <v>64</v>
      </c>
      <c r="Z7" s="13" t="s">
        <v>64</v>
      </c>
      <c r="AB7" s="13" t="s">
        <v>64</v>
      </c>
      <c r="AM7" s="16"/>
      <c r="AN7" s="16"/>
      <c r="AO7" s="16"/>
    </row>
    <row r="8" spans="2:41" ht="12.75">
      <c r="B8" s="13" t="s">
        <v>217</v>
      </c>
      <c r="F8" s="13" t="s">
        <v>1</v>
      </c>
      <c r="H8" s="13" t="s">
        <v>1</v>
      </c>
      <c r="J8" s="13" t="s">
        <v>1</v>
      </c>
      <c r="L8" s="13" t="s">
        <v>1</v>
      </c>
      <c r="N8" s="13" t="s">
        <v>218</v>
      </c>
      <c r="O8" s="16"/>
      <c r="P8" s="13" t="s">
        <v>218</v>
      </c>
      <c r="R8" s="13" t="s">
        <v>218</v>
      </c>
      <c r="T8" s="13" t="s">
        <v>218</v>
      </c>
      <c r="V8" s="13" t="s">
        <v>64</v>
      </c>
      <c r="W8" s="16"/>
      <c r="X8" s="13" t="s">
        <v>64</v>
      </c>
      <c r="Z8" s="13" t="s">
        <v>64</v>
      </c>
      <c r="AB8" s="13" t="s">
        <v>64</v>
      </c>
      <c r="AM8" s="16"/>
      <c r="AN8" s="16"/>
      <c r="AO8" s="16"/>
    </row>
    <row r="9" spans="2:28" ht="38.25">
      <c r="B9" s="53" t="s">
        <v>150</v>
      </c>
      <c r="F9" s="48" t="s">
        <v>47</v>
      </c>
      <c r="H9" s="48" t="s">
        <v>47</v>
      </c>
      <c r="J9" s="48" t="s">
        <v>47</v>
      </c>
      <c r="L9" s="48" t="s">
        <v>47</v>
      </c>
      <c r="M9" s="45"/>
      <c r="N9" s="44" t="s">
        <v>48</v>
      </c>
      <c r="O9" s="16"/>
      <c r="P9" s="44" t="s">
        <v>48</v>
      </c>
      <c r="R9" s="44" t="s">
        <v>48</v>
      </c>
      <c r="T9" s="44" t="s">
        <v>48</v>
      </c>
      <c r="V9" s="44" t="s">
        <v>64</v>
      </c>
      <c r="W9" s="16"/>
      <c r="X9" s="44" t="s">
        <v>64</v>
      </c>
      <c r="Z9" s="44" t="s">
        <v>64</v>
      </c>
      <c r="AB9" s="44" t="s">
        <v>64</v>
      </c>
    </row>
    <row r="10" spans="2:20" ht="12.75">
      <c r="B10" s="13" t="s">
        <v>149</v>
      </c>
      <c r="D10" s="13" t="s">
        <v>49</v>
      </c>
      <c r="F10" s="13">
        <v>33.2</v>
      </c>
      <c r="H10" s="13">
        <v>34.4</v>
      </c>
      <c r="J10" s="13">
        <v>34.5</v>
      </c>
      <c r="L10" s="24">
        <f>AVERAGE(F10,H10,J10)</f>
        <v>34.03333333333333</v>
      </c>
      <c r="N10" s="13">
        <v>48</v>
      </c>
      <c r="O10" s="16"/>
      <c r="P10" s="13">
        <v>50</v>
      </c>
      <c r="R10" s="13">
        <v>51</v>
      </c>
      <c r="T10" s="24">
        <f>AVERAGE(N10,P10,R10)</f>
        <v>49.666666666666664</v>
      </c>
    </row>
    <row r="11" spans="2:12" ht="12.75">
      <c r="B11" s="13" t="s">
        <v>184</v>
      </c>
      <c r="D11" s="13" t="s">
        <v>51</v>
      </c>
      <c r="F11" s="13">
        <v>17100</v>
      </c>
      <c r="H11" s="13">
        <v>17100</v>
      </c>
      <c r="J11" s="13">
        <v>17100</v>
      </c>
      <c r="L11" s="13">
        <v>17100</v>
      </c>
    </row>
    <row r="12" spans="2:10" ht="12.75">
      <c r="B12" s="13" t="s">
        <v>6</v>
      </c>
      <c r="D12" s="13" t="s">
        <v>52</v>
      </c>
      <c r="F12" s="13">
        <v>0.54</v>
      </c>
      <c r="H12" s="13">
        <v>0.54</v>
      </c>
      <c r="J12" s="13">
        <v>0.54</v>
      </c>
    </row>
    <row r="13" spans="2:10" ht="12.75">
      <c r="B13" s="13" t="s">
        <v>53</v>
      </c>
      <c r="D13" s="13" t="s">
        <v>54</v>
      </c>
      <c r="F13" s="13">
        <v>1050</v>
      </c>
      <c r="H13" s="13">
        <v>1050</v>
      </c>
      <c r="J13" s="13">
        <v>1050</v>
      </c>
    </row>
    <row r="14" spans="2:10" ht="12.75">
      <c r="B14" s="13" t="s">
        <v>148</v>
      </c>
      <c r="D14" s="13" t="s">
        <v>54</v>
      </c>
      <c r="E14" s="16" t="s">
        <v>55</v>
      </c>
      <c r="F14" s="13">
        <v>0.95</v>
      </c>
      <c r="G14" s="16" t="s">
        <v>55</v>
      </c>
      <c r="H14" s="13">
        <v>0.95</v>
      </c>
      <c r="I14" s="16" t="s">
        <v>55</v>
      </c>
      <c r="J14" s="13">
        <v>0.95</v>
      </c>
    </row>
    <row r="15" spans="2:10" ht="12.75">
      <c r="B15" s="13" t="s">
        <v>141</v>
      </c>
      <c r="D15" s="13" t="s">
        <v>54</v>
      </c>
      <c r="E15" s="16" t="s">
        <v>55</v>
      </c>
      <c r="F15" s="13">
        <v>2</v>
      </c>
      <c r="G15" s="16" t="s">
        <v>55</v>
      </c>
      <c r="H15" s="13">
        <v>2</v>
      </c>
      <c r="I15" s="16" t="s">
        <v>55</v>
      </c>
      <c r="J15" s="13">
        <v>2</v>
      </c>
    </row>
    <row r="16" spans="2:10" ht="12.75">
      <c r="B16" s="13" t="s">
        <v>143</v>
      </c>
      <c r="D16" s="13" t="s">
        <v>54</v>
      </c>
      <c r="E16" s="16" t="s">
        <v>55</v>
      </c>
      <c r="F16" s="13">
        <v>2</v>
      </c>
      <c r="G16" s="16" t="s">
        <v>55</v>
      </c>
      <c r="H16" s="13">
        <v>2</v>
      </c>
      <c r="I16" s="16" t="s">
        <v>55</v>
      </c>
      <c r="J16" s="13">
        <v>2</v>
      </c>
    </row>
    <row r="17" spans="2:10" ht="12.75">
      <c r="B17" s="13" t="s">
        <v>138</v>
      </c>
      <c r="D17" s="13" t="s">
        <v>54</v>
      </c>
      <c r="E17" s="16" t="s">
        <v>55</v>
      </c>
      <c r="F17" s="13">
        <v>2</v>
      </c>
      <c r="G17" s="16" t="s">
        <v>55</v>
      </c>
      <c r="H17" s="13">
        <v>2</v>
      </c>
      <c r="I17" s="16" t="s">
        <v>55</v>
      </c>
      <c r="J17" s="13">
        <v>2</v>
      </c>
    </row>
    <row r="18" spans="2:10" ht="12.75">
      <c r="B18" s="13" t="s">
        <v>139</v>
      </c>
      <c r="D18" s="13" t="s">
        <v>54</v>
      </c>
      <c r="E18" s="16" t="s">
        <v>55</v>
      </c>
      <c r="F18" s="13">
        <v>2</v>
      </c>
      <c r="G18" s="16" t="s">
        <v>55</v>
      </c>
      <c r="H18" s="13">
        <v>2</v>
      </c>
      <c r="I18" s="16" t="s">
        <v>55</v>
      </c>
      <c r="J18" s="13">
        <v>2</v>
      </c>
    </row>
    <row r="19" spans="2:10" ht="12.75">
      <c r="B19" s="13" t="s">
        <v>144</v>
      </c>
      <c r="D19" s="13" t="s">
        <v>54</v>
      </c>
      <c r="E19" s="16" t="s">
        <v>55</v>
      </c>
      <c r="F19" s="13">
        <v>2</v>
      </c>
      <c r="G19" s="16" t="s">
        <v>55</v>
      </c>
      <c r="H19" s="13">
        <v>2</v>
      </c>
      <c r="I19" s="16" t="s">
        <v>55</v>
      </c>
      <c r="J19" s="13">
        <v>2</v>
      </c>
    </row>
    <row r="20" spans="2:10" ht="12.75">
      <c r="B20" s="13" t="s">
        <v>142</v>
      </c>
      <c r="D20" s="13" t="s">
        <v>54</v>
      </c>
      <c r="E20" s="16" t="s">
        <v>55</v>
      </c>
      <c r="F20" s="13">
        <v>2</v>
      </c>
      <c r="G20" s="16" t="s">
        <v>55</v>
      </c>
      <c r="H20" s="13">
        <v>2</v>
      </c>
      <c r="I20" s="16" t="s">
        <v>55</v>
      </c>
      <c r="J20" s="13">
        <v>2</v>
      </c>
    </row>
    <row r="21" spans="2:10" ht="12.75">
      <c r="B21" s="13" t="s">
        <v>140</v>
      </c>
      <c r="D21" s="13" t="s">
        <v>54</v>
      </c>
      <c r="E21" s="16" t="s">
        <v>55</v>
      </c>
      <c r="F21" s="13">
        <v>5</v>
      </c>
      <c r="G21" s="16" t="s">
        <v>55</v>
      </c>
      <c r="H21" s="13">
        <v>5</v>
      </c>
      <c r="I21" s="16" t="s">
        <v>55</v>
      </c>
      <c r="J21" s="13">
        <v>5</v>
      </c>
    </row>
    <row r="22" spans="2:10" ht="12.75">
      <c r="B22" s="13" t="s">
        <v>180</v>
      </c>
      <c r="D22" s="13" t="s">
        <v>54</v>
      </c>
      <c r="E22" s="16" t="s">
        <v>55</v>
      </c>
      <c r="F22" s="13">
        <v>2</v>
      </c>
      <c r="G22" s="16" t="s">
        <v>55</v>
      </c>
      <c r="H22" s="13">
        <v>2</v>
      </c>
      <c r="I22" s="16" t="s">
        <v>55</v>
      </c>
      <c r="J22" s="13">
        <v>2</v>
      </c>
    </row>
    <row r="23" spans="2:11" ht="12.75">
      <c r="B23" s="13" t="s">
        <v>175</v>
      </c>
      <c r="D23" s="13" t="s">
        <v>54</v>
      </c>
      <c r="E23" s="13" t="s">
        <v>55</v>
      </c>
      <c r="F23" s="13">
        <v>2</v>
      </c>
      <c r="G23" s="13" t="s">
        <v>55</v>
      </c>
      <c r="H23" s="13">
        <v>2</v>
      </c>
      <c r="I23" s="13" t="s">
        <v>55</v>
      </c>
      <c r="J23" s="13">
        <v>2</v>
      </c>
      <c r="K23" s="13"/>
    </row>
    <row r="24" spans="2:11" ht="12.75">
      <c r="B24" s="13" t="s">
        <v>176</v>
      </c>
      <c r="D24" s="13" t="s">
        <v>54</v>
      </c>
      <c r="E24" s="13" t="s">
        <v>55</v>
      </c>
      <c r="F24" s="13">
        <v>5</v>
      </c>
      <c r="G24" s="13" t="s">
        <v>55</v>
      </c>
      <c r="H24" s="13">
        <v>5</v>
      </c>
      <c r="I24" s="13" t="s">
        <v>55</v>
      </c>
      <c r="J24" s="13">
        <v>5</v>
      </c>
      <c r="K24" s="13"/>
    </row>
    <row r="25" ht="12.75" customHeight="1"/>
    <row r="26" spans="2:13" ht="12.75">
      <c r="B26" s="13" t="s">
        <v>56</v>
      </c>
      <c r="D26" s="13" t="s">
        <v>12</v>
      </c>
      <c r="F26" s="13">
        <f>emiss!G11</f>
        <v>63580</v>
      </c>
      <c r="H26" s="13">
        <f>emiss!I11</f>
        <v>70941</v>
      </c>
      <c r="J26" s="13">
        <f>emiss!K11</f>
        <v>70458</v>
      </c>
      <c r="L26" s="25">
        <v>68326.33333333333</v>
      </c>
      <c r="M26" s="25"/>
    </row>
    <row r="27" spans="2:13" ht="12.75">
      <c r="B27" s="13" t="s">
        <v>7</v>
      </c>
      <c r="D27" s="13" t="s">
        <v>13</v>
      </c>
      <c r="F27" s="24">
        <f>emiss!G12</f>
        <v>17</v>
      </c>
      <c r="H27" s="13">
        <f>emiss!I12</f>
        <v>16.8</v>
      </c>
      <c r="J27" s="13">
        <f>emiss!K12</f>
        <v>17.8</v>
      </c>
      <c r="L27" s="24">
        <v>17.2</v>
      </c>
      <c r="M27" s="24"/>
    </row>
    <row r="28" ht="12.75" customHeight="1"/>
    <row r="29" spans="2:28" ht="12.75" customHeight="1">
      <c r="B29" s="13" t="s">
        <v>147</v>
      </c>
      <c r="D29" s="13" t="s">
        <v>215</v>
      </c>
      <c r="F29" s="24">
        <f>F11*(F10+H10)*60/1000000</f>
        <v>69.3576</v>
      </c>
      <c r="H29" s="24">
        <f>H11*(H10+J10)*60/1000000</f>
        <v>70.6914</v>
      </c>
      <c r="J29" s="24">
        <f>J11*(J10+L10)*60/1000000</f>
        <v>70.3152</v>
      </c>
      <c r="L29" s="24">
        <f>AVERAGE(F29,H29,J29)</f>
        <v>70.12140000000001</v>
      </c>
      <c r="M29" s="24"/>
      <c r="V29" s="24">
        <f>F29</f>
        <v>69.3576</v>
      </c>
      <c r="X29" s="24">
        <f>H29</f>
        <v>70.6914</v>
      </c>
      <c r="Z29" s="24">
        <f>J29</f>
        <v>70.3152</v>
      </c>
      <c r="AB29" s="24">
        <f>L29</f>
        <v>70.12140000000001</v>
      </c>
    </row>
    <row r="30" spans="2:28" ht="12.75">
      <c r="B30" s="13" t="s">
        <v>219</v>
      </c>
      <c r="D30" s="13" t="s">
        <v>215</v>
      </c>
      <c r="M30" s="24"/>
      <c r="AB30" s="24">
        <f>L26/9000*(21-L27)/21*60</f>
        <v>82.425417989418</v>
      </c>
    </row>
    <row r="31" spans="12:13" ht="12.75">
      <c r="L31" s="24"/>
      <c r="M31" s="24"/>
    </row>
    <row r="32" spans="2:13" ht="12.75">
      <c r="B32" s="49" t="s">
        <v>119</v>
      </c>
      <c r="C32" s="49"/>
      <c r="L32" s="24"/>
      <c r="M32" s="24"/>
    </row>
    <row r="33" spans="2:28" ht="12.75">
      <c r="B33" s="13" t="s">
        <v>6</v>
      </c>
      <c r="D33" s="13" t="s">
        <v>11</v>
      </c>
      <c r="E33" s="16"/>
      <c r="F33" s="24">
        <f>(F12/100)*(F10)*454/F26/0.0283*1000*(21-7)/(21-F27)</f>
        <v>158.32473931731764</v>
      </c>
      <c r="G33" s="16"/>
      <c r="H33" s="24">
        <f>(H12/100)*(H10)*454/H26/0.0283*1000*(21-7)/(21-H27)</f>
        <v>140.0241867240199</v>
      </c>
      <c r="I33" s="16"/>
      <c r="J33" s="24">
        <f>(J12/100)*(J10)*454/J26/0.0283*1000*(21-7)/(21-J27)</f>
        <v>185.5795077076217</v>
      </c>
      <c r="L33" s="24">
        <f>AVERAGE(F33,H33,J33)</f>
        <v>161.30947791631976</v>
      </c>
      <c r="M33" s="24"/>
      <c r="V33" s="24">
        <f>F33</f>
        <v>158.32473931731764</v>
      </c>
      <c r="X33" s="24">
        <f>H33</f>
        <v>140.0241867240199</v>
      </c>
      <c r="Z33" s="24">
        <f>J33</f>
        <v>185.5795077076217</v>
      </c>
      <c r="AB33" s="24">
        <f>L33</f>
        <v>161.30947791631976</v>
      </c>
    </row>
    <row r="34" spans="2:28" ht="12.75">
      <c r="B34" s="13" t="s">
        <v>53</v>
      </c>
      <c r="D34" s="13" t="s">
        <v>10</v>
      </c>
      <c r="E34" s="16"/>
      <c r="F34" s="25">
        <f aca="true" t="shared" si="0" ref="F34:F45">(F13*0.000001)*(F$10)*454/F$26/0.0283*1000000*(21-7)/(21-F$27)</f>
        <v>30785.365978367317</v>
      </c>
      <c r="G34" s="16"/>
      <c r="H34" s="25">
        <f aca="true" t="shared" si="1" ref="H34:H45">(H13*0.000001)*(H$10)*454/H$26/0.0283*1000000*(21-7)/(21-H$27)</f>
        <v>27226.925196337193</v>
      </c>
      <c r="I34" s="16"/>
      <c r="J34" s="25">
        <f aca="true" t="shared" si="2" ref="J34:J45">(J13*0.000001)*(J$10)*454/J$26/0.0283*1000000*(21-7)/(21-J$27)</f>
        <v>36084.90427648199</v>
      </c>
      <c r="L34" s="25">
        <f>AVERAGE(F34,H34,J34)</f>
        <v>31365.73181706217</v>
      </c>
      <c r="M34" s="24"/>
      <c r="V34" s="24">
        <f>F34</f>
        <v>30785.365978367317</v>
      </c>
      <c r="X34" s="24">
        <f>H34</f>
        <v>27226.925196337193</v>
      </c>
      <c r="Z34" s="24">
        <f>J34</f>
        <v>36084.90427648199</v>
      </c>
      <c r="AB34" s="24">
        <f>L34</f>
        <v>31365.73181706217</v>
      </c>
    </row>
    <row r="35" spans="2:28" ht="12.75">
      <c r="B35" s="13" t="s">
        <v>148</v>
      </c>
      <c r="D35" s="13" t="s">
        <v>10</v>
      </c>
      <c r="E35" s="16">
        <v>100</v>
      </c>
      <c r="F35" s="24">
        <f t="shared" si="0"/>
        <v>27.853426361379945</v>
      </c>
      <c r="G35" s="16">
        <v>100</v>
      </c>
      <c r="H35" s="24">
        <f t="shared" si="1"/>
        <v>24.633884701447936</v>
      </c>
      <c r="I35" s="16">
        <v>100</v>
      </c>
      <c r="J35" s="24">
        <f t="shared" si="2"/>
        <v>32.648246726340844</v>
      </c>
      <c r="K35" s="16">
        <v>100</v>
      </c>
      <c r="L35" s="24">
        <f>AVERAGE(F35,H35,J35)</f>
        <v>28.378519263056244</v>
      </c>
      <c r="M35" s="24"/>
      <c r="U35" s="13">
        <v>100</v>
      </c>
      <c r="V35" s="24">
        <f>F35</f>
        <v>27.853426361379945</v>
      </c>
      <c r="W35" s="13">
        <v>100</v>
      </c>
      <c r="X35" s="24">
        <f>H35</f>
        <v>24.633884701447936</v>
      </c>
      <c r="Y35" s="13">
        <v>100</v>
      </c>
      <c r="Z35" s="24">
        <f>J35</f>
        <v>32.648246726340844</v>
      </c>
      <c r="AA35" s="13">
        <v>100</v>
      </c>
      <c r="AB35" s="24">
        <f>L35</f>
        <v>28.378519263056244</v>
      </c>
    </row>
    <row r="36" spans="2:28" ht="12.75">
      <c r="B36" s="13" t="s">
        <v>141</v>
      </c>
      <c r="D36" s="13" t="s">
        <v>10</v>
      </c>
      <c r="E36" s="16">
        <v>100</v>
      </c>
      <c r="F36" s="24">
        <f t="shared" si="0"/>
        <v>58.63879233974727</v>
      </c>
      <c r="G36" s="16">
        <v>100</v>
      </c>
      <c r="H36" s="24">
        <f t="shared" si="1"/>
        <v>51.860809897785145</v>
      </c>
      <c r="I36" s="16">
        <v>100</v>
      </c>
      <c r="J36" s="24">
        <f t="shared" si="2"/>
        <v>68.73315100282284</v>
      </c>
      <c r="K36" s="16">
        <v>100</v>
      </c>
      <c r="L36" s="24">
        <f aca="true" t="shared" si="3" ref="L36:L49">AVERAGE(F36,H36,J36)</f>
        <v>59.74425108011841</v>
      </c>
      <c r="M36" s="24"/>
      <c r="U36" s="13">
        <v>100</v>
      </c>
      <c r="V36" s="24">
        <f aca="true" t="shared" si="4" ref="V36:Z45">F36</f>
        <v>58.63879233974727</v>
      </c>
      <c r="W36" s="13">
        <v>100</v>
      </c>
      <c r="X36" s="24">
        <f t="shared" si="4"/>
        <v>51.860809897785145</v>
      </c>
      <c r="Y36" s="13">
        <v>100</v>
      </c>
      <c r="Z36" s="24">
        <f t="shared" si="4"/>
        <v>68.73315100282284</v>
      </c>
      <c r="AA36" s="13">
        <v>100</v>
      </c>
      <c r="AB36" s="24">
        <f aca="true" t="shared" si="5" ref="AB36:AB45">L36</f>
        <v>59.74425108011841</v>
      </c>
    </row>
    <row r="37" spans="2:28" ht="12.75">
      <c r="B37" s="13" t="s">
        <v>143</v>
      </c>
      <c r="D37" s="13" t="s">
        <v>10</v>
      </c>
      <c r="E37" s="16">
        <v>100</v>
      </c>
      <c r="F37" s="24">
        <f t="shared" si="0"/>
        <v>58.63879233974727</v>
      </c>
      <c r="G37" s="16">
        <v>100</v>
      </c>
      <c r="H37" s="24">
        <f t="shared" si="1"/>
        <v>51.860809897785145</v>
      </c>
      <c r="I37" s="16">
        <v>100</v>
      </c>
      <c r="J37" s="24">
        <f t="shared" si="2"/>
        <v>68.73315100282284</v>
      </c>
      <c r="K37" s="16">
        <v>100</v>
      </c>
      <c r="L37" s="24">
        <f t="shared" si="3"/>
        <v>59.74425108011841</v>
      </c>
      <c r="M37" s="24"/>
      <c r="U37" s="13">
        <v>100</v>
      </c>
      <c r="V37" s="24">
        <f t="shared" si="4"/>
        <v>58.63879233974727</v>
      </c>
      <c r="W37" s="13">
        <v>100</v>
      </c>
      <c r="X37" s="24">
        <f t="shared" si="4"/>
        <v>51.860809897785145</v>
      </c>
      <c r="Y37" s="13">
        <v>100</v>
      </c>
      <c r="Z37" s="24">
        <f t="shared" si="4"/>
        <v>68.73315100282284</v>
      </c>
      <c r="AA37" s="13">
        <v>100</v>
      </c>
      <c r="AB37" s="24">
        <f t="shared" si="5"/>
        <v>59.74425108011841</v>
      </c>
    </row>
    <row r="38" spans="2:28" ht="12.75">
      <c r="B38" s="13" t="s">
        <v>138</v>
      </c>
      <c r="D38" s="13" t="s">
        <v>10</v>
      </c>
      <c r="E38" s="16">
        <v>100</v>
      </c>
      <c r="F38" s="24">
        <f t="shared" si="0"/>
        <v>58.63879233974727</v>
      </c>
      <c r="G38" s="16">
        <v>100</v>
      </c>
      <c r="H38" s="24">
        <f t="shared" si="1"/>
        <v>51.860809897785145</v>
      </c>
      <c r="I38" s="16">
        <v>100</v>
      </c>
      <c r="J38" s="24">
        <f t="shared" si="2"/>
        <v>68.73315100282284</v>
      </c>
      <c r="K38" s="16">
        <v>100</v>
      </c>
      <c r="L38" s="24">
        <f t="shared" si="3"/>
        <v>59.74425108011841</v>
      </c>
      <c r="M38" s="24"/>
      <c r="U38" s="13">
        <v>100</v>
      </c>
      <c r="V38" s="24">
        <f t="shared" si="4"/>
        <v>58.63879233974727</v>
      </c>
      <c r="W38" s="13">
        <v>100</v>
      </c>
      <c r="X38" s="24">
        <f t="shared" si="4"/>
        <v>51.860809897785145</v>
      </c>
      <c r="Y38" s="13">
        <v>100</v>
      </c>
      <c r="Z38" s="24">
        <f t="shared" si="4"/>
        <v>68.73315100282284</v>
      </c>
      <c r="AA38" s="13">
        <v>100</v>
      </c>
      <c r="AB38" s="24">
        <f t="shared" si="5"/>
        <v>59.74425108011841</v>
      </c>
    </row>
    <row r="39" spans="2:28" ht="12.75">
      <c r="B39" s="13" t="s">
        <v>139</v>
      </c>
      <c r="D39" s="13" t="s">
        <v>10</v>
      </c>
      <c r="E39" s="16">
        <v>100</v>
      </c>
      <c r="F39" s="24">
        <f t="shared" si="0"/>
        <v>58.63879233974727</v>
      </c>
      <c r="G39" s="16">
        <v>100</v>
      </c>
      <c r="H39" s="24">
        <f t="shared" si="1"/>
        <v>51.860809897785145</v>
      </c>
      <c r="I39" s="16">
        <v>100</v>
      </c>
      <c r="J39" s="24">
        <f t="shared" si="2"/>
        <v>68.73315100282284</v>
      </c>
      <c r="K39" s="16">
        <v>100</v>
      </c>
      <c r="L39" s="24">
        <f t="shared" si="3"/>
        <v>59.74425108011841</v>
      </c>
      <c r="M39" s="24"/>
      <c r="U39" s="13">
        <v>100</v>
      </c>
      <c r="V39" s="24">
        <f t="shared" si="4"/>
        <v>58.63879233974727</v>
      </c>
      <c r="W39" s="13">
        <v>100</v>
      </c>
      <c r="X39" s="24">
        <f t="shared" si="4"/>
        <v>51.860809897785145</v>
      </c>
      <c r="Y39" s="13">
        <v>100</v>
      </c>
      <c r="Z39" s="24">
        <f t="shared" si="4"/>
        <v>68.73315100282284</v>
      </c>
      <c r="AA39" s="13">
        <v>100</v>
      </c>
      <c r="AB39" s="24">
        <f t="shared" si="5"/>
        <v>59.74425108011841</v>
      </c>
    </row>
    <row r="40" spans="2:28" ht="12.75">
      <c r="B40" s="13" t="s">
        <v>144</v>
      </c>
      <c r="D40" s="13" t="s">
        <v>10</v>
      </c>
      <c r="E40" s="16">
        <v>100</v>
      </c>
      <c r="F40" s="24">
        <f t="shared" si="0"/>
        <v>58.63879233974727</v>
      </c>
      <c r="G40" s="16">
        <v>100</v>
      </c>
      <c r="H40" s="24">
        <f t="shared" si="1"/>
        <v>51.860809897785145</v>
      </c>
      <c r="I40" s="16">
        <v>100</v>
      </c>
      <c r="J40" s="24">
        <f t="shared" si="2"/>
        <v>68.73315100282284</v>
      </c>
      <c r="K40" s="16">
        <v>100</v>
      </c>
      <c r="L40" s="24">
        <f t="shared" si="3"/>
        <v>59.74425108011841</v>
      </c>
      <c r="M40" s="24"/>
      <c r="U40" s="13">
        <v>100</v>
      </c>
      <c r="V40" s="24">
        <f t="shared" si="4"/>
        <v>58.63879233974727</v>
      </c>
      <c r="W40" s="13">
        <v>100</v>
      </c>
      <c r="X40" s="24">
        <f t="shared" si="4"/>
        <v>51.860809897785145</v>
      </c>
      <c r="Y40" s="13">
        <v>100</v>
      </c>
      <c r="Z40" s="24">
        <f t="shared" si="4"/>
        <v>68.73315100282284</v>
      </c>
      <c r="AA40" s="13">
        <v>100</v>
      </c>
      <c r="AB40" s="24">
        <f t="shared" si="5"/>
        <v>59.74425108011841</v>
      </c>
    </row>
    <row r="41" spans="2:28" ht="12.75">
      <c r="B41" s="13" t="s">
        <v>142</v>
      </c>
      <c r="D41" s="13" t="s">
        <v>10</v>
      </c>
      <c r="E41" s="16">
        <v>100</v>
      </c>
      <c r="F41" s="24">
        <f t="shared" si="0"/>
        <v>58.63879233974727</v>
      </c>
      <c r="G41" s="16">
        <v>100</v>
      </c>
      <c r="H41" s="24">
        <f t="shared" si="1"/>
        <v>51.860809897785145</v>
      </c>
      <c r="I41" s="16">
        <v>100</v>
      </c>
      <c r="J41" s="24">
        <f t="shared" si="2"/>
        <v>68.73315100282284</v>
      </c>
      <c r="K41" s="16">
        <v>100</v>
      </c>
      <c r="L41" s="24">
        <f t="shared" si="3"/>
        <v>59.74425108011841</v>
      </c>
      <c r="M41" s="24"/>
      <c r="U41" s="13">
        <v>100</v>
      </c>
      <c r="V41" s="24">
        <f t="shared" si="4"/>
        <v>58.63879233974727</v>
      </c>
      <c r="W41" s="13">
        <v>100</v>
      </c>
      <c r="X41" s="24">
        <f t="shared" si="4"/>
        <v>51.860809897785145</v>
      </c>
      <c r="Y41" s="13">
        <v>100</v>
      </c>
      <c r="Z41" s="24">
        <f t="shared" si="4"/>
        <v>68.73315100282284</v>
      </c>
      <c r="AA41" s="13">
        <v>100</v>
      </c>
      <c r="AB41" s="24">
        <f t="shared" si="5"/>
        <v>59.74425108011841</v>
      </c>
    </row>
    <row r="42" spans="2:28" ht="12.75">
      <c r="B42" s="13" t="s">
        <v>140</v>
      </c>
      <c r="D42" s="13" t="s">
        <v>10</v>
      </c>
      <c r="E42" s="16">
        <v>100</v>
      </c>
      <c r="F42" s="24">
        <f t="shared" si="0"/>
        <v>146.59698084936815</v>
      </c>
      <c r="G42" s="16">
        <v>100</v>
      </c>
      <c r="H42" s="24">
        <f t="shared" si="1"/>
        <v>129.65202474446284</v>
      </c>
      <c r="I42" s="16">
        <v>100</v>
      </c>
      <c r="J42" s="24">
        <f t="shared" si="2"/>
        <v>171.83287750705713</v>
      </c>
      <c r="K42" s="16">
        <v>100</v>
      </c>
      <c r="L42" s="24">
        <f t="shared" si="3"/>
        <v>149.36062770029605</v>
      </c>
      <c r="M42" s="24"/>
      <c r="U42" s="13">
        <v>100</v>
      </c>
      <c r="V42" s="24">
        <f t="shared" si="4"/>
        <v>146.59698084936815</v>
      </c>
      <c r="W42" s="13">
        <v>100</v>
      </c>
      <c r="X42" s="24">
        <f t="shared" si="4"/>
        <v>129.65202474446284</v>
      </c>
      <c r="Y42" s="13">
        <v>100</v>
      </c>
      <c r="Z42" s="24">
        <f t="shared" si="4"/>
        <v>171.83287750705713</v>
      </c>
      <c r="AA42" s="13">
        <v>100</v>
      </c>
      <c r="AB42" s="24">
        <f t="shared" si="5"/>
        <v>149.36062770029605</v>
      </c>
    </row>
    <row r="43" spans="2:28" ht="12.75">
      <c r="B43" s="13" t="s">
        <v>180</v>
      </c>
      <c r="D43" s="13" t="s">
        <v>10</v>
      </c>
      <c r="E43" s="16">
        <v>100</v>
      </c>
      <c r="F43" s="24">
        <f t="shared" si="0"/>
        <v>58.63879233974727</v>
      </c>
      <c r="G43" s="16">
        <v>100</v>
      </c>
      <c r="H43" s="24">
        <f t="shared" si="1"/>
        <v>51.860809897785145</v>
      </c>
      <c r="I43" s="16">
        <v>100</v>
      </c>
      <c r="J43" s="24">
        <f t="shared" si="2"/>
        <v>68.73315100282284</v>
      </c>
      <c r="K43" s="16">
        <v>100</v>
      </c>
      <c r="L43" s="24">
        <f t="shared" si="3"/>
        <v>59.74425108011841</v>
      </c>
      <c r="M43" s="24"/>
      <c r="U43" s="13">
        <v>100</v>
      </c>
      <c r="V43" s="24">
        <f t="shared" si="4"/>
        <v>58.63879233974727</v>
      </c>
      <c r="W43" s="13">
        <v>100</v>
      </c>
      <c r="X43" s="24">
        <f t="shared" si="4"/>
        <v>51.860809897785145</v>
      </c>
      <c r="Y43" s="13">
        <v>100</v>
      </c>
      <c r="Z43" s="24">
        <f t="shared" si="4"/>
        <v>68.73315100282284</v>
      </c>
      <c r="AA43" s="13">
        <v>100</v>
      </c>
      <c r="AB43" s="24">
        <f t="shared" si="5"/>
        <v>59.74425108011841</v>
      </c>
    </row>
    <row r="44" spans="2:28" ht="12.75">
      <c r="B44" s="13" t="s">
        <v>175</v>
      </c>
      <c r="D44" s="13" t="s">
        <v>10</v>
      </c>
      <c r="E44" s="16">
        <v>100</v>
      </c>
      <c r="F44" s="24">
        <f t="shared" si="0"/>
        <v>58.63879233974727</v>
      </c>
      <c r="G44" s="16">
        <v>100</v>
      </c>
      <c r="H44" s="24">
        <f t="shared" si="1"/>
        <v>51.860809897785145</v>
      </c>
      <c r="I44" s="16">
        <v>100</v>
      </c>
      <c r="J44" s="24">
        <f t="shared" si="2"/>
        <v>68.73315100282284</v>
      </c>
      <c r="K44" s="16">
        <v>100</v>
      </c>
      <c r="L44" s="24">
        <f t="shared" si="3"/>
        <v>59.74425108011841</v>
      </c>
      <c r="M44" s="24"/>
      <c r="U44" s="13">
        <v>100</v>
      </c>
      <c r="V44" s="24">
        <f t="shared" si="4"/>
        <v>58.63879233974727</v>
      </c>
      <c r="W44" s="13">
        <v>100</v>
      </c>
      <c r="X44" s="24">
        <f t="shared" si="4"/>
        <v>51.860809897785145</v>
      </c>
      <c r="Y44" s="13">
        <v>100</v>
      </c>
      <c r="Z44" s="24">
        <f t="shared" si="4"/>
        <v>68.73315100282284</v>
      </c>
      <c r="AA44" s="13">
        <v>100</v>
      </c>
      <c r="AB44" s="24">
        <f t="shared" si="5"/>
        <v>59.74425108011841</v>
      </c>
    </row>
    <row r="45" spans="2:28" ht="12.75">
      <c r="B45" s="13" t="s">
        <v>176</v>
      </c>
      <c r="D45" s="13" t="s">
        <v>10</v>
      </c>
      <c r="E45" s="16">
        <v>100</v>
      </c>
      <c r="F45" s="22">
        <f t="shared" si="0"/>
        <v>146.59698084936815</v>
      </c>
      <c r="G45" s="16">
        <v>100</v>
      </c>
      <c r="H45" s="24">
        <f t="shared" si="1"/>
        <v>129.65202474446284</v>
      </c>
      <c r="I45" s="16">
        <v>100</v>
      </c>
      <c r="J45" s="24">
        <f t="shared" si="2"/>
        <v>171.83287750705713</v>
      </c>
      <c r="K45" s="16">
        <v>100</v>
      </c>
      <c r="L45" s="24">
        <f t="shared" si="3"/>
        <v>149.36062770029605</v>
      </c>
      <c r="M45" s="24"/>
      <c r="U45" s="13">
        <v>100</v>
      </c>
      <c r="V45" s="24">
        <f t="shared" si="4"/>
        <v>146.59698084936815</v>
      </c>
      <c r="W45" s="13">
        <v>100</v>
      </c>
      <c r="X45" s="24">
        <f t="shared" si="4"/>
        <v>129.65202474446284</v>
      </c>
      <c r="Y45" s="13">
        <v>100</v>
      </c>
      <c r="Z45" s="24">
        <f t="shared" si="4"/>
        <v>171.83287750705713</v>
      </c>
      <c r="AA45" s="13">
        <v>100</v>
      </c>
      <c r="AB45" s="24">
        <f t="shared" si="5"/>
        <v>149.36062770029605</v>
      </c>
    </row>
    <row r="46" spans="5:13" ht="12.75">
      <c r="E46" s="16"/>
      <c r="L46" s="24"/>
      <c r="M46" s="24"/>
    </row>
    <row r="47" ht="12.75">
      <c r="L47" s="24"/>
    </row>
    <row r="48" spans="2:28" ht="12.75">
      <c r="B48" s="13" t="s">
        <v>3</v>
      </c>
      <c r="D48" s="13" t="s">
        <v>10</v>
      </c>
      <c r="E48" s="13">
        <v>100</v>
      </c>
      <c r="F48" s="24">
        <f>F36+F37</f>
        <v>117.27758467949454</v>
      </c>
      <c r="G48" s="13">
        <v>100</v>
      </c>
      <c r="H48" s="24">
        <f>H36+H37</f>
        <v>103.72161979557029</v>
      </c>
      <c r="I48" s="13">
        <v>100</v>
      </c>
      <c r="J48" s="24">
        <f>J36+J37</f>
        <v>137.46630200564567</v>
      </c>
      <c r="K48" s="16">
        <v>100</v>
      </c>
      <c r="L48" s="24">
        <f t="shared" si="3"/>
        <v>119.48850216023682</v>
      </c>
      <c r="M48" s="24"/>
      <c r="U48" s="16">
        <v>100</v>
      </c>
      <c r="V48" s="24">
        <f>F48</f>
        <v>117.27758467949454</v>
      </c>
      <c r="W48" s="16">
        <v>100</v>
      </c>
      <c r="X48" s="24">
        <f>H48</f>
        <v>103.72161979557029</v>
      </c>
      <c r="Y48" s="16">
        <v>100</v>
      </c>
      <c r="Z48" s="24">
        <f>J48</f>
        <v>137.46630200564567</v>
      </c>
      <c r="AA48" s="16">
        <v>100</v>
      </c>
      <c r="AB48" s="24">
        <f>L48</f>
        <v>119.48850216023682</v>
      </c>
    </row>
    <row r="49" spans="2:28" ht="12.75">
      <c r="B49" s="13" t="s">
        <v>4</v>
      </c>
      <c r="D49" s="13" t="s">
        <v>10</v>
      </c>
      <c r="E49" s="13">
        <v>100</v>
      </c>
      <c r="F49" s="24">
        <f>F38+F39+F40</f>
        <v>175.9163770192418</v>
      </c>
      <c r="G49" s="13">
        <v>100</v>
      </c>
      <c r="H49" s="24">
        <f>H38+H39+H40</f>
        <v>155.58242969335544</v>
      </c>
      <c r="I49" s="13">
        <v>100</v>
      </c>
      <c r="J49" s="24">
        <f>J38+J39+J40</f>
        <v>206.1994530084685</v>
      </c>
      <c r="K49" s="16">
        <v>100</v>
      </c>
      <c r="L49" s="24">
        <f t="shared" si="3"/>
        <v>179.23275324035524</v>
      </c>
      <c r="M49" s="24"/>
      <c r="U49" s="16">
        <v>100</v>
      </c>
      <c r="V49" s="24">
        <f>F49</f>
        <v>175.9163770192418</v>
      </c>
      <c r="W49" s="16">
        <v>100</v>
      </c>
      <c r="X49" s="24">
        <f>H49</f>
        <v>155.58242969335544</v>
      </c>
      <c r="Y49" s="16">
        <v>100</v>
      </c>
      <c r="Z49" s="24">
        <f>J49</f>
        <v>206.1994530084685</v>
      </c>
      <c r="AA49" s="16">
        <v>100</v>
      </c>
      <c r="AB49" s="24">
        <f>L49</f>
        <v>179.23275324035524</v>
      </c>
    </row>
    <row r="50" spans="2:3" ht="12.75">
      <c r="B50" s="50"/>
      <c r="C50" s="50"/>
    </row>
    <row r="51" spans="2:3" ht="12.75">
      <c r="B51" s="51" t="s">
        <v>145</v>
      </c>
      <c r="C51" s="51"/>
    </row>
    <row r="52" spans="4:10" ht="12.75">
      <c r="D52" s="50"/>
      <c r="E52" s="50"/>
      <c r="F52" s="50"/>
      <c r="G52" s="50"/>
      <c r="H52" s="50"/>
      <c r="I52" s="50"/>
      <c r="J52" s="50"/>
    </row>
    <row r="53" spans="2:13" ht="12.75">
      <c r="B53" s="13" t="s">
        <v>53</v>
      </c>
      <c r="D53" s="50" t="s">
        <v>57</v>
      </c>
      <c r="E53" s="50"/>
      <c r="F53" s="50"/>
      <c r="G53" s="50"/>
      <c r="H53" s="50"/>
      <c r="I53" s="50"/>
      <c r="J53" s="50"/>
      <c r="L53" s="45">
        <v>21000</v>
      </c>
      <c r="M53" s="50"/>
    </row>
    <row r="54" spans="2:13" ht="12.75">
      <c r="B54" s="13" t="s">
        <v>148</v>
      </c>
      <c r="D54" s="50" t="s">
        <v>57</v>
      </c>
      <c r="E54" s="50"/>
      <c r="F54" s="50"/>
      <c r="G54" s="50"/>
      <c r="H54" s="50"/>
      <c r="I54" s="50"/>
      <c r="J54" s="50"/>
      <c r="L54" s="45">
        <v>15000</v>
      </c>
      <c r="M54" s="50"/>
    </row>
    <row r="55" spans="2:13" ht="12.75">
      <c r="B55" s="13" t="s">
        <v>141</v>
      </c>
      <c r="D55" s="50" t="s">
        <v>57</v>
      </c>
      <c r="E55" s="50"/>
      <c r="F55" s="50"/>
      <c r="G55" s="50"/>
      <c r="H55" s="50"/>
      <c r="I55" s="50"/>
      <c r="J55" s="50"/>
      <c r="L55" s="45">
        <v>4600</v>
      </c>
      <c r="M55" s="50"/>
    </row>
    <row r="56" spans="2:13" ht="12.75">
      <c r="B56" s="13" t="s">
        <v>143</v>
      </c>
      <c r="D56" s="50" t="s">
        <v>57</v>
      </c>
      <c r="E56" s="50"/>
      <c r="F56" s="50"/>
      <c r="G56" s="50"/>
      <c r="H56" s="50"/>
      <c r="I56" s="50"/>
      <c r="J56" s="50"/>
      <c r="L56" s="45">
        <v>290</v>
      </c>
      <c r="M56" s="50"/>
    </row>
    <row r="57" spans="2:13" ht="12.75">
      <c r="B57" s="13" t="s">
        <v>138</v>
      </c>
      <c r="D57" s="50" t="s">
        <v>57</v>
      </c>
      <c r="E57" s="50"/>
      <c r="F57" s="50"/>
      <c r="G57" s="50"/>
      <c r="H57" s="50"/>
      <c r="I57" s="50"/>
      <c r="J57" s="50"/>
      <c r="L57" s="45">
        <v>120</v>
      </c>
      <c r="M57" s="50"/>
    </row>
    <row r="58" spans="2:13" ht="12.75">
      <c r="B58" s="13" t="s">
        <v>139</v>
      </c>
      <c r="D58" s="50" t="s">
        <v>57</v>
      </c>
      <c r="E58" s="50"/>
      <c r="F58" s="50"/>
      <c r="G58" s="50"/>
      <c r="H58" s="50"/>
      <c r="I58" s="50"/>
      <c r="J58" s="50"/>
      <c r="L58" s="45">
        <v>220</v>
      </c>
      <c r="M58" s="50"/>
    </row>
    <row r="59" spans="2:13" ht="12.75">
      <c r="B59" s="13" t="s">
        <v>144</v>
      </c>
      <c r="D59" s="50" t="s">
        <v>57</v>
      </c>
      <c r="E59" s="50"/>
      <c r="F59" s="50"/>
      <c r="G59" s="50"/>
      <c r="H59" s="50"/>
      <c r="I59" s="50"/>
      <c r="J59" s="50"/>
      <c r="L59" s="45">
        <v>43</v>
      </c>
      <c r="M59" s="50"/>
    </row>
    <row r="60" spans="2:13" ht="12.75">
      <c r="B60" s="13" t="s">
        <v>140</v>
      </c>
      <c r="D60" s="50" t="s">
        <v>57</v>
      </c>
      <c r="E60" s="50"/>
      <c r="F60" s="50"/>
      <c r="G60" s="50"/>
      <c r="H60" s="50"/>
      <c r="I60" s="50"/>
      <c r="J60" s="50"/>
      <c r="L60" s="45">
        <v>15000</v>
      </c>
      <c r="M60" s="50"/>
    </row>
    <row r="63" spans="2:28" ht="12.75">
      <c r="B63" s="12" t="s">
        <v>102</v>
      </c>
      <c r="L63" s="13" t="s">
        <v>41</v>
      </c>
      <c r="T63" s="13" t="s">
        <v>41</v>
      </c>
      <c r="AB63" s="13" t="s">
        <v>41</v>
      </c>
    </row>
    <row r="65" spans="2:28" ht="12.75">
      <c r="B65" s="13" t="s">
        <v>207</v>
      </c>
      <c r="L65" s="13" t="s">
        <v>209</v>
      </c>
      <c r="T65" s="13" t="s">
        <v>212</v>
      </c>
      <c r="AB65" s="13" t="s">
        <v>216</v>
      </c>
    </row>
    <row r="66" spans="2:28" ht="12.75">
      <c r="B66" s="13" t="s">
        <v>208</v>
      </c>
      <c r="L66" s="13" t="s">
        <v>210</v>
      </c>
      <c r="T66" s="13" t="s">
        <v>211</v>
      </c>
      <c r="AB66" s="13" t="s">
        <v>64</v>
      </c>
    </row>
    <row r="67" spans="2:28" ht="12.75">
      <c r="B67" s="13" t="s">
        <v>217</v>
      </c>
      <c r="L67" s="13" t="s">
        <v>1</v>
      </c>
      <c r="T67" s="13" t="s">
        <v>218</v>
      </c>
      <c r="AB67" s="13" t="s">
        <v>64</v>
      </c>
    </row>
    <row r="68" spans="2:28" ht="38.25">
      <c r="B68" s="48" t="s">
        <v>150</v>
      </c>
      <c r="L68" s="48" t="s">
        <v>181</v>
      </c>
      <c r="T68" s="44" t="s">
        <v>213</v>
      </c>
      <c r="AB68" s="13" t="s">
        <v>64</v>
      </c>
    </row>
    <row r="69" spans="2:20" ht="12.75">
      <c r="B69" s="13" t="s">
        <v>149</v>
      </c>
      <c r="D69" s="13" t="s">
        <v>183</v>
      </c>
      <c r="L69" s="25">
        <v>2585</v>
      </c>
      <c r="T69" s="24">
        <v>2652</v>
      </c>
    </row>
    <row r="70" spans="2:20" ht="12.75">
      <c r="B70" s="13" t="s">
        <v>50</v>
      </c>
      <c r="D70" s="13" t="s">
        <v>51</v>
      </c>
      <c r="L70" s="13">
        <v>17000</v>
      </c>
      <c r="T70" s="13">
        <v>1700</v>
      </c>
    </row>
    <row r="71" ht="12.75">
      <c r="B71" s="13" t="s">
        <v>6</v>
      </c>
    </row>
    <row r="72" spans="2:12" ht="12.75">
      <c r="B72" s="13" t="s">
        <v>53</v>
      </c>
      <c r="D72" s="13" t="s">
        <v>57</v>
      </c>
      <c r="K72" s="16" t="s">
        <v>55</v>
      </c>
      <c r="L72" s="13">
        <v>469</v>
      </c>
    </row>
    <row r="73" spans="2:12" ht="12.75">
      <c r="B73" s="13" t="s">
        <v>140</v>
      </c>
      <c r="D73" s="13" t="s">
        <v>57</v>
      </c>
      <c r="K73" s="16" t="s">
        <v>55</v>
      </c>
      <c r="L73" s="13">
        <v>5.86</v>
      </c>
    </row>
    <row r="74" spans="2:12" ht="12.75">
      <c r="B74" s="13" t="s">
        <v>138</v>
      </c>
      <c r="D74" s="13" t="s">
        <v>57</v>
      </c>
      <c r="K74" s="16" t="s">
        <v>55</v>
      </c>
      <c r="L74" s="13">
        <v>5.86</v>
      </c>
    </row>
    <row r="75" spans="2:12" ht="12.75">
      <c r="B75" s="13" t="s">
        <v>182</v>
      </c>
      <c r="D75" s="13" t="s">
        <v>57</v>
      </c>
      <c r="L75" s="13">
        <v>2.35</v>
      </c>
    </row>
    <row r="76" spans="2:12" ht="12.75">
      <c r="B76" s="13" t="s">
        <v>139</v>
      </c>
      <c r="D76" s="13" t="s">
        <v>57</v>
      </c>
      <c r="K76" s="16" t="s">
        <v>55</v>
      </c>
      <c r="L76" s="13">
        <v>1.17</v>
      </c>
    </row>
    <row r="77" spans="2:12" ht="12.75">
      <c r="B77" s="13" t="s">
        <v>143</v>
      </c>
      <c r="D77" s="13" t="s">
        <v>57</v>
      </c>
      <c r="K77" s="16" t="s">
        <v>55</v>
      </c>
      <c r="L77" s="13">
        <v>1.17</v>
      </c>
    </row>
    <row r="78" spans="2:12" ht="12.75">
      <c r="B78" s="13" t="s">
        <v>144</v>
      </c>
      <c r="D78" s="13" t="s">
        <v>57</v>
      </c>
      <c r="K78" s="16" t="s">
        <v>55</v>
      </c>
      <c r="L78" s="13">
        <v>1.17</v>
      </c>
    </row>
    <row r="79" spans="2:12" ht="12.75">
      <c r="B79" s="13" t="s">
        <v>141</v>
      </c>
      <c r="D79" s="13" t="s">
        <v>57</v>
      </c>
      <c r="L79" s="13">
        <v>3.52</v>
      </c>
    </row>
    <row r="80" spans="2:12" ht="12.75">
      <c r="B80" s="13" t="s">
        <v>148</v>
      </c>
      <c r="D80" s="13" t="s">
        <v>57</v>
      </c>
      <c r="K80" s="16" t="s">
        <v>55</v>
      </c>
      <c r="L80" s="13">
        <v>0.223</v>
      </c>
    </row>
    <row r="81" spans="2:12" ht="12.75">
      <c r="B81" s="13" t="s">
        <v>176</v>
      </c>
      <c r="D81" s="13" t="s">
        <v>57</v>
      </c>
      <c r="K81" s="16" t="s">
        <v>55</v>
      </c>
      <c r="L81" s="13">
        <v>1.17</v>
      </c>
    </row>
    <row r="82" spans="2:12" ht="12.75">
      <c r="B82" s="13" t="s">
        <v>175</v>
      </c>
      <c r="D82" s="13" t="s">
        <v>57</v>
      </c>
      <c r="K82" s="16" t="s">
        <v>55</v>
      </c>
      <c r="L82" s="13">
        <v>5.86</v>
      </c>
    </row>
    <row r="84" spans="2:12" ht="12.75">
      <c r="B84" s="13" t="s">
        <v>56</v>
      </c>
      <c r="D84" s="13" t="s">
        <v>12</v>
      </c>
      <c r="L84" s="25">
        <f>emiss!M23</f>
        <v>74852.33333333333</v>
      </c>
    </row>
    <row r="85" spans="2:12" ht="12.75">
      <c r="B85" s="13" t="s">
        <v>7</v>
      </c>
      <c r="D85" s="13" t="s">
        <v>13</v>
      </c>
      <c r="L85" s="25">
        <f>emiss!M24</f>
        <v>13.066666666666668</v>
      </c>
    </row>
    <row r="87" spans="2:28" ht="12.75">
      <c r="B87" s="13" t="s">
        <v>147</v>
      </c>
      <c r="D87" s="13" t="s">
        <v>215</v>
      </c>
      <c r="L87" s="13">
        <f>L69*L70/1000000</f>
        <v>43.945</v>
      </c>
      <c r="T87" s="13">
        <f>T69*T70/1000000</f>
        <v>4.5084</v>
      </c>
      <c r="AB87" s="24">
        <f>T87+L87</f>
        <v>48.4534</v>
      </c>
    </row>
    <row r="88" spans="2:28" ht="12.75">
      <c r="B88" s="13" t="s">
        <v>219</v>
      </c>
      <c r="D88" s="13" t="s">
        <v>215</v>
      </c>
      <c r="AB88" s="25">
        <f>L84*60/9000*(21-L85)/21</f>
        <v>188.51698765432096</v>
      </c>
    </row>
    <row r="90" spans="2:11" ht="12.75">
      <c r="B90" s="49" t="s">
        <v>119</v>
      </c>
      <c r="K90" s="13"/>
    </row>
    <row r="91" spans="2:28" ht="12.75">
      <c r="B91" s="13" t="s">
        <v>53</v>
      </c>
      <c r="D91" s="13" t="s">
        <v>10</v>
      </c>
      <c r="K91" s="16">
        <v>100</v>
      </c>
      <c r="L91" s="25">
        <f aca="true" t="shared" si="6" ref="L91:L101">L72/60*1000000/(L$84*0.0283)*(21-7)/(21-L$85)</f>
        <v>6511.816400818517</v>
      </c>
      <c r="AA91" s="25">
        <f>K91</f>
        <v>100</v>
      </c>
      <c r="AB91" s="25">
        <f>L91</f>
        <v>6511.816400818517</v>
      </c>
    </row>
    <row r="92" spans="2:28" ht="12.75">
      <c r="B92" s="13" t="s">
        <v>140</v>
      </c>
      <c r="D92" s="13" t="s">
        <v>10</v>
      </c>
      <c r="K92" s="16">
        <v>100</v>
      </c>
      <c r="L92" s="25">
        <f t="shared" si="6"/>
        <v>81.362993835387</v>
      </c>
      <c r="AA92" s="25">
        <f aca="true" t="shared" si="7" ref="AA92:AA101">K92</f>
        <v>100</v>
      </c>
      <c r="AB92" s="25">
        <f aca="true" t="shared" si="8" ref="AB92:AB101">L92</f>
        <v>81.362993835387</v>
      </c>
    </row>
    <row r="93" spans="2:28" ht="12.75">
      <c r="B93" s="13" t="s">
        <v>138</v>
      </c>
      <c r="D93" s="13" t="s">
        <v>10</v>
      </c>
      <c r="K93" s="16">
        <v>100</v>
      </c>
      <c r="L93" s="25">
        <f t="shared" si="6"/>
        <v>81.362993835387</v>
      </c>
      <c r="AA93" s="25">
        <f t="shared" si="7"/>
        <v>100</v>
      </c>
      <c r="AB93" s="25">
        <f t="shared" si="8"/>
        <v>81.362993835387</v>
      </c>
    </row>
    <row r="94" spans="2:28" ht="12.75">
      <c r="B94" s="13" t="s">
        <v>182</v>
      </c>
      <c r="D94" s="13" t="s">
        <v>10</v>
      </c>
      <c r="L94" s="25">
        <f t="shared" si="6"/>
        <v>32.62850435378149</v>
      </c>
      <c r="AA94" s="25">
        <f t="shared" si="7"/>
        <v>0</v>
      </c>
      <c r="AB94" s="25">
        <f t="shared" si="8"/>
        <v>32.62850435378149</v>
      </c>
    </row>
    <row r="95" spans="2:28" ht="12.75">
      <c r="B95" s="13" t="s">
        <v>139</v>
      </c>
      <c r="D95" s="13" t="s">
        <v>10</v>
      </c>
      <c r="K95" s="16">
        <v>100</v>
      </c>
      <c r="L95" s="25">
        <f t="shared" si="6"/>
        <v>16.24482982720184</v>
      </c>
      <c r="AA95" s="25">
        <f t="shared" si="7"/>
        <v>100</v>
      </c>
      <c r="AB95" s="25">
        <f t="shared" si="8"/>
        <v>16.24482982720184</v>
      </c>
    </row>
    <row r="96" spans="2:28" ht="12.75">
      <c r="B96" s="13" t="s">
        <v>143</v>
      </c>
      <c r="D96" s="13" t="s">
        <v>10</v>
      </c>
      <c r="K96" s="16">
        <v>100</v>
      </c>
      <c r="L96" s="25">
        <f t="shared" si="6"/>
        <v>16.24482982720184</v>
      </c>
      <c r="AA96" s="25">
        <f t="shared" si="7"/>
        <v>100</v>
      </c>
      <c r="AB96" s="25">
        <f t="shared" si="8"/>
        <v>16.24482982720184</v>
      </c>
    </row>
    <row r="97" spans="2:28" ht="12.75">
      <c r="B97" s="13" t="s">
        <v>144</v>
      </c>
      <c r="D97" s="13" t="s">
        <v>10</v>
      </c>
      <c r="K97" s="16">
        <v>100</v>
      </c>
      <c r="L97" s="25">
        <f t="shared" si="6"/>
        <v>16.24482982720184</v>
      </c>
      <c r="AA97" s="25">
        <f t="shared" si="7"/>
        <v>100</v>
      </c>
      <c r="AB97" s="25">
        <f t="shared" si="8"/>
        <v>16.24482982720184</v>
      </c>
    </row>
    <row r="98" spans="2:28" ht="12.75">
      <c r="B98" s="13" t="s">
        <v>141</v>
      </c>
      <c r="D98" s="13" t="s">
        <v>10</v>
      </c>
      <c r="L98" s="25">
        <f t="shared" si="6"/>
        <v>48.87333418098332</v>
      </c>
      <c r="AA98" s="25">
        <f t="shared" si="7"/>
        <v>0</v>
      </c>
      <c r="AB98" s="25">
        <f t="shared" si="8"/>
        <v>48.87333418098332</v>
      </c>
    </row>
    <row r="99" spans="2:28" ht="12.75">
      <c r="B99" s="13" t="s">
        <v>148</v>
      </c>
      <c r="D99" s="13" t="s">
        <v>10</v>
      </c>
      <c r="K99" s="16">
        <v>100</v>
      </c>
      <c r="L99" s="25">
        <f t="shared" si="6"/>
        <v>3.0962367961247956</v>
      </c>
      <c r="AA99" s="25">
        <f t="shared" si="7"/>
        <v>100</v>
      </c>
      <c r="AB99" s="25">
        <f t="shared" si="8"/>
        <v>3.0962367961247956</v>
      </c>
    </row>
    <row r="100" spans="2:28" ht="12.75">
      <c r="B100" s="13" t="s">
        <v>176</v>
      </c>
      <c r="D100" s="13" t="s">
        <v>10</v>
      </c>
      <c r="K100" s="16">
        <v>100</v>
      </c>
      <c r="L100" s="25">
        <f t="shared" si="6"/>
        <v>16.24482982720184</v>
      </c>
      <c r="AA100" s="25">
        <f t="shared" si="7"/>
        <v>100</v>
      </c>
      <c r="AB100" s="25">
        <f t="shared" si="8"/>
        <v>16.24482982720184</v>
      </c>
    </row>
    <row r="101" spans="2:28" ht="12.75">
      <c r="B101" s="13" t="s">
        <v>175</v>
      </c>
      <c r="D101" s="13" t="s">
        <v>10</v>
      </c>
      <c r="K101" s="16">
        <v>100</v>
      </c>
      <c r="L101" s="25">
        <f t="shared" si="6"/>
        <v>81.362993835387</v>
      </c>
      <c r="AA101" s="25">
        <f t="shared" si="7"/>
        <v>100</v>
      </c>
      <c r="AB101" s="25">
        <f t="shared" si="8"/>
        <v>81.362993835387</v>
      </c>
    </row>
    <row r="102" spans="12:28" ht="12.75">
      <c r="L102" s="25"/>
      <c r="AA102" s="16"/>
      <c r="AB102" s="25"/>
    </row>
    <row r="103" spans="2:28" ht="12.75">
      <c r="B103" s="13" t="s">
        <v>3</v>
      </c>
      <c r="D103" s="13" t="s">
        <v>10</v>
      </c>
      <c r="K103" s="25">
        <f>(K96*L96+K98*L98)/L103</f>
        <v>24.946695095948826</v>
      </c>
      <c r="L103" s="24">
        <f>L96+L98</f>
        <v>65.11816400818516</v>
      </c>
      <c r="AA103" s="25">
        <f>K103</f>
        <v>24.946695095948826</v>
      </c>
      <c r="AB103" s="24">
        <v>56.99574909458424</v>
      </c>
    </row>
    <row r="104" spans="2:28" ht="12.75">
      <c r="B104" s="13" t="s">
        <v>4</v>
      </c>
      <c r="D104" s="13" t="s">
        <v>10</v>
      </c>
      <c r="K104" s="25">
        <f>(K93*L93+K95*L95+K97*L97)/L104</f>
        <v>100.00000000000001</v>
      </c>
      <c r="L104" s="24">
        <f>L93+L95+L97</f>
        <v>113.85265348979068</v>
      </c>
      <c r="AA104" s="25">
        <f>K104</f>
        <v>100.00000000000001</v>
      </c>
      <c r="AB104" s="24">
        <v>56.92632674489534</v>
      </c>
    </row>
    <row r="107" spans="2:28" ht="12.75">
      <c r="B107" s="12" t="s">
        <v>164</v>
      </c>
      <c r="C107" s="13" t="s">
        <v>174</v>
      </c>
      <c r="F107" s="13" t="s">
        <v>177</v>
      </c>
      <c r="H107" s="13" t="s">
        <v>178</v>
      </c>
      <c r="J107" s="13" t="s">
        <v>179</v>
      </c>
      <c r="L107" s="13" t="s">
        <v>41</v>
      </c>
      <c r="N107" s="13" t="s">
        <v>177</v>
      </c>
      <c r="P107" s="13" t="s">
        <v>178</v>
      </c>
      <c r="R107" s="13" t="s">
        <v>179</v>
      </c>
      <c r="S107" s="16"/>
      <c r="T107" s="13" t="s">
        <v>41</v>
      </c>
      <c r="V107" s="13" t="s">
        <v>177</v>
      </c>
      <c r="X107" s="13" t="s">
        <v>178</v>
      </c>
      <c r="Z107" s="13" t="s">
        <v>179</v>
      </c>
      <c r="AA107" s="16"/>
      <c r="AB107" s="13" t="s">
        <v>41</v>
      </c>
    </row>
    <row r="108" spans="11:27" ht="12.75">
      <c r="K108" s="13"/>
      <c r="AA108" s="16"/>
    </row>
    <row r="109" spans="2:28" ht="12.75">
      <c r="B109" s="13" t="s">
        <v>207</v>
      </c>
      <c r="F109" s="13" t="s">
        <v>209</v>
      </c>
      <c r="H109" s="13" t="s">
        <v>209</v>
      </c>
      <c r="J109" s="13" t="s">
        <v>209</v>
      </c>
      <c r="K109" s="13"/>
      <c r="L109" s="13" t="s">
        <v>209</v>
      </c>
      <c r="N109" s="13" t="s">
        <v>212</v>
      </c>
      <c r="P109" s="13" t="s">
        <v>212</v>
      </c>
      <c r="R109" s="13" t="s">
        <v>212</v>
      </c>
      <c r="T109" s="13" t="s">
        <v>212</v>
      </c>
      <c r="V109" s="13" t="s">
        <v>216</v>
      </c>
      <c r="X109" s="13" t="s">
        <v>216</v>
      </c>
      <c r="Z109" s="13" t="s">
        <v>216</v>
      </c>
      <c r="AA109" s="16"/>
      <c r="AB109" s="13" t="s">
        <v>216</v>
      </c>
    </row>
    <row r="110" spans="2:28" ht="12.75">
      <c r="B110" s="13" t="s">
        <v>208</v>
      </c>
      <c r="F110" s="13" t="s">
        <v>210</v>
      </c>
      <c r="H110" s="13" t="s">
        <v>210</v>
      </c>
      <c r="J110" s="13" t="s">
        <v>210</v>
      </c>
      <c r="K110" s="13"/>
      <c r="L110" s="13" t="s">
        <v>210</v>
      </c>
      <c r="N110" s="13" t="s">
        <v>211</v>
      </c>
      <c r="P110" s="13" t="s">
        <v>211</v>
      </c>
      <c r="R110" s="13" t="s">
        <v>211</v>
      </c>
      <c r="T110" s="13" t="s">
        <v>211</v>
      </c>
      <c r="V110" s="13" t="s">
        <v>64</v>
      </c>
      <c r="X110" s="13" t="s">
        <v>64</v>
      </c>
      <c r="Z110" s="13" t="s">
        <v>64</v>
      </c>
      <c r="AA110" s="16"/>
      <c r="AB110" s="13" t="s">
        <v>64</v>
      </c>
    </row>
    <row r="111" spans="2:28" ht="12.75">
      <c r="B111" s="13" t="s">
        <v>217</v>
      </c>
      <c r="F111" s="13" t="s">
        <v>1</v>
      </c>
      <c r="H111" s="13" t="s">
        <v>1</v>
      </c>
      <c r="J111" s="13" t="s">
        <v>1</v>
      </c>
      <c r="K111" s="13"/>
      <c r="L111" s="13" t="s">
        <v>1</v>
      </c>
      <c r="N111" s="13" t="s">
        <v>218</v>
      </c>
      <c r="P111" s="13" t="s">
        <v>218</v>
      </c>
      <c r="R111" s="13" t="s">
        <v>218</v>
      </c>
      <c r="T111" s="13" t="s">
        <v>218</v>
      </c>
      <c r="V111" s="13" t="s">
        <v>64</v>
      </c>
      <c r="X111" s="13" t="s">
        <v>64</v>
      </c>
      <c r="Z111" s="13" t="s">
        <v>64</v>
      </c>
      <c r="AA111" s="16"/>
      <c r="AB111" s="13" t="s">
        <v>64</v>
      </c>
    </row>
    <row r="112" spans="2:28" ht="38.25">
      <c r="B112" s="53" t="s">
        <v>150</v>
      </c>
      <c r="F112" s="43" t="s">
        <v>47</v>
      </c>
      <c r="H112" s="43" t="s">
        <v>47</v>
      </c>
      <c r="J112" s="43" t="s">
        <v>47</v>
      </c>
      <c r="L112" s="43" t="s">
        <v>47</v>
      </c>
      <c r="N112" s="44" t="s">
        <v>48</v>
      </c>
      <c r="P112" s="44" t="s">
        <v>48</v>
      </c>
      <c r="R112" s="44" t="s">
        <v>48</v>
      </c>
      <c r="S112" s="45"/>
      <c r="T112" s="44" t="s">
        <v>48</v>
      </c>
      <c r="V112" s="54" t="s">
        <v>64</v>
      </c>
      <c r="X112" s="54" t="s">
        <v>64</v>
      </c>
      <c r="Z112" s="54" t="s">
        <v>64</v>
      </c>
      <c r="AB112" s="54" t="s">
        <v>64</v>
      </c>
    </row>
    <row r="113" spans="2:18" ht="12.75">
      <c r="B113" s="13" t="s">
        <v>149</v>
      </c>
      <c r="D113" s="13" t="s">
        <v>183</v>
      </c>
      <c r="F113" s="25">
        <f>46.5*60</f>
        <v>2790</v>
      </c>
      <c r="H113" s="25">
        <f>46.8*60</f>
        <v>2808</v>
      </c>
      <c r="J113" s="25">
        <f>47.3*60</f>
        <v>2838</v>
      </c>
      <c r="N113" s="13">
        <f>34*60</f>
        <v>2040</v>
      </c>
      <c r="P113" s="13">
        <f>37*60</f>
        <v>2220</v>
      </c>
      <c r="R113" s="13">
        <f>37*60</f>
        <v>2220</v>
      </c>
    </row>
    <row r="114" spans="2:18" ht="12.75">
      <c r="B114" s="13" t="s">
        <v>184</v>
      </c>
      <c r="D114" s="13" t="s">
        <v>51</v>
      </c>
      <c r="F114" s="13">
        <v>16900</v>
      </c>
      <c r="H114" s="13">
        <v>17300</v>
      </c>
      <c r="J114" s="13">
        <v>17100</v>
      </c>
      <c r="N114" s="13">
        <v>17600</v>
      </c>
      <c r="P114" s="13">
        <v>17100</v>
      </c>
      <c r="R114" s="13">
        <v>16900</v>
      </c>
    </row>
    <row r="115" spans="2:18" ht="12.75">
      <c r="B115" s="13" t="s">
        <v>6</v>
      </c>
      <c r="D115" s="13" t="s">
        <v>52</v>
      </c>
      <c r="F115" s="13">
        <v>1.06</v>
      </c>
      <c r="H115" s="13">
        <v>0.92</v>
      </c>
      <c r="J115" s="13">
        <v>1.28</v>
      </c>
      <c r="N115" s="13">
        <v>1.181</v>
      </c>
      <c r="P115" s="13">
        <v>2.91</v>
      </c>
      <c r="R115" s="13">
        <v>3.11</v>
      </c>
    </row>
    <row r="116" spans="2:18" ht="12.75">
      <c r="B116" s="13" t="s">
        <v>53</v>
      </c>
      <c r="D116" s="13" t="s">
        <v>54</v>
      </c>
      <c r="E116" s="13" t="s">
        <v>55</v>
      </c>
      <c r="F116" s="13">
        <v>400</v>
      </c>
      <c r="H116" s="13">
        <v>764</v>
      </c>
      <c r="I116" s="13" t="s">
        <v>55</v>
      </c>
      <c r="J116" s="13">
        <v>668</v>
      </c>
      <c r="M116" s="13" t="s">
        <v>55</v>
      </c>
      <c r="N116" s="13">
        <v>904</v>
      </c>
      <c r="O116" s="13" t="s">
        <v>55</v>
      </c>
      <c r="P116" s="13">
        <v>867</v>
      </c>
      <c r="Q116" s="13" t="s">
        <v>55</v>
      </c>
      <c r="R116" s="45">
        <v>458</v>
      </c>
    </row>
    <row r="117" spans="2:19" ht="12.75">
      <c r="B117" s="13" t="s">
        <v>140</v>
      </c>
      <c r="D117" s="13" t="s">
        <v>54</v>
      </c>
      <c r="E117" s="13" t="s">
        <v>55</v>
      </c>
      <c r="F117" s="13">
        <v>5</v>
      </c>
      <c r="G117" s="13" t="s">
        <v>55</v>
      </c>
      <c r="H117" s="13">
        <v>5</v>
      </c>
      <c r="I117" s="13" t="s">
        <v>55</v>
      </c>
      <c r="J117" s="13">
        <v>5</v>
      </c>
      <c r="M117" s="13" t="s">
        <v>55</v>
      </c>
      <c r="N117" s="13">
        <v>5</v>
      </c>
      <c r="O117" s="13" t="s">
        <v>55</v>
      </c>
      <c r="P117" s="13">
        <v>5</v>
      </c>
      <c r="Q117" s="13" t="s">
        <v>55</v>
      </c>
      <c r="R117" s="13">
        <v>5</v>
      </c>
      <c r="S117" s="16"/>
    </row>
    <row r="118" spans="2:19" ht="12.75">
      <c r="B118" s="13" t="s">
        <v>138</v>
      </c>
      <c r="D118" s="13" t="s">
        <v>54</v>
      </c>
      <c r="E118" s="13" t="s">
        <v>55</v>
      </c>
      <c r="F118" s="13">
        <v>5</v>
      </c>
      <c r="G118" s="13" t="s">
        <v>55</v>
      </c>
      <c r="H118" s="13">
        <v>5</v>
      </c>
      <c r="I118" s="13" t="s">
        <v>55</v>
      </c>
      <c r="J118" s="13">
        <v>5</v>
      </c>
      <c r="M118" s="13" t="s">
        <v>55</v>
      </c>
      <c r="N118" s="13">
        <v>5</v>
      </c>
      <c r="O118" s="13" t="s">
        <v>55</v>
      </c>
      <c r="P118" s="13">
        <v>5</v>
      </c>
      <c r="Q118" s="13" t="s">
        <v>55</v>
      </c>
      <c r="R118" s="13">
        <v>5</v>
      </c>
      <c r="S118" s="16"/>
    </row>
    <row r="119" spans="2:19" ht="12.75">
      <c r="B119" s="13" t="s">
        <v>182</v>
      </c>
      <c r="D119" s="13" t="s">
        <v>54</v>
      </c>
      <c r="E119" s="13" t="s">
        <v>55</v>
      </c>
      <c r="F119" s="13">
        <v>5</v>
      </c>
      <c r="G119" s="13" t="s">
        <v>55</v>
      </c>
      <c r="H119" s="13">
        <v>5</v>
      </c>
      <c r="J119" s="13">
        <v>30</v>
      </c>
      <c r="M119" s="13" t="s">
        <v>55</v>
      </c>
      <c r="N119" s="13">
        <v>5</v>
      </c>
      <c r="P119" s="13">
        <v>8</v>
      </c>
      <c r="R119" s="13">
        <v>8</v>
      </c>
      <c r="S119" s="16"/>
    </row>
    <row r="120" spans="2:19" ht="12.75">
      <c r="B120" s="13" t="s">
        <v>139</v>
      </c>
      <c r="D120" s="13" t="s">
        <v>54</v>
      </c>
      <c r="E120" s="13" t="s">
        <v>55</v>
      </c>
      <c r="F120" s="13">
        <v>5</v>
      </c>
      <c r="G120" s="13" t="s">
        <v>55</v>
      </c>
      <c r="H120" s="13">
        <v>5</v>
      </c>
      <c r="I120" s="13" t="s">
        <v>55</v>
      </c>
      <c r="J120" s="13">
        <v>5</v>
      </c>
      <c r="M120" s="13" t="s">
        <v>55</v>
      </c>
      <c r="N120" s="13">
        <v>5</v>
      </c>
      <c r="O120" s="13" t="s">
        <v>55</v>
      </c>
      <c r="P120" s="13">
        <v>5</v>
      </c>
      <c r="Q120" s="13" t="s">
        <v>55</v>
      </c>
      <c r="R120" s="13">
        <v>5</v>
      </c>
      <c r="S120" s="16"/>
    </row>
    <row r="121" spans="2:19" ht="12.75">
      <c r="B121" s="13" t="s">
        <v>143</v>
      </c>
      <c r="D121" s="13" t="s">
        <v>54</v>
      </c>
      <c r="E121" s="13" t="s">
        <v>55</v>
      </c>
      <c r="F121" s="13">
        <v>5</v>
      </c>
      <c r="G121" s="13" t="s">
        <v>55</v>
      </c>
      <c r="H121" s="13">
        <v>5</v>
      </c>
      <c r="I121" s="13" t="s">
        <v>55</v>
      </c>
      <c r="J121" s="13">
        <v>5</v>
      </c>
      <c r="M121" s="13" t="s">
        <v>55</v>
      </c>
      <c r="N121" s="13">
        <v>5</v>
      </c>
      <c r="O121" s="13" t="s">
        <v>55</v>
      </c>
      <c r="P121" s="13">
        <v>5</v>
      </c>
      <c r="Q121" s="13" t="s">
        <v>55</v>
      </c>
      <c r="R121" s="13">
        <v>5</v>
      </c>
      <c r="S121" s="16"/>
    </row>
    <row r="122" spans="2:19" ht="12.75">
      <c r="B122" s="13" t="s">
        <v>144</v>
      </c>
      <c r="D122" s="13" t="s">
        <v>54</v>
      </c>
      <c r="E122" s="13" t="s">
        <v>55</v>
      </c>
      <c r="F122" s="13">
        <v>5</v>
      </c>
      <c r="G122" s="13" t="s">
        <v>55</v>
      </c>
      <c r="H122" s="13">
        <v>5</v>
      </c>
      <c r="I122" s="13" t="s">
        <v>55</v>
      </c>
      <c r="J122" s="13">
        <v>5</v>
      </c>
      <c r="M122" s="13" t="s">
        <v>55</v>
      </c>
      <c r="N122" s="13">
        <v>5</v>
      </c>
      <c r="O122" s="13" t="s">
        <v>55</v>
      </c>
      <c r="P122" s="13">
        <v>5</v>
      </c>
      <c r="Q122" s="13" t="s">
        <v>55</v>
      </c>
      <c r="R122" s="13">
        <v>5</v>
      </c>
      <c r="S122" s="16"/>
    </row>
    <row r="123" spans="2:19" ht="12.75">
      <c r="B123" s="13" t="s">
        <v>141</v>
      </c>
      <c r="D123" s="13" t="s">
        <v>54</v>
      </c>
      <c r="E123" s="13" t="s">
        <v>55</v>
      </c>
      <c r="F123" s="13">
        <v>5</v>
      </c>
      <c r="G123" s="13" t="s">
        <v>55</v>
      </c>
      <c r="H123" s="13">
        <v>5</v>
      </c>
      <c r="I123" s="13" t="s">
        <v>55</v>
      </c>
      <c r="J123" s="13">
        <v>5</v>
      </c>
      <c r="M123" s="13" t="s">
        <v>55</v>
      </c>
      <c r="N123" s="13">
        <v>5</v>
      </c>
      <c r="O123" s="13" t="s">
        <v>55</v>
      </c>
      <c r="P123" s="13">
        <v>5</v>
      </c>
      <c r="Q123" s="13" t="s">
        <v>55</v>
      </c>
      <c r="R123" s="13">
        <v>5</v>
      </c>
      <c r="S123" s="16"/>
    </row>
    <row r="124" spans="2:19" ht="12.75">
      <c r="B124" s="13" t="s">
        <v>148</v>
      </c>
      <c r="D124" s="13" t="s">
        <v>54</v>
      </c>
      <c r="E124" s="13" t="s">
        <v>55</v>
      </c>
      <c r="F124" s="13">
        <v>0.98</v>
      </c>
      <c r="G124" s="13" t="s">
        <v>55</v>
      </c>
      <c r="H124" s="13">
        <v>0.77</v>
      </c>
      <c r="I124" s="13" t="s">
        <v>55</v>
      </c>
      <c r="J124" s="13">
        <v>0.81</v>
      </c>
      <c r="M124" s="13" t="s">
        <v>55</v>
      </c>
      <c r="N124" s="13">
        <v>0.58</v>
      </c>
      <c r="O124" s="13" t="s">
        <v>55</v>
      </c>
      <c r="P124" s="13">
        <v>0.72</v>
      </c>
      <c r="Q124" s="13" t="s">
        <v>55</v>
      </c>
      <c r="R124" s="13">
        <v>0.71</v>
      </c>
      <c r="S124" s="16"/>
    </row>
    <row r="125" spans="2:19" ht="12.75">
      <c r="B125" s="13" t="s">
        <v>176</v>
      </c>
      <c r="D125" s="13" t="s">
        <v>54</v>
      </c>
      <c r="E125" s="13" t="s">
        <v>55</v>
      </c>
      <c r="F125" s="13">
        <v>5</v>
      </c>
      <c r="G125" s="13" t="s">
        <v>55</v>
      </c>
      <c r="H125" s="13">
        <v>5</v>
      </c>
      <c r="I125" s="13" t="s">
        <v>55</v>
      </c>
      <c r="J125" s="13">
        <v>5</v>
      </c>
      <c r="M125" s="13" t="s">
        <v>55</v>
      </c>
      <c r="N125" s="13">
        <v>5</v>
      </c>
      <c r="O125" s="13" t="s">
        <v>55</v>
      </c>
      <c r="P125" s="13">
        <v>5</v>
      </c>
      <c r="Q125" s="13" t="s">
        <v>55</v>
      </c>
      <c r="R125" s="13">
        <v>5</v>
      </c>
      <c r="S125" s="16"/>
    </row>
    <row r="126" spans="2:19" ht="12.75">
      <c r="B126" s="13" t="s">
        <v>175</v>
      </c>
      <c r="D126" s="13" t="s">
        <v>54</v>
      </c>
      <c r="E126" s="13" t="s">
        <v>55</v>
      </c>
      <c r="F126" s="13">
        <v>10</v>
      </c>
      <c r="G126" s="13" t="s">
        <v>55</v>
      </c>
      <c r="H126" s="13">
        <v>10</v>
      </c>
      <c r="I126" s="13" t="s">
        <v>55</v>
      </c>
      <c r="J126" s="13">
        <v>10</v>
      </c>
      <c r="M126" s="13" t="s">
        <v>55</v>
      </c>
      <c r="N126" s="13">
        <v>10</v>
      </c>
      <c r="O126" s="13" t="s">
        <v>55</v>
      </c>
      <c r="P126" s="13">
        <v>10</v>
      </c>
      <c r="Q126" s="13" t="s">
        <v>55</v>
      </c>
      <c r="R126" s="13">
        <v>10</v>
      </c>
      <c r="S126" s="16"/>
    </row>
    <row r="128" spans="2:28" ht="12.75">
      <c r="B128" s="13" t="s">
        <v>56</v>
      </c>
      <c r="D128" s="13" t="s">
        <v>12</v>
      </c>
      <c r="F128" s="13">
        <f>emiss!G34</f>
        <v>77932</v>
      </c>
      <c r="H128" s="13">
        <f>emiss!I34</f>
        <v>77091</v>
      </c>
      <c r="J128" s="13">
        <f>emiss!K34</f>
        <v>78975</v>
      </c>
      <c r="L128" s="25">
        <f>emiss!M34</f>
        <v>77999.33333333333</v>
      </c>
      <c r="N128" s="13">
        <f>emiss!G34</f>
        <v>77932</v>
      </c>
      <c r="P128" s="13">
        <f>emiss!I34</f>
        <v>77091</v>
      </c>
      <c r="R128" s="13">
        <f>emiss!K34</f>
        <v>78975</v>
      </c>
      <c r="S128" s="16"/>
      <c r="T128" s="25"/>
      <c r="AB128" s="13">
        <f>R128</f>
        <v>78975</v>
      </c>
    </row>
    <row r="129" spans="2:28" ht="12.75">
      <c r="B129" s="13" t="s">
        <v>7</v>
      </c>
      <c r="D129" s="13" t="s">
        <v>13</v>
      </c>
      <c r="F129" s="13">
        <f>emiss!G35</f>
        <v>13.4</v>
      </c>
      <c r="H129" s="13">
        <f>emiss!I35</f>
        <v>13.9</v>
      </c>
      <c r="J129" s="13">
        <f>emiss!K35</f>
        <v>13.8</v>
      </c>
      <c r="L129" s="25">
        <f>emiss!M35</f>
        <v>13.700000000000001</v>
      </c>
      <c r="N129" s="13">
        <f>emiss!G35</f>
        <v>13.4</v>
      </c>
      <c r="P129" s="13">
        <f>emiss!I35</f>
        <v>13.9</v>
      </c>
      <c r="R129" s="13">
        <f>emiss!K35</f>
        <v>13.8</v>
      </c>
      <c r="S129" s="16"/>
      <c r="T129" s="24"/>
      <c r="AB129" s="13">
        <f>R129</f>
        <v>13.8</v>
      </c>
    </row>
    <row r="131" spans="2:28" ht="12.75">
      <c r="B131" s="13" t="s">
        <v>147</v>
      </c>
      <c r="D131" s="13" t="s">
        <v>215</v>
      </c>
      <c r="F131" s="24">
        <f>F114*F113/1000000</f>
        <v>47.151</v>
      </c>
      <c r="H131" s="24">
        <f>H114*H113/1000000</f>
        <v>48.5784</v>
      </c>
      <c r="J131" s="24">
        <f>J114*J113/1000000</f>
        <v>48.5298</v>
      </c>
      <c r="L131" s="24">
        <f>AVERAGE(F131,H131,J131)</f>
        <v>48.0864</v>
      </c>
      <c r="N131" s="24">
        <f>N114*N113/1000000</f>
        <v>35.904</v>
      </c>
      <c r="P131" s="24">
        <f>P114*P113/1000000</f>
        <v>37.962</v>
      </c>
      <c r="R131" s="24">
        <f>R114*R113/1000000</f>
        <v>37.518</v>
      </c>
      <c r="S131" s="24"/>
      <c r="T131" s="24">
        <f>AVERAGE(N131,P131,R131)</f>
        <v>37.12800000000001</v>
      </c>
      <c r="V131" s="24">
        <f>F131+N131</f>
        <v>83.055</v>
      </c>
      <c r="X131" s="24">
        <f>H131+P131</f>
        <v>86.5404</v>
      </c>
      <c r="Z131" s="24">
        <f>J131+R131</f>
        <v>86.0478</v>
      </c>
      <c r="AB131" s="24">
        <f>L131+T131</f>
        <v>85.21440000000001</v>
      </c>
    </row>
    <row r="132" spans="2:28" ht="12.75">
      <c r="B132" s="13" t="s">
        <v>219</v>
      </c>
      <c r="D132" s="13" t="s">
        <v>215</v>
      </c>
      <c r="L132" s="24"/>
      <c r="S132" s="24"/>
      <c r="AB132" s="24">
        <f>AB128/150*(21-AB129)/21</f>
        <v>180.5142857142857</v>
      </c>
    </row>
    <row r="133" spans="12:19" ht="12.75">
      <c r="L133" s="24"/>
      <c r="S133" s="24"/>
    </row>
    <row r="134" spans="2:19" ht="12.75">
      <c r="B134" s="49" t="s">
        <v>119</v>
      </c>
      <c r="C134" s="49"/>
      <c r="L134" s="24"/>
      <c r="S134" s="24"/>
    </row>
    <row r="135" spans="2:28" ht="12.75">
      <c r="B135" s="13" t="s">
        <v>6</v>
      </c>
      <c r="D135" s="13" t="s">
        <v>11</v>
      </c>
      <c r="F135" s="24">
        <f>F115*F$113/100*1/60*454*1000/(F$128*0.0283)*(21-7)/(21-F$129)</f>
        <v>186.90755528266968</v>
      </c>
      <c r="H135" s="24">
        <f>H115*H$113/100*1/60*454*1000/(H$128*0.0283)*(21-7)/(21-H$129)</f>
        <v>176.6725613936601</v>
      </c>
      <c r="J135" s="24">
        <f>J115*J$113/100*1/60*454*1000/(J$128*0.0283)*(21-7)/(21-J$129)</f>
        <v>239.13681042678127</v>
      </c>
      <c r="L135" s="25">
        <f>AVERAGE(F135,H135,J135)</f>
        <v>200.90564236770368</v>
      </c>
      <c r="N135" s="24">
        <f>N115*N$113/100*1/60*454*1000/(N$128*0.0283)*(21-7)/(21-N$129)</f>
        <v>152.26386639927605</v>
      </c>
      <c r="P135" s="24">
        <f>P115*P$113/100*1/60*454*1000/(P$128*0.0283)*(21-7)/(21-P$129)</f>
        <v>441.8045030949317</v>
      </c>
      <c r="R135" s="24">
        <f>R115*R$113/100*1/60*454*1000/(R$128*0.0283)*(21-7)/(21-R$129)</f>
        <v>454.5037126025654</v>
      </c>
      <c r="S135" s="16"/>
      <c r="T135" s="24">
        <f aca="true" t="shared" si="9" ref="T135:T146">AVERAGE(N135,P135,R135)</f>
        <v>349.52402736559105</v>
      </c>
      <c r="U135" s="25">
        <f aca="true" t="shared" si="10" ref="U135:U146">SUM(M135*N135,E135*F135)/V135</f>
        <v>0</v>
      </c>
      <c r="V135" s="24">
        <f>SUM(N135,F135)</f>
        <v>339.17142168194573</v>
      </c>
      <c r="W135" s="25">
        <f aca="true" t="shared" si="11" ref="W135:W146">SUM(O135*P135,G135*H135)/X135</f>
        <v>0</v>
      </c>
      <c r="X135" s="24">
        <f>SUM(P135,H135)</f>
        <v>618.4770644885919</v>
      </c>
      <c r="Y135" s="25">
        <f aca="true" t="shared" si="12" ref="Y135:Y146">SUM(Q135*R135,I135*J135)/Z135</f>
        <v>0</v>
      </c>
      <c r="Z135" s="24">
        <f>SUM(R135,J135)</f>
        <v>693.6405230293467</v>
      </c>
      <c r="AA135" s="25">
        <f aca="true" t="shared" si="13" ref="AA135:AA146">SUM(S135*T135,K135*L135)/AB135</f>
        <v>0</v>
      </c>
      <c r="AB135" s="24">
        <f>AVERAGE(V135,X135,Z135)</f>
        <v>550.4296697332948</v>
      </c>
    </row>
    <row r="136" spans="2:28" ht="12.75">
      <c r="B136" s="13" t="s">
        <v>53</v>
      </c>
      <c r="D136" s="13" t="s">
        <v>10</v>
      </c>
      <c r="E136" s="13">
        <v>100</v>
      </c>
      <c r="F136" s="24">
        <f>F116*F$113/1000000*1/60*454*1000000/(F$128*0.0283)*(21-7)/(21-F$129)</f>
        <v>7053.115293685649</v>
      </c>
      <c r="H136" s="24">
        <f>H116*H$113/1000000*1/60*454*1000000/(H$128*0.0283)*(21-7)/(21-H$129)</f>
        <v>14671.504011386553</v>
      </c>
      <c r="I136" s="13">
        <v>100</v>
      </c>
      <c r="J136" s="24">
        <f aca="true" t="shared" si="14" ref="J136:J146">J116*J$113/1000000*1/60*454*1000000/(J$128*0.0283)*(21-7)/(21-J$129)</f>
        <v>12479.952294147646</v>
      </c>
      <c r="K136" s="16">
        <f>AVERAGE(E136*F136,G136*H136,I136*J136)/L136</f>
        <v>57.106599131558234</v>
      </c>
      <c r="L136" s="25">
        <f aca="true" t="shared" si="15" ref="L136:L149">AVERAGE(F136,H136,J136)</f>
        <v>11401.523866406615</v>
      </c>
      <c r="M136" s="13">
        <v>100</v>
      </c>
      <c r="N136" s="24">
        <f aca="true" t="shared" si="16" ref="N136:N146">N116*N$113/1000000*1/60*454*1000000/(N$128*0.0283)*(21-7)/(21-N$129)</f>
        <v>11655.083422942045</v>
      </c>
      <c r="O136" s="13">
        <v>100</v>
      </c>
      <c r="P136" s="24">
        <f aca="true" t="shared" si="17" ref="P136:P146">P116*P$113/1000000*1/60*454*1000000/(P$128*0.0283)*(21-7)/(21-P$129)</f>
        <v>13163.041380869614</v>
      </c>
      <c r="Q136" s="13">
        <v>100</v>
      </c>
      <c r="R136" s="24">
        <f aca="true" t="shared" si="18" ref="R136:R146">R116*R$113/1000000*1/60*454*1000000/(R$128*0.0283)*(21-7)/(21-R$129)</f>
        <v>6693.334417105306</v>
      </c>
      <c r="S136" s="16">
        <f>AVERAGE(M136*N136,O136*P136,Q136*R136)/T136</f>
        <v>99.99999999999999</v>
      </c>
      <c r="T136" s="24">
        <f t="shared" si="9"/>
        <v>10503.819740305657</v>
      </c>
      <c r="U136" s="25">
        <f t="shared" si="10"/>
        <v>100</v>
      </c>
      <c r="V136" s="24">
        <f>SUM(N136,F136)</f>
        <v>18708.198716627696</v>
      </c>
      <c r="W136" s="25">
        <f t="shared" si="11"/>
        <v>47.29030489045349</v>
      </c>
      <c r="X136" s="24">
        <f>SUM(P136,H136)</f>
        <v>27834.545392256165</v>
      </c>
      <c r="Y136" s="25">
        <f t="shared" si="12"/>
        <v>99.99999999999999</v>
      </c>
      <c r="Z136" s="24">
        <f>SUM(R136,J136)</f>
        <v>19173.286711252953</v>
      </c>
      <c r="AA136" s="25">
        <f t="shared" si="13"/>
        <v>77.67439112148737</v>
      </c>
      <c r="AB136" s="24">
        <f>AVERAGE(V136,X136,Z136)</f>
        <v>21905.34360671227</v>
      </c>
    </row>
    <row r="137" spans="2:28" ht="12.75">
      <c r="B137" s="13" t="s">
        <v>140</v>
      </c>
      <c r="D137" s="13" t="s">
        <v>10</v>
      </c>
      <c r="E137" s="13">
        <v>100</v>
      </c>
      <c r="F137" s="24">
        <f aca="true" t="shared" si="19" ref="F137:H146">F117*F$113/1000000*1/60*454*1000000/(F$128*0.0283)*(21-7)/(21-F$129)</f>
        <v>88.1639411710706</v>
      </c>
      <c r="G137" s="13">
        <v>100</v>
      </c>
      <c r="H137" s="24">
        <f t="shared" si="19"/>
        <v>96.01769640959786</v>
      </c>
      <c r="I137" s="13">
        <v>100</v>
      </c>
      <c r="J137" s="24">
        <f t="shared" si="14"/>
        <v>93.41281657296142</v>
      </c>
      <c r="K137" s="16">
        <f>AVERAGE(E137*F137,G137*H137,I137*J137)/L137</f>
        <v>100.00000000000003</v>
      </c>
      <c r="L137" s="25">
        <f t="shared" si="15"/>
        <v>92.53148471787661</v>
      </c>
      <c r="M137" s="13">
        <v>100</v>
      </c>
      <c r="N137" s="24">
        <f t="shared" si="16"/>
        <v>64.46395698529894</v>
      </c>
      <c r="O137" s="13">
        <v>100</v>
      </c>
      <c r="P137" s="24">
        <f t="shared" si="17"/>
        <v>75.91142664861368</v>
      </c>
      <c r="Q137" s="13">
        <v>100</v>
      </c>
      <c r="R137" s="24">
        <f t="shared" si="18"/>
        <v>73.07133643128061</v>
      </c>
      <c r="S137" s="16">
        <f aca="true" t="shared" si="20" ref="S137:S146">AVERAGE(M137*N137,O137*P137,Q137*R137)/T137</f>
        <v>99.99999999999999</v>
      </c>
      <c r="T137" s="24">
        <f t="shared" si="9"/>
        <v>71.14890668839774</v>
      </c>
      <c r="U137" s="25">
        <f t="shared" si="10"/>
        <v>99.99999999999999</v>
      </c>
      <c r="V137" s="24">
        <f aca="true" t="shared" si="21" ref="V137:V146">SUM(N137,F137)</f>
        <v>152.62789815636955</v>
      </c>
      <c r="W137" s="25">
        <f t="shared" si="11"/>
        <v>100.00000000000001</v>
      </c>
      <c r="X137" s="24">
        <f aca="true" t="shared" si="22" ref="X137:X146">SUM(P137,H137)</f>
        <v>171.92912305821153</v>
      </c>
      <c r="Y137" s="25">
        <f t="shared" si="12"/>
        <v>100</v>
      </c>
      <c r="Z137" s="24">
        <f aca="true" t="shared" si="23" ref="Z137:Z146">SUM(R137,J137)</f>
        <v>166.48415300424205</v>
      </c>
      <c r="AA137" s="25">
        <f t="shared" si="13"/>
        <v>100</v>
      </c>
      <c r="AB137" s="24">
        <f>AVERAGE(V137,X137,Z137)</f>
        <v>163.68039140627437</v>
      </c>
    </row>
    <row r="138" spans="2:28" ht="12.75">
      <c r="B138" s="13" t="s">
        <v>138</v>
      </c>
      <c r="D138" s="13" t="s">
        <v>10</v>
      </c>
      <c r="E138" s="13">
        <v>100</v>
      </c>
      <c r="F138" s="24">
        <f t="shared" si="19"/>
        <v>88.1639411710706</v>
      </c>
      <c r="G138" s="13">
        <v>100</v>
      </c>
      <c r="H138" s="24">
        <f t="shared" si="19"/>
        <v>96.01769640959786</v>
      </c>
      <c r="I138" s="13">
        <v>100</v>
      </c>
      <c r="J138" s="24">
        <f t="shared" si="14"/>
        <v>93.41281657296142</v>
      </c>
      <c r="K138" s="16">
        <f aca="true" t="shared" si="24" ref="K138:K146">AVERAGE(E138*F138,G138*H138,I138*J138)/L138</f>
        <v>100.00000000000003</v>
      </c>
      <c r="L138" s="25">
        <f t="shared" si="15"/>
        <v>92.53148471787661</v>
      </c>
      <c r="M138" s="13">
        <v>100</v>
      </c>
      <c r="N138" s="24">
        <f t="shared" si="16"/>
        <v>64.46395698529894</v>
      </c>
      <c r="O138" s="13">
        <v>100</v>
      </c>
      <c r="P138" s="24">
        <f t="shared" si="17"/>
        <v>75.91142664861368</v>
      </c>
      <c r="Q138" s="13">
        <v>100</v>
      </c>
      <c r="R138" s="24">
        <f t="shared" si="18"/>
        <v>73.07133643128061</v>
      </c>
      <c r="S138" s="16">
        <f t="shared" si="20"/>
        <v>99.99999999999999</v>
      </c>
      <c r="T138" s="24">
        <f t="shared" si="9"/>
        <v>71.14890668839774</v>
      </c>
      <c r="U138" s="25">
        <f t="shared" si="10"/>
        <v>99.99999999999999</v>
      </c>
      <c r="V138" s="24">
        <f t="shared" si="21"/>
        <v>152.62789815636955</v>
      </c>
      <c r="W138" s="25">
        <f t="shared" si="11"/>
        <v>100.00000000000001</v>
      </c>
      <c r="X138" s="24">
        <f t="shared" si="22"/>
        <v>171.92912305821153</v>
      </c>
      <c r="Y138" s="25">
        <f t="shared" si="12"/>
        <v>100</v>
      </c>
      <c r="Z138" s="24">
        <f t="shared" si="23"/>
        <v>166.48415300424205</v>
      </c>
      <c r="AA138" s="25">
        <f t="shared" si="13"/>
        <v>100</v>
      </c>
      <c r="AB138" s="24">
        <f aca="true" t="shared" si="25" ref="AB138:AB143">AVERAGE(V138,X138,Z138)</f>
        <v>163.68039140627437</v>
      </c>
    </row>
    <row r="139" spans="2:28" ht="12.75">
      <c r="B139" s="13" t="s">
        <v>182</v>
      </c>
      <c r="D139" s="13" t="s">
        <v>10</v>
      </c>
      <c r="E139" s="13">
        <v>100</v>
      </c>
      <c r="F139" s="24">
        <f t="shared" si="19"/>
        <v>88.1639411710706</v>
      </c>
      <c r="G139" s="13">
        <v>100</v>
      </c>
      <c r="H139" s="24">
        <f t="shared" si="19"/>
        <v>96.01769640959786</v>
      </c>
      <c r="J139" s="24">
        <f t="shared" si="14"/>
        <v>560.4768994377685</v>
      </c>
      <c r="K139" s="16">
        <f t="shared" si="24"/>
        <v>24.733703895764023</v>
      </c>
      <c r="L139" s="25">
        <f t="shared" si="15"/>
        <v>248.21951233947894</v>
      </c>
      <c r="M139" s="13">
        <v>100</v>
      </c>
      <c r="N139" s="24">
        <f t="shared" si="16"/>
        <v>64.46395698529894</v>
      </c>
      <c r="P139" s="24">
        <f t="shared" si="17"/>
        <v>121.45828263778193</v>
      </c>
      <c r="R139" s="24">
        <f t="shared" si="18"/>
        <v>116.914138290049</v>
      </c>
      <c r="S139" s="16">
        <f t="shared" si="20"/>
        <v>21.286728308377384</v>
      </c>
      <c r="T139" s="24">
        <f t="shared" si="9"/>
        <v>100.94545930437663</v>
      </c>
      <c r="U139" s="25">
        <f t="shared" si="10"/>
        <v>99.99999999999999</v>
      </c>
      <c r="V139" s="24">
        <f t="shared" si="21"/>
        <v>152.62789815636955</v>
      </c>
      <c r="W139" s="25">
        <f t="shared" si="11"/>
        <v>44.15094339622642</v>
      </c>
      <c r="X139" s="24">
        <f t="shared" si="22"/>
        <v>217.47597904737978</v>
      </c>
      <c r="Y139" s="25">
        <f t="shared" si="12"/>
        <v>0</v>
      </c>
      <c r="Z139" s="24">
        <f t="shared" si="23"/>
        <v>677.3910377278174</v>
      </c>
      <c r="AA139" s="25">
        <f t="shared" si="13"/>
        <v>23.737164832175967</v>
      </c>
      <c r="AB139" s="24">
        <f t="shared" si="25"/>
        <v>349.16497164385555</v>
      </c>
    </row>
    <row r="140" spans="2:28" ht="12.75">
      <c r="B140" s="13" t="s">
        <v>139</v>
      </c>
      <c r="D140" s="13" t="s">
        <v>10</v>
      </c>
      <c r="E140" s="13">
        <v>100</v>
      </c>
      <c r="F140" s="24">
        <f t="shared" si="19"/>
        <v>88.1639411710706</v>
      </c>
      <c r="G140" s="13">
        <v>100</v>
      </c>
      <c r="H140" s="24">
        <f t="shared" si="19"/>
        <v>96.01769640959786</v>
      </c>
      <c r="I140" s="13">
        <v>100</v>
      </c>
      <c r="J140" s="24">
        <f t="shared" si="14"/>
        <v>93.41281657296142</v>
      </c>
      <c r="K140" s="16">
        <f t="shared" si="24"/>
        <v>100.00000000000003</v>
      </c>
      <c r="L140" s="25">
        <f t="shared" si="15"/>
        <v>92.53148471787661</v>
      </c>
      <c r="M140" s="13">
        <v>100</v>
      </c>
      <c r="N140" s="24">
        <f t="shared" si="16"/>
        <v>64.46395698529894</v>
      </c>
      <c r="O140" s="13">
        <v>100</v>
      </c>
      <c r="P140" s="24">
        <f t="shared" si="17"/>
        <v>75.91142664861368</v>
      </c>
      <c r="Q140" s="13">
        <v>100</v>
      </c>
      <c r="R140" s="24">
        <f t="shared" si="18"/>
        <v>73.07133643128061</v>
      </c>
      <c r="S140" s="16">
        <f t="shared" si="20"/>
        <v>99.99999999999999</v>
      </c>
      <c r="T140" s="24">
        <f t="shared" si="9"/>
        <v>71.14890668839774</v>
      </c>
      <c r="U140" s="25">
        <f t="shared" si="10"/>
        <v>99.99999999999999</v>
      </c>
      <c r="V140" s="24">
        <f t="shared" si="21"/>
        <v>152.62789815636955</v>
      </c>
      <c r="W140" s="25">
        <f t="shared" si="11"/>
        <v>100.00000000000001</v>
      </c>
      <c r="X140" s="24">
        <f t="shared" si="22"/>
        <v>171.92912305821153</v>
      </c>
      <c r="Y140" s="25">
        <f t="shared" si="12"/>
        <v>100</v>
      </c>
      <c r="Z140" s="24">
        <f t="shared" si="23"/>
        <v>166.48415300424205</v>
      </c>
      <c r="AA140" s="25">
        <f t="shared" si="13"/>
        <v>100</v>
      </c>
      <c r="AB140" s="24">
        <f t="shared" si="25"/>
        <v>163.68039140627437</v>
      </c>
    </row>
    <row r="141" spans="2:28" ht="12.75">
      <c r="B141" s="13" t="s">
        <v>143</v>
      </c>
      <c r="D141" s="13" t="s">
        <v>10</v>
      </c>
      <c r="E141" s="13">
        <v>100</v>
      </c>
      <c r="F141" s="24">
        <f t="shared" si="19"/>
        <v>88.1639411710706</v>
      </c>
      <c r="G141" s="13">
        <v>100</v>
      </c>
      <c r="H141" s="24">
        <f t="shared" si="19"/>
        <v>96.01769640959786</v>
      </c>
      <c r="I141" s="13">
        <v>100</v>
      </c>
      <c r="J141" s="24">
        <f t="shared" si="14"/>
        <v>93.41281657296142</v>
      </c>
      <c r="K141" s="16">
        <f t="shared" si="24"/>
        <v>100.00000000000003</v>
      </c>
      <c r="L141" s="25">
        <f t="shared" si="15"/>
        <v>92.53148471787661</v>
      </c>
      <c r="M141" s="13">
        <v>100</v>
      </c>
      <c r="N141" s="24">
        <f t="shared" si="16"/>
        <v>64.46395698529894</v>
      </c>
      <c r="O141" s="13">
        <v>100</v>
      </c>
      <c r="P141" s="24">
        <f t="shared" si="17"/>
        <v>75.91142664861368</v>
      </c>
      <c r="Q141" s="13">
        <v>100</v>
      </c>
      <c r="R141" s="24">
        <f t="shared" si="18"/>
        <v>73.07133643128061</v>
      </c>
      <c r="S141" s="16">
        <f t="shared" si="20"/>
        <v>99.99999999999999</v>
      </c>
      <c r="T141" s="24">
        <f t="shared" si="9"/>
        <v>71.14890668839774</v>
      </c>
      <c r="U141" s="25">
        <f t="shared" si="10"/>
        <v>99.99999999999999</v>
      </c>
      <c r="V141" s="24">
        <f t="shared" si="21"/>
        <v>152.62789815636955</v>
      </c>
      <c r="W141" s="25">
        <f t="shared" si="11"/>
        <v>100.00000000000001</v>
      </c>
      <c r="X141" s="24">
        <f t="shared" si="22"/>
        <v>171.92912305821153</v>
      </c>
      <c r="Y141" s="25">
        <f t="shared" si="12"/>
        <v>100</v>
      </c>
      <c r="Z141" s="24">
        <f t="shared" si="23"/>
        <v>166.48415300424205</v>
      </c>
      <c r="AA141" s="25">
        <f t="shared" si="13"/>
        <v>100</v>
      </c>
      <c r="AB141" s="24">
        <f t="shared" si="25"/>
        <v>163.68039140627437</v>
      </c>
    </row>
    <row r="142" spans="2:28" ht="12.75">
      <c r="B142" s="13" t="s">
        <v>144</v>
      </c>
      <c r="D142" s="13" t="s">
        <v>10</v>
      </c>
      <c r="E142" s="13">
        <v>100</v>
      </c>
      <c r="F142" s="24">
        <f t="shared" si="19"/>
        <v>88.1639411710706</v>
      </c>
      <c r="G142" s="13">
        <v>100</v>
      </c>
      <c r="H142" s="24">
        <f t="shared" si="19"/>
        <v>96.01769640959786</v>
      </c>
      <c r="I142" s="13">
        <v>100</v>
      </c>
      <c r="J142" s="24">
        <f t="shared" si="14"/>
        <v>93.41281657296142</v>
      </c>
      <c r="K142" s="16">
        <f t="shared" si="24"/>
        <v>100.00000000000003</v>
      </c>
      <c r="L142" s="25">
        <f t="shared" si="15"/>
        <v>92.53148471787661</v>
      </c>
      <c r="M142" s="13">
        <v>100</v>
      </c>
      <c r="N142" s="24">
        <f t="shared" si="16"/>
        <v>64.46395698529894</v>
      </c>
      <c r="O142" s="13">
        <v>100</v>
      </c>
      <c r="P142" s="24">
        <f t="shared" si="17"/>
        <v>75.91142664861368</v>
      </c>
      <c r="Q142" s="13">
        <v>100</v>
      </c>
      <c r="R142" s="24">
        <f t="shared" si="18"/>
        <v>73.07133643128061</v>
      </c>
      <c r="S142" s="16">
        <f t="shared" si="20"/>
        <v>99.99999999999999</v>
      </c>
      <c r="T142" s="24">
        <f t="shared" si="9"/>
        <v>71.14890668839774</v>
      </c>
      <c r="U142" s="25">
        <f t="shared" si="10"/>
        <v>99.99999999999999</v>
      </c>
      <c r="V142" s="24">
        <f t="shared" si="21"/>
        <v>152.62789815636955</v>
      </c>
      <c r="W142" s="25">
        <f t="shared" si="11"/>
        <v>100.00000000000001</v>
      </c>
      <c r="X142" s="24">
        <f t="shared" si="22"/>
        <v>171.92912305821153</v>
      </c>
      <c r="Y142" s="25">
        <f t="shared" si="12"/>
        <v>100</v>
      </c>
      <c r="Z142" s="24">
        <f t="shared" si="23"/>
        <v>166.48415300424205</v>
      </c>
      <c r="AA142" s="25">
        <f t="shared" si="13"/>
        <v>100</v>
      </c>
      <c r="AB142" s="24">
        <f t="shared" si="25"/>
        <v>163.68039140627437</v>
      </c>
    </row>
    <row r="143" spans="2:28" ht="12.75">
      <c r="B143" s="13" t="s">
        <v>141</v>
      </c>
      <c r="D143" s="13" t="s">
        <v>10</v>
      </c>
      <c r="E143" s="13">
        <v>100</v>
      </c>
      <c r="F143" s="24">
        <f t="shared" si="19"/>
        <v>88.1639411710706</v>
      </c>
      <c r="G143" s="13">
        <v>100</v>
      </c>
      <c r="H143" s="24">
        <f t="shared" si="19"/>
        <v>96.01769640959786</v>
      </c>
      <c r="I143" s="13">
        <v>100</v>
      </c>
      <c r="J143" s="24">
        <f t="shared" si="14"/>
        <v>93.41281657296142</v>
      </c>
      <c r="K143" s="16">
        <f t="shared" si="24"/>
        <v>100.00000000000003</v>
      </c>
      <c r="L143" s="25">
        <f t="shared" si="15"/>
        <v>92.53148471787661</v>
      </c>
      <c r="M143" s="13">
        <v>100</v>
      </c>
      <c r="N143" s="24">
        <f t="shared" si="16"/>
        <v>64.46395698529894</v>
      </c>
      <c r="O143" s="13">
        <v>100</v>
      </c>
      <c r="P143" s="24">
        <f t="shared" si="17"/>
        <v>75.91142664861368</v>
      </c>
      <c r="Q143" s="13">
        <v>100</v>
      </c>
      <c r="R143" s="24">
        <f t="shared" si="18"/>
        <v>73.07133643128061</v>
      </c>
      <c r="S143" s="16">
        <f t="shared" si="20"/>
        <v>99.99999999999999</v>
      </c>
      <c r="T143" s="24">
        <f t="shared" si="9"/>
        <v>71.14890668839774</v>
      </c>
      <c r="U143" s="25">
        <f t="shared" si="10"/>
        <v>99.99999999999999</v>
      </c>
      <c r="V143" s="24">
        <f t="shared" si="21"/>
        <v>152.62789815636955</v>
      </c>
      <c r="W143" s="25">
        <f t="shared" si="11"/>
        <v>100.00000000000001</v>
      </c>
      <c r="X143" s="24">
        <f t="shared" si="22"/>
        <v>171.92912305821153</v>
      </c>
      <c r="Y143" s="25">
        <f t="shared" si="12"/>
        <v>100</v>
      </c>
      <c r="Z143" s="24">
        <f t="shared" si="23"/>
        <v>166.48415300424205</v>
      </c>
      <c r="AA143" s="25">
        <f t="shared" si="13"/>
        <v>100</v>
      </c>
      <c r="AB143" s="24">
        <f t="shared" si="25"/>
        <v>163.68039140627437</v>
      </c>
    </row>
    <row r="144" spans="2:28" ht="12.75">
      <c r="B144" s="13" t="s">
        <v>148</v>
      </c>
      <c r="D144" s="13" t="s">
        <v>10</v>
      </c>
      <c r="E144" s="13">
        <v>100</v>
      </c>
      <c r="F144" s="24">
        <f t="shared" si="19"/>
        <v>17.280132469529836</v>
      </c>
      <c r="G144" s="13">
        <v>100</v>
      </c>
      <c r="H144" s="24">
        <f t="shared" si="19"/>
        <v>14.78672524707807</v>
      </c>
      <c r="I144" s="13">
        <v>100</v>
      </c>
      <c r="J144" s="24">
        <f t="shared" si="14"/>
        <v>15.132876284819751</v>
      </c>
      <c r="K144" s="16">
        <f t="shared" si="24"/>
        <v>100.00000000000001</v>
      </c>
      <c r="L144" s="25">
        <f t="shared" si="15"/>
        <v>15.733244667142552</v>
      </c>
      <c r="M144" s="13">
        <v>100</v>
      </c>
      <c r="N144" s="24">
        <f t="shared" si="16"/>
        <v>7.477819010294673</v>
      </c>
      <c r="O144" s="13">
        <v>100</v>
      </c>
      <c r="P144" s="24">
        <f t="shared" si="17"/>
        <v>10.931245437400369</v>
      </c>
      <c r="Q144" s="13">
        <v>100</v>
      </c>
      <c r="R144" s="24">
        <f t="shared" si="18"/>
        <v>10.376129773241844</v>
      </c>
      <c r="S144" s="16">
        <f t="shared" si="20"/>
        <v>99.99999999999999</v>
      </c>
      <c r="T144" s="24">
        <f t="shared" si="9"/>
        <v>9.595064740312296</v>
      </c>
      <c r="U144" s="25">
        <f t="shared" si="10"/>
        <v>99.99999999999999</v>
      </c>
      <c r="V144" s="24">
        <f t="shared" si="21"/>
        <v>24.75795147982451</v>
      </c>
      <c r="W144" s="25">
        <f t="shared" si="11"/>
        <v>100.00000000000001</v>
      </c>
      <c r="X144" s="24">
        <f t="shared" si="22"/>
        <v>25.717970684478438</v>
      </c>
      <c r="Y144" s="25">
        <f t="shared" si="12"/>
        <v>100</v>
      </c>
      <c r="Z144" s="24">
        <f t="shared" si="23"/>
        <v>25.509006058061594</v>
      </c>
      <c r="AA144" s="25">
        <f t="shared" si="13"/>
        <v>100</v>
      </c>
      <c r="AB144" s="24">
        <f>AVERAGE(V144,X144,Z144)</f>
        <v>25.32830940745485</v>
      </c>
    </row>
    <row r="145" spans="2:28" ht="12.75">
      <c r="B145" s="13" t="s">
        <v>176</v>
      </c>
      <c r="D145" s="13" t="s">
        <v>10</v>
      </c>
      <c r="E145" s="13">
        <v>100</v>
      </c>
      <c r="F145" s="24">
        <f t="shared" si="19"/>
        <v>88.1639411710706</v>
      </c>
      <c r="G145" s="13">
        <v>100</v>
      </c>
      <c r="H145" s="24">
        <f t="shared" si="19"/>
        <v>96.01769640959786</v>
      </c>
      <c r="I145" s="13">
        <v>100</v>
      </c>
      <c r="J145" s="24">
        <f t="shared" si="14"/>
        <v>93.41281657296142</v>
      </c>
      <c r="K145" s="16">
        <f t="shared" si="24"/>
        <v>100.00000000000003</v>
      </c>
      <c r="L145" s="25">
        <f t="shared" si="15"/>
        <v>92.53148471787661</v>
      </c>
      <c r="M145" s="13">
        <v>100</v>
      </c>
      <c r="N145" s="24">
        <f t="shared" si="16"/>
        <v>64.46395698529894</v>
      </c>
      <c r="O145" s="13">
        <v>100</v>
      </c>
      <c r="P145" s="24">
        <f t="shared" si="17"/>
        <v>75.91142664861368</v>
      </c>
      <c r="Q145" s="13">
        <v>100</v>
      </c>
      <c r="R145" s="24">
        <f t="shared" si="18"/>
        <v>73.07133643128061</v>
      </c>
      <c r="S145" s="16">
        <f t="shared" si="20"/>
        <v>99.99999999999999</v>
      </c>
      <c r="T145" s="24">
        <f t="shared" si="9"/>
        <v>71.14890668839774</v>
      </c>
      <c r="U145" s="25">
        <f t="shared" si="10"/>
        <v>99.99999999999999</v>
      </c>
      <c r="V145" s="24">
        <f t="shared" si="21"/>
        <v>152.62789815636955</v>
      </c>
      <c r="W145" s="25">
        <f t="shared" si="11"/>
        <v>100.00000000000001</v>
      </c>
      <c r="X145" s="24">
        <f t="shared" si="22"/>
        <v>171.92912305821153</v>
      </c>
      <c r="Y145" s="25">
        <f t="shared" si="12"/>
        <v>100</v>
      </c>
      <c r="Z145" s="24">
        <f t="shared" si="23"/>
        <v>166.48415300424205</v>
      </c>
      <c r="AA145" s="25">
        <f t="shared" si="13"/>
        <v>100</v>
      </c>
      <c r="AB145" s="24">
        <f>AVERAGE(V145,X145,Z145)</f>
        <v>163.68039140627437</v>
      </c>
    </row>
    <row r="146" spans="2:28" ht="12.75">
      <c r="B146" s="13" t="s">
        <v>175</v>
      </c>
      <c r="D146" s="13" t="s">
        <v>10</v>
      </c>
      <c r="E146" s="13">
        <v>100</v>
      </c>
      <c r="F146" s="24">
        <f t="shared" si="19"/>
        <v>176.3278823421412</v>
      </c>
      <c r="G146" s="13">
        <v>100</v>
      </c>
      <c r="H146" s="24">
        <f t="shared" si="19"/>
        <v>192.03539281919572</v>
      </c>
      <c r="I146" s="13">
        <v>100</v>
      </c>
      <c r="J146" s="24">
        <f t="shared" si="14"/>
        <v>186.82563314592284</v>
      </c>
      <c r="K146" s="16">
        <f t="shared" si="24"/>
        <v>100.00000000000003</v>
      </c>
      <c r="L146" s="25">
        <f t="shared" si="15"/>
        <v>185.06296943575322</v>
      </c>
      <c r="M146" s="13">
        <v>100</v>
      </c>
      <c r="N146" s="24">
        <f t="shared" si="16"/>
        <v>128.92791397059787</v>
      </c>
      <c r="O146" s="13">
        <v>100</v>
      </c>
      <c r="P146" s="24">
        <f t="shared" si="17"/>
        <v>151.82285329722737</v>
      </c>
      <c r="Q146" s="13">
        <v>100</v>
      </c>
      <c r="R146" s="24">
        <f t="shared" si="18"/>
        <v>146.14267286256123</v>
      </c>
      <c r="S146" s="16">
        <f t="shared" si="20"/>
        <v>99.99999999999999</v>
      </c>
      <c r="T146" s="24">
        <f t="shared" si="9"/>
        <v>142.2978133767955</v>
      </c>
      <c r="U146" s="25">
        <f t="shared" si="10"/>
        <v>99.99999999999999</v>
      </c>
      <c r="V146" s="24">
        <f t="shared" si="21"/>
        <v>305.2557963127391</v>
      </c>
      <c r="W146" s="25">
        <f t="shared" si="11"/>
        <v>100.00000000000001</v>
      </c>
      <c r="X146" s="24">
        <f t="shared" si="22"/>
        <v>343.85824611642306</v>
      </c>
      <c r="Y146" s="25">
        <f t="shared" si="12"/>
        <v>100</v>
      </c>
      <c r="Z146" s="24">
        <f t="shared" si="23"/>
        <v>332.9683060084841</v>
      </c>
      <c r="AA146" s="25">
        <f t="shared" si="13"/>
        <v>100</v>
      </c>
      <c r="AB146" s="24">
        <f>AVERAGE(V146,X146,Z146)</f>
        <v>327.36078281254873</v>
      </c>
    </row>
    <row r="147" spans="6:28" ht="12.75">
      <c r="F147" s="24"/>
      <c r="H147" s="24"/>
      <c r="J147" s="24"/>
      <c r="L147" s="25"/>
      <c r="N147" s="24"/>
      <c r="P147" s="24"/>
      <c r="R147" s="24"/>
      <c r="S147" s="16"/>
      <c r="T147" s="24"/>
      <c r="V147" s="24"/>
      <c r="X147" s="24"/>
      <c r="Z147" s="24"/>
      <c r="AB147" s="24"/>
    </row>
    <row r="148" spans="2:29" ht="12.75">
      <c r="B148" s="13" t="s">
        <v>3</v>
      </c>
      <c r="D148" s="13" t="s">
        <v>10</v>
      </c>
      <c r="E148" s="13">
        <v>100</v>
      </c>
      <c r="F148" s="24">
        <f>F141/2+F143/2</f>
        <v>88.1639411710706</v>
      </c>
      <c r="G148" s="13">
        <v>100</v>
      </c>
      <c r="H148" s="24">
        <f>H141/2+H143/2</f>
        <v>96.01769640959786</v>
      </c>
      <c r="I148" s="13">
        <v>100</v>
      </c>
      <c r="J148" s="24">
        <f>J141/2+J143/2</f>
        <v>93.41281657296142</v>
      </c>
      <c r="K148" s="13">
        <v>100</v>
      </c>
      <c r="L148" s="25">
        <f t="shared" si="15"/>
        <v>92.53148471787661</v>
      </c>
      <c r="M148" s="13">
        <v>100</v>
      </c>
      <c r="N148" s="24">
        <f>N141/2+N143/2</f>
        <v>64.46395698529894</v>
      </c>
      <c r="O148" s="13">
        <v>100</v>
      </c>
      <c r="P148" s="24">
        <f>P141/2+P143/2</f>
        <v>75.91142664861368</v>
      </c>
      <c r="Q148" s="13">
        <v>100</v>
      </c>
      <c r="R148" s="24">
        <f>R141/2+R143/2</f>
        <v>73.07133643128061</v>
      </c>
      <c r="S148" s="13">
        <v>100</v>
      </c>
      <c r="T148" s="24">
        <f>AVERAGE(N148,P148,R148)</f>
        <v>71.14890668839774</v>
      </c>
      <c r="U148" s="13">
        <v>100</v>
      </c>
      <c r="V148" s="24">
        <f>SUM(N148,F148)</f>
        <v>152.62789815636955</v>
      </c>
      <c r="W148" s="13">
        <v>100</v>
      </c>
      <c r="X148" s="24">
        <f>SUM(P148,H148)</f>
        <v>171.92912305821153</v>
      </c>
      <c r="Y148" s="13">
        <v>100</v>
      </c>
      <c r="Z148" s="24">
        <f>SUM(R148,J148)</f>
        <v>166.48415300424205</v>
      </c>
      <c r="AA148" s="13">
        <v>100</v>
      </c>
      <c r="AB148" s="24">
        <f>AVERAGE(V148,X148,Z148)</f>
        <v>163.68039140627437</v>
      </c>
      <c r="AC148" s="13">
        <v>100</v>
      </c>
    </row>
    <row r="149" spans="2:29" ht="12.75">
      <c r="B149" s="13" t="s">
        <v>4</v>
      </c>
      <c r="D149" s="13" t="s">
        <v>10</v>
      </c>
      <c r="E149" s="13">
        <v>100</v>
      </c>
      <c r="F149" s="24">
        <f>F139/2+F140/2+F142/2</f>
        <v>132.2459117566059</v>
      </c>
      <c r="G149" s="13">
        <v>100</v>
      </c>
      <c r="H149" s="24">
        <f>H139/2+H140/2+H142/2</f>
        <v>144.02654461439678</v>
      </c>
      <c r="I149" s="13">
        <v>100</v>
      </c>
      <c r="J149" s="24">
        <f>J139/2+J140/2+J142/2</f>
        <v>373.6512662918457</v>
      </c>
      <c r="K149" s="13">
        <v>100</v>
      </c>
      <c r="L149" s="25">
        <f t="shared" si="15"/>
        <v>216.64124088761614</v>
      </c>
      <c r="M149" s="13">
        <v>100</v>
      </c>
      <c r="N149" s="24">
        <f>N139/2+N140/2+N142/2</f>
        <v>96.69593547794841</v>
      </c>
      <c r="O149" s="13">
        <v>100</v>
      </c>
      <c r="P149" s="24">
        <f>P139/2+P140/2+P142/2</f>
        <v>136.64056796750464</v>
      </c>
      <c r="Q149" s="13">
        <v>100</v>
      </c>
      <c r="R149" s="24">
        <f>R139/2+R140/2+R142/2</f>
        <v>131.52840557630512</v>
      </c>
      <c r="S149" s="13">
        <v>100</v>
      </c>
      <c r="T149" s="24">
        <f>AVERAGE(N149,P149,R149)</f>
        <v>121.62163634058606</v>
      </c>
      <c r="U149" s="13">
        <v>100</v>
      </c>
      <c r="V149" s="24">
        <f>SUM(N149,F149)</f>
        <v>228.9418472345543</v>
      </c>
      <c r="W149" s="13">
        <v>100</v>
      </c>
      <c r="X149" s="24">
        <f>SUM(P149,H149)</f>
        <v>280.6671125819014</v>
      </c>
      <c r="Y149" s="13">
        <v>100</v>
      </c>
      <c r="Z149" s="24">
        <f>SUM(R149,J149)</f>
        <v>505.17967186815076</v>
      </c>
      <c r="AA149" s="13">
        <v>100</v>
      </c>
      <c r="AB149" s="24">
        <f>AVERAGE(V149,X149,Z149)</f>
        <v>338.26287722820217</v>
      </c>
      <c r="AC149" s="13">
        <v>100</v>
      </c>
    </row>
    <row r="153" spans="2:20" ht="12.75">
      <c r="B153" s="12" t="s">
        <v>165</v>
      </c>
      <c r="L153" s="13" t="s">
        <v>41</v>
      </c>
      <c r="T153" s="13" t="s">
        <v>41</v>
      </c>
    </row>
    <row r="154" ht="12.75">
      <c r="B154" s="12"/>
    </row>
    <row r="155" spans="2:20" ht="12.75">
      <c r="B155" s="13" t="s">
        <v>207</v>
      </c>
      <c r="L155" s="13" t="s">
        <v>209</v>
      </c>
      <c r="T155" s="13" t="s">
        <v>212</v>
      </c>
    </row>
    <row r="156" spans="2:20" ht="12.75">
      <c r="B156" s="13" t="s">
        <v>208</v>
      </c>
      <c r="L156" s="13" t="s">
        <v>210</v>
      </c>
      <c r="T156" s="13" t="s">
        <v>211</v>
      </c>
    </row>
    <row r="157" spans="2:20" ht="12.75">
      <c r="B157" s="13" t="s">
        <v>217</v>
      </c>
      <c r="L157" s="13" t="s">
        <v>1</v>
      </c>
      <c r="T157" s="13" t="s">
        <v>218</v>
      </c>
    </row>
    <row r="158" spans="2:20" ht="38.25">
      <c r="B158" s="53" t="s">
        <v>150</v>
      </c>
      <c r="L158" s="48" t="s">
        <v>181</v>
      </c>
      <c r="T158" s="44" t="s">
        <v>214</v>
      </c>
    </row>
    <row r="159" spans="2:20" ht="12.75">
      <c r="B159" s="13" t="s">
        <v>149</v>
      </c>
      <c r="D159" s="13" t="s">
        <v>183</v>
      </c>
      <c r="L159" s="13">
        <v>2333</v>
      </c>
      <c r="T159" s="13">
        <v>3027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2" sqref="B2"/>
    </sheetView>
  </sheetViews>
  <sheetFormatPr defaultColWidth="9.140625" defaultRowHeight="12.75"/>
  <cols>
    <col min="1" max="1" width="12.57421875" style="1" customWidth="1"/>
    <col min="2" max="2" width="71.7109375" style="1" customWidth="1"/>
    <col min="3" max="3" width="8.140625" style="1" customWidth="1"/>
    <col min="4" max="4" width="7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7" t="s">
        <v>58</v>
      </c>
    </row>
    <row r="3" spans="1:2" ht="12.75">
      <c r="A3" s="1" t="s">
        <v>45</v>
      </c>
      <c r="B3" s="1" t="s">
        <v>40</v>
      </c>
    </row>
    <row r="5" spans="1:6" ht="12.75">
      <c r="A5" s="1" t="s">
        <v>169</v>
      </c>
      <c r="B5" s="1" t="s">
        <v>166</v>
      </c>
      <c r="C5" s="2"/>
      <c r="D5" s="2"/>
      <c r="E5" s="2"/>
      <c r="F5" s="2"/>
    </row>
    <row r="6" spans="3:6" ht="12.75">
      <c r="C6" s="2"/>
      <c r="D6" s="2"/>
      <c r="E6" s="2"/>
      <c r="F6" s="2"/>
    </row>
    <row r="7" ht="12.75">
      <c r="B7" s="1" t="s">
        <v>168</v>
      </c>
    </row>
    <row r="8" ht="12.75">
      <c r="B8" s="1" t="s">
        <v>167</v>
      </c>
    </row>
    <row r="9" ht="12.75">
      <c r="B9" s="1" t="s">
        <v>234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6">
      <selection activeCell="B2" sqref="B2"/>
    </sheetView>
  </sheetViews>
  <sheetFormatPr defaultColWidth="9.140625" defaultRowHeight="12.75"/>
  <cols>
    <col min="1" max="1" width="2.00390625" style="13" customWidth="1"/>
    <col min="2" max="2" width="25.8515625" style="13" customWidth="1"/>
    <col min="3" max="3" width="7.28125" style="13" customWidth="1"/>
    <col min="4" max="4" width="4.421875" style="13" customWidth="1"/>
    <col min="5" max="5" width="7.421875" style="14" customWidth="1"/>
    <col min="6" max="6" width="8.140625" style="15" customWidth="1"/>
    <col min="7" max="7" width="7.8515625" style="14" customWidth="1"/>
    <col min="8" max="8" width="8.140625" style="15" customWidth="1"/>
    <col min="9" max="9" width="4.421875" style="14" customWidth="1"/>
    <col min="10" max="10" width="7.421875" style="14" customWidth="1"/>
    <col min="11" max="11" width="8.7109375" style="14" customWidth="1"/>
    <col min="12" max="12" width="7.8515625" style="14" customWidth="1"/>
    <col min="13" max="13" width="8.7109375" style="14" customWidth="1"/>
    <col min="14" max="14" width="5.00390625" style="14" customWidth="1"/>
    <col min="15" max="15" width="7.140625" style="14" customWidth="1"/>
    <col min="16" max="16" width="8.8515625" style="14" customWidth="1"/>
    <col min="17" max="17" width="8.7109375" style="14" customWidth="1"/>
    <col min="18" max="18" width="8.8515625" style="14" customWidth="1"/>
    <col min="19" max="19" width="7.7109375" style="13" customWidth="1"/>
    <col min="20" max="20" width="7.8515625" style="13" customWidth="1"/>
    <col min="21" max="21" width="7.7109375" style="13" customWidth="1"/>
    <col min="22" max="22" width="7.00390625" style="13" customWidth="1"/>
    <col min="23" max="23" width="7.421875" style="13" customWidth="1"/>
    <col min="24" max="16384" width="10.8515625" style="13" customWidth="1"/>
  </cols>
  <sheetData>
    <row r="1" ht="12.75">
      <c r="A1" s="12" t="s">
        <v>99</v>
      </c>
    </row>
    <row r="2" ht="12.75">
      <c r="A2" s="13" t="s">
        <v>232</v>
      </c>
    </row>
    <row r="3" spans="1:3" ht="12.75">
      <c r="A3" s="13" t="s">
        <v>224</v>
      </c>
      <c r="C3" s="50" t="s">
        <v>225</v>
      </c>
    </row>
    <row r="4" spans="1:18" ht="12.75">
      <c r="A4" s="13" t="s">
        <v>231</v>
      </c>
      <c r="C4" s="50" t="s">
        <v>102</v>
      </c>
      <c r="D4" s="16"/>
      <c r="E4" s="17"/>
      <c r="F4" s="18"/>
      <c r="G4" s="17"/>
      <c r="H4" s="18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4" ht="12.75">
      <c r="A5" s="13" t="s">
        <v>226</v>
      </c>
      <c r="C5" s="50" t="s">
        <v>227</v>
      </c>
      <c r="D5" s="16"/>
    </row>
    <row r="6" spans="3:17" ht="12.75">
      <c r="C6" s="16"/>
      <c r="D6" s="16"/>
      <c r="E6" s="19"/>
      <c r="G6" s="19"/>
      <c r="J6" s="19"/>
      <c r="L6" s="19"/>
      <c r="O6" s="19"/>
      <c r="Q6" s="19"/>
    </row>
    <row r="7" spans="3:18" ht="12.75">
      <c r="C7" s="16" t="s">
        <v>59</v>
      </c>
      <c r="D7" s="16"/>
      <c r="E7" s="20" t="s">
        <v>60</v>
      </c>
      <c r="F7" s="20"/>
      <c r="G7" s="20"/>
      <c r="H7" s="20"/>
      <c r="I7" s="21"/>
      <c r="J7" s="20" t="s">
        <v>61</v>
      </c>
      <c r="K7" s="20"/>
      <c r="L7" s="20"/>
      <c r="M7" s="20"/>
      <c r="N7" s="21"/>
      <c r="O7" s="20" t="s">
        <v>62</v>
      </c>
      <c r="P7" s="20"/>
      <c r="Q7" s="20"/>
      <c r="R7" s="20"/>
    </row>
    <row r="8" spans="3:18" ht="12.75">
      <c r="C8" s="16" t="s">
        <v>63</v>
      </c>
      <c r="E8" s="19" t="s">
        <v>64</v>
      </c>
      <c r="F8" s="18" t="s">
        <v>65</v>
      </c>
      <c r="G8" s="19" t="s">
        <v>64</v>
      </c>
      <c r="H8" s="18" t="s">
        <v>65</v>
      </c>
      <c r="J8" s="19" t="s">
        <v>64</v>
      </c>
      <c r="K8" s="19" t="s">
        <v>66</v>
      </c>
      <c r="L8" s="19" t="s">
        <v>64</v>
      </c>
      <c r="M8" s="19" t="s">
        <v>66</v>
      </c>
      <c r="O8" s="19" t="s">
        <v>64</v>
      </c>
      <c r="P8" s="19" t="s">
        <v>66</v>
      </c>
      <c r="Q8" s="19" t="s">
        <v>64</v>
      </c>
      <c r="R8" s="19" t="s">
        <v>66</v>
      </c>
    </row>
    <row r="9" spans="3:18" ht="12.75">
      <c r="C9" s="16"/>
      <c r="E9" s="19" t="s">
        <v>223</v>
      </c>
      <c r="F9" s="19" t="s">
        <v>223</v>
      </c>
      <c r="G9" s="19" t="s">
        <v>98</v>
      </c>
      <c r="H9" s="18" t="s">
        <v>98</v>
      </c>
      <c r="J9" s="19" t="s">
        <v>223</v>
      </c>
      <c r="K9" s="19" t="s">
        <v>223</v>
      </c>
      <c r="L9" s="19" t="s">
        <v>98</v>
      </c>
      <c r="M9" s="18" t="s">
        <v>98</v>
      </c>
      <c r="O9" s="19" t="s">
        <v>223</v>
      </c>
      <c r="P9" s="19" t="s">
        <v>223</v>
      </c>
      <c r="Q9" s="19" t="s">
        <v>98</v>
      </c>
      <c r="R9" s="15" t="s">
        <v>98</v>
      </c>
    </row>
    <row r="10" ht="13.5" customHeight="1">
      <c r="A10" s="13" t="s">
        <v>67</v>
      </c>
    </row>
    <row r="11" spans="2:18" ht="12.75">
      <c r="B11" s="13" t="s">
        <v>68</v>
      </c>
      <c r="C11" s="16">
        <v>1</v>
      </c>
      <c r="D11" s="16" t="s">
        <v>55</v>
      </c>
      <c r="E11" s="15">
        <v>0.001</v>
      </c>
      <c r="F11" s="15">
        <f aca="true" t="shared" si="0" ref="F11:H35">IF(E11="","",E11*$C11)</f>
        <v>0.001</v>
      </c>
      <c r="G11" s="15">
        <f>IF(E11=0,"",IF(D11="nd",E11/2,E11))</f>
        <v>0.0005</v>
      </c>
      <c r="H11" s="15">
        <f t="shared" si="0"/>
        <v>0.0005</v>
      </c>
      <c r="I11" s="15" t="s">
        <v>55</v>
      </c>
      <c r="J11" s="15">
        <v>0.006</v>
      </c>
      <c r="K11" s="15">
        <f aca="true" t="shared" si="1" ref="K11:M35">IF(J11="","",J11*$C11)</f>
        <v>0.006</v>
      </c>
      <c r="L11" s="15">
        <f>IF(J11=0,"",IF(I11="nd",J11/2,J11))</f>
        <v>0.003</v>
      </c>
      <c r="M11" s="15">
        <f t="shared" si="1"/>
        <v>0.003</v>
      </c>
      <c r="N11" s="15" t="s">
        <v>55</v>
      </c>
      <c r="O11" s="23">
        <v>0.002</v>
      </c>
      <c r="P11" s="15">
        <f aca="true" t="shared" si="2" ref="P11:R35">IF(O11="","",O11*$C11)</f>
        <v>0.002</v>
      </c>
      <c r="Q11" s="23">
        <f>IF(O11=0,"",IF(N11="nd",O11/2,O11))</f>
        <v>0.001</v>
      </c>
      <c r="R11" s="15">
        <f t="shared" si="2"/>
        <v>0.001</v>
      </c>
    </row>
    <row r="12" spans="2:18" ht="12.75">
      <c r="B12" s="13" t="s">
        <v>69</v>
      </c>
      <c r="C12" s="16">
        <v>0</v>
      </c>
      <c r="D12" s="16"/>
      <c r="E12" s="15">
        <v>0.05</v>
      </c>
      <c r="F12" s="15">
        <f t="shared" si="0"/>
        <v>0</v>
      </c>
      <c r="G12" s="15">
        <f>IF(E12=0,"",IF(D12="nd",E12/2,E12))</f>
        <v>0.05</v>
      </c>
      <c r="H12" s="15">
        <f t="shared" si="0"/>
        <v>0</v>
      </c>
      <c r="I12" s="15"/>
      <c r="J12" s="15">
        <v>0.11</v>
      </c>
      <c r="K12" s="15">
        <f t="shared" si="1"/>
        <v>0</v>
      </c>
      <c r="L12" s="15">
        <f>IF(J12=0,"",IF(I12="nd",J12/2,J12))</f>
        <v>0.11</v>
      </c>
      <c r="M12" s="15">
        <f t="shared" si="1"/>
        <v>0</v>
      </c>
      <c r="N12" s="15"/>
      <c r="O12" s="23">
        <v>0.01</v>
      </c>
      <c r="P12" s="15">
        <f t="shared" si="2"/>
        <v>0</v>
      </c>
      <c r="Q12" s="23">
        <f>IF(O12=0,"",IF(N12="nd",O12/2,O12))</f>
        <v>0.01</v>
      </c>
      <c r="R12" s="15">
        <f t="shared" si="2"/>
        <v>0</v>
      </c>
    </row>
    <row r="13" spans="2:18" ht="12.75">
      <c r="B13" s="13" t="s">
        <v>70</v>
      </c>
      <c r="C13" s="16">
        <v>0.5</v>
      </c>
      <c r="D13" s="16"/>
      <c r="E13" s="15">
        <v>0.003</v>
      </c>
      <c r="F13" s="15">
        <f t="shared" si="0"/>
        <v>0.0015</v>
      </c>
      <c r="G13" s="15">
        <f>IF(E13=0,"",IF(D13="nd",E13/2,E13))</f>
        <v>0.003</v>
      </c>
      <c r="H13" s="15">
        <f t="shared" si="0"/>
        <v>0.0015</v>
      </c>
      <c r="I13" s="15" t="s">
        <v>55</v>
      </c>
      <c r="J13" s="15">
        <v>0.01</v>
      </c>
      <c r="K13" s="15">
        <f t="shared" si="1"/>
        <v>0.005</v>
      </c>
      <c r="L13" s="15">
        <f>IF(J13=0,"",IF(I13="nd",J13/2,J13))</f>
        <v>0.005</v>
      </c>
      <c r="M13" s="15">
        <f t="shared" si="1"/>
        <v>0.0025</v>
      </c>
      <c r="N13" s="15"/>
      <c r="O13" s="23">
        <v>0.003</v>
      </c>
      <c r="P13" s="15">
        <f t="shared" si="2"/>
        <v>0.0015</v>
      </c>
      <c r="Q13" s="23">
        <f>IF(O13=0,"",IF(N13="nd",O13/2,O13))</f>
        <v>0.003</v>
      </c>
      <c r="R13" s="15">
        <f t="shared" si="2"/>
        <v>0.0015</v>
      </c>
    </row>
    <row r="14" spans="2:18" ht="12.75">
      <c r="B14" s="13" t="s">
        <v>71</v>
      </c>
      <c r="C14" s="16">
        <v>0</v>
      </c>
      <c r="D14" s="16"/>
      <c r="E14" s="15">
        <v>0.03</v>
      </c>
      <c r="F14" s="15">
        <f t="shared" si="0"/>
        <v>0</v>
      </c>
      <c r="G14" s="15">
        <f aca="true" t="shared" si="3" ref="G14:G35">IF(E14=0,"",IF(D14="nd",E14/2,E14))</f>
        <v>0.03</v>
      </c>
      <c r="H14" s="15">
        <f t="shared" si="0"/>
        <v>0</v>
      </c>
      <c r="I14" s="15"/>
      <c r="J14" s="15">
        <v>0.11</v>
      </c>
      <c r="K14" s="15">
        <f t="shared" si="1"/>
        <v>0</v>
      </c>
      <c r="L14" s="15">
        <f aca="true" t="shared" si="4" ref="L14:L29">IF(J14=0,"",IF(I14="nd",J14/2,J14))</f>
        <v>0.11</v>
      </c>
      <c r="M14" s="15">
        <f t="shared" si="1"/>
        <v>0</v>
      </c>
      <c r="N14" s="15"/>
      <c r="O14" s="23">
        <v>0.005</v>
      </c>
      <c r="P14" s="15">
        <f t="shared" si="2"/>
        <v>0</v>
      </c>
      <c r="Q14" s="23">
        <f aca="true" t="shared" si="5" ref="Q14:Q29">IF(O14=0,"",IF(N14="nd",O14/2,O14))</f>
        <v>0.005</v>
      </c>
      <c r="R14" s="15">
        <f t="shared" si="2"/>
        <v>0</v>
      </c>
    </row>
    <row r="15" spans="2:18" ht="12.75">
      <c r="B15" s="13" t="s">
        <v>72</v>
      </c>
      <c r="C15" s="16">
        <v>0.1</v>
      </c>
      <c r="D15" s="16" t="s">
        <v>55</v>
      </c>
      <c r="E15" s="15">
        <v>0.002</v>
      </c>
      <c r="F15" s="15">
        <f t="shared" si="0"/>
        <v>0.0002</v>
      </c>
      <c r="G15" s="15">
        <f t="shared" si="3"/>
        <v>0.001</v>
      </c>
      <c r="H15" s="15">
        <f t="shared" si="0"/>
        <v>0.0001</v>
      </c>
      <c r="I15" s="15"/>
      <c r="J15" s="15">
        <v>0.007</v>
      </c>
      <c r="K15" s="15">
        <f t="shared" si="1"/>
        <v>0.0007000000000000001</v>
      </c>
      <c r="L15" s="15">
        <f t="shared" si="4"/>
        <v>0.007</v>
      </c>
      <c r="M15" s="15">
        <f t="shared" si="1"/>
        <v>0.0007000000000000001</v>
      </c>
      <c r="N15" s="15"/>
      <c r="O15" s="23">
        <v>0.004</v>
      </c>
      <c r="P15" s="15">
        <f t="shared" si="2"/>
        <v>0.0004</v>
      </c>
      <c r="Q15" s="23">
        <f t="shared" si="5"/>
        <v>0.004</v>
      </c>
      <c r="R15" s="15">
        <f t="shared" si="2"/>
        <v>0.0004</v>
      </c>
    </row>
    <row r="16" spans="2:18" ht="12.75">
      <c r="B16" s="13" t="s">
        <v>73</v>
      </c>
      <c r="C16" s="16">
        <v>0.1</v>
      </c>
      <c r="D16" s="16"/>
      <c r="E16" s="15">
        <v>0.006</v>
      </c>
      <c r="F16" s="15">
        <f t="shared" si="0"/>
        <v>0.0006000000000000001</v>
      </c>
      <c r="G16" s="15">
        <f t="shared" si="3"/>
        <v>0.006</v>
      </c>
      <c r="H16" s="15">
        <f t="shared" si="0"/>
        <v>0.0006000000000000001</v>
      </c>
      <c r="I16" s="15"/>
      <c r="J16" s="15">
        <v>0.02</v>
      </c>
      <c r="K16" s="15">
        <f t="shared" si="1"/>
        <v>0.002</v>
      </c>
      <c r="L16" s="15">
        <f t="shared" si="4"/>
        <v>0.02</v>
      </c>
      <c r="M16" s="15">
        <f t="shared" si="1"/>
        <v>0.002</v>
      </c>
      <c r="N16" s="15"/>
      <c r="O16" s="23">
        <v>0.003</v>
      </c>
      <c r="P16" s="15">
        <f t="shared" si="2"/>
        <v>0.00030000000000000003</v>
      </c>
      <c r="Q16" s="23">
        <f t="shared" si="5"/>
        <v>0.003</v>
      </c>
      <c r="R16" s="15">
        <f t="shared" si="2"/>
        <v>0.00030000000000000003</v>
      </c>
    </row>
    <row r="17" spans="2:18" ht="12.75">
      <c r="B17" s="13" t="s">
        <v>74</v>
      </c>
      <c r="C17" s="16">
        <v>0.1</v>
      </c>
      <c r="D17" s="16"/>
      <c r="E17" s="15">
        <v>0.006</v>
      </c>
      <c r="F17" s="15">
        <f t="shared" si="0"/>
        <v>0.0006000000000000001</v>
      </c>
      <c r="G17" s="15">
        <f t="shared" si="3"/>
        <v>0.006</v>
      </c>
      <c r="H17" s="15">
        <f t="shared" si="0"/>
        <v>0.0006000000000000001</v>
      </c>
      <c r="I17" s="15"/>
      <c r="J17" s="15">
        <v>0.02</v>
      </c>
      <c r="K17" s="15">
        <f t="shared" si="1"/>
        <v>0.002</v>
      </c>
      <c r="L17" s="15">
        <f t="shared" si="4"/>
        <v>0.02</v>
      </c>
      <c r="M17" s="15">
        <f t="shared" si="1"/>
        <v>0.002</v>
      </c>
      <c r="N17" s="15"/>
      <c r="O17" s="23">
        <v>0.003</v>
      </c>
      <c r="P17" s="15">
        <f t="shared" si="2"/>
        <v>0.00030000000000000003</v>
      </c>
      <c r="Q17" s="23">
        <f t="shared" si="5"/>
        <v>0.003</v>
      </c>
      <c r="R17" s="15">
        <f t="shared" si="2"/>
        <v>0.00030000000000000003</v>
      </c>
    </row>
    <row r="18" spans="2:18" ht="12.75">
      <c r="B18" s="13" t="s">
        <v>75</v>
      </c>
      <c r="C18" s="16">
        <v>0</v>
      </c>
      <c r="D18" s="16"/>
      <c r="E18" s="15">
        <v>0.06</v>
      </c>
      <c r="F18" s="15">
        <f t="shared" si="0"/>
        <v>0</v>
      </c>
      <c r="G18" s="15">
        <f t="shared" si="3"/>
        <v>0.06</v>
      </c>
      <c r="H18" s="15">
        <f t="shared" si="0"/>
        <v>0</v>
      </c>
      <c r="I18" s="15"/>
      <c r="J18" s="15">
        <v>0.15</v>
      </c>
      <c r="K18" s="15">
        <f t="shared" si="1"/>
        <v>0</v>
      </c>
      <c r="L18" s="15">
        <f t="shared" si="4"/>
        <v>0.15</v>
      </c>
      <c r="M18" s="15">
        <f t="shared" si="1"/>
        <v>0</v>
      </c>
      <c r="N18" s="15"/>
      <c r="O18" s="23">
        <v>0.007</v>
      </c>
      <c r="P18" s="15">
        <f t="shared" si="2"/>
        <v>0</v>
      </c>
      <c r="Q18" s="23">
        <f t="shared" si="5"/>
        <v>0.007</v>
      </c>
      <c r="R18" s="15">
        <f t="shared" si="2"/>
        <v>0</v>
      </c>
    </row>
    <row r="19" spans="2:18" ht="12.75">
      <c r="B19" s="13" t="s">
        <v>76</v>
      </c>
      <c r="C19" s="16">
        <v>0.01</v>
      </c>
      <c r="D19" s="16"/>
      <c r="E19" s="15">
        <v>0.05</v>
      </c>
      <c r="F19" s="15">
        <f t="shared" si="0"/>
        <v>0.0005</v>
      </c>
      <c r="G19" s="15">
        <f t="shared" si="3"/>
        <v>0.05</v>
      </c>
      <c r="H19" s="15">
        <f t="shared" si="0"/>
        <v>0.0005</v>
      </c>
      <c r="I19" s="15"/>
      <c r="J19" s="15">
        <v>0.08</v>
      </c>
      <c r="K19" s="15">
        <f t="shared" si="1"/>
        <v>0.0008</v>
      </c>
      <c r="L19" s="15">
        <f t="shared" si="4"/>
        <v>0.08</v>
      </c>
      <c r="M19" s="15">
        <f t="shared" si="1"/>
        <v>0.0008</v>
      </c>
      <c r="N19" s="15"/>
      <c r="O19" s="23">
        <v>0.02</v>
      </c>
      <c r="P19" s="15">
        <f t="shared" si="2"/>
        <v>0.0002</v>
      </c>
      <c r="Q19" s="23">
        <f t="shared" si="5"/>
        <v>0.02</v>
      </c>
      <c r="R19" s="15">
        <f t="shared" si="2"/>
        <v>0.0002</v>
      </c>
    </row>
    <row r="20" spans="2:18" ht="12.75">
      <c r="B20" s="13" t="s">
        <v>77</v>
      </c>
      <c r="C20" s="16">
        <v>0</v>
      </c>
      <c r="D20" s="16"/>
      <c r="E20" s="15">
        <v>0.1</v>
      </c>
      <c r="F20" s="15">
        <f t="shared" si="0"/>
        <v>0</v>
      </c>
      <c r="G20" s="15">
        <f t="shared" si="3"/>
        <v>0.1</v>
      </c>
      <c r="H20" s="15">
        <f t="shared" si="0"/>
        <v>0</v>
      </c>
      <c r="I20" s="15"/>
      <c r="J20" s="15">
        <v>0.16</v>
      </c>
      <c r="K20" s="15">
        <f t="shared" si="1"/>
        <v>0</v>
      </c>
      <c r="L20" s="15">
        <f t="shared" si="4"/>
        <v>0.16</v>
      </c>
      <c r="M20" s="15">
        <f t="shared" si="1"/>
        <v>0</v>
      </c>
      <c r="N20" s="15"/>
      <c r="O20" s="23">
        <v>0.04</v>
      </c>
      <c r="P20" s="15">
        <f t="shared" si="2"/>
        <v>0</v>
      </c>
      <c r="Q20" s="23">
        <f t="shared" si="5"/>
        <v>0.04</v>
      </c>
      <c r="R20" s="15">
        <f t="shared" si="2"/>
        <v>0</v>
      </c>
    </row>
    <row r="21" spans="2:18" ht="12.75">
      <c r="B21" s="13" t="s">
        <v>78</v>
      </c>
      <c r="C21" s="16">
        <v>0.001</v>
      </c>
      <c r="D21" s="16"/>
      <c r="E21" s="15">
        <v>0.39</v>
      </c>
      <c r="F21" s="15">
        <f t="shared" si="0"/>
        <v>0.00039000000000000005</v>
      </c>
      <c r="G21" s="15">
        <f t="shared" si="3"/>
        <v>0.39</v>
      </c>
      <c r="H21" s="15">
        <f t="shared" si="0"/>
        <v>0.00039000000000000005</v>
      </c>
      <c r="I21" s="15"/>
      <c r="J21" s="15">
        <v>0.27</v>
      </c>
      <c r="K21" s="15">
        <f t="shared" si="1"/>
        <v>0.00027</v>
      </c>
      <c r="L21" s="15">
        <f t="shared" si="4"/>
        <v>0.27</v>
      </c>
      <c r="M21" s="15">
        <f t="shared" si="1"/>
        <v>0.00027</v>
      </c>
      <c r="N21" s="15"/>
      <c r="O21" s="23">
        <v>0.11</v>
      </c>
      <c r="P21" s="15">
        <f t="shared" si="2"/>
        <v>0.00011</v>
      </c>
      <c r="Q21" s="23">
        <f t="shared" si="5"/>
        <v>0.11</v>
      </c>
      <c r="R21" s="15">
        <f t="shared" si="2"/>
        <v>0.00011</v>
      </c>
    </row>
    <row r="22" spans="2:18" ht="12.75">
      <c r="B22" s="13" t="s">
        <v>79</v>
      </c>
      <c r="C22" s="16">
        <v>0.1</v>
      </c>
      <c r="D22" s="16"/>
      <c r="E22" s="15">
        <v>0.05</v>
      </c>
      <c r="F22" s="15">
        <f t="shared" si="0"/>
        <v>0.005000000000000001</v>
      </c>
      <c r="G22" s="15">
        <f t="shared" si="3"/>
        <v>0.05</v>
      </c>
      <c r="H22" s="15">
        <f t="shared" si="0"/>
        <v>0.005000000000000001</v>
      </c>
      <c r="I22" s="15"/>
      <c r="J22" s="15">
        <v>0.92</v>
      </c>
      <c r="K22" s="15">
        <f t="shared" si="1"/>
        <v>0.09200000000000001</v>
      </c>
      <c r="L22" s="15">
        <f t="shared" si="4"/>
        <v>0.92</v>
      </c>
      <c r="M22" s="15">
        <f t="shared" si="1"/>
        <v>0.09200000000000001</v>
      </c>
      <c r="N22" s="15"/>
      <c r="O22" s="23">
        <v>0.19</v>
      </c>
      <c r="P22" s="15">
        <f t="shared" si="2"/>
        <v>0.019000000000000003</v>
      </c>
      <c r="Q22" s="23">
        <f t="shared" si="5"/>
        <v>0.19</v>
      </c>
      <c r="R22" s="15">
        <f t="shared" si="2"/>
        <v>0.019000000000000003</v>
      </c>
    </row>
    <row r="23" spans="2:18" ht="12.75">
      <c r="B23" s="13" t="s">
        <v>80</v>
      </c>
      <c r="C23" s="16">
        <v>0</v>
      </c>
      <c r="D23" s="16"/>
      <c r="E23" s="15">
        <v>0.19</v>
      </c>
      <c r="F23" s="15">
        <f t="shared" si="0"/>
        <v>0</v>
      </c>
      <c r="G23" s="15">
        <f t="shared" si="3"/>
        <v>0.19</v>
      </c>
      <c r="H23" s="15">
        <f t="shared" si="0"/>
        <v>0</v>
      </c>
      <c r="I23" s="15"/>
      <c r="J23" s="15">
        <v>6.6</v>
      </c>
      <c r="K23" s="15">
        <f t="shared" si="1"/>
        <v>0</v>
      </c>
      <c r="L23" s="15">
        <f t="shared" si="4"/>
        <v>6.6</v>
      </c>
      <c r="M23" s="15">
        <f t="shared" si="1"/>
        <v>0</v>
      </c>
      <c r="N23" s="15"/>
      <c r="O23" s="23">
        <v>1.4</v>
      </c>
      <c r="P23" s="15">
        <f t="shared" si="2"/>
        <v>0</v>
      </c>
      <c r="Q23" s="23">
        <f t="shared" si="5"/>
        <v>1.4</v>
      </c>
      <c r="R23" s="15">
        <f t="shared" si="2"/>
        <v>0</v>
      </c>
    </row>
    <row r="24" spans="2:18" ht="12.75">
      <c r="B24" s="13" t="s">
        <v>81</v>
      </c>
      <c r="C24" s="16">
        <v>0.05</v>
      </c>
      <c r="D24" s="16" t="s">
        <v>55</v>
      </c>
      <c r="E24" s="15">
        <v>0.01</v>
      </c>
      <c r="F24" s="15">
        <f t="shared" si="0"/>
        <v>0.0005</v>
      </c>
      <c r="G24" s="15">
        <f t="shared" si="3"/>
        <v>0.005</v>
      </c>
      <c r="H24" s="15">
        <f t="shared" si="0"/>
        <v>0.00025</v>
      </c>
      <c r="I24" s="15"/>
      <c r="J24" s="15">
        <v>0.21</v>
      </c>
      <c r="K24" s="15">
        <f t="shared" si="1"/>
        <v>0.0105</v>
      </c>
      <c r="L24" s="15">
        <f t="shared" si="4"/>
        <v>0.21</v>
      </c>
      <c r="M24" s="15">
        <f t="shared" si="1"/>
        <v>0.0105</v>
      </c>
      <c r="N24" s="15"/>
      <c r="O24" s="23">
        <v>0.05</v>
      </c>
      <c r="P24" s="15">
        <f t="shared" si="2"/>
        <v>0.0025000000000000005</v>
      </c>
      <c r="Q24" s="23">
        <f t="shared" si="5"/>
        <v>0.05</v>
      </c>
      <c r="R24" s="15">
        <f t="shared" si="2"/>
        <v>0.0025000000000000005</v>
      </c>
    </row>
    <row r="25" spans="2:18" ht="12.75">
      <c r="B25" s="13" t="s">
        <v>82</v>
      </c>
      <c r="C25" s="16">
        <v>0.5</v>
      </c>
      <c r="D25" s="16"/>
      <c r="E25" s="15">
        <v>0.01</v>
      </c>
      <c r="F25" s="15">
        <f t="shared" si="0"/>
        <v>0.005</v>
      </c>
      <c r="G25" s="15">
        <f t="shared" si="3"/>
        <v>0.01</v>
      </c>
      <c r="H25" s="15">
        <f t="shared" si="0"/>
        <v>0.005</v>
      </c>
      <c r="I25" s="15"/>
      <c r="J25" s="15">
        <v>0.21</v>
      </c>
      <c r="K25" s="15">
        <f t="shared" si="1"/>
        <v>0.105</v>
      </c>
      <c r="L25" s="15">
        <f t="shared" si="4"/>
        <v>0.21</v>
      </c>
      <c r="M25" s="15">
        <f t="shared" si="1"/>
        <v>0.105</v>
      </c>
      <c r="N25" s="15"/>
      <c r="O25" s="23">
        <v>0.05</v>
      </c>
      <c r="P25" s="15">
        <f t="shared" si="2"/>
        <v>0.025</v>
      </c>
      <c r="Q25" s="23">
        <f t="shared" si="5"/>
        <v>0.05</v>
      </c>
      <c r="R25" s="15">
        <f t="shared" si="2"/>
        <v>0.025</v>
      </c>
    </row>
    <row r="26" spans="2:18" ht="12.75">
      <c r="B26" s="13" t="s">
        <v>83</v>
      </c>
      <c r="C26" s="16">
        <v>0</v>
      </c>
      <c r="D26" s="16"/>
      <c r="E26" s="15">
        <v>0.19</v>
      </c>
      <c r="F26" s="15">
        <f t="shared" si="0"/>
        <v>0</v>
      </c>
      <c r="G26" s="15">
        <f t="shared" si="3"/>
        <v>0.19</v>
      </c>
      <c r="H26" s="15">
        <f t="shared" si="0"/>
        <v>0</v>
      </c>
      <c r="I26" s="15"/>
      <c r="J26" s="15">
        <v>2.5</v>
      </c>
      <c r="K26" s="15">
        <f t="shared" si="1"/>
        <v>0</v>
      </c>
      <c r="L26" s="15">
        <f t="shared" si="4"/>
        <v>2.5</v>
      </c>
      <c r="M26" s="15">
        <f t="shared" si="1"/>
        <v>0</v>
      </c>
      <c r="N26" s="15"/>
      <c r="O26" s="23">
        <v>0.59</v>
      </c>
      <c r="P26" s="15">
        <f t="shared" si="2"/>
        <v>0</v>
      </c>
      <c r="Q26" s="23">
        <f t="shared" si="5"/>
        <v>0.59</v>
      </c>
      <c r="R26" s="15">
        <f t="shared" si="2"/>
        <v>0</v>
      </c>
    </row>
    <row r="27" spans="2:18" ht="12.75">
      <c r="B27" s="13" t="s">
        <v>84</v>
      </c>
      <c r="C27" s="16">
        <v>0.1</v>
      </c>
      <c r="D27" s="16" t="s">
        <v>55</v>
      </c>
      <c r="E27" s="15">
        <v>0.02</v>
      </c>
      <c r="F27" s="15">
        <f t="shared" si="0"/>
        <v>0.002</v>
      </c>
      <c r="G27" s="15">
        <f t="shared" si="3"/>
        <v>0.01</v>
      </c>
      <c r="H27" s="15">
        <f t="shared" si="0"/>
        <v>0.001</v>
      </c>
      <c r="I27" s="15"/>
      <c r="J27" s="15">
        <v>0.16</v>
      </c>
      <c r="K27" s="15">
        <f t="shared" si="1"/>
        <v>0.016</v>
      </c>
      <c r="L27" s="15">
        <f t="shared" si="4"/>
        <v>0.16</v>
      </c>
      <c r="M27" s="15">
        <f t="shared" si="1"/>
        <v>0.016</v>
      </c>
      <c r="N27" s="15"/>
      <c r="O27" s="23">
        <v>0.02</v>
      </c>
      <c r="P27" s="15">
        <f t="shared" si="2"/>
        <v>0.002</v>
      </c>
      <c r="Q27" s="23">
        <f t="shared" si="5"/>
        <v>0.02</v>
      </c>
      <c r="R27" s="15">
        <f t="shared" si="2"/>
        <v>0.002</v>
      </c>
    </row>
    <row r="28" spans="2:18" ht="12.75">
      <c r="B28" s="13" t="s">
        <v>85</v>
      </c>
      <c r="C28" s="16">
        <v>0.1</v>
      </c>
      <c r="D28" s="16" t="s">
        <v>55</v>
      </c>
      <c r="E28" s="15">
        <v>0.008</v>
      </c>
      <c r="F28" s="15">
        <f t="shared" si="0"/>
        <v>0.0008</v>
      </c>
      <c r="G28" s="15">
        <f t="shared" si="3"/>
        <v>0.004</v>
      </c>
      <c r="H28" s="15">
        <f t="shared" si="0"/>
        <v>0.0004</v>
      </c>
      <c r="I28" s="15"/>
      <c r="J28" s="15">
        <v>0.06</v>
      </c>
      <c r="K28" s="15">
        <f t="shared" si="1"/>
        <v>0.006</v>
      </c>
      <c r="L28" s="15">
        <f t="shared" si="4"/>
        <v>0.06</v>
      </c>
      <c r="M28" s="15">
        <f t="shared" si="1"/>
        <v>0.006</v>
      </c>
      <c r="N28" s="15"/>
      <c r="O28" s="23">
        <v>0.009</v>
      </c>
      <c r="P28" s="15">
        <f t="shared" si="2"/>
        <v>0.0009</v>
      </c>
      <c r="Q28" s="23">
        <f t="shared" si="5"/>
        <v>0.009</v>
      </c>
      <c r="R28" s="15">
        <f t="shared" si="2"/>
        <v>0.0009</v>
      </c>
    </row>
    <row r="29" spans="2:18" ht="12.75">
      <c r="B29" s="13" t="s">
        <v>86</v>
      </c>
      <c r="C29" s="16">
        <v>0.1</v>
      </c>
      <c r="D29" s="16"/>
      <c r="E29" s="15">
        <v>0.02</v>
      </c>
      <c r="F29" s="15">
        <f t="shared" si="0"/>
        <v>0.002</v>
      </c>
      <c r="G29" s="15">
        <f t="shared" si="3"/>
        <v>0.02</v>
      </c>
      <c r="H29" s="15">
        <f t="shared" si="0"/>
        <v>0.002</v>
      </c>
      <c r="I29" s="15"/>
      <c r="J29" s="15">
        <v>0.05</v>
      </c>
      <c r="K29" s="15">
        <f t="shared" si="1"/>
        <v>0.005000000000000001</v>
      </c>
      <c r="L29" s="15">
        <f t="shared" si="4"/>
        <v>0.05</v>
      </c>
      <c r="M29" s="15">
        <f t="shared" si="1"/>
        <v>0.005000000000000001</v>
      </c>
      <c r="N29" s="15"/>
      <c r="O29" s="23">
        <v>0.01</v>
      </c>
      <c r="P29" s="15">
        <f t="shared" si="2"/>
        <v>0.001</v>
      </c>
      <c r="Q29" s="23">
        <f t="shared" si="5"/>
        <v>0.01</v>
      </c>
      <c r="R29" s="15">
        <f t="shared" si="2"/>
        <v>0.001</v>
      </c>
    </row>
    <row r="30" spans="2:18" ht="12.75">
      <c r="B30" s="13" t="s">
        <v>87</v>
      </c>
      <c r="C30" s="16">
        <v>0.1</v>
      </c>
      <c r="D30" s="16"/>
      <c r="E30" s="15">
        <v>0.003</v>
      </c>
      <c r="F30" s="15">
        <f t="shared" si="0"/>
        <v>0.00030000000000000003</v>
      </c>
      <c r="G30" s="15">
        <f t="shared" si="3"/>
        <v>0.003</v>
      </c>
      <c r="H30" s="15">
        <f t="shared" si="0"/>
        <v>0.00030000000000000003</v>
      </c>
      <c r="I30" s="15" t="s">
        <v>55</v>
      </c>
      <c r="J30" s="15">
        <v>0.008</v>
      </c>
      <c r="K30" s="15">
        <f t="shared" si="1"/>
        <v>0.0008</v>
      </c>
      <c r="L30" s="15">
        <f aca="true" t="shared" si="6" ref="L30:L35">IF(J30=0,"",IF(I30="nd",J30/2,J30))</f>
        <v>0.004</v>
      </c>
      <c r="M30" s="15">
        <f t="shared" si="1"/>
        <v>0.0004</v>
      </c>
      <c r="N30" s="15"/>
      <c r="O30" s="23">
        <v>0.003</v>
      </c>
      <c r="P30" s="15">
        <f t="shared" si="2"/>
        <v>0.00030000000000000003</v>
      </c>
      <c r="Q30" s="23">
        <f aca="true" t="shared" si="7" ref="Q30:Q35">IF(O30=0,"",IF(N30="nd",O30/2,O30))</f>
        <v>0.003</v>
      </c>
      <c r="R30" s="15">
        <f t="shared" si="2"/>
        <v>0.00030000000000000003</v>
      </c>
    </row>
    <row r="31" spans="2:18" ht="12.75">
      <c r="B31" s="13" t="s">
        <v>88</v>
      </c>
      <c r="C31" s="16">
        <v>0</v>
      </c>
      <c r="D31" s="16"/>
      <c r="E31" s="15">
        <v>0.05</v>
      </c>
      <c r="F31" s="15">
        <f t="shared" si="0"/>
        <v>0</v>
      </c>
      <c r="G31" s="15">
        <f t="shared" si="3"/>
        <v>0.05</v>
      </c>
      <c r="H31" s="15">
        <f t="shared" si="0"/>
        <v>0</v>
      </c>
      <c r="I31" s="15"/>
      <c r="J31" s="15">
        <v>0.48</v>
      </c>
      <c r="K31" s="15">
        <f t="shared" si="1"/>
        <v>0</v>
      </c>
      <c r="L31" s="15">
        <f t="shared" si="6"/>
        <v>0.48</v>
      </c>
      <c r="M31" s="15">
        <f t="shared" si="1"/>
        <v>0</v>
      </c>
      <c r="N31" s="15"/>
      <c r="O31" s="23">
        <v>0.07</v>
      </c>
      <c r="P31" s="15">
        <f t="shared" si="2"/>
        <v>0</v>
      </c>
      <c r="Q31" s="23">
        <f t="shared" si="7"/>
        <v>0.07</v>
      </c>
      <c r="R31" s="15">
        <f t="shared" si="2"/>
        <v>0</v>
      </c>
    </row>
    <row r="32" spans="2:18" ht="12.75">
      <c r="B32" s="13" t="s">
        <v>89</v>
      </c>
      <c r="C32" s="16">
        <v>0.01</v>
      </c>
      <c r="D32" s="16"/>
      <c r="E32" s="15">
        <v>0.03</v>
      </c>
      <c r="F32" s="15">
        <f t="shared" si="0"/>
        <v>0.0003</v>
      </c>
      <c r="G32" s="15">
        <f t="shared" si="3"/>
        <v>0.03</v>
      </c>
      <c r="H32" s="15">
        <f t="shared" si="0"/>
        <v>0.0003</v>
      </c>
      <c r="I32" s="15"/>
      <c r="J32" s="15">
        <v>0.16</v>
      </c>
      <c r="K32" s="15">
        <f t="shared" si="1"/>
        <v>0.0016</v>
      </c>
      <c r="L32" s="15">
        <f t="shared" si="6"/>
        <v>0.16</v>
      </c>
      <c r="M32" s="15">
        <f t="shared" si="1"/>
        <v>0.0016</v>
      </c>
      <c r="N32" s="15"/>
      <c r="O32" s="23">
        <v>0.01</v>
      </c>
      <c r="P32" s="15">
        <f t="shared" si="2"/>
        <v>0.0001</v>
      </c>
      <c r="Q32" s="23">
        <f t="shared" si="7"/>
        <v>0.01</v>
      </c>
      <c r="R32" s="15">
        <f t="shared" si="2"/>
        <v>0.0001</v>
      </c>
    </row>
    <row r="33" spans="2:18" ht="12.75">
      <c r="B33" s="13" t="s">
        <v>90</v>
      </c>
      <c r="C33" s="16">
        <v>0.01</v>
      </c>
      <c r="D33" s="16"/>
      <c r="E33" s="15">
        <v>0.007</v>
      </c>
      <c r="F33" s="15">
        <f t="shared" si="0"/>
        <v>7.000000000000001E-05</v>
      </c>
      <c r="G33" s="15">
        <f t="shared" si="3"/>
        <v>0.007</v>
      </c>
      <c r="H33" s="15">
        <f t="shared" si="0"/>
        <v>7.000000000000001E-05</v>
      </c>
      <c r="I33" s="15"/>
      <c r="J33" s="15">
        <v>0.03</v>
      </c>
      <c r="K33" s="15">
        <f t="shared" si="1"/>
        <v>0.0003</v>
      </c>
      <c r="L33" s="15">
        <f t="shared" si="6"/>
        <v>0.03</v>
      </c>
      <c r="M33" s="15">
        <f t="shared" si="1"/>
        <v>0.0003</v>
      </c>
      <c r="N33" s="15" t="s">
        <v>55</v>
      </c>
      <c r="O33" s="23">
        <v>0.003</v>
      </c>
      <c r="P33" s="15">
        <f t="shared" si="2"/>
        <v>3E-05</v>
      </c>
      <c r="Q33" s="23">
        <f t="shared" si="7"/>
        <v>0.0015</v>
      </c>
      <c r="R33" s="15">
        <f t="shared" si="2"/>
        <v>1.5E-05</v>
      </c>
    </row>
    <row r="34" spans="2:18" ht="12.75">
      <c r="B34" s="13" t="s">
        <v>91</v>
      </c>
      <c r="C34" s="16">
        <v>0</v>
      </c>
      <c r="D34" s="16"/>
      <c r="E34" s="15">
        <v>0.04</v>
      </c>
      <c r="F34" s="15">
        <f t="shared" si="0"/>
        <v>0</v>
      </c>
      <c r="G34" s="15">
        <f t="shared" si="3"/>
        <v>0.04</v>
      </c>
      <c r="H34" s="15">
        <f t="shared" si="0"/>
        <v>0</v>
      </c>
      <c r="I34" s="15"/>
      <c r="J34" s="15">
        <v>0.27</v>
      </c>
      <c r="K34" s="15">
        <f t="shared" si="1"/>
        <v>0</v>
      </c>
      <c r="L34" s="15">
        <f t="shared" si="6"/>
        <v>0.27</v>
      </c>
      <c r="M34" s="15">
        <f t="shared" si="1"/>
        <v>0</v>
      </c>
      <c r="N34" s="15"/>
      <c r="O34" s="23">
        <v>0.02</v>
      </c>
      <c r="P34" s="15">
        <f t="shared" si="2"/>
        <v>0</v>
      </c>
      <c r="Q34" s="23">
        <f t="shared" si="7"/>
        <v>0.02</v>
      </c>
      <c r="R34" s="15">
        <f t="shared" si="2"/>
        <v>0</v>
      </c>
    </row>
    <row r="35" spans="2:18" ht="12.75">
      <c r="B35" s="13" t="s">
        <v>92</v>
      </c>
      <c r="C35" s="16">
        <v>0.001</v>
      </c>
      <c r="D35" s="16"/>
      <c r="E35" s="15">
        <v>0.04</v>
      </c>
      <c r="F35" s="15">
        <f t="shared" si="0"/>
        <v>4E-05</v>
      </c>
      <c r="G35" s="15">
        <f t="shared" si="3"/>
        <v>0.04</v>
      </c>
      <c r="H35" s="15">
        <f t="shared" si="0"/>
        <v>4E-05</v>
      </c>
      <c r="I35" s="15"/>
      <c r="J35" s="15">
        <v>0.21</v>
      </c>
      <c r="K35" s="15">
        <f t="shared" si="1"/>
        <v>0.00021</v>
      </c>
      <c r="L35" s="15">
        <f t="shared" si="6"/>
        <v>0.21</v>
      </c>
      <c r="M35" s="15">
        <f t="shared" si="1"/>
        <v>0.00021</v>
      </c>
      <c r="N35" s="15"/>
      <c r="O35" s="23">
        <v>0.02</v>
      </c>
      <c r="P35" s="15">
        <f t="shared" si="2"/>
        <v>2E-05</v>
      </c>
      <c r="Q35" s="23">
        <f t="shared" si="7"/>
        <v>0.02</v>
      </c>
      <c r="R35" s="15">
        <f t="shared" si="2"/>
        <v>2E-05</v>
      </c>
    </row>
    <row r="36" spans="5:17" ht="12.75">
      <c r="E36" s="22"/>
      <c r="G36" s="22"/>
      <c r="I36" s="22"/>
      <c r="J36" s="22"/>
      <c r="K36" s="22"/>
      <c r="L36" s="22"/>
      <c r="M36" s="22"/>
      <c r="N36" s="22"/>
      <c r="O36" s="22"/>
      <c r="Q36" s="23"/>
    </row>
    <row r="37" spans="2:18" ht="12.75">
      <c r="B37" s="13" t="s">
        <v>107</v>
      </c>
      <c r="E37" s="22">
        <f>4.43/0.0283</f>
        <v>156.53710247349824</v>
      </c>
      <c r="F37" s="22">
        <f>H37</f>
        <v>156.53710247349824</v>
      </c>
      <c r="G37" s="22">
        <f>E37</f>
        <v>156.53710247349824</v>
      </c>
      <c r="H37" s="22">
        <f>G37</f>
        <v>156.53710247349824</v>
      </c>
      <c r="I37" s="22"/>
      <c r="J37" s="22">
        <f>3.65/0.0283</f>
        <v>128.97526501766785</v>
      </c>
      <c r="K37" s="22">
        <f>M37</f>
        <v>128.97526501766785</v>
      </c>
      <c r="L37" s="22">
        <f>J37</f>
        <v>128.97526501766785</v>
      </c>
      <c r="M37" s="22">
        <f>J37</f>
        <v>128.97526501766785</v>
      </c>
      <c r="N37" s="22"/>
      <c r="O37" s="22">
        <f>3.46/0.0283</f>
        <v>122.26148409893993</v>
      </c>
      <c r="P37" s="22">
        <f>R37</f>
        <v>122.26148409893993</v>
      </c>
      <c r="Q37" s="23">
        <f>O37</f>
        <v>122.26148409893993</v>
      </c>
      <c r="R37" s="22">
        <f>O37</f>
        <v>122.26148409893993</v>
      </c>
    </row>
    <row r="38" spans="2:18" ht="12.75">
      <c r="B38" s="13" t="s">
        <v>93</v>
      </c>
      <c r="E38" s="22">
        <v>13.2</v>
      </c>
      <c r="F38" s="22">
        <f>H38</f>
        <v>13.2</v>
      </c>
      <c r="G38" s="22">
        <f>E38</f>
        <v>13.2</v>
      </c>
      <c r="H38" s="22">
        <f>G38</f>
        <v>13.2</v>
      </c>
      <c r="I38" s="22"/>
      <c r="J38" s="22">
        <v>11.7</v>
      </c>
      <c r="K38" s="22">
        <f>M38</f>
        <v>11.7</v>
      </c>
      <c r="L38" s="22">
        <f>J38</f>
        <v>11.7</v>
      </c>
      <c r="M38" s="22">
        <f>J38</f>
        <v>11.7</v>
      </c>
      <c r="N38" s="22"/>
      <c r="O38" s="22">
        <v>14.3</v>
      </c>
      <c r="P38" s="22">
        <f>R38</f>
        <v>14.3</v>
      </c>
      <c r="Q38" s="23">
        <f>O38</f>
        <v>14.3</v>
      </c>
      <c r="R38" s="22">
        <f>O38</f>
        <v>14.3</v>
      </c>
    </row>
    <row r="39" spans="5:17" ht="12.75">
      <c r="E39" s="22"/>
      <c r="G39" s="22"/>
      <c r="I39" s="22"/>
      <c r="J39" s="22"/>
      <c r="K39" s="22"/>
      <c r="L39" s="22"/>
      <c r="M39" s="22"/>
      <c r="N39" s="22"/>
      <c r="O39" s="22"/>
      <c r="Q39" s="22"/>
    </row>
    <row r="40" spans="2:18" ht="13.5" customHeight="1">
      <c r="B40" s="13" t="s">
        <v>94</v>
      </c>
      <c r="C40" s="15"/>
      <c r="D40" s="15"/>
      <c r="E40" s="15">
        <f>SUM(E35,E34,E31,E26,E23,E21,E20,E18,E14,E12)</f>
        <v>1.1400000000000001</v>
      </c>
      <c r="F40" s="15">
        <f>SUM(F11:F35)</f>
        <v>0.0208</v>
      </c>
      <c r="G40" s="15">
        <f>SUM(G35,G34,G31,G26,G23,G21,G20,G18,G14,G12)</f>
        <v>1.1400000000000001</v>
      </c>
      <c r="H40" s="15">
        <f>SUM(H11:H35)</f>
        <v>0.018550000000000004</v>
      </c>
      <c r="I40" s="15"/>
      <c r="J40" s="15">
        <f>SUM(J35,J34,J31,J26,J23,J21,J20,J18,J14,J12)</f>
        <v>10.859999999999998</v>
      </c>
      <c r="K40" s="15">
        <f>SUM(K11:K35)</f>
        <v>0.25418</v>
      </c>
      <c r="L40" s="15">
        <f>SUM(L35,L34,L31,L26,L23,L21,L20,L18,L14,L12)</f>
        <v>10.859999999999998</v>
      </c>
      <c r="M40" s="15">
        <f>SUM(M11:M35)</f>
        <v>0.24828000000000003</v>
      </c>
      <c r="N40" s="15"/>
      <c r="O40" s="15">
        <f>SUM(O35,O34,O31,O26,O23,O21,O20,O18,O14,O12)</f>
        <v>2.2719999999999994</v>
      </c>
      <c r="P40" s="15">
        <f>SUM(P11:P35)</f>
        <v>0.055660000000000015</v>
      </c>
      <c r="Q40" s="15">
        <f>SUM(Q35,Q34,Q31,Q26,Q23,Q21,Q20,Q18,Q14,Q12)</f>
        <v>2.2719999999999994</v>
      </c>
      <c r="R40" s="15">
        <f>SUM(R11:R35)</f>
        <v>0.05464500000000001</v>
      </c>
    </row>
    <row r="41" spans="2:18" ht="12.75">
      <c r="B41" s="13" t="s">
        <v>95</v>
      </c>
      <c r="C41" s="15"/>
      <c r="D41" s="24">
        <f>(F41-H41)*2/F41*100</f>
        <v>21.634615384615305</v>
      </c>
      <c r="E41" s="15">
        <f>E40/E37/0.0283*(21-7)/(21-E38)</f>
        <v>0.461885744052787</v>
      </c>
      <c r="F41" s="15">
        <f>F40/F37/0.0283*(21-7)/(21-F38)</f>
        <v>0.008427389014296462</v>
      </c>
      <c r="G41" s="15">
        <f>G40/G37/0.0283*(21-7)/(21-G38)</f>
        <v>0.461885744052787</v>
      </c>
      <c r="H41" s="15">
        <f>H40/H37/0.0283*(21-7)/(21-H38)</f>
        <v>0.007515772414192281</v>
      </c>
      <c r="I41" s="24">
        <f>(K41-M41)*2/K41*100</f>
        <v>4.642379416161744</v>
      </c>
      <c r="J41" s="15">
        <f>J40/J37/0.0283*(21-7)/(21-J38)</f>
        <v>4.479010163499777</v>
      </c>
      <c r="K41" s="15">
        <f>K40/K37/0.0283*(21-7)/(21-K38)</f>
        <v>0.10483193401089998</v>
      </c>
      <c r="L41" s="15">
        <f>L40/L37/0.0283*(21-7)/(21-L38)</f>
        <v>4.479010163499777</v>
      </c>
      <c r="M41" s="15">
        <f>M40/M37/0.0283*(21-7)/(21-M38)</f>
        <v>0.10239858594785683</v>
      </c>
      <c r="N41" s="24">
        <f>(P41-R41)*2/P41*100</f>
        <v>3.647143370463552</v>
      </c>
      <c r="O41" s="15">
        <f>O40/O37/0.0283*(21-7)/(21-O38)</f>
        <v>1.3720990423604518</v>
      </c>
      <c r="P41" s="15">
        <f>P40/P37/0.0283*(21-7)/(21-P38)</f>
        <v>0.03361401087050299</v>
      </c>
      <c r="Q41" s="15">
        <f>Q40/Q37/0.0283*(21-7)/(21-Q38)</f>
        <v>1.3720990423604518</v>
      </c>
      <c r="R41" s="15">
        <f>R40/R37/0.0283*(21-7)/(21-R38)</f>
        <v>0.033001035285997765</v>
      </c>
    </row>
    <row r="42" spans="5:17" ht="12.75">
      <c r="E42" s="23"/>
      <c r="G42" s="23"/>
      <c r="I42" s="23"/>
      <c r="J42" s="23"/>
      <c r="K42" s="23"/>
      <c r="L42" s="23"/>
      <c r="M42" s="23"/>
      <c r="N42" s="23"/>
      <c r="O42" s="23"/>
      <c r="Q42" s="23"/>
    </row>
    <row r="43" spans="2:23" s="22" customFormat="1" ht="12.75">
      <c r="B43" s="22" t="s">
        <v>100</v>
      </c>
      <c r="C43" s="23">
        <f>AVERAGE(H41,M41,R41)</f>
        <v>0.04763846454934897</v>
      </c>
      <c r="F43" s="15"/>
      <c r="H43" s="15"/>
      <c r="P43" s="14"/>
      <c r="R43" s="14"/>
      <c r="S43" s="13"/>
      <c r="T43" s="13"/>
      <c r="U43" s="13"/>
      <c r="V43" s="13"/>
      <c r="W43" s="13"/>
    </row>
    <row r="44" spans="2:3" ht="12.75">
      <c r="B44" s="13" t="s">
        <v>101</v>
      </c>
      <c r="C44" s="22">
        <f>AVERAGE(G41,L41,Q41)</f>
        <v>2.104331649971005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22">
      <selection activeCell="B2" sqref="B2"/>
    </sheetView>
  </sheetViews>
  <sheetFormatPr defaultColWidth="9.140625" defaultRowHeight="12.75"/>
  <cols>
    <col min="1" max="1" width="2.140625" style="13" customWidth="1"/>
    <col min="2" max="2" width="25.8515625" style="13" customWidth="1"/>
    <col min="3" max="3" width="7.8515625" style="13" customWidth="1"/>
    <col min="4" max="4" width="7.00390625" style="13" customWidth="1"/>
    <col min="5" max="5" width="6.8515625" style="14" customWidth="1"/>
    <col min="6" max="6" width="7.57421875" style="15" customWidth="1"/>
    <col min="7" max="7" width="7.8515625" style="14" customWidth="1"/>
    <col min="8" max="8" width="7.57421875" style="15" customWidth="1"/>
    <col min="9" max="9" width="5.421875" style="14" customWidth="1"/>
    <col min="10" max="10" width="7.00390625" style="14" customWidth="1"/>
    <col min="11" max="13" width="7.421875" style="14" customWidth="1"/>
    <col min="14" max="14" width="4.7109375" style="14" customWidth="1"/>
    <col min="15" max="15" width="7.00390625" style="14" customWidth="1"/>
    <col min="16" max="16" width="8.00390625" style="14" customWidth="1"/>
    <col min="17" max="17" width="7.28125" style="14" customWidth="1"/>
    <col min="18" max="18" width="8.00390625" style="14" customWidth="1"/>
    <col min="19" max="19" width="7.7109375" style="13" customWidth="1"/>
    <col min="20" max="20" width="7.8515625" style="13" customWidth="1"/>
    <col min="21" max="21" width="7.7109375" style="13" customWidth="1"/>
    <col min="22" max="22" width="7.00390625" style="13" customWidth="1"/>
    <col min="23" max="23" width="7.421875" style="13" customWidth="1"/>
    <col min="24" max="16384" width="10.8515625" style="13" customWidth="1"/>
  </cols>
  <sheetData>
    <row r="1" ht="12.75">
      <c r="A1" s="12" t="s">
        <v>99</v>
      </c>
    </row>
    <row r="2" ht="12.75">
      <c r="A2" s="13" t="s">
        <v>232</v>
      </c>
    </row>
    <row r="3" spans="1:3" ht="12.75">
      <c r="A3" s="13" t="s">
        <v>228</v>
      </c>
      <c r="C3" s="50" t="s">
        <v>97</v>
      </c>
    </row>
    <row r="4" spans="1:18" ht="12.75">
      <c r="A4" s="13" t="s">
        <v>231</v>
      </c>
      <c r="C4" s="50" t="s">
        <v>112</v>
      </c>
      <c r="D4" s="16"/>
      <c r="E4" s="17"/>
      <c r="F4" s="18"/>
      <c r="G4" s="17"/>
      <c r="H4" s="18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4" ht="12.75">
      <c r="A5" s="13" t="s">
        <v>226</v>
      </c>
      <c r="C5" s="50" t="s">
        <v>229</v>
      </c>
      <c r="D5" s="16"/>
    </row>
    <row r="6" spans="3:17" ht="12.75">
      <c r="C6" s="16"/>
      <c r="D6" s="16"/>
      <c r="E6" s="19"/>
      <c r="G6" s="19"/>
      <c r="J6" s="19"/>
      <c r="L6" s="19"/>
      <c r="O6" s="19"/>
      <c r="Q6" s="19"/>
    </row>
    <row r="7" spans="3:18" ht="12.75">
      <c r="C7" s="16" t="s">
        <v>59</v>
      </c>
      <c r="D7" s="16"/>
      <c r="E7" s="20" t="s">
        <v>60</v>
      </c>
      <c r="F7" s="20"/>
      <c r="G7" s="20"/>
      <c r="H7" s="20"/>
      <c r="I7" s="21"/>
      <c r="J7" s="20" t="s">
        <v>61</v>
      </c>
      <c r="K7" s="20"/>
      <c r="L7" s="20"/>
      <c r="M7" s="20"/>
      <c r="N7" s="21"/>
      <c r="O7" s="20" t="s">
        <v>62</v>
      </c>
      <c r="P7" s="20"/>
      <c r="Q7" s="20"/>
      <c r="R7" s="20"/>
    </row>
    <row r="8" spans="3:18" ht="12.75">
      <c r="C8" s="16" t="s">
        <v>63</v>
      </c>
      <c r="E8" s="19" t="s">
        <v>64</v>
      </c>
      <c r="F8" s="18" t="s">
        <v>65</v>
      </c>
      <c r="G8" s="19" t="s">
        <v>64</v>
      </c>
      <c r="H8" s="18" t="s">
        <v>65</v>
      </c>
      <c r="J8" s="19" t="s">
        <v>64</v>
      </c>
      <c r="K8" s="19" t="s">
        <v>66</v>
      </c>
      <c r="L8" s="19" t="s">
        <v>64</v>
      </c>
      <c r="M8" s="19" t="s">
        <v>66</v>
      </c>
      <c r="O8" s="19" t="s">
        <v>64</v>
      </c>
      <c r="P8" s="19" t="s">
        <v>66</v>
      </c>
      <c r="Q8" s="19" t="s">
        <v>64</v>
      </c>
      <c r="R8" s="19" t="s">
        <v>66</v>
      </c>
    </row>
    <row r="9" spans="3:18" ht="12.75">
      <c r="C9" s="16"/>
      <c r="E9" s="19" t="s">
        <v>223</v>
      </c>
      <c r="F9" s="19" t="s">
        <v>223</v>
      </c>
      <c r="G9" s="19" t="s">
        <v>98</v>
      </c>
      <c r="H9" s="15" t="s">
        <v>98</v>
      </c>
      <c r="J9" s="19" t="s">
        <v>223</v>
      </c>
      <c r="K9" s="19" t="s">
        <v>223</v>
      </c>
      <c r="L9" s="19" t="s">
        <v>98</v>
      </c>
      <c r="M9" s="15" t="s">
        <v>98</v>
      </c>
      <c r="O9" s="19" t="s">
        <v>223</v>
      </c>
      <c r="P9" s="19" t="s">
        <v>223</v>
      </c>
      <c r="Q9" s="19" t="s">
        <v>98</v>
      </c>
      <c r="R9" s="15" t="s">
        <v>98</v>
      </c>
    </row>
    <row r="10" ht="12.75">
      <c r="A10" s="13" t="s">
        <v>106</v>
      </c>
    </row>
    <row r="11" spans="2:48" ht="12.75">
      <c r="B11" s="13" t="s">
        <v>68</v>
      </c>
      <c r="C11" s="16">
        <v>1</v>
      </c>
      <c r="D11" s="16" t="s">
        <v>55</v>
      </c>
      <c r="E11" s="24">
        <v>3.3</v>
      </c>
      <c r="F11" s="24">
        <f>E11*$C11</f>
        <v>3.3</v>
      </c>
      <c r="G11" s="24">
        <f>IF(E11=0,"",IF(D11="nd",E11/2,E11))</f>
        <v>1.65</v>
      </c>
      <c r="H11" s="24">
        <f>IF(E11=0,"",IF(D11="nd",E11/2*$C11,E11*$C11))</f>
        <v>1.65</v>
      </c>
      <c r="I11" s="24" t="s">
        <v>55</v>
      </c>
      <c r="J11" s="24">
        <v>2.6</v>
      </c>
      <c r="K11" s="24">
        <f aca="true" t="shared" si="0" ref="K11:K35">J11*$C11</f>
        <v>2.6</v>
      </c>
      <c r="L11" s="24">
        <f>IF(J11=0,"",IF(I11="nd",J11/2,J11))</f>
        <v>1.3</v>
      </c>
      <c r="M11" s="24">
        <f>IF(J11=0,"",IF(I11="nd",J11/2*$C11,J11*$C11))</f>
        <v>1.3</v>
      </c>
      <c r="N11" s="24" t="s">
        <v>55</v>
      </c>
      <c r="O11" s="24">
        <v>3</v>
      </c>
      <c r="P11" s="24">
        <f aca="true" t="shared" si="1" ref="P11:P35">O11*$C11</f>
        <v>3</v>
      </c>
      <c r="Q11" s="24">
        <f>IF(O11=0,"",IF(N11="nd",O11/2,O11))</f>
        <v>1.5</v>
      </c>
      <c r="R11" s="24">
        <f>IF(O11=0,"",IF(N11="nd",O11/2*$C11,O11*$C11))</f>
        <v>1.5</v>
      </c>
      <c r="S11" s="2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2:48" ht="12.75">
      <c r="B12" s="13" t="s">
        <v>69</v>
      </c>
      <c r="C12" s="16">
        <v>0</v>
      </c>
      <c r="D12" s="16"/>
      <c r="E12" s="25">
        <v>47</v>
      </c>
      <c r="F12" s="24">
        <f aca="true" t="shared" si="2" ref="F12:F35">E12*$C12</f>
        <v>0</v>
      </c>
      <c r="G12" s="25">
        <f aca="true" t="shared" si="3" ref="G12:G35">IF(E12=0,"",IF(D12="nd",E12/2,E12))</f>
        <v>47</v>
      </c>
      <c r="H12" s="24">
        <f aca="true" t="shared" si="4" ref="H12:H35">IF(G12="","",G12*$C12)</f>
        <v>0</v>
      </c>
      <c r="I12" s="24"/>
      <c r="J12" s="24">
        <v>34</v>
      </c>
      <c r="K12" s="24">
        <f t="shared" si="0"/>
        <v>0</v>
      </c>
      <c r="L12" s="24">
        <f aca="true" t="shared" si="5" ref="L12:L35">IF(J12=0,"",IF(I12="nd",J12/2,J12))</f>
        <v>34</v>
      </c>
      <c r="M12" s="24">
        <f aca="true" t="shared" si="6" ref="M12:M35">IF(L12="","",L12*$C12)</f>
        <v>0</v>
      </c>
      <c r="N12" s="24"/>
      <c r="O12" s="24">
        <v>75</v>
      </c>
      <c r="P12" s="24">
        <f t="shared" si="1"/>
        <v>0</v>
      </c>
      <c r="Q12" s="24">
        <f aca="true" t="shared" si="7" ref="Q12:Q35">IF(O12=0,"",IF(N12="nd",O12/2,O12))</f>
        <v>75</v>
      </c>
      <c r="R12" s="24">
        <f aca="true" t="shared" si="8" ref="R12:R35">IF(Q12="","",Q12*$C12)</f>
        <v>0</v>
      </c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2:48" ht="12.75">
      <c r="B13" s="13" t="s">
        <v>70</v>
      </c>
      <c r="C13" s="16">
        <v>0.5</v>
      </c>
      <c r="D13" s="16" t="s">
        <v>55</v>
      </c>
      <c r="E13" s="25">
        <v>13</v>
      </c>
      <c r="F13" s="24">
        <f t="shared" si="2"/>
        <v>6.5</v>
      </c>
      <c r="G13" s="25">
        <f t="shared" si="3"/>
        <v>6.5</v>
      </c>
      <c r="H13" s="24">
        <f t="shared" si="4"/>
        <v>3.25</v>
      </c>
      <c r="I13" s="24" t="s">
        <v>55</v>
      </c>
      <c r="J13" s="24">
        <v>13</v>
      </c>
      <c r="K13" s="24">
        <f t="shared" si="0"/>
        <v>6.5</v>
      </c>
      <c r="L13" s="24">
        <f t="shared" si="5"/>
        <v>6.5</v>
      </c>
      <c r="M13" s="24">
        <f t="shared" si="6"/>
        <v>3.25</v>
      </c>
      <c r="N13" s="24" t="s">
        <v>55</v>
      </c>
      <c r="O13" s="24">
        <v>13</v>
      </c>
      <c r="P13" s="24">
        <f t="shared" si="1"/>
        <v>6.5</v>
      </c>
      <c r="Q13" s="24">
        <f t="shared" si="7"/>
        <v>6.5</v>
      </c>
      <c r="R13" s="24">
        <f t="shared" si="8"/>
        <v>3.25</v>
      </c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2:48" ht="12.75">
      <c r="B14" s="13" t="s">
        <v>71</v>
      </c>
      <c r="C14" s="16">
        <v>0</v>
      </c>
      <c r="D14" s="16" t="s">
        <v>55</v>
      </c>
      <c r="E14" s="25">
        <v>250</v>
      </c>
      <c r="F14" s="24">
        <f t="shared" si="2"/>
        <v>0</v>
      </c>
      <c r="G14" s="25">
        <f t="shared" si="3"/>
        <v>125</v>
      </c>
      <c r="H14" s="24">
        <f t="shared" si="4"/>
        <v>0</v>
      </c>
      <c r="I14" s="24" t="s">
        <v>55</v>
      </c>
      <c r="J14" s="24">
        <v>230</v>
      </c>
      <c r="K14" s="24">
        <f t="shared" si="0"/>
        <v>0</v>
      </c>
      <c r="L14" s="25">
        <f t="shared" si="5"/>
        <v>115</v>
      </c>
      <c r="M14" s="24">
        <f t="shared" si="6"/>
        <v>0</v>
      </c>
      <c r="N14" s="24" t="s">
        <v>55</v>
      </c>
      <c r="O14" s="24">
        <v>240</v>
      </c>
      <c r="P14" s="24">
        <f t="shared" si="1"/>
        <v>0</v>
      </c>
      <c r="Q14" s="25">
        <f t="shared" si="7"/>
        <v>120</v>
      </c>
      <c r="R14" s="24">
        <f t="shared" si="8"/>
        <v>0</v>
      </c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2:48" ht="12.75">
      <c r="B15" s="13" t="s">
        <v>72</v>
      </c>
      <c r="C15" s="16">
        <v>0.1</v>
      </c>
      <c r="D15" s="16" t="s">
        <v>55</v>
      </c>
      <c r="E15" s="25">
        <v>18</v>
      </c>
      <c r="F15" s="24">
        <f t="shared" si="2"/>
        <v>1.8</v>
      </c>
      <c r="G15" s="25">
        <f t="shared" si="3"/>
        <v>9</v>
      </c>
      <c r="H15" s="24">
        <f t="shared" si="4"/>
        <v>0.9</v>
      </c>
      <c r="I15" s="24" t="s">
        <v>55</v>
      </c>
      <c r="J15" s="24">
        <v>12</v>
      </c>
      <c r="K15" s="24">
        <f t="shared" si="0"/>
        <v>1.2000000000000002</v>
      </c>
      <c r="L15" s="25">
        <f t="shared" si="5"/>
        <v>6</v>
      </c>
      <c r="M15" s="24">
        <f t="shared" si="6"/>
        <v>0.6000000000000001</v>
      </c>
      <c r="N15" s="24" t="s">
        <v>55</v>
      </c>
      <c r="O15" s="24">
        <v>11</v>
      </c>
      <c r="P15" s="24">
        <f t="shared" si="1"/>
        <v>1.1</v>
      </c>
      <c r="Q15" s="24">
        <f t="shared" si="7"/>
        <v>5.5</v>
      </c>
      <c r="R15" s="24">
        <f t="shared" si="8"/>
        <v>0.55</v>
      </c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2:48" ht="12.75">
      <c r="B16" s="13" t="s">
        <v>73</v>
      </c>
      <c r="C16" s="16">
        <v>0.1</v>
      </c>
      <c r="D16" s="16" t="s">
        <v>55</v>
      </c>
      <c r="E16" s="25">
        <v>12</v>
      </c>
      <c r="F16" s="24">
        <f t="shared" si="2"/>
        <v>1.2000000000000002</v>
      </c>
      <c r="G16" s="25">
        <f t="shared" si="3"/>
        <v>6</v>
      </c>
      <c r="H16" s="24">
        <f t="shared" si="4"/>
        <v>0.6000000000000001</v>
      </c>
      <c r="I16" s="24" t="s">
        <v>55</v>
      </c>
      <c r="J16" s="24">
        <v>8.4</v>
      </c>
      <c r="K16" s="24">
        <f t="shared" si="0"/>
        <v>0.8400000000000001</v>
      </c>
      <c r="L16" s="25">
        <f t="shared" si="5"/>
        <v>4.2</v>
      </c>
      <c r="M16" s="24">
        <f t="shared" si="6"/>
        <v>0.42000000000000004</v>
      </c>
      <c r="N16" s="24" t="s">
        <v>55</v>
      </c>
      <c r="O16" s="24">
        <v>8.9</v>
      </c>
      <c r="P16" s="24">
        <f t="shared" si="1"/>
        <v>0.8900000000000001</v>
      </c>
      <c r="Q16" s="24">
        <f t="shared" si="7"/>
        <v>4.45</v>
      </c>
      <c r="R16" s="24">
        <f t="shared" si="8"/>
        <v>0.44500000000000006</v>
      </c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2:48" ht="12.75">
      <c r="B17" s="13" t="s">
        <v>74</v>
      </c>
      <c r="C17" s="16">
        <v>0.1</v>
      </c>
      <c r="D17" s="16" t="s">
        <v>55</v>
      </c>
      <c r="E17" s="25">
        <v>14</v>
      </c>
      <c r="F17" s="24">
        <f t="shared" si="2"/>
        <v>1.4000000000000001</v>
      </c>
      <c r="G17" s="25">
        <f t="shared" si="3"/>
        <v>7</v>
      </c>
      <c r="H17" s="24">
        <f t="shared" si="4"/>
        <v>0.7000000000000001</v>
      </c>
      <c r="I17" s="24" t="s">
        <v>55</v>
      </c>
      <c r="J17" s="24">
        <v>10</v>
      </c>
      <c r="K17" s="24">
        <f t="shared" si="0"/>
        <v>1</v>
      </c>
      <c r="L17" s="25">
        <f t="shared" si="5"/>
        <v>5</v>
      </c>
      <c r="M17" s="24">
        <f t="shared" si="6"/>
        <v>0.5</v>
      </c>
      <c r="N17" s="24" t="s">
        <v>55</v>
      </c>
      <c r="O17" s="24">
        <v>11</v>
      </c>
      <c r="P17" s="24">
        <f t="shared" si="1"/>
        <v>1.1</v>
      </c>
      <c r="Q17" s="24">
        <f t="shared" si="7"/>
        <v>5.5</v>
      </c>
      <c r="R17" s="24">
        <f t="shared" si="8"/>
        <v>0.55</v>
      </c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</row>
    <row r="18" spans="2:48" ht="12.75">
      <c r="B18" s="13" t="s">
        <v>75</v>
      </c>
      <c r="C18" s="16">
        <v>0</v>
      </c>
      <c r="D18" s="16" t="s">
        <v>55</v>
      </c>
      <c r="E18" s="25">
        <v>52</v>
      </c>
      <c r="F18" s="24">
        <f t="shared" si="2"/>
        <v>0</v>
      </c>
      <c r="G18" s="25">
        <f t="shared" si="3"/>
        <v>26</v>
      </c>
      <c r="H18" s="24">
        <f t="shared" si="4"/>
        <v>0</v>
      </c>
      <c r="I18" s="24" t="s">
        <v>55</v>
      </c>
      <c r="J18" s="24">
        <v>29</v>
      </c>
      <c r="K18" s="24">
        <f t="shared" si="0"/>
        <v>0</v>
      </c>
      <c r="L18" s="25">
        <f t="shared" si="5"/>
        <v>14.5</v>
      </c>
      <c r="M18" s="24">
        <f t="shared" si="6"/>
        <v>0</v>
      </c>
      <c r="N18" s="24"/>
      <c r="O18" s="24">
        <v>20</v>
      </c>
      <c r="P18" s="24">
        <f t="shared" si="1"/>
        <v>0</v>
      </c>
      <c r="Q18" s="25">
        <f t="shared" si="7"/>
        <v>20</v>
      </c>
      <c r="R18" s="24">
        <f t="shared" si="8"/>
        <v>0</v>
      </c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</row>
    <row r="19" spans="2:48" ht="12.75">
      <c r="B19" s="13" t="s">
        <v>76</v>
      </c>
      <c r="C19" s="16">
        <v>0.01</v>
      </c>
      <c r="D19" s="16"/>
      <c r="E19" s="25">
        <v>66</v>
      </c>
      <c r="F19" s="24">
        <f t="shared" si="2"/>
        <v>0.66</v>
      </c>
      <c r="G19" s="25">
        <f t="shared" si="3"/>
        <v>66</v>
      </c>
      <c r="H19" s="24">
        <f t="shared" si="4"/>
        <v>0.66</v>
      </c>
      <c r="I19" s="24"/>
      <c r="J19" s="24">
        <v>25</v>
      </c>
      <c r="K19" s="24">
        <f t="shared" si="0"/>
        <v>0.25</v>
      </c>
      <c r="L19" s="25">
        <f t="shared" si="5"/>
        <v>25</v>
      </c>
      <c r="M19" s="24">
        <f t="shared" si="6"/>
        <v>0.25</v>
      </c>
      <c r="N19" s="24"/>
      <c r="O19" s="24">
        <v>29</v>
      </c>
      <c r="P19" s="24">
        <f t="shared" si="1"/>
        <v>0.29</v>
      </c>
      <c r="Q19" s="25">
        <f t="shared" si="7"/>
        <v>29</v>
      </c>
      <c r="R19" s="24">
        <f t="shared" si="8"/>
        <v>0.29</v>
      </c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2:48" ht="12.75">
      <c r="B20" s="13" t="s">
        <v>77</v>
      </c>
      <c r="C20" s="16">
        <v>0</v>
      </c>
      <c r="D20" s="16"/>
      <c r="E20" s="25">
        <v>120</v>
      </c>
      <c r="F20" s="24">
        <f t="shared" si="2"/>
        <v>0</v>
      </c>
      <c r="G20" s="25">
        <f t="shared" si="3"/>
        <v>120</v>
      </c>
      <c r="H20" s="24">
        <f t="shared" si="4"/>
        <v>0</v>
      </c>
      <c r="I20" s="24"/>
      <c r="J20" s="24">
        <v>53</v>
      </c>
      <c r="K20" s="24">
        <f t="shared" si="0"/>
        <v>0</v>
      </c>
      <c r="L20" s="25">
        <f t="shared" si="5"/>
        <v>53</v>
      </c>
      <c r="M20" s="24">
        <f t="shared" si="6"/>
        <v>0</v>
      </c>
      <c r="N20" s="24"/>
      <c r="O20" s="24">
        <v>59</v>
      </c>
      <c r="P20" s="24">
        <f t="shared" si="1"/>
        <v>0</v>
      </c>
      <c r="Q20" s="25">
        <f t="shared" si="7"/>
        <v>59</v>
      </c>
      <c r="R20" s="24">
        <f t="shared" si="8"/>
        <v>0</v>
      </c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2:48" ht="12.75">
      <c r="B21" s="13" t="s">
        <v>78</v>
      </c>
      <c r="C21" s="16">
        <v>0.001</v>
      </c>
      <c r="D21" s="16"/>
      <c r="E21" s="25">
        <v>340</v>
      </c>
      <c r="F21" s="24">
        <f t="shared" si="2"/>
        <v>0.34</v>
      </c>
      <c r="G21" s="25">
        <f t="shared" si="3"/>
        <v>340</v>
      </c>
      <c r="H21" s="24">
        <f t="shared" si="4"/>
        <v>0.34</v>
      </c>
      <c r="I21" s="24"/>
      <c r="J21" s="24">
        <v>150</v>
      </c>
      <c r="K21" s="24">
        <f t="shared" si="0"/>
        <v>0.15</v>
      </c>
      <c r="L21" s="25">
        <f t="shared" si="5"/>
        <v>150</v>
      </c>
      <c r="M21" s="24">
        <f t="shared" si="6"/>
        <v>0.15</v>
      </c>
      <c r="N21" s="24"/>
      <c r="O21" s="24">
        <v>140</v>
      </c>
      <c r="P21" s="24">
        <f t="shared" si="1"/>
        <v>0.14</v>
      </c>
      <c r="Q21" s="25">
        <f t="shared" si="7"/>
        <v>140</v>
      </c>
      <c r="R21" s="24">
        <f t="shared" si="8"/>
        <v>0.14</v>
      </c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</row>
    <row r="22" spans="2:48" ht="12.75">
      <c r="B22" s="13" t="s">
        <v>79</v>
      </c>
      <c r="C22" s="16">
        <v>0.1</v>
      </c>
      <c r="D22" s="16"/>
      <c r="E22" s="25">
        <v>63</v>
      </c>
      <c r="F22" s="24">
        <f t="shared" si="2"/>
        <v>6.300000000000001</v>
      </c>
      <c r="G22" s="25">
        <f t="shared" si="3"/>
        <v>63</v>
      </c>
      <c r="H22" s="24">
        <f t="shared" si="4"/>
        <v>6.300000000000001</v>
      </c>
      <c r="I22" s="24"/>
      <c r="J22" s="24">
        <v>14</v>
      </c>
      <c r="K22" s="24">
        <f t="shared" si="0"/>
        <v>1.4000000000000001</v>
      </c>
      <c r="L22" s="25">
        <f t="shared" si="5"/>
        <v>14</v>
      </c>
      <c r="M22" s="24">
        <f t="shared" si="6"/>
        <v>1.4000000000000001</v>
      </c>
      <c r="N22" s="24"/>
      <c r="O22" s="24">
        <v>21</v>
      </c>
      <c r="P22" s="24">
        <f t="shared" si="1"/>
        <v>2.1</v>
      </c>
      <c r="Q22" s="25">
        <f t="shared" si="7"/>
        <v>21</v>
      </c>
      <c r="R22" s="24">
        <f t="shared" si="8"/>
        <v>2.1</v>
      </c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</row>
    <row r="23" spans="2:48" ht="12.75">
      <c r="B23" s="13" t="s">
        <v>80</v>
      </c>
      <c r="C23" s="16">
        <v>0</v>
      </c>
      <c r="D23" s="16"/>
      <c r="E23" s="25">
        <v>620</v>
      </c>
      <c r="F23" s="24">
        <f t="shared" si="2"/>
        <v>0</v>
      </c>
      <c r="G23" s="25">
        <f t="shared" si="3"/>
        <v>620</v>
      </c>
      <c r="H23" s="24">
        <f t="shared" si="4"/>
        <v>0</v>
      </c>
      <c r="I23" s="24"/>
      <c r="J23" s="24">
        <v>230</v>
      </c>
      <c r="K23" s="24">
        <f t="shared" si="0"/>
        <v>0</v>
      </c>
      <c r="L23" s="25">
        <f t="shared" si="5"/>
        <v>230</v>
      </c>
      <c r="M23" s="24">
        <f t="shared" si="6"/>
        <v>0</v>
      </c>
      <c r="N23" s="24"/>
      <c r="O23" s="24">
        <v>410</v>
      </c>
      <c r="P23" s="24">
        <f t="shared" si="1"/>
        <v>0</v>
      </c>
      <c r="Q23" s="25">
        <f t="shared" si="7"/>
        <v>410</v>
      </c>
      <c r="R23" s="24">
        <f t="shared" si="8"/>
        <v>0</v>
      </c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2:48" ht="12.75">
      <c r="B24" s="13" t="s">
        <v>81</v>
      </c>
      <c r="C24" s="16">
        <v>0.05</v>
      </c>
      <c r="D24" s="16"/>
      <c r="E24" s="25">
        <v>39</v>
      </c>
      <c r="F24" s="24">
        <f t="shared" si="2"/>
        <v>1.9500000000000002</v>
      </c>
      <c r="G24" s="25">
        <f t="shared" si="3"/>
        <v>39</v>
      </c>
      <c r="H24" s="24">
        <f t="shared" si="4"/>
        <v>1.9500000000000002</v>
      </c>
      <c r="I24" s="24" t="s">
        <v>55</v>
      </c>
      <c r="J24" s="24">
        <v>14</v>
      </c>
      <c r="K24" s="24">
        <f t="shared" si="0"/>
        <v>0.7000000000000001</v>
      </c>
      <c r="L24" s="25">
        <f t="shared" si="5"/>
        <v>7</v>
      </c>
      <c r="M24" s="24">
        <f t="shared" si="6"/>
        <v>0.35000000000000003</v>
      </c>
      <c r="N24" s="24"/>
      <c r="O24" s="24">
        <v>15</v>
      </c>
      <c r="P24" s="24">
        <f t="shared" si="1"/>
        <v>0.75</v>
      </c>
      <c r="Q24" s="25">
        <f t="shared" si="7"/>
        <v>15</v>
      </c>
      <c r="R24" s="24">
        <f t="shared" si="8"/>
        <v>0.75</v>
      </c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</row>
    <row r="25" spans="2:48" ht="12.75">
      <c r="B25" s="13" t="s">
        <v>82</v>
      </c>
      <c r="C25" s="16">
        <v>0.5</v>
      </c>
      <c r="D25" s="16"/>
      <c r="E25" s="25">
        <v>47</v>
      </c>
      <c r="F25" s="24">
        <f t="shared" si="2"/>
        <v>23.5</v>
      </c>
      <c r="G25" s="25">
        <f t="shared" si="3"/>
        <v>47</v>
      </c>
      <c r="H25" s="24">
        <f t="shared" si="4"/>
        <v>23.5</v>
      </c>
      <c r="I25" s="24"/>
      <c r="J25" s="24">
        <v>12</v>
      </c>
      <c r="K25" s="24">
        <f t="shared" si="0"/>
        <v>6</v>
      </c>
      <c r="L25" s="25">
        <f t="shared" si="5"/>
        <v>12</v>
      </c>
      <c r="M25" s="24">
        <f t="shared" si="6"/>
        <v>6</v>
      </c>
      <c r="N25" s="24"/>
      <c r="O25" s="24">
        <v>25</v>
      </c>
      <c r="P25" s="24">
        <f t="shared" si="1"/>
        <v>12.5</v>
      </c>
      <c r="Q25" s="25">
        <f t="shared" si="7"/>
        <v>25</v>
      </c>
      <c r="R25" s="24">
        <f t="shared" si="8"/>
        <v>12.5</v>
      </c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</row>
    <row r="26" spans="2:48" ht="12.75">
      <c r="B26" s="13" t="s">
        <v>83</v>
      </c>
      <c r="C26" s="16">
        <v>0</v>
      </c>
      <c r="D26" s="16"/>
      <c r="E26" s="25">
        <v>450</v>
      </c>
      <c r="F26" s="24">
        <f t="shared" si="2"/>
        <v>0</v>
      </c>
      <c r="G26" s="25">
        <f t="shared" si="3"/>
        <v>450</v>
      </c>
      <c r="H26" s="24">
        <f t="shared" si="4"/>
        <v>0</v>
      </c>
      <c r="I26" s="24"/>
      <c r="J26" s="24">
        <v>120</v>
      </c>
      <c r="K26" s="24">
        <f t="shared" si="0"/>
        <v>0</v>
      </c>
      <c r="L26" s="25">
        <f t="shared" si="5"/>
        <v>120</v>
      </c>
      <c r="M26" s="24">
        <f t="shared" si="6"/>
        <v>0</v>
      </c>
      <c r="N26" s="24"/>
      <c r="O26" s="24">
        <v>280</v>
      </c>
      <c r="P26" s="24">
        <f t="shared" si="1"/>
        <v>0</v>
      </c>
      <c r="Q26" s="25">
        <f t="shared" si="7"/>
        <v>280</v>
      </c>
      <c r="R26" s="24">
        <f t="shared" si="8"/>
        <v>0</v>
      </c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</row>
    <row r="27" spans="2:48" ht="12.75">
      <c r="B27" s="13" t="s">
        <v>84</v>
      </c>
      <c r="C27" s="16">
        <v>0.1</v>
      </c>
      <c r="D27" s="16"/>
      <c r="E27" s="25">
        <v>50</v>
      </c>
      <c r="F27" s="24">
        <f t="shared" si="2"/>
        <v>5</v>
      </c>
      <c r="G27" s="25">
        <f t="shared" si="3"/>
        <v>50</v>
      </c>
      <c r="H27" s="24">
        <f t="shared" si="4"/>
        <v>5</v>
      </c>
      <c r="I27" s="24"/>
      <c r="J27" s="24">
        <v>18</v>
      </c>
      <c r="K27" s="24">
        <f t="shared" si="0"/>
        <v>1.8</v>
      </c>
      <c r="L27" s="25">
        <f t="shared" si="5"/>
        <v>18</v>
      </c>
      <c r="M27" s="24">
        <f t="shared" si="6"/>
        <v>1.8</v>
      </c>
      <c r="N27" s="24"/>
      <c r="O27" s="24">
        <v>27</v>
      </c>
      <c r="P27" s="24">
        <f t="shared" si="1"/>
        <v>2.7</v>
      </c>
      <c r="Q27" s="25">
        <f t="shared" si="7"/>
        <v>27</v>
      </c>
      <c r="R27" s="24">
        <f t="shared" si="8"/>
        <v>2.7</v>
      </c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</row>
    <row r="28" spans="2:48" ht="12.75">
      <c r="B28" s="13" t="s">
        <v>85</v>
      </c>
      <c r="C28" s="16">
        <v>0.1</v>
      </c>
      <c r="D28" s="16"/>
      <c r="E28" s="25">
        <v>34</v>
      </c>
      <c r="F28" s="24">
        <f t="shared" si="2"/>
        <v>3.4000000000000004</v>
      </c>
      <c r="G28" s="25">
        <f t="shared" si="3"/>
        <v>34</v>
      </c>
      <c r="H28" s="24">
        <f t="shared" si="4"/>
        <v>3.4000000000000004</v>
      </c>
      <c r="I28" s="24"/>
      <c r="J28" s="24">
        <v>14</v>
      </c>
      <c r="K28" s="24">
        <f t="shared" si="0"/>
        <v>1.4000000000000001</v>
      </c>
      <c r="L28" s="25">
        <f t="shared" si="5"/>
        <v>14</v>
      </c>
      <c r="M28" s="24">
        <f t="shared" si="6"/>
        <v>1.4000000000000001</v>
      </c>
      <c r="N28" s="24"/>
      <c r="O28" s="24">
        <v>27</v>
      </c>
      <c r="P28" s="24">
        <f t="shared" si="1"/>
        <v>2.7</v>
      </c>
      <c r="Q28" s="25">
        <f t="shared" si="7"/>
        <v>27</v>
      </c>
      <c r="R28" s="24">
        <f t="shared" si="8"/>
        <v>2.7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</row>
    <row r="29" spans="2:48" ht="12.75">
      <c r="B29" s="13" t="s">
        <v>86</v>
      </c>
      <c r="C29" s="16">
        <v>0.1</v>
      </c>
      <c r="D29" s="16"/>
      <c r="E29" s="25">
        <v>54</v>
      </c>
      <c r="F29" s="24">
        <f t="shared" si="2"/>
        <v>5.4</v>
      </c>
      <c r="G29" s="25">
        <f t="shared" si="3"/>
        <v>54</v>
      </c>
      <c r="H29" s="24">
        <f t="shared" si="4"/>
        <v>5.4</v>
      </c>
      <c r="I29" s="24"/>
      <c r="J29" s="24">
        <v>20</v>
      </c>
      <c r="K29" s="24">
        <f t="shared" si="0"/>
        <v>2</v>
      </c>
      <c r="L29" s="25">
        <f t="shared" si="5"/>
        <v>20</v>
      </c>
      <c r="M29" s="24">
        <f t="shared" si="6"/>
        <v>2</v>
      </c>
      <c r="N29" s="24"/>
      <c r="O29" s="24">
        <v>46</v>
      </c>
      <c r="P29" s="24">
        <f t="shared" si="1"/>
        <v>4.6000000000000005</v>
      </c>
      <c r="Q29" s="25">
        <f t="shared" si="7"/>
        <v>46</v>
      </c>
      <c r="R29" s="24">
        <f t="shared" si="8"/>
        <v>4.6000000000000005</v>
      </c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</row>
    <row r="30" spans="2:48" ht="12.75">
      <c r="B30" s="13" t="s">
        <v>87</v>
      </c>
      <c r="C30" s="16">
        <v>0.1</v>
      </c>
      <c r="D30" s="16" t="s">
        <v>55</v>
      </c>
      <c r="E30" s="25">
        <v>11</v>
      </c>
      <c r="F30" s="24">
        <f t="shared" si="2"/>
        <v>1.1</v>
      </c>
      <c r="G30" s="24">
        <f t="shared" si="3"/>
        <v>5.5</v>
      </c>
      <c r="H30" s="24">
        <f t="shared" si="4"/>
        <v>0.55</v>
      </c>
      <c r="I30" s="24" t="s">
        <v>55</v>
      </c>
      <c r="J30" s="24">
        <v>8.1</v>
      </c>
      <c r="K30" s="24">
        <f t="shared" si="0"/>
        <v>0.81</v>
      </c>
      <c r="L30" s="24">
        <f t="shared" si="5"/>
        <v>4.05</v>
      </c>
      <c r="M30" s="24">
        <f t="shared" si="6"/>
        <v>0.405</v>
      </c>
      <c r="N30" s="24" t="s">
        <v>55</v>
      </c>
      <c r="O30" s="24">
        <v>12</v>
      </c>
      <c r="P30" s="24">
        <f t="shared" si="1"/>
        <v>1.2000000000000002</v>
      </c>
      <c r="Q30" s="25">
        <f t="shared" si="7"/>
        <v>6</v>
      </c>
      <c r="R30" s="24">
        <f t="shared" si="8"/>
        <v>0.6000000000000001</v>
      </c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</row>
    <row r="31" spans="2:48" ht="12.75">
      <c r="B31" s="13" t="s">
        <v>88</v>
      </c>
      <c r="C31" s="16">
        <v>0</v>
      </c>
      <c r="D31" s="16"/>
      <c r="E31" s="25">
        <v>430</v>
      </c>
      <c r="F31" s="24">
        <f t="shared" si="2"/>
        <v>0</v>
      </c>
      <c r="G31" s="25">
        <f t="shared" si="3"/>
        <v>430</v>
      </c>
      <c r="H31" s="24">
        <f t="shared" si="4"/>
        <v>0</v>
      </c>
      <c r="I31" s="24"/>
      <c r="J31" s="24">
        <v>130</v>
      </c>
      <c r="K31" s="24">
        <f t="shared" si="0"/>
        <v>0</v>
      </c>
      <c r="L31" s="25">
        <f t="shared" si="5"/>
        <v>130</v>
      </c>
      <c r="M31" s="24">
        <f t="shared" si="6"/>
        <v>0</v>
      </c>
      <c r="N31" s="24"/>
      <c r="O31" s="24">
        <v>240</v>
      </c>
      <c r="P31" s="24">
        <f t="shared" si="1"/>
        <v>0</v>
      </c>
      <c r="Q31" s="25">
        <f t="shared" si="7"/>
        <v>240</v>
      </c>
      <c r="R31" s="24">
        <f t="shared" si="8"/>
        <v>0</v>
      </c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</row>
    <row r="32" spans="2:48" ht="12.75">
      <c r="B32" s="13" t="s">
        <v>89</v>
      </c>
      <c r="C32" s="16">
        <v>0.01</v>
      </c>
      <c r="D32" s="16"/>
      <c r="E32" s="25">
        <v>180</v>
      </c>
      <c r="F32" s="24">
        <f t="shared" si="2"/>
        <v>1.8</v>
      </c>
      <c r="G32" s="25">
        <f t="shared" si="3"/>
        <v>180</v>
      </c>
      <c r="H32" s="24">
        <f t="shared" si="4"/>
        <v>1.8</v>
      </c>
      <c r="I32" s="24"/>
      <c r="J32" s="24">
        <v>46</v>
      </c>
      <c r="K32" s="24">
        <f t="shared" si="0"/>
        <v>0.46</v>
      </c>
      <c r="L32" s="25">
        <f t="shared" si="5"/>
        <v>46</v>
      </c>
      <c r="M32" s="24">
        <f t="shared" si="6"/>
        <v>0.46</v>
      </c>
      <c r="N32" s="24"/>
      <c r="O32" s="24">
        <v>72</v>
      </c>
      <c r="P32" s="24">
        <f t="shared" si="1"/>
        <v>0.72</v>
      </c>
      <c r="Q32" s="25">
        <f t="shared" si="7"/>
        <v>72</v>
      </c>
      <c r="R32" s="24">
        <f t="shared" si="8"/>
        <v>0.72</v>
      </c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</row>
    <row r="33" spans="2:48" ht="12.75">
      <c r="B33" s="13" t="s">
        <v>90</v>
      </c>
      <c r="C33" s="16">
        <v>0.01</v>
      </c>
      <c r="D33" s="16" t="s">
        <v>55</v>
      </c>
      <c r="E33" s="25">
        <v>17</v>
      </c>
      <c r="F33" s="24">
        <f t="shared" si="2"/>
        <v>0.17</v>
      </c>
      <c r="G33" s="25">
        <f t="shared" si="3"/>
        <v>8.5</v>
      </c>
      <c r="H33" s="24">
        <f t="shared" si="4"/>
        <v>0.085</v>
      </c>
      <c r="I33" s="24" t="s">
        <v>55</v>
      </c>
      <c r="J33" s="24">
        <v>10</v>
      </c>
      <c r="K33" s="24">
        <f t="shared" si="0"/>
        <v>0.1</v>
      </c>
      <c r="L33" s="25">
        <f t="shared" si="5"/>
        <v>5</v>
      </c>
      <c r="M33" s="24">
        <f t="shared" si="6"/>
        <v>0.05</v>
      </c>
      <c r="N33" s="24" t="s">
        <v>55</v>
      </c>
      <c r="O33" s="24">
        <v>13</v>
      </c>
      <c r="P33" s="24">
        <f t="shared" si="1"/>
        <v>0.13</v>
      </c>
      <c r="Q33" s="24">
        <f t="shared" si="7"/>
        <v>6.5</v>
      </c>
      <c r="R33" s="24">
        <f t="shared" si="8"/>
        <v>0.065</v>
      </c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</row>
    <row r="34" spans="2:48" ht="12.75">
      <c r="B34" s="13" t="s">
        <v>91</v>
      </c>
      <c r="C34" s="16">
        <v>0</v>
      </c>
      <c r="D34" s="16"/>
      <c r="E34" s="25">
        <v>180</v>
      </c>
      <c r="F34" s="24">
        <f t="shared" si="2"/>
        <v>0</v>
      </c>
      <c r="G34" s="25">
        <f t="shared" si="3"/>
        <v>180</v>
      </c>
      <c r="H34" s="24">
        <f t="shared" si="4"/>
        <v>0</v>
      </c>
      <c r="I34" s="24"/>
      <c r="J34" s="24">
        <v>46</v>
      </c>
      <c r="K34" s="24">
        <f t="shared" si="0"/>
        <v>0</v>
      </c>
      <c r="L34" s="25">
        <f t="shared" si="5"/>
        <v>46</v>
      </c>
      <c r="M34" s="24">
        <f t="shared" si="6"/>
        <v>0</v>
      </c>
      <c r="N34" s="24"/>
      <c r="O34" s="24">
        <v>72</v>
      </c>
      <c r="P34" s="24">
        <f t="shared" si="1"/>
        <v>0</v>
      </c>
      <c r="Q34" s="25">
        <f t="shared" si="7"/>
        <v>72</v>
      </c>
      <c r="R34" s="24">
        <f t="shared" si="8"/>
        <v>0</v>
      </c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</row>
    <row r="35" spans="2:48" ht="12.75">
      <c r="B35" s="13" t="s">
        <v>92</v>
      </c>
      <c r="C35" s="16">
        <v>0.001</v>
      </c>
      <c r="D35" s="16"/>
      <c r="E35" s="25">
        <v>98</v>
      </c>
      <c r="F35" s="24">
        <f t="shared" si="2"/>
        <v>0.098</v>
      </c>
      <c r="G35" s="25">
        <f t="shared" si="3"/>
        <v>98</v>
      </c>
      <c r="H35" s="24">
        <f t="shared" si="4"/>
        <v>0.098</v>
      </c>
      <c r="I35" s="24"/>
      <c r="J35" s="24">
        <v>28</v>
      </c>
      <c r="K35" s="24">
        <f t="shared" si="0"/>
        <v>0.028</v>
      </c>
      <c r="L35" s="25">
        <f t="shared" si="5"/>
        <v>28</v>
      </c>
      <c r="M35" s="24">
        <f t="shared" si="6"/>
        <v>0.028</v>
      </c>
      <c r="N35" s="24"/>
      <c r="O35" s="24">
        <v>29</v>
      </c>
      <c r="P35" s="24">
        <f t="shared" si="1"/>
        <v>0.029</v>
      </c>
      <c r="Q35" s="25">
        <f t="shared" si="7"/>
        <v>29</v>
      </c>
      <c r="R35" s="24">
        <f t="shared" si="8"/>
        <v>0.029</v>
      </c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</row>
    <row r="36" spans="5:17" ht="12.75">
      <c r="E36" s="22"/>
      <c r="G36" s="22"/>
      <c r="I36" s="22"/>
      <c r="J36" s="22"/>
      <c r="K36" s="22"/>
      <c r="L36" s="22"/>
      <c r="M36" s="22"/>
      <c r="N36" s="22"/>
      <c r="O36" s="22"/>
      <c r="Q36" s="22"/>
    </row>
    <row r="37" spans="2:18" s="24" customFormat="1" ht="12.75">
      <c r="B37" s="24" t="s">
        <v>107</v>
      </c>
      <c r="E37" s="1">
        <v>122</v>
      </c>
      <c r="F37" s="1">
        <v>122</v>
      </c>
      <c r="G37" s="1">
        <v>122</v>
      </c>
      <c r="H37" s="1">
        <v>122</v>
      </c>
      <c r="J37" s="1">
        <v>137</v>
      </c>
      <c r="K37" s="1">
        <v>137</v>
      </c>
      <c r="L37" s="1">
        <v>137</v>
      </c>
      <c r="M37" s="1">
        <v>137</v>
      </c>
      <c r="O37" s="1">
        <v>132.6</v>
      </c>
      <c r="P37" s="1">
        <v>132.6</v>
      </c>
      <c r="Q37" s="1">
        <v>132.6</v>
      </c>
      <c r="R37" s="1">
        <v>132.6</v>
      </c>
    </row>
    <row r="38" spans="2:18" ht="12.75">
      <c r="B38" s="13" t="s">
        <v>93</v>
      </c>
      <c r="E38" s="24">
        <v>15.5</v>
      </c>
      <c r="F38" s="24">
        <v>15.5</v>
      </c>
      <c r="G38" s="24">
        <v>15.5</v>
      </c>
      <c r="H38" s="24">
        <v>15.5</v>
      </c>
      <c r="I38" s="22"/>
      <c r="J38" s="24">
        <v>14.4</v>
      </c>
      <c r="K38" s="24">
        <v>14.4</v>
      </c>
      <c r="L38" s="24">
        <v>14.4</v>
      </c>
      <c r="M38" s="24">
        <v>14.4</v>
      </c>
      <c r="N38" s="22"/>
      <c r="O38" s="24">
        <v>14.5</v>
      </c>
      <c r="P38" s="24">
        <v>14.5</v>
      </c>
      <c r="Q38" s="24">
        <v>14.5</v>
      </c>
      <c r="R38" s="24">
        <v>14.5</v>
      </c>
    </row>
    <row r="39" spans="5:17" ht="12.75">
      <c r="E39" s="22"/>
      <c r="G39" s="22"/>
      <c r="I39" s="22"/>
      <c r="J39" s="22"/>
      <c r="K39" s="22"/>
      <c r="L39" s="22"/>
      <c r="M39" s="22"/>
      <c r="N39" s="22"/>
      <c r="O39" s="22"/>
      <c r="Q39" s="22"/>
    </row>
    <row r="40" spans="2:18" s="25" customFormat="1" ht="12.75">
      <c r="B40" s="25" t="s">
        <v>108</v>
      </c>
      <c r="E40" s="25">
        <f>SUM(E12,E14,E18,E20,E21,E23,E26,E31,E34,E35)</f>
        <v>2587</v>
      </c>
      <c r="F40" s="25">
        <f>SUM(F11:F35)</f>
        <v>63.918</v>
      </c>
      <c r="G40" s="25">
        <f>SUM(G11:G35)</f>
        <v>3013.15</v>
      </c>
      <c r="H40" s="25">
        <f>SUM(H11:H35)</f>
        <v>56.18299999999999</v>
      </c>
      <c r="J40" s="25">
        <f>SUM(J12,J14,J18,J20,J21,J23,J26,J31,J34,J35)</f>
        <v>1050</v>
      </c>
      <c r="K40" s="25">
        <f>SUM(K11:K35)</f>
        <v>27.238</v>
      </c>
      <c r="L40" s="25">
        <f>SUM(L11:L35)</f>
        <v>1108.55</v>
      </c>
      <c r="M40" s="25">
        <f>SUM(M11:M35)</f>
        <v>20.363</v>
      </c>
      <c r="O40" s="25">
        <f>SUM(O12,O14,O18,O20,O21,O23,O26,O31,O34,O35)</f>
        <v>1565</v>
      </c>
      <c r="P40" s="25">
        <f>SUM(P11:P35)</f>
        <v>40.449000000000005</v>
      </c>
      <c r="Q40" s="25">
        <f>SUM(Q11:Q35)</f>
        <v>1742.95</v>
      </c>
      <c r="R40" s="25">
        <f>SUM(R11:R35)</f>
        <v>33.489</v>
      </c>
    </row>
    <row r="41" spans="2:18" ht="12.75">
      <c r="B41" s="13" t="s">
        <v>95</v>
      </c>
      <c r="C41" s="15"/>
      <c r="D41" s="24">
        <f>(F41-H41)*2/F41*100</f>
        <v>24.20288494633749</v>
      </c>
      <c r="E41" s="15">
        <f>E40/E37*(21-7)/(21-E38)/0.0283/1000</f>
        <v>1.907284628711959</v>
      </c>
      <c r="F41" s="15">
        <f>F40/F37*(21-7)/(21-F38)/0.0283/1000</f>
        <v>0.04712401194356821</v>
      </c>
      <c r="G41" s="15">
        <f>G40/G37*(21-7)/(21-G38)/0.0283/1000</f>
        <v>2.221466826054673</v>
      </c>
      <c r="H41" s="15">
        <f>H40/H37*(21-7)/(21-H38)/0.0283/1000</f>
        <v>0.041421326747168134</v>
      </c>
      <c r="I41" s="24">
        <f>(K41-M41)*2/K41*100</f>
        <v>50.48094573757253</v>
      </c>
      <c r="J41" s="15">
        <f>J40/J37*(21-7)/(21-J38)/0.0283/1000</f>
        <v>0.5744687336598816</v>
      </c>
      <c r="K41" s="15">
        <f>K40/K37*(21-7)/(21-K38)/0.0283/1000</f>
        <v>0.01490226606421701</v>
      </c>
      <c r="L41" s="15">
        <f>L40/L37*(21-7)/(21-L38)/0.0283/1000</f>
        <v>0.6065022044749161</v>
      </c>
      <c r="M41" s="15">
        <f>M40/M37*(21-7)/(21-M38)/0.0283/1000</f>
        <v>0.011140863641443972</v>
      </c>
      <c r="N41" s="24">
        <f>(P41-R41)*2/P41*100</f>
        <v>34.4137061484833</v>
      </c>
      <c r="O41" s="15">
        <f>O40/O37*(21-7)/(21-O38)/0.0283/1000</f>
        <v>0.8982537962599682</v>
      </c>
      <c r="P41" s="15">
        <f>P40/P37*(21-7)/(21-P38)/0.0283/1000</f>
        <v>0.02321627335777601</v>
      </c>
      <c r="Q41" s="15">
        <f>Q40/Q37*(21-7)/(21-Q38)/0.0283/1000</f>
        <v>1.0003907055535537</v>
      </c>
      <c r="R41" s="15">
        <f>R40/R37*(21-7)/(21-R38)/0.0283/1000</f>
        <v>0.019221483311789182</v>
      </c>
    </row>
    <row r="42" spans="5:17" ht="12.75">
      <c r="E42" s="23"/>
      <c r="G42" s="23"/>
      <c r="I42" s="23"/>
      <c r="J42" s="23"/>
      <c r="K42" s="23"/>
      <c r="L42" s="23"/>
      <c r="M42" s="23"/>
      <c r="N42" s="23"/>
      <c r="O42" s="23"/>
      <c r="Q42" s="23"/>
    </row>
    <row r="43" spans="2:23" s="22" customFormat="1" ht="12.75">
      <c r="B43" s="22" t="s">
        <v>100</v>
      </c>
      <c r="C43" s="15">
        <f>AVERAGE(H41,M41,R41)</f>
        <v>0.023927891233467096</v>
      </c>
      <c r="F43" s="15"/>
      <c r="H43" s="15"/>
      <c r="P43" s="14"/>
      <c r="R43" s="14"/>
      <c r="S43" s="13"/>
      <c r="T43" s="13"/>
      <c r="U43" s="13"/>
      <c r="V43" s="13"/>
      <c r="W43" s="13"/>
    </row>
    <row r="44" spans="2:3" ht="12.75">
      <c r="B44" s="13" t="s">
        <v>101</v>
      </c>
      <c r="C44" s="22">
        <f>AVERAGE(G41,L41,Q41)</f>
        <v>1.2761199120277142</v>
      </c>
    </row>
    <row r="45" spans="5:18" ht="12.75">
      <c r="E45" s="13"/>
      <c r="G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5:18" ht="12.75">
      <c r="E46" s="13"/>
      <c r="G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5:18" ht="12.75">
      <c r="E47" s="13"/>
      <c r="G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5:18" ht="12.75">
      <c r="E48" s="13"/>
      <c r="G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5:18" ht="12.75">
      <c r="E49" s="13"/>
      <c r="G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5:18" ht="12.75">
      <c r="E50" s="13"/>
      <c r="G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5:18" ht="12.75">
      <c r="E51" s="13"/>
      <c r="G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5:18" ht="12.75">
      <c r="E52" s="13"/>
      <c r="G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5:18" ht="12.75">
      <c r="E53" s="13"/>
      <c r="G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5:18" ht="12.75">
      <c r="E54" s="13"/>
      <c r="G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5:18" ht="12.75">
      <c r="E55" s="13"/>
      <c r="G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5:18" ht="12.75">
      <c r="E56" s="13"/>
      <c r="G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5:18" ht="12.75">
      <c r="E57" s="13"/>
      <c r="G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5:18" ht="12.75">
      <c r="E58" s="13"/>
      <c r="G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5:18" ht="12.75">
      <c r="E59" s="13"/>
      <c r="G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5:18" ht="12.75">
      <c r="E60" s="13"/>
      <c r="G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5:18" ht="12.75">
      <c r="E61" s="13"/>
      <c r="G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5:18" ht="12.75">
      <c r="E62" s="13"/>
      <c r="G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5:18" ht="12.75">
      <c r="E63" s="13"/>
      <c r="G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5:18" ht="12.75">
      <c r="E64" s="13"/>
      <c r="G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21">
      <selection activeCell="B2" sqref="B2"/>
    </sheetView>
  </sheetViews>
  <sheetFormatPr defaultColWidth="9.140625" defaultRowHeight="12.75"/>
  <cols>
    <col min="1" max="1" width="2.28125" style="29" customWidth="1"/>
    <col min="2" max="2" width="25.8515625" style="29" customWidth="1"/>
    <col min="3" max="3" width="7.8515625" style="29" customWidth="1"/>
    <col min="4" max="4" width="6.28125" style="29" customWidth="1"/>
    <col min="5" max="5" width="6.8515625" style="30" customWidth="1"/>
    <col min="6" max="6" width="7.57421875" style="31" customWidth="1"/>
    <col min="7" max="7" width="7.8515625" style="30" customWidth="1"/>
    <col min="8" max="8" width="7.57421875" style="31" customWidth="1"/>
    <col min="9" max="9" width="5.28125" style="30" customWidth="1"/>
    <col min="10" max="10" width="7.00390625" style="30" customWidth="1"/>
    <col min="11" max="13" width="7.421875" style="30" customWidth="1"/>
    <col min="14" max="14" width="5.8515625" style="30" customWidth="1"/>
    <col min="15" max="15" width="7.00390625" style="30" customWidth="1"/>
    <col min="16" max="16" width="8.00390625" style="30" customWidth="1"/>
    <col min="17" max="17" width="7.28125" style="30" customWidth="1"/>
    <col min="18" max="18" width="8.00390625" style="30" customWidth="1"/>
    <col min="19" max="19" width="7.7109375" style="29" customWidth="1"/>
    <col min="20" max="20" width="7.8515625" style="29" customWidth="1"/>
    <col min="21" max="21" width="7.7109375" style="29" customWidth="1"/>
    <col min="22" max="22" width="7.00390625" style="29" customWidth="1"/>
    <col min="23" max="23" width="7.421875" style="29" customWidth="1"/>
    <col min="24" max="16384" width="10.8515625" style="29" customWidth="1"/>
  </cols>
  <sheetData>
    <row r="1" ht="12.75">
      <c r="A1" s="28" t="s">
        <v>99</v>
      </c>
    </row>
    <row r="2" ht="12.75">
      <c r="A2" s="29" t="s">
        <v>232</v>
      </c>
    </row>
    <row r="3" spans="1:3" ht="12.75">
      <c r="A3" s="29" t="s">
        <v>228</v>
      </c>
      <c r="C3" s="55" t="s">
        <v>97</v>
      </c>
    </row>
    <row r="4" spans="1:18" ht="12.75">
      <c r="A4" s="29" t="s">
        <v>231</v>
      </c>
      <c r="C4" s="55" t="s">
        <v>164</v>
      </c>
      <c r="D4" s="32"/>
      <c r="E4" s="33"/>
      <c r="F4" s="34"/>
      <c r="G4" s="33"/>
      <c r="H4" s="34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4" ht="12.75">
      <c r="A5" s="29" t="s">
        <v>226</v>
      </c>
      <c r="C5" s="55" t="s">
        <v>230</v>
      </c>
      <c r="D5" s="32"/>
    </row>
    <row r="6" spans="3:17" ht="12.75">
      <c r="C6" s="32"/>
      <c r="D6" s="32"/>
      <c r="E6" s="35"/>
      <c r="G6" s="35"/>
      <c r="J6" s="35"/>
      <c r="L6" s="35"/>
      <c r="O6" s="35"/>
      <c r="Q6" s="35"/>
    </row>
    <row r="7" spans="3:20" ht="12.75">
      <c r="C7" s="32" t="s">
        <v>59</v>
      </c>
      <c r="D7" s="32"/>
      <c r="E7" s="36" t="s">
        <v>60</v>
      </c>
      <c r="F7" s="36"/>
      <c r="G7" s="36"/>
      <c r="H7" s="36"/>
      <c r="I7" s="37"/>
      <c r="J7" s="36" t="s">
        <v>61</v>
      </c>
      <c r="K7" s="36"/>
      <c r="L7" s="36"/>
      <c r="M7" s="36"/>
      <c r="N7" s="37"/>
      <c r="O7" s="36" t="s">
        <v>62</v>
      </c>
      <c r="P7" s="36"/>
      <c r="Q7" s="36"/>
      <c r="R7" s="36"/>
      <c r="T7" s="29" t="s">
        <v>170</v>
      </c>
    </row>
    <row r="8" spans="3:20" ht="12.75">
      <c r="C8" s="32" t="s">
        <v>63</v>
      </c>
      <c r="E8" s="35" t="s">
        <v>64</v>
      </c>
      <c r="F8" s="34" t="s">
        <v>65</v>
      </c>
      <c r="G8" s="35" t="s">
        <v>64</v>
      </c>
      <c r="H8" s="34" t="s">
        <v>65</v>
      </c>
      <c r="J8" s="35" t="s">
        <v>64</v>
      </c>
      <c r="K8" s="35" t="s">
        <v>66</v>
      </c>
      <c r="L8" s="35" t="s">
        <v>64</v>
      </c>
      <c r="M8" s="35" t="s">
        <v>66</v>
      </c>
      <c r="O8" s="35" t="s">
        <v>64</v>
      </c>
      <c r="P8" s="35" t="s">
        <v>66</v>
      </c>
      <c r="Q8" s="35" t="s">
        <v>64</v>
      </c>
      <c r="R8" s="35" t="s">
        <v>66</v>
      </c>
      <c r="T8" s="35" t="s">
        <v>64</v>
      </c>
    </row>
    <row r="9" spans="3:20" ht="12.75">
      <c r="C9" s="32"/>
      <c r="E9" s="19" t="s">
        <v>223</v>
      </c>
      <c r="F9" s="19" t="s">
        <v>223</v>
      </c>
      <c r="G9" s="35" t="s">
        <v>98</v>
      </c>
      <c r="H9" s="31" t="s">
        <v>98</v>
      </c>
      <c r="J9" s="19" t="s">
        <v>223</v>
      </c>
      <c r="K9" s="19" t="s">
        <v>223</v>
      </c>
      <c r="L9" s="35" t="s">
        <v>98</v>
      </c>
      <c r="M9" s="31" t="s">
        <v>98</v>
      </c>
      <c r="O9" s="19" t="s">
        <v>223</v>
      </c>
      <c r="P9" s="19" t="s">
        <v>223</v>
      </c>
      <c r="Q9" s="35" t="s">
        <v>98</v>
      </c>
      <c r="R9" s="31" t="s">
        <v>98</v>
      </c>
      <c r="T9" s="35" t="s">
        <v>98</v>
      </c>
    </row>
    <row r="10" ht="12.75">
      <c r="A10" s="29" t="s">
        <v>67</v>
      </c>
    </row>
    <row r="11" spans="2:48" ht="12.75">
      <c r="B11" s="29" t="s">
        <v>68</v>
      </c>
      <c r="C11" s="32">
        <v>1</v>
      </c>
      <c r="D11" s="32" t="s">
        <v>55</v>
      </c>
      <c r="E11" s="38">
        <v>0.003</v>
      </c>
      <c r="F11" s="38">
        <f>E11*C11</f>
        <v>0.003</v>
      </c>
      <c r="G11" s="38">
        <f>IF(E11=0,"",IF(D11="nd",E11/2,E11))</f>
        <v>0.0015</v>
      </c>
      <c r="H11" s="38">
        <f>IF(E11=0,"",IF(D11="nd",E11/2*$C11,E11*$C11))</f>
        <v>0.0015</v>
      </c>
      <c r="I11" s="39" t="s">
        <v>55</v>
      </c>
      <c r="J11" s="38">
        <v>0.003</v>
      </c>
      <c r="K11" s="38">
        <f>J11*$C11</f>
        <v>0.003</v>
      </c>
      <c r="L11" s="38">
        <f>IF(J11=0,"",IF(I11="nd",J11/2,J11))</f>
        <v>0.0015</v>
      </c>
      <c r="M11" s="38">
        <f>IF(J11=0,"",IF(I11="nd",J11/2*$C11,J11*$C11))</f>
        <v>0.0015</v>
      </c>
      <c r="N11" s="39" t="s">
        <v>55</v>
      </c>
      <c r="O11" s="38">
        <v>0.002</v>
      </c>
      <c r="P11" s="38">
        <f aca="true" t="shared" si="0" ref="P11:P35">O11*$C11</f>
        <v>0.002</v>
      </c>
      <c r="Q11" s="38">
        <f>IF(O11=0,"",IF(N11="nd",O11/2,O11))</f>
        <v>0.001</v>
      </c>
      <c r="R11" s="38">
        <f>IF(O11=0,"",IF(N11="nd",O11/2*$C11,O11*$C11))</f>
        <v>0.001</v>
      </c>
      <c r="S11" s="39"/>
      <c r="T11" s="38">
        <f>AVERAGE(E11,J11,O11)/2</f>
        <v>0.0013333333333333333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2:48" ht="12.75">
      <c r="B12" s="13" t="s">
        <v>69</v>
      </c>
      <c r="C12" s="32">
        <v>0</v>
      </c>
      <c r="D12" s="32"/>
      <c r="E12" s="38">
        <v>0.012</v>
      </c>
      <c r="F12" s="38">
        <f aca="true" t="shared" si="1" ref="F12:F35">E12*C12</f>
        <v>0</v>
      </c>
      <c r="G12" s="38">
        <f aca="true" t="shared" si="2" ref="G12:G35">IF(E12=0,"",IF(D12="nd",E12/2,E12))</f>
        <v>0.012</v>
      </c>
      <c r="H12" s="38">
        <f aca="true" t="shared" si="3" ref="H12:H35">IF(G12="","",G12*$C12)</f>
        <v>0</v>
      </c>
      <c r="I12" s="39"/>
      <c r="J12" s="38">
        <v>0.018</v>
      </c>
      <c r="K12" s="38">
        <f aca="true" t="shared" si="4" ref="K12:K35">J12*$C12</f>
        <v>0</v>
      </c>
      <c r="L12" s="38">
        <f aca="true" t="shared" si="5" ref="L12:L35">IF(J12=0,"",IF(I12="nd",J12/2,J12))</f>
        <v>0.018</v>
      </c>
      <c r="M12" s="38">
        <f aca="true" t="shared" si="6" ref="M12:M35">IF(L12="","",L12*$C12)</f>
        <v>0</v>
      </c>
      <c r="N12" s="39"/>
      <c r="O12" s="38">
        <v>0.004</v>
      </c>
      <c r="P12" s="38">
        <f t="shared" si="0"/>
        <v>0</v>
      </c>
      <c r="Q12" s="38">
        <f aca="true" t="shared" si="7" ref="Q12:Q35">IF(O12=0,"",IF(N12="nd",O12/2,O12))</f>
        <v>0.004</v>
      </c>
      <c r="R12" s="38">
        <f aca="true" t="shared" si="8" ref="R12:R35">IF(Q12="","",Q12*$C12)</f>
        <v>0</v>
      </c>
      <c r="S12" s="39"/>
      <c r="T12" s="38">
        <f>AVERAGE(E12,J12,O12)</f>
        <v>0.011333333333333334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2:48" ht="12.75">
      <c r="B13" s="29" t="s">
        <v>70</v>
      </c>
      <c r="C13" s="32">
        <v>0.5</v>
      </c>
      <c r="D13" s="32" t="s">
        <v>55</v>
      </c>
      <c r="E13" s="38">
        <v>0.006</v>
      </c>
      <c r="F13" s="38">
        <f t="shared" si="1"/>
        <v>0.003</v>
      </c>
      <c r="G13" s="38">
        <f t="shared" si="2"/>
        <v>0.003</v>
      </c>
      <c r="H13" s="38">
        <f t="shared" si="3"/>
        <v>0.0015</v>
      </c>
      <c r="I13" s="39" t="s">
        <v>55</v>
      </c>
      <c r="J13" s="38">
        <v>0.005</v>
      </c>
      <c r="K13" s="38">
        <f t="shared" si="4"/>
        <v>0.0025</v>
      </c>
      <c r="L13" s="38">
        <f t="shared" si="5"/>
        <v>0.0025</v>
      </c>
      <c r="M13" s="38">
        <f t="shared" si="6"/>
        <v>0.00125</v>
      </c>
      <c r="N13" s="39" t="s">
        <v>55</v>
      </c>
      <c r="O13" s="38">
        <v>0.004</v>
      </c>
      <c r="P13" s="38">
        <f t="shared" si="0"/>
        <v>0.002</v>
      </c>
      <c r="Q13" s="38">
        <f t="shared" si="7"/>
        <v>0.002</v>
      </c>
      <c r="R13" s="38">
        <f t="shared" si="8"/>
        <v>0.001</v>
      </c>
      <c r="S13" s="39"/>
      <c r="T13" s="38">
        <f>AVERAGE(E13,J13,O13)/2</f>
        <v>0.0025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2:48" ht="12.75">
      <c r="B14" s="13" t="s">
        <v>71</v>
      </c>
      <c r="C14" s="32">
        <v>0</v>
      </c>
      <c r="D14" s="32" t="s">
        <v>55</v>
      </c>
      <c r="E14" s="38">
        <v>0.006</v>
      </c>
      <c r="F14" s="38">
        <f t="shared" si="1"/>
        <v>0</v>
      </c>
      <c r="G14" s="38">
        <f t="shared" si="2"/>
        <v>0.003</v>
      </c>
      <c r="H14" s="38">
        <f t="shared" si="3"/>
        <v>0</v>
      </c>
      <c r="I14" s="39"/>
      <c r="J14" s="38">
        <v>0.017</v>
      </c>
      <c r="K14" s="38">
        <f t="shared" si="4"/>
        <v>0</v>
      </c>
      <c r="L14" s="38">
        <f t="shared" si="5"/>
        <v>0.017</v>
      </c>
      <c r="M14" s="38">
        <f t="shared" si="6"/>
        <v>0</v>
      </c>
      <c r="N14" s="39" t="s">
        <v>55</v>
      </c>
      <c r="O14" s="38">
        <v>0.004</v>
      </c>
      <c r="P14" s="38">
        <f t="shared" si="0"/>
        <v>0</v>
      </c>
      <c r="Q14" s="38">
        <f t="shared" si="7"/>
        <v>0.002</v>
      </c>
      <c r="R14" s="38">
        <f t="shared" si="8"/>
        <v>0</v>
      </c>
      <c r="S14" s="39"/>
      <c r="T14" s="38">
        <f>AVERAGE(E14/2,J14,O14/2)</f>
        <v>0.007333333333333333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  <row r="15" spans="2:48" ht="12.75">
      <c r="B15" s="29" t="s">
        <v>72</v>
      </c>
      <c r="C15" s="32">
        <v>0.1</v>
      </c>
      <c r="D15" s="32" t="s">
        <v>55</v>
      </c>
      <c r="E15" s="38">
        <v>0.003</v>
      </c>
      <c r="F15" s="38">
        <f t="shared" si="1"/>
        <v>0.00030000000000000003</v>
      </c>
      <c r="G15" s="38">
        <f t="shared" si="2"/>
        <v>0.0015</v>
      </c>
      <c r="H15" s="38">
        <f t="shared" si="3"/>
        <v>0.00015000000000000001</v>
      </c>
      <c r="I15" s="39"/>
      <c r="J15" s="38">
        <v>0.005</v>
      </c>
      <c r="K15" s="38">
        <f t="shared" si="4"/>
        <v>0.0005</v>
      </c>
      <c r="L15" s="38">
        <f t="shared" si="5"/>
        <v>0.005</v>
      </c>
      <c r="M15" s="38">
        <f t="shared" si="6"/>
        <v>0.0005</v>
      </c>
      <c r="N15" s="39" t="s">
        <v>55</v>
      </c>
      <c r="O15" s="38">
        <v>0.004</v>
      </c>
      <c r="P15" s="38">
        <f t="shared" si="0"/>
        <v>0.0004</v>
      </c>
      <c r="Q15" s="38">
        <f t="shared" si="7"/>
        <v>0.002</v>
      </c>
      <c r="R15" s="38">
        <f t="shared" si="8"/>
        <v>0.0002</v>
      </c>
      <c r="S15" s="39"/>
      <c r="T15" s="38">
        <f>AVERAGE(E15/2,J15,O15/2)</f>
        <v>0.0028333333333333335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</row>
    <row r="16" spans="2:48" ht="12.75">
      <c r="B16" s="29" t="s">
        <v>73</v>
      </c>
      <c r="C16" s="32">
        <v>0.1</v>
      </c>
      <c r="D16" s="32"/>
      <c r="E16" s="38">
        <v>0.008</v>
      </c>
      <c r="F16" s="38">
        <f t="shared" si="1"/>
        <v>0.0008</v>
      </c>
      <c r="G16" s="38">
        <f t="shared" si="2"/>
        <v>0.008</v>
      </c>
      <c r="H16" s="38">
        <f t="shared" si="3"/>
        <v>0.0008</v>
      </c>
      <c r="I16" s="39"/>
      <c r="J16" s="38">
        <v>0.012</v>
      </c>
      <c r="K16" s="38">
        <f t="shared" si="4"/>
        <v>0.0012000000000000001</v>
      </c>
      <c r="L16" s="38">
        <f t="shared" si="5"/>
        <v>0.012</v>
      </c>
      <c r="M16" s="38">
        <f t="shared" si="6"/>
        <v>0.0012000000000000001</v>
      </c>
      <c r="N16" s="39" t="s">
        <v>55</v>
      </c>
      <c r="O16" s="38">
        <v>0.004</v>
      </c>
      <c r="P16" s="38">
        <f t="shared" si="0"/>
        <v>0.0004</v>
      </c>
      <c r="Q16" s="38">
        <f t="shared" si="7"/>
        <v>0.002</v>
      </c>
      <c r="R16" s="38">
        <f t="shared" si="8"/>
        <v>0.0002</v>
      </c>
      <c r="S16" s="39"/>
      <c r="T16" s="38">
        <f>AVERAGE(E16,J16,O16/2)</f>
        <v>0.007333333333333333</v>
      </c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2:48" ht="12.75">
      <c r="B17" s="29" t="s">
        <v>74</v>
      </c>
      <c r="C17" s="32">
        <v>0.1</v>
      </c>
      <c r="D17" s="32"/>
      <c r="E17" s="38">
        <v>0.007</v>
      </c>
      <c r="F17" s="38">
        <f t="shared" si="1"/>
        <v>0.0007000000000000001</v>
      </c>
      <c r="G17" s="38">
        <f t="shared" si="2"/>
        <v>0.007</v>
      </c>
      <c r="H17" s="38">
        <f t="shared" si="3"/>
        <v>0.0007000000000000001</v>
      </c>
      <c r="I17" s="39"/>
      <c r="J17" s="38">
        <v>0.008</v>
      </c>
      <c r="K17" s="38">
        <f t="shared" si="4"/>
        <v>0.0008</v>
      </c>
      <c r="L17" s="38">
        <f t="shared" si="5"/>
        <v>0.008</v>
      </c>
      <c r="M17" s="38">
        <f t="shared" si="6"/>
        <v>0.0008</v>
      </c>
      <c r="N17" s="39" t="s">
        <v>55</v>
      </c>
      <c r="O17" s="38">
        <v>0.004</v>
      </c>
      <c r="P17" s="38">
        <f t="shared" si="0"/>
        <v>0.0004</v>
      </c>
      <c r="Q17" s="38">
        <f t="shared" si="7"/>
        <v>0.002</v>
      </c>
      <c r="R17" s="38">
        <f t="shared" si="8"/>
        <v>0.0002</v>
      </c>
      <c r="S17" s="39"/>
      <c r="T17" s="38">
        <f>AVERAGE(E17,J17,O17/2)</f>
        <v>0.005666666666666667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</row>
    <row r="18" spans="2:48" ht="12.75">
      <c r="B18" s="13" t="s">
        <v>75</v>
      </c>
      <c r="C18" s="32">
        <v>0</v>
      </c>
      <c r="D18" s="32"/>
      <c r="E18" s="38">
        <v>0.035</v>
      </c>
      <c r="F18" s="38">
        <f t="shared" si="1"/>
        <v>0</v>
      </c>
      <c r="G18" s="38">
        <f t="shared" si="2"/>
        <v>0.035</v>
      </c>
      <c r="H18" s="38">
        <f t="shared" si="3"/>
        <v>0</v>
      </c>
      <c r="I18" s="39"/>
      <c r="J18" s="38">
        <v>0.075</v>
      </c>
      <c r="K18" s="38">
        <f t="shared" si="4"/>
        <v>0</v>
      </c>
      <c r="L18" s="38">
        <f t="shared" si="5"/>
        <v>0.075</v>
      </c>
      <c r="M18" s="38">
        <f t="shared" si="6"/>
        <v>0</v>
      </c>
      <c r="N18" s="39"/>
      <c r="O18" s="38">
        <v>0.014</v>
      </c>
      <c r="P18" s="38">
        <f t="shared" si="0"/>
        <v>0</v>
      </c>
      <c r="Q18" s="38">
        <f t="shared" si="7"/>
        <v>0.014</v>
      </c>
      <c r="R18" s="38">
        <f t="shared" si="8"/>
        <v>0</v>
      </c>
      <c r="S18" s="39"/>
      <c r="T18" s="38">
        <f>AVERAGE(E18,J18,O18)</f>
        <v>0.04133333333333333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</row>
    <row r="19" spans="2:48" ht="12.75">
      <c r="B19" s="29" t="s">
        <v>76</v>
      </c>
      <c r="C19" s="32">
        <v>0.01</v>
      </c>
      <c r="D19" s="32"/>
      <c r="E19" s="38">
        <v>0.029</v>
      </c>
      <c r="F19" s="38">
        <f t="shared" si="1"/>
        <v>0.00029</v>
      </c>
      <c r="G19" s="38">
        <f t="shared" si="2"/>
        <v>0.029</v>
      </c>
      <c r="H19" s="38">
        <f t="shared" si="3"/>
        <v>0.00029</v>
      </c>
      <c r="I19" s="39"/>
      <c r="J19" s="38">
        <v>0.083</v>
      </c>
      <c r="K19" s="38">
        <f t="shared" si="4"/>
        <v>0.00083</v>
      </c>
      <c r="L19" s="38">
        <f t="shared" si="5"/>
        <v>0.083</v>
      </c>
      <c r="M19" s="38">
        <f t="shared" si="6"/>
        <v>0.00083</v>
      </c>
      <c r="N19" s="39"/>
      <c r="O19" s="38">
        <v>0.022</v>
      </c>
      <c r="P19" s="38">
        <f t="shared" si="0"/>
        <v>0.00021999999999999998</v>
      </c>
      <c r="Q19" s="38">
        <f t="shared" si="7"/>
        <v>0.022</v>
      </c>
      <c r="R19" s="38">
        <f t="shared" si="8"/>
        <v>0.00021999999999999998</v>
      </c>
      <c r="S19" s="39"/>
      <c r="T19" s="38">
        <f>AVERAGE(E19,J19,O19)</f>
        <v>0.04466666666666667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</row>
    <row r="20" spans="2:48" ht="12.75">
      <c r="B20" s="13" t="s">
        <v>77</v>
      </c>
      <c r="C20" s="32">
        <v>0</v>
      </c>
      <c r="D20" s="32"/>
      <c r="E20" s="38">
        <v>0.042</v>
      </c>
      <c r="F20" s="38">
        <f t="shared" si="1"/>
        <v>0</v>
      </c>
      <c r="G20" s="38">
        <f t="shared" si="2"/>
        <v>0.042</v>
      </c>
      <c r="H20" s="38">
        <f t="shared" si="3"/>
        <v>0</v>
      </c>
      <c r="I20" s="39"/>
      <c r="J20" s="38">
        <v>0.1</v>
      </c>
      <c r="K20" s="38">
        <f t="shared" si="4"/>
        <v>0</v>
      </c>
      <c r="L20" s="38">
        <f t="shared" si="5"/>
        <v>0.1</v>
      </c>
      <c r="M20" s="38">
        <f t="shared" si="6"/>
        <v>0</v>
      </c>
      <c r="N20" s="39"/>
      <c r="O20" s="38">
        <v>0.035</v>
      </c>
      <c r="P20" s="38">
        <f t="shared" si="0"/>
        <v>0</v>
      </c>
      <c r="Q20" s="38">
        <f t="shared" si="7"/>
        <v>0.035</v>
      </c>
      <c r="R20" s="38">
        <f t="shared" si="8"/>
        <v>0</v>
      </c>
      <c r="S20" s="39"/>
      <c r="T20" s="38">
        <f>AVERAGE(E20,J20,O20)</f>
        <v>0.059000000000000004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</row>
    <row r="21" spans="2:48" ht="12.75">
      <c r="B21" s="29" t="s">
        <v>78</v>
      </c>
      <c r="C21" s="32">
        <v>0.001</v>
      </c>
      <c r="D21" s="32"/>
      <c r="E21" s="38">
        <v>0.14</v>
      </c>
      <c r="F21" s="38">
        <f t="shared" si="1"/>
        <v>0.00014000000000000001</v>
      </c>
      <c r="G21" s="38">
        <f t="shared" si="2"/>
        <v>0.14</v>
      </c>
      <c r="H21" s="38">
        <f t="shared" si="3"/>
        <v>0.00014000000000000001</v>
      </c>
      <c r="I21" s="39"/>
      <c r="J21" s="38">
        <v>0.42</v>
      </c>
      <c r="K21" s="38">
        <f t="shared" si="4"/>
        <v>0.00042</v>
      </c>
      <c r="L21" s="38">
        <f t="shared" si="5"/>
        <v>0.42</v>
      </c>
      <c r="M21" s="38">
        <f t="shared" si="6"/>
        <v>0.00042</v>
      </c>
      <c r="N21" s="39"/>
      <c r="O21" s="38">
        <v>0.17</v>
      </c>
      <c r="P21" s="38">
        <f t="shared" si="0"/>
        <v>0.00017</v>
      </c>
      <c r="Q21" s="38">
        <f t="shared" si="7"/>
        <v>0.17</v>
      </c>
      <c r="R21" s="38">
        <f t="shared" si="8"/>
        <v>0.00017</v>
      </c>
      <c r="S21" s="39"/>
      <c r="T21" s="38">
        <f>AVERAGE(E21,J21,O21)</f>
        <v>0.24333333333333337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</row>
    <row r="22" spans="2:48" ht="12.75">
      <c r="B22" s="29" t="s">
        <v>79</v>
      </c>
      <c r="C22" s="32">
        <v>0.1</v>
      </c>
      <c r="D22" s="32"/>
      <c r="E22" s="38">
        <v>0.008</v>
      </c>
      <c r="F22" s="38">
        <f t="shared" si="1"/>
        <v>0.0008</v>
      </c>
      <c r="G22" s="38">
        <f t="shared" si="2"/>
        <v>0.008</v>
      </c>
      <c r="H22" s="38">
        <f t="shared" si="3"/>
        <v>0.0008</v>
      </c>
      <c r="I22" s="39"/>
      <c r="J22" s="38">
        <v>0.011</v>
      </c>
      <c r="K22" s="38">
        <f t="shared" si="4"/>
        <v>0.0011</v>
      </c>
      <c r="L22" s="38">
        <f t="shared" si="5"/>
        <v>0.011</v>
      </c>
      <c r="M22" s="38">
        <f t="shared" si="6"/>
        <v>0.0011</v>
      </c>
      <c r="N22" s="39" t="s">
        <v>55</v>
      </c>
      <c r="O22" s="38">
        <v>0.003</v>
      </c>
      <c r="P22" s="38">
        <f t="shared" si="0"/>
        <v>0.00030000000000000003</v>
      </c>
      <c r="Q22" s="38">
        <f t="shared" si="7"/>
        <v>0.0015</v>
      </c>
      <c r="R22" s="38">
        <f t="shared" si="8"/>
        <v>0.00015000000000000001</v>
      </c>
      <c r="S22" s="39"/>
      <c r="T22" s="38">
        <f>AVERAGE(E22,J22,O22/2)</f>
        <v>0.006833333333333334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</row>
    <row r="23" spans="2:48" ht="12.75">
      <c r="B23" s="13" t="s">
        <v>80</v>
      </c>
      <c r="C23" s="32">
        <v>0</v>
      </c>
      <c r="D23" s="32"/>
      <c r="E23" s="38">
        <v>0.038</v>
      </c>
      <c r="F23" s="38">
        <f t="shared" si="1"/>
        <v>0</v>
      </c>
      <c r="G23" s="38">
        <f t="shared" si="2"/>
        <v>0.038</v>
      </c>
      <c r="H23" s="38">
        <f t="shared" si="3"/>
        <v>0</v>
      </c>
      <c r="I23" s="39"/>
      <c r="J23" s="38">
        <v>0.044</v>
      </c>
      <c r="K23" s="38">
        <f t="shared" si="4"/>
        <v>0</v>
      </c>
      <c r="L23" s="38">
        <f t="shared" si="5"/>
        <v>0.044</v>
      </c>
      <c r="M23" s="38">
        <f t="shared" si="6"/>
        <v>0</v>
      </c>
      <c r="N23" s="39" t="s">
        <v>55</v>
      </c>
      <c r="O23" s="38">
        <v>0.003</v>
      </c>
      <c r="P23" s="38">
        <f t="shared" si="0"/>
        <v>0</v>
      </c>
      <c r="Q23" s="38">
        <f t="shared" si="7"/>
        <v>0.0015</v>
      </c>
      <c r="R23" s="38">
        <f t="shared" si="8"/>
        <v>0</v>
      </c>
      <c r="S23" s="39"/>
      <c r="T23" s="38">
        <f>AVERAGE(E23,J23,O23/2)</f>
        <v>0.02783333333333333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</row>
    <row r="24" spans="2:48" ht="12.75">
      <c r="B24" s="29" t="s">
        <v>81</v>
      </c>
      <c r="C24" s="32">
        <v>0.05</v>
      </c>
      <c r="D24" s="32"/>
      <c r="E24" s="38">
        <v>0.016</v>
      </c>
      <c r="F24" s="38">
        <f t="shared" si="1"/>
        <v>0.0008</v>
      </c>
      <c r="G24" s="38">
        <f t="shared" si="2"/>
        <v>0.016</v>
      </c>
      <c r="H24" s="38">
        <f t="shared" si="3"/>
        <v>0.0008</v>
      </c>
      <c r="I24" s="39"/>
      <c r="J24" s="38">
        <v>0.022</v>
      </c>
      <c r="K24" s="38">
        <f t="shared" si="4"/>
        <v>0.0011</v>
      </c>
      <c r="L24" s="38">
        <f t="shared" si="5"/>
        <v>0.022</v>
      </c>
      <c r="M24" s="38">
        <f t="shared" si="6"/>
        <v>0.0011</v>
      </c>
      <c r="N24" s="39"/>
      <c r="O24" s="38">
        <v>0.006</v>
      </c>
      <c r="P24" s="38">
        <f t="shared" si="0"/>
        <v>0.00030000000000000003</v>
      </c>
      <c r="Q24" s="38">
        <f t="shared" si="7"/>
        <v>0.006</v>
      </c>
      <c r="R24" s="38">
        <f t="shared" si="8"/>
        <v>0.00030000000000000003</v>
      </c>
      <c r="S24" s="39"/>
      <c r="T24" s="38">
        <f aca="true" t="shared" si="9" ref="T24:T35">AVERAGE(E24,J24,O24)</f>
        <v>0.014666666666666666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</row>
    <row r="25" spans="2:48" ht="12.75">
      <c r="B25" s="29" t="s">
        <v>82</v>
      </c>
      <c r="C25" s="32">
        <v>0.5</v>
      </c>
      <c r="D25" s="32"/>
      <c r="E25" s="38">
        <v>0.012</v>
      </c>
      <c r="F25" s="38">
        <f t="shared" si="1"/>
        <v>0.006</v>
      </c>
      <c r="G25" s="38">
        <f t="shared" si="2"/>
        <v>0.012</v>
      </c>
      <c r="H25" s="38">
        <f t="shared" si="3"/>
        <v>0.006</v>
      </c>
      <c r="I25" s="39"/>
      <c r="J25" s="38">
        <v>0.016</v>
      </c>
      <c r="K25" s="38">
        <f t="shared" si="4"/>
        <v>0.008</v>
      </c>
      <c r="L25" s="38">
        <f t="shared" si="5"/>
        <v>0.016</v>
      </c>
      <c r="M25" s="38">
        <f t="shared" si="6"/>
        <v>0.008</v>
      </c>
      <c r="N25" s="39"/>
      <c r="O25" s="38">
        <v>0.005</v>
      </c>
      <c r="P25" s="38">
        <f t="shared" si="0"/>
        <v>0.0025</v>
      </c>
      <c r="Q25" s="38">
        <f t="shared" si="7"/>
        <v>0.005</v>
      </c>
      <c r="R25" s="38">
        <f t="shared" si="8"/>
        <v>0.0025</v>
      </c>
      <c r="S25" s="39"/>
      <c r="T25" s="38">
        <f t="shared" si="9"/>
        <v>0.011000000000000001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</row>
    <row r="26" spans="2:48" ht="12.75">
      <c r="B26" s="13" t="s">
        <v>83</v>
      </c>
      <c r="C26" s="32">
        <v>0</v>
      </c>
      <c r="D26" s="32"/>
      <c r="E26" s="38">
        <v>0.076</v>
      </c>
      <c r="F26" s="38">
        <f t="shared" si="1"/>
        <v>0</v>
      </c>
      <c r="G26" s="38">
        <f t="shared" si="2"/>
        <v>0.076</v>
      </c>
      <c r="H26" s="38">
        <f t="shared" si="3"/>
        <v>0</v>
      </c>
      <c r="I26" s="39"/>
      <c r="J26" s="38">
        <v>0.12</v>
      </c>
      <c r="K26" s="38">
        <f t="shared" si="4"/>
        <v>0</v>
      </c>
      <c r="L26" s="38">
        <f t="shared" si="5"/>
        <v>0.12</v>
      </c>
      <c r="M26" s="38">
        <f t="shared" si="6"/>
        <v>0</v>
      </c>
      <c r="N26" s="39"/>
      <c r="O26" s="38">
        <v>0.012</v>
      </c>
      <c r="P26" s="38">
        <f t="shared" si="0"/>
        <v>0</v>
      </c>
      <c r="Q26" s="38">
        <f t="shared" si="7"/>
        <v>0.012</v>
      </c>
      <c r="R26" s="38">
        <f t="shared" si="8"/>
        <v>0</v>
      </c>
      <c r="S26" s="39"/>
      <c r="T26" s="38">
        <f t="shared" si="9"/>
        <v>0.06933333333333334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</row>
    <row r="27" spans="2:48" ht="12.75">
      <c r="B27" s="29" t="s">
        <v>84</v>
      </c>
      <c r="C27" s="32">
        <v>0.1</v>
      </c>
      <c r="D27" s="32"/>
      <c r="E27" s="38">
        <v>0.06</v>
      </c>
      <c r="F27" s="38">
        <f t="shared" si="1"/>
        <v>0.006</v>
      </c>
      <c r="G27" s="38">
        <f t="shared" si="2"/>
        <v>0.06</v>
      </c>
      <c r="H27" s="38">
        <f t="shared" si="3"/>
        <v>0.006</v>
      </c>
      <c r="I27" s="39"/>
      <c r="J27" s="38">
        <v>0.074</v>
      </c>
      <c r="K27" s="38">
        <f t="shared" si="4"/>
        <v>0.0074</v>
      </c>
      <c r="L27" s="38">
        <f t="shared" si="5"/>
        <v>0.074</v>
      </c>
      <c r="M27" s="38">
        <f t="shared" si="6"/>
        <v>0.0074</v>
      </c>
      <c r="N27" s="39"/>
      <c r="O27" s="38">
        <v>0.021</v>
      </c>
      <c r="P27" s="38">
        <f t="shared" si="0"/>
        <v>0.0021000000000000003</v>
      </c>
      <c r="Q27" s="38">
        <f t="shared" si="7"/>
        <v>0.021</v>
      </c>
      <c r="R27" s="38">
        <f t="shared" si="8"/>
        <v>0.0021000000000000003</v>
      </c>
      <c r="S27" s="39"/>
      <c r="T27" s="38">
        <f t="shared" si="9"/>
        <v>0.051666666666666666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</row>
    <row r="28" spans="2:48" ht="12.75">
      <c r="B28" s="29" t="s">
        <v>85</v>
      </c>
      <c r="C28" s="32">
        <v>0.1</v>
      </c>
      <c r="D28" s="32"/>
      <c r="E28" s="38">
        <v>0.028</v>
      </c>
      <c r="F28" s="38">
        <f t="shared" si="1"/>
        <v>0.0028000000000000004</v>
      </c>
      <c r="G28" s="38">
        <f t="shared" si="2"/>
        <v>0.028</v>
      </c>
      <c r="H28" s="38">
        <f t="shared" si="3"/>
        <v>0.0028000000000000004</v>
      </c>
      <c r="I28" s="39"/>
      <c r="J28" s="38">
        <v>0.038</v>
      </c>
      <c r="K28" s="38">
        <f t="shared" si="4"/>
        <v>0.0038</v>
      </c>
      <c r="L28" s="38">
        <f t="shared" si="5"/>
        <v>0.038</v>
      </c>
      <c r="M28" s="38">
        <f t="shared" si="6"/>
        <v>0.0038</v>
      </c>
      <c r="N28" s="39"/>
      <c r="O28" s="38">
        <v>0.011</v>
      </c>
      <c r="P28" s="38">
        <f t="shared" si="0"/>
        <v>0.0011</v>
      </c>
      <c r="Q28" s="38">
        <f t="shared" si="7"/>
        <v>0.011</v>
      </c>
      <c r="R28" s="38">
        <f t="shared" si="8"/>
        <v>0.0011</v>
      </c>
      <c r="S28" s="39"/>
      <c r="T28" s="38">
        <f t="shared" si="9"/>
        <v>0.025666666666666667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</row>
    <row r="29" spans="2:48" ht="12.75">
      <c r="B29" s="29" t="s">
        <v>86</v>
      </c>
      <c r="C29" s="32">
        <v>0.1</v>
      </c>
      <c r="D29" s="32"/>
      <c r="E29" s="38">
        <v>0.023</v>
      </c>
      <c r="F29" s="38">
        <f t="shared" si="1"/>
        <v>0.0023</v>
      </c>
      <c r="G29" s="38">
        <f t="shared" si="2"/>
        <v>0.023</v>
      </c>
      <c r="H29" s="38">
        <f t="shared" si="3"/>
        <v>0.0023</v>
      </c>
      <c r="I29" s="39"/>
      <c r="J29" s="38">
        <v>0.03</v>
      </c>
      <c r="K29" s="38">
        <f t="shared" si="4"/>
        <v>0.003</v>
      </c>
      <c r="L29" s="38">
        <f t="shared" si="5"/>
        <v>0.03</v>
      </c>
      <c r="M29" s="38">
        <f t="shared" si="6"/>
        <v>0.003</v>
      </c>
      <c r="N29" s="39"/>
      <c r="O29" s="38">
        <v>0.009</v>
      </c>
      <c r="P29" s="38">
        <f t="shared" si="0"/>
        <v>0.0009</v>
      </c>
      <c r="Q29" s="38">
        <f t="shared" si="7"/>
        <v>0.009</v>
      </c>
      <c r="R29" s="38">
        <f t="shared" si="8"/>
        <v>0.0009</v>
      </c>
      <c r="S29" s="39"/>
      <c r="T29" s="38">
        <f t="shared" si="9"/>
        <v>0.020666666666666667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</row>
    <row r="30" spans="2:48" ht="12.75">
      <c r="B30" s="29" t="s">
        <v>87</v>
      </c>
      <c r="C30" s="32">
        <v>0.1</v>
      </c>
      <c r="D30" s="32"/>
      <c r="E30" s="38">
        <v>0.017</v>
      </c>
      <c r="F30" s="38">
        <f t="shared" si="1"/>
        <v>0.0017000000000000001</v>
      </c>
      <c r="G30" s="38">
        <f t="shared" si="2"/>
        <v>0.017</v>
      </c>
      <c r="H30" s="38">
        <f t="shared" si="3"/>
        <v>0.0017000000000000001</v>
      </c>
      <c r="I30" s="39"/>
      <c r="J30" s="38">
        <v>0.021</v>
      </c>
      <c r="K30" s="38">
        <f t="shared" si="4"/>
        <v>0.0021000000000000003</v>
      </c>
      <c r="L30" s="38">
        <f t="shared" si="5"/>
        <v>0.021</v>
      </c>
      <c r="M30" s="38">
        <f t="shared" si="6"/>
        <v>0.0021000000000000003</v>
      </c>
      <c r="N30" s="39"/>
      <c r="O30" s="38">
        <v>0.007</v>
      </c>
      <c r="P30" s="38">
        <f t="shared" si="0"/>
        <v>0.0007000000000000001</v>
      </c>
      <c r="Q30" s="38">
        <f t="shared" si="7"/>
        <v>0.007</v>
      </c>
      <c r="R30" s="38">
        <f t="shared" si="8"/>
        <v>0.0007000000000000001</v>
      </c>
      <c r="S30" s="39"/>
      <c r="T30" s="38">
        <f t="shared" si="9"/>
        <v>0.015000000000000001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</row>
    <row r="31" spans="2:48" ht="12.75">
      <c r="B31" s="13" t="s">
        <v>88</v>
      </c>
      <c r="C31" s="32">
        <v>0</v>
      </c>
      <c r="D31" s="32"/>
      <c r="E31" s="38">
        <v>0.21</v>
      </c>
      <c r="F31" s="38">
        <f t="shared" si="1"/>
        <v>0</v>
      </c>
      <c r="G31" s="38">
        <f t="shared" si="2"/>
        <v>0.21</v>
      </c>
      <c r="H31" s="38">
        <f t="shared" si="3"/>
        <v>0</v>
      </c>
      <c r="I31" s="39"/>
      <c r="J31" s="38">
        <v>0.29</v>
      </c>
      <c r="K31" s="38">
        <f t="shared" si="4"/>
        <v>0</v>
      </c>
      <c r="L31" s="38">
        <f t="shared" si="5"/>
        <v>0.29</v>
      </c>
      <c r="M31" s="38">
        <f t="shared" si="6"/>
        <v>0</v>
      </c>
      <c r="N31" s="39"/>
      <c r="O31" s="38">
        <v>0.077</v>
      </c>
      <c r="P31" s="38">
        <f t="shared" si="0"/>
        <v>0</v>
      </c>
      <c r="Q31" s="38">
        <f t="shared" si="7"/>
        <v>0.077</v>
      </c>
      <c r="R31" s="38">
        <f t="shared" si="8"/>
        <v>0</v>
      </c>
      <c r="S31" s="39"/>
      <c r="T31" s="38">
        <f t="shared" si="9"/>
        <v>0.19233333333333333</v>
      </c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</row>
    <row r="32" spans="2:48" ht="12.75">
      <c r="B32" s="29" t="s">
        <v>89</v>
      </c>
      <c r="C32" s="32">
        <v>0.01</v>
      </c>
      <c r="D32" s="32"/>
      <c r="E32" s="38">
        <v>0.29</v>
      </c>
      <c r="F32" s="38">
        <f t="shared" si="1"/>
        <v>0.0029</v>
      </c>
      <c r="G32" s="38">
        <f t="shared" si="2"/>
        <v>0.29</v>
      </c>
      <c r="H32" s="38">
        <f t="shared" si="3"/>
        <v>0.0029</v>
      </c>
      <c r="I32" s="39"/>
      <c r="J32" s="38">
        <v>0.36</v>
      </c>
      <c r="K32" s="38">
        <f t="shared" si="4"/>
        <v>0.0036</v>
      </c>
      <c r="L32" s="38">
        <f t="shared" si="5"/>
        <v>0.36</v>
      </c>
      <c r="M32" s="38">
        <f t="shared" si="6"/>
        <v>0.0036</v>
      </c>
      <c r="N32" s="39"/>
      <c r="O32" s="38">
        <v>0.11</v>
      </c>
      <c r="P32" s="38">
        <f t="shared" si="0"/>
        <v>0.0011</v>
      </c>
      <c r="Q32" s="38">
        <f t="shared" si="7"/>
        <v>0.11</v>
      </c>
      <c r="R32" s="38">
        <f t="shared" si="8"/>
        <v>0.0011</v>
      </c>
      <c r="S32" s="39"/>
      <c r="T32" s="38">
        <f t="shared" si="9"/>
        <v>0.2533333333333333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</row>
    <row r="33" spans="2:48" ht="12.75">
      <c r="B33" s="29" t="s">
        <v>90</v>
      </c>
      <c r="C33" s="32">
        <v>0.01</v>
      </c>
      <c r="D33" s="32"/>
      <c r="E33" s="38">
        <v>0.052</v>
      </c>
      <c r="F33" s="38">
        <f t="shared" si="1"/>
        <v>0.00052</v>
      </c>
      <c r="G33" s="38">
        <f t="shared" si="2"/>
        <v>0.052</v>
      </c>
      <c r="H33" s="38">
        <f t="shared" si="3"/>
        <v>0.00052</v>
      </c>
      <c r="I33" s="39"/>
      <c r="J33" s="38">
        <v>0.053</v>
      </c>
      <c r="K33" s="38">
        <f t="shared" si="4"/>
        <v>0.00053</v>
      </c>
      <c r="L33" s="38">
        <f t="shared" si="5"/>
        <v>0.053</v>
      </c>
      <c r="M33" s="38">
        <f t="shared" si="6"/>
        <v>0.00053</v>
      </c>
      <c r="N33" s="39"/>
      <c r="O33" s="38">
        <v>0.015</v>
      </c>
      <c r="P33" s="38">
        <f t="shared" si="0"/>
        <v>0.00015</v>
      </c>
      <c r="Q33" s="38">
        <f t="shared" si="7"/>
        <v>0.015</v>
      </c>
      <c r="R33" s="38">
        <f t="shared" si="8"/>
        <v>0.00015</v>
      </c>
      <c r="S33" s="39"/>
      <c r="T33" s="38">
        <f t="shared" si="9"/>
        <v>0.04</v>
      </c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</row>
    <row r="34" spans="2:48" ht="12.75">
      <c r="B34" s="13" t="s">
        <v>91</v>
      </c>
      <c r="C34" s="32">
        <v>0</v>
      </c>
      <c r="D34" s="32"/>
      <c r="E34" s="38">
        <v>0.43</v>
      </c>
      <c r="F34" s="38">
        <f t="shared" si="1"/>
        <v>0</v>
      </c>
      <c r="G34" s="38">
        <f t="shared" si="2"/>
        <v>0.43</v>
      </c>
      <c r="H34" s="38">
        <f t="shared" si="3"/>
        <v>0</v>
      </c>
      <c r="I34" s="39"/>
      <c r="J34" s="38">
        <v>0.52</v>
      </c>
      <c r="K34" s="38">
        <f t="shared" si="4"/>
        <v>0</v>
      </c>
      <c r="L34" s="38">
        <f t="shared" si="5"/>
        <v>0.52</v>
      </c>
      <c r="M34" s="38">
        <f t="shared" si="6"/>
        <v>0</v>
      </c>
      <c r="N34" s="39"/>
      <c r="O34" s="38">
        <v>0.16</v>
      </c>
      <c r="P34" s="38">
        <f t="shared" si="0"/>
        <v>0</v>
      </c>
      <c r="Q34" s="38">
        <f t="shared" si="7"/>
        <v>0.16</v>
      </c>
      <c r="R34" s="38">
        <f t="shared" si="8"/>
        <v>0</v>
      </c>
      <c r="S34" s="39"/>
      <c r="T34" s="38">
        <f t="shared" si="9"/>
        <v>0.36999999999999994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</row>
    <row r="35" spans="2:48" ht="12.75">
      <c r="B35" s="29" t="s">
        <v>92</v>
      </c>
      <c r="C35" s="32">
        <v>0.001</v>
      </c>
      <c r="D35" s="32"/>
      <c r="E35" s="38">
        <v>0.6</v>
      </c>
      <c r="F35" s="38">
        <f t="shared" si="1"/>
        <v>0.0006</v>
      </c>
      <c r="G35" s="38">
        <f t="shared" si="2"/>
        <v>0.6</v>
      </c>
      <c r="H35" s="38">
        <f t="shared" si="3"/>
        <v>0.0006</v>
      </c>
      <c r="I35" s="39"/>
      <c r="J35" s="38">
        <v>0.56</v>
      </c>
      <c r="K35" s="38">
        <f t="shared" si="4"/>
        <v>0.0005600000000000001</v>
      </c>
      <c r="L35" s="38">
        <f t="shared" si="5"/>
        <v>0.56</v>
      </c>
      <c r="M35" s="38">
        <f t="shared" si="6"/>
        <v>0.0005600000000000001</v>
      </c>
      <c r="N35" s="39"/>
      <c r="O35" s="38">
        <v>0.22</v>
      </c>
      <c r="P35" s="38">
        <f t="shared" si="0"/>
        <v>0.00022</v>
      </c>
      <c r="Q35" s="38">
        <f t="shared" si="7"/>
        <v>0.22</v>
      </c>
      <c r="R35" s="38">
        <f t="shared" si="8"/>
        <v>0.00022</v>
      </c>
      <c r="S35" s="39"/>
      <c r="T35" s="38">
        <f t="shared" si="9"/>
        <v>0.46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</row>
    <row r="36" spans="5:17" ht="12.75">
      <c r="E36" s="41"/>
      <c r="G36" s="41"/>
      <c r="I36" s="41"/>
      <c r="J36" s="41"/>
      <c r="K36" s="41"/>
      <c r="L36" s="41"/>
      <c r="M36" s="41"/>
      <c r="N36" s="41"/>
      <c r="O36" s="41"/>
      <c r="Q36" s="41"/>
    </row>
    <row r="37" spans="2:18" s="39" customFormat="1" ht="12.75">
      <c r="B37" s="39" t="s">
        <v>107</v>
      </c>
      <c r="E37" s="42">
        <v>3.84</v>
      </c>
      <c r="F37" s="42">
        <v>3.84</v>
      </c>
      <c r="G37" s="42">
        <v>3.84</v>
      </c>
      <c r="H37" s="42">
        <v>3.84</v>
      </c>
      <c r="J37" s="42">
        <v>3.96</v>
      </c>
      <c r="K37" s="42">
        <v>3.96</v>
      </c>
      <c r="L37" s="42">
        <v>3.96</v>
      </c>
      <c r="M37" s="42">
        <v>3.96</v>
      </c>
      <c r="O37" s="42">
        <v>3.98</v>
      </c>
      <c r="P37" s="42">
        <v>3.98</v>
      </c>
      <c r="Q37" s="42">
        <v>3.98</v>
      </c>
      <c r="R37" s="42">
        <v>3.98</v>
      </c>
    </row>
    <row r="38" spans="2:18" ht="12.75">
      <c r="B38" s="29" t="s">
        <v>93</v>
      </c>
      <c r="E38" s="39">
        <v>17.3</v>
      </c>
      <c r="F38" s="39">
        <v>17.3</v>
      </c>
      <c r="G38" s="39">
        <v>17.3</v>
      </c>
      <c r="H38" s="39">
        <v>17.3</v>
      </c>
      <c r="I38" s="41"/>
      <c r="J38" s="39">
        <v>17.1</v>
      </c>
      <c r="K38" s="39">
        <v>17.1</v>
      </c>
      <c r="L38" s="39">
        <v>17.1</v>
      </c>
      <c r="M38" s="39">
        <v>17.1</v>
      </c>
      <c r="N38" s="41"/>
      <c r="O38" s="39">
        <v>17</v>
      </c>
      <c r="P38" s="39">
        <v>17</v>
      </c>
      <c r="Q38" s="39">
        <v>17</v>
      </c>
      <c r="R38" s="39">
        <v>17</v>
      </c>
    </row>
    <row r="39" spans="5:17" ht="12.75">
      <c r="E39" s="41"/>
      <c r="G39" s="41"/>
      <c r="I39" s="41"/>
      <c r="J39" s="41"/>
      <c r="K39" s="41"/>
      <c r="L39" s="41"/>
      <c r="M39" s="41"/>
      <c r="N39" s="41"/>
      <c r="O39" s="41"/>
      <c r="Q39" s="41"/>
    </row>
    <row r="40" spans="2:18" s="40" customFormat="1" ht="12.75">
      <c r="B40" s="40" t="s">
        <v>94</v>
      </c>
      <c r="E40" s="41">
        <f>SUM(E12,E14,E18,E20,E21,E23,E26,E31,E34,E35)</f>
        <v>1.589</v>
      </c>
      <c r="F40" s="41">
        <f>SUM(F11:F35)</f>
        <v>0.032650000000000005</v>
      </c>
      <c r="G40" s="41">
        <f>SUM(G11:G35)</f>
        <v>2.142</v>
      </c>
      <c r="H40" s="41">
        <f>SUM(H11:H35)</f>
        <v>0.029500000000000002</v>
      </c>
      <c r="I40" s="41"/>
      <c r="J40" s="41">
        <f>SUM(J12,J14,J18,J20,J21,J23,J26,J31,J34,J35)</f>
        <v>2.164</v>
      </c>
      <c r="K40" s="41">
        <f>SUM(K11:K35)</f>
        <v>0.040440000000000004</v>
      </c>
      <c r="L40" s="41">
        <f>SUM(L11:L35)</f>
        <v>2.9010000000000002</v>
      </c>
      <c r="M40" s="41">
        <f>SUM(M11:M35)</f>
        <v>0.03769</v>
      </c>
      <c r="N40" s="41"/>
      <c r="O40" s="41">
        <f>SUM(O12,O14,O18,O20,O21,O23,O26,O31,O34,O35)</f>
        <v>0.699</v>
      </c>
      <c r="P40" s="41">
        <f>SUM(P11:P35)</f>
        <v>0.014960000000000003</v>
      </c>
      <c r="Q40" s="41">
        <f>SUM(Q11:Q35)</f>
        <v>0.9120000000000001</v>
      </c>
      <c r="R40" s="41">
        <f>SUM(R11:R35)</f>
        <v>0.012210000000000004</v>
      </c>
    </row>
    <row r="41" spans="2:18" ht="12.75">
      <c r="B41" s="29" t="s">
        <v>95</v>
      </c>
      <c r="C41" s="31"/>
      <c r="D41" s="24">
        <f>(F41-H41)*2/F41*100</f>
        <v>19.295558958652375</v>
      </c>
      <c r="E41" s="15">
        <f>E40/E37*(21-7)/(21-E38)</f>
        <v>1.5657376126126128</v>
      </c>
      <c r="F41" s="15">
        <f>F40/F37*(21-7)/(21-F38)</f>
        <v>0.032172015765765775</v>
      </c>
      <c r="G41" s="15">
        <f>G40/G37*(21-7)/(21-G38)</f>
        <v>2.1106418918918926</v>
      </c>
      <c r="H41" s="15">
        <f>H40/H37*(21-7)/(21-H38)</f>
        <v>0.02906813063063064</v>
      </c>
      <c r="I41" s="24">
        <f>(K41-M41)*2/K41*100</f>
        <v>13.600395647873354</v>
      </c>
      <c r="J41" s="15">
        <f>J40/J37*(21-7)/(21-J38)</f>
        <v>1.9616679616679626</v>
      </c>
      <c r="K41" s="15">
        <f>K40/K37*(21-7)/(21-K38)</f>
        <v>0.03665889665889667</v>
      </c>
      <c r="L41" s="15">
        <f>L40/L37*(21-7)/(21-L38)</f>
        <v>2.629759129759131</v>
      </c>
      <c r="M41" s="15">
        <f>M40/M37*(21-7)/(21-M38)</f>
        <v>0.03416601916601918</v>
      </c>
      <c r="N41" s="24">
        <f>(P41-R41)*2/P41*100</f>
        <v>36.764705882352935</v>
      </c>
      <c r="O41" s="15">
        <f>O40/O37*(21-7)/(21-O38)</f>
        <v>0.6146984924623115</v>
      </c>
      <c r="P41" s="15">
        <f>P40/P37*(21-7)/(21-P38)</f>
        <v>0.013155778894472364</v>
      </c>
      <c r="Q41" s="15">
        <f>Q40/Q37*(21-7)/(21-Q38)</f>
        <v>0.8020100502512564</v>
      </c>
      <c r="R41" s="15">
        <f>R40/R37*(21-7)/(21-R38)</f>
        <v>0.01073743718592965</v>
      </c>
    </row>
    <row r="42" spans="5:17" ht="12.75">
      <c r="E42" s="38"/>
      <c r="G42" s="38"/>
      <c r="I42" s="38"/>
      <c r="J42" s="38"/>
      <c r="K42" s="38"/>
      <c r="L42" s="38"/>
      <c r="M42" s="38"/>
      <c r="N42" s="38"/>
      <c r="O42" s="38"/>
      <c r="Q42" s="38"/>
    </row>
    <row r="43" spans="2:23" s="41" customFormat="1" ht="12.75">
      <c r="B43" s="41" t="s">
        <v>100</v>
      </c>
      <c r="C43" s="31">
        <f>AVERAGE(H41,M41,R41)</f>
        <v>0.02465719566085982</v>
      </c>
      <c r="F43" s="31"/>
      <c r="H43" s="31"/>
      <c r="P43" s="30"/>
      <c r="R43" s="30"/>
      <c r="S43" s="29"/>
      <c r="T43" s="29"/>
      <c r="U43" s="29"/>
      <c r="V43" s="29"/>
      <c r="W43" s="29"/>
    </row>
    <row r="44" spans="2:3" ht="12.75">
      <c r="B44" s="29" t="s">
        <v>101</v>
      </c>
      <c r="C44" s="41">
        <f>AVERAGE(G41,L41,Q41)</f>
        <v>1.84747035730076</v>
      </c>
    </row>
    <row r="45" spans="5:18" ht="12.75">
      <c r="E45" s="29"/>
      <c r="G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5:18" ht="12.75">
      <c r="E46" s="29"/>
      <c r="G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5:18" ht="12.75">
      <c r="E47" s="29"/>
      <c r="G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5:18" ht="12.75">
      <c r="E48" s="29"/>
      <c r="G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5:18" ht="12.75">
      <c r="E49" s="29"/>
      <c r="G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5:18" ht="12.75">
      <c r="E50" s="29"/>
      <c r="G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5:18" ht="12.75">
      <c r="E51" s="29"/>
      <c r="G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5:18" ht="12.75">
      <c r="E52" s="29"/>
      <c r="G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5:18" ht="12.75">
      <c r="E53" s="29"/>
      <c r="G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5:18" ht="12.75">
      <c r="E54" s="29"/>
      <c r="G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5:18" ht="12.75">
      <c r="E55" s="29"/>
      <c r="G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5:18" ht="12.75">
      <c r="E56" s="29"/>
      <c r="G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5:18" ht="12.75">
      <c r="E57" s="29"/>
      <c r="G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5:18" ht="12.75">
      <c r="E58" s="29"/>
      <c r="G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5:18" ht="12.75">
      <c r="E59" s="29"/>
      <c r="G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5:18" ht="12.75">
      <c r="E60" s="29"/>
      <c r="G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5:18" ht="12.75">
      <c r="E61" s="29"/>
      <c r="G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5:18" ht="12.75">
      <c r="E62" s="29"/>
      <c r="G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5:18" ht="12.75">
      <c r="E63" s="29"/>
      <c r="G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5:18" ht="12.75">
      <c r="E64" s="29"/>
      <c r="G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2004-02-25T18:40:20Z</cp:lastPrinted>
  <dcterms:created xsi:type="dcterms:W3CDTF">2000-09-11T14:41:55Z</dcterms:created>
  <dcterms:modified xsi:type="dcterms:W3CDTF">2004-02-25T18:40:56Z</dcterms:modified>
  <cp:category/>
  <cp:version/>
  <cp:contentType/>
  <cp:contentStatus/>
</cp:coreProperties>
</file>