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640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2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<sst xmlns="http://schemas.openxmlformats.org/spreadsheetml/2006/main" count="859" uniqueCount="209">
  <si>
    <t>EPA ID No.</t>
  </si>
  <si>
    <t>Facility Name</t>
  </si>
  <si>
    <t>Rubicon, Inc</t>
  </si>
  <si>
    <t>Facility Location</t>
  </si>
  <si>
    <t>Geismar</t>
  </si>
  <si>
    <t>LA</t>
  </si>
  <si>
    <t>Unit ID Name/No.</t>
  </si>
  <si>
    <t>Other Sister Facilities</t>
  </si>
  <si>
    <t>Combustor Characteristics</t>
  </si>
  <si>
    <t>APCS Characteristics</t>
  </si>
  <si>
    <t>Stack Characteristics</t>
  </si>
  <si>
    <t xml:space="preserve">     Report Name/Date</t>
  </si>
  <si>
    <t xml:space="preserve">     Report Prepare</t>
  </si>
  <si>
    <t>Focus Environmental Inc.</t>
  </si>
  <si>
    <t xml:space="preserve">     Testing Firm</t>
  </si>
  <si>
    <t xml:space="preserve">     Testing Dates</t>
  </si>
  <si>
    <t xml:space="preserve">     Content</t>
  </si>
  <si>
    <t>Natural gas</t>
  </si>
  <si>
    <t>Units</t>
  </si>
  <si>
    <t>Run</t>
  </si>
  <si>
    <t>Cond Avg</t>
  </si>
  <si>
    <t>%</t>
  </si>
  <si>
    <t>PM</t>
  </si>
  <si>
    <t>ppmv</t>
  </si>
  <si>
    <t>µg/dscm</t>
  </si>
  <si>
    <t xml:space="preserve">   Stack Gas Flowrate</t>
  </si>
  <si>
    <t>dscfm</t>
  </si>
  <si>
    <t xml:space="preserve">   O2</t>
  </si>
  <si>
    <t xml:space="preserve">   Temperature</t>
  </si>
  <si>
    <t>°F</t>
  </si>
  <si>
    <t>nd</t>
  </si>
  <si>
    <t>POHC DRE</t>
  </si>
  <si>
    <t>&gt;</t>
  </si>
  <si>
    <t>MMBtu/hr</t>
  </si>
  <si>
    <t>lb/hr</t>
  </si>
  <si>
    <t>Ash</t>
  </si>
  <si>
    <t>Chlorine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</si>
  <si>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</si>
  <si>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</si>
  <si>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</si>
  <si>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</si>
  <si>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</si>
  <si>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</si>
  <si>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</si>
  <si>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</si>
  <si>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Nickel</t>
  </si>
  <si>
    <t>Selenium</t>
  </si>
  <si>
    <t>Silver</t>
  </si>
  <si>
    <t>Thallium</t>
  </si>
  <si>
    <t>scfh</t>
  </si>
  <si>
    <t>Process Information</t>
  </si>
  <si>
    <t>Avg</t>
  </si>
  <si>
    <t>I-TEF</t>
  </si>
  <si>
    <t>Wght Fact</t>
  </si>
  <si>
    <t>Total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</si>
  <si>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</si>
  <si>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</si>
  <si>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</si>
  <si>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</si>
  <si>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</si>
  <si>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</si>
  <si>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</si>
  <si>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</si>
  <si>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</si>
  <si>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</si>
  <si>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</si>
  <si>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</si>
  <si>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</si>
  <si>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</si>
  <si>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</si>
  <si>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</si>
  <si>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</si>
  <si>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</si>
  <si>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</si>
  <si>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</si>
  <si>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</si>
  <si>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</si>
  <si>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</si>
  <si>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</si>
  <si>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</si>
  <si>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O2 (%)</t>
  </si>
  <si>
    <t>PCDD/PCDF (ng in sample)</t>
  </si>
  <si>
    <t>PCDD/PCDF (ng/dscm @ 7% O2)</t>
  </si>
  <si>
    <t>Combustion Temp</t>
  </si>
  <si>
    <t>Gas sample volume (dscm)</t>
  </si>
  <si>
    <t>n</t>
  </si>
  <si>
    <t>Orthodichlorobenzene</t>
  </si>
  <si>
    <t>gr/dscf</t>
  </si>
  <si>
    <t>y</t>
  </si>
  <si>
    <t>Cl2</t>
  </si>
  <si>
    <t>HCl</t>
  </si>
  <si>
    <t>mg/dscm</t>
  </si>
  <si>
    <t>LAD008213191</t>
  </si>
  <si>
    <t>1/2 ND</t>
  </si>
  <si>
    <t xml:space="preserve"> TEQ</t>
  </si>
  <si>
    <t>Stack Gas Conc (ng/dscm)</t>
  </si>
  <si>
    <t>DPA II superheater</t>
  </si>
  <si>
    <t>None</t>
  </si>
  <si>
    <t>NA</t>
  </si>
  <si>
    <t>Liq</t>
  </si>
  <si>
    <t>Permitting Status</t>
  </si>
  <si>
    <t>Tier I adjusted metals/chlorine</t>
  </si>
  <si>
    <t>Risk Assessment Trial Burn Report, Dec. 29, 1997</t>
  </si>
  <si>
    <t>Organic destruction</t>
  </si>
  <si>
    <t>815C1</t>
  </si>
  <si>
    <t>Trial burn, risk burn; max waste feedrate</t>
  </si>
  <si>
    <t>Trial burn; min comb temp</t>
  </si>
  <si>
    <t>Metals</t>
  </si>
  <si>
    <t>PM, HCl/Cl2</t>
  </si>
  <si>
    <t>June 26 - July 1, 1997</t>
  </si>
  <si>
    <t>TEQ Cond Avg (ng/dscm)</t>
  </si>
  <si>
    <t>Nat gas</t>
  </si>
  <si>
    <t>815C2 (A,B,C runs)</t>
  </si>
  <si>
    <t>Stack Gas Flowrate</t>
  </si>
  <si>
    <t>Oxygen</t>
  </si>
  <si>
    <t>ug/dscm</t>
  </si>
  <si>
    <t>SVM</t>
  </si>
  <si>
    <t>LVM</t>
  </si>
  <si>
    <t>PCDD/PCDF</t>
  </si>
  <si>
    <t>Liquid waste -- TDA distillation bottoms, DPA light and heavy impurities, converter and process gases</t>
  </si>
  <si>
    <t>ODCB spike</t>
  </si>
  <si>
    <t>Stack Gas Emissions</t>
  </si>
  <si>
    <t>HW</t>
  </si>
  <si>
    <t>DRE</t>
  </si>
  <si>
    <t>Spike</t>
  </si>
  <si>
    <t>Feedstreams</t>
  </si>
  <si>
    <t>Supplemental Fuel</t>
  </si>
  <si>
    <t>Haz Waste Description</t>
  </si>
  <si>
    <t>Hazardous Wastes</t>
  </si>
  <si>
    <t>Capacity (MMBtu/hr)</t>
  </si>
  <si>
    <t>Feedrate MTEC Calculations</t>
  </si>
  <si>
    <t>7% O2</t>
  </si>
  <si>
    <t>Phase II ID No.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</si>
  <si>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</si>
  <si>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</si>
  <si>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</si>
  <si>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</si>
  <si>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</si>
  <si>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</si>
  <si>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</si>
  <si>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</si>
  <si>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</si>
  <si>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</si>
  <si>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Organic Destruction</t>
  </si>
  <si>
    <t>Emission Rate</t>
  </si>
  <si>
    <t xml:space="preserve">   Moisture</t>
  </si>
  <si>
    <t>Total Chlorine</t>
  </si>
  <si>
    <t>CO (RA)</t>
  </si>
  <si>
    <t>CO (MHRA)</t>
  </si>
  <si>
    <t>Sampling Train</t>
  </si>
  <si>
    <t xml:space="preserve">815C2 </t>
  </si>
  <si>
    <t>*</t>
  </si>
  <si>
    <t>Thermal Feedrate</t>
  </si>
  <si>
    <t>Feed Rate</t>
  </si>
  <si>
    <t>Feedstream Description</t>
  </si>
  <si>
    <t>HWC Burn Status (Date if Terminated)</t>
  </si>
  <si>
    <t>Org liq waste</t>
  </si>
  <si>
    <t>Converter Purge</t>
  </si>
  <si>
    <t>Vac vent</t>
  </si>
  <si>
    <t>R1</t>
  </si>
  <si>
    <t>R2</t>
  </si>
  <si>
    <t>R3</t>
  </si>
  <si>
    <t xml:space="preserve">     Cond Dates</t>
  </si>
  <si>
    <t>Turbulent burner chamber, separate tube banks. Process Heater/Boiler; Primary function to superheat a raw material
used in Diphenylamine production. Only a small portion of the total heat input is utilized for steam production</t>
  </si>
  <si>
    <t>Liquid-fired boiler</t>
  </si>
  <si>
    <t>Cond Description</t>
  </si>
  <si>
    <t>815C2</t>
  </si>
  <si>
    <t>Number of Sister Facilities</t>
  </si>
  <si>
    <t>APCS Detailed Acronym</t>
  </si>
  <si>
    <t>APCS General Class</t>
  </si>
  <si>
    <t>E1</t>
  </si>
  <si>
    <t>Chromium (Hex)</t>
  </si>
  <si>
    <t>E2</t>
  </si>
  <si>
    <t>Combustor Type</t>
  </si>
  <si>
    <t>Combustor Class</t>
  </si>
  <si>
    <t>source</t>
  </si>
  <si>
    <t>cond</t>
  </si>
  <si>
    <t>emiss</t>
  </si>
  <si>
    <t>feed</t>
  </si>
  <si>
    <t>process</t>
  </si>
  <si>
    <t>Liquid injection, process heater</t>
  </si>
  <si>
    <t xml:space="preserve">Feedstream Number </t>
  </si>
  <si>
    <t>Feed Class</t>
  </si>
  <si>
    <t>F1</t>
  </si>
  <si>
    <t>Liq HW</t>
  </si>
  <si>
    <t>F2</t>
  </si>
  <si>
    <t>Process Gas</t>
  </si>
  <si>
    <t>F3</t>
  </si>
  <si>
    <t>F4</t>
  </si>
  <si>
    <t>NG</t>
  </si>
  <si>
    <t>F5</t>
  </si>
  <si>
    <t>F6</t>
  </si>
  <si>
    <t>Run 1</t>
  </si>
  <si>
    <t>Run 2</t>
  </si>
  <si>
    <t>Run 3</t>
  </si>
  <si>
    <t>Feedstream Number</t>
  </si>
  <si>
    <t>Gaseous HW</t>
  </si>
  <si>
    <t>Feed Class 2</t>
  </si>
  <si>
    <t>MF</t>
  </si>
  <si>
    <t>Estimated Firing Rate</t>
  </si>
  <si>
    <t>df c2</t>
  </si>
  <si>
    <t xml:space="preserve">Facility Name and ID: </t>
  </si>
  <si>
    <t>Rubicon (Geismar LA), DPA II</t>
  </si>
  <si>
    <t xml:space="preserve">Condition/Test Date: </t>
  </si>
  <si>
    <t>Max waste feedrate. June 30 - July 1, 1997</t>
  </si>
  <si>
    <t>TEQ</t>
  </si>
  <si>
    <t>Full ND</t>
  </si>
  <si>
    <t>Condition ID:</t>
  </si>
  <si>
    <t>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</si>
</sst>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mmmm\ d\,\ yyyy"/>
    <numFmt numFmtId="172" formatCode="0.0E+00"/>
    <numFmt numFmtId="173" formatCode="mmmm\-yy"/>
  </numFmts>
  <fonts count="5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11" fontId="0" fillId="0" borderId="0" xfId="19" applyNumberFormat="1" applyFont="1" applyBorder="1">
      <alignment/>
      <protection/>
    </xf>
    <xf numFmtId="166" fontId="0" fillId="0" borderId="0" xfId="19" applyNumberFormat="1" applyFont="1" applyBorder="1">
      <alignment/>
      <protection/>
    </xf>
    <xf numFmtId="11" fontId="0" fillId="0" borderId="0" xfId="19" applyNumberFormat="1" applyFont="1" applyBorder="1" applyAlignment="1">
      <alignment horizontal="center"/>
      <protection/>
    </xf>
    <xf numFmtId="11" fontId="0" fillId="0" borderId="0" xfId="19" applyNumberFormat="1" applyFont="1" applyBorder="1" applyAlignment="1">
      <alignment horizontal="left"/>
      <protection/>
    </xf>
    <xf numFmtId="166" fontId="0" fillId="0" borderId="0" xfId="19" applyNumberFormat="1" applyFont="1" applyBorder="1" applyAlignment="1">
      <alignment horizontal="center"/>
      <protection/>
    </xf>
    <xf numFmtId="1" fontId="0" fillId="0" borderId="0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2" fontId="0" fillId="0" borderId="0" xfId="19" applyNumberFormat="1" applyFont="1" applyBorder="1">
      <alignment/>
      <protection/>
    </xf>
    <xf numFmtId="2" fontId="0" fillId="0" borderId="0" xfId="19" applyNumberFormat="1" applyFont="1" applyBorder="1" applyAlignment="1">
      <alignment horizontal="center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164" fontId="0" fillId="0" borderId="0" xfId="19" applyNumberFormat="1" applyFont="1" applyBorder="1">
      <alignment/>
      <protection/>
    </xf>
    <xf numFmtId="164" fontId="0" fillId="0" borderId="0" xfId="19" applyNumberFormat="1" applyFont="1" applyBorder="1" applyAlignment="1">
      <alignment horizontal="center"/>
      <protection/>
    </xf>
    <xf numFmtId="0" fontId="2" fillId="0" borderId="0" xfId="19" applyFont="1">
      <alignment/>
      <protection/>
    </xf>
    <xf numFmtId="2" fontId="0" fillId="0" borderId="0" xfId="19" applyNumberFormat="1" applyFont="1">
      <alignment/>
      <protection/>
    </xf>
    <xf numFmtId="0" fontId="0" fillId="0" borderId="0" xfId="19" applyFont="1" applyAlignment="1">
      <alignment wrapText="1"/>
      <protection/>
    </xf>
    <xf numFmtId="0" fontId="0" fillId="0" borderId="0" xfId="19" applyFont="1" applyAlignment="1">
      <alignment horizontal="left"/>
      <protection/>
    </xf>
    <xf numFmtId="1" fontId="0" fillId="0" borderId="0" xfId="19" applyNumberFormat="1" applyFont="1">
      <alignment/>
      <protection/>
    </xf>
    <xf numFmtId="0" fontId="3" fillId="0" borderId="0" xfId="19" applyFont="1">
      <alignment/>
      <protection/>
    </xf>
    <xf numFmtId="11" fontId="0" fillId="0" borderId="0" xfId="19" applyNumberFormat="1" applyFont="1">
      <alignment/>
      <protection/>
    </xf>
    <xf numFmtId="0" fontId="0" fillId="0" borderId="0" xfId="19" applyFont="1" applyAlignment="1">
      <alignment horizontal="right"/>
      <protection/>
    </xf>
    <xf numFmtId="165" fontId="0" fillId="0" borderId="0" xfId="19" applyNumberFormat="1" applyFont="1">
      <alignment/>
      <protection/>
    </xf>
    <xf numFmtId="0" fontId="0" fillId="0" borderId="0" xfId="19" applyFont="1" applyAlignment="1">
      <alignment horizontal="centerContinuous"/>
      <protection/>
    </xf>
    <xf numFmtId="2" fontId="0" fillId="0" borderId="0" xfId="19" applyNumberFormat="1" applyFont="1" applyAlignment="1">
      <alignment horizontal="center"/>
      <protection/>
    </xf>
    <xf numFmtId="165" fontId="0" fillId="0" borderId="0" xfId="19" applyNumberFormat="1" applyFont="1" applyAlignment="1">
      <alignment horizontal="center"/>
      <protection/>
    </xf>
    <xf numFmtId="11" fontId="0" fillId="0" borderId="0" xfId="19" applyNumberFormat="1" applyFont="1" applyAlignment="1">
      <alignment horizontal="center"/>
      <protection/>
    </xf>
    <xf numFmtId="166" fontId="0" fillId="0" borderId="0" xfId="19" applyNumberFormat="1" applyFont="1">
      <alignment/>
      <protection/>
    </xf>
    <xf numFmtId="165" fontId="0" fillId="0" borderId="0" xfId="19" applyNumberFormat="1" applyFont="1" applyAlignment="1">
      <alignment horizontal="left"/>
      <protection/>
    </xf>
    <xf numFmtId="171" fontId="0" fillId="0" borderId="0" xfId="19" applyNumberFormat="1" applyFont="1" applyAlignment="1">
      <alignment horizontal="left"/>
      <protection/>
    </xf>
    <xf numFmtId="14" fontId="3" fillId="0" borderId="0" xfId="19" applyNumberFormat="1" applyFont="1" applyAlignment="1">
      <alignment horizontal="left"/>
      <protection/>
    </xf>
    <xf numFmtId="169" fontId="0" fillId="0" borderId="0" xfId="19" applyNumberFormat="1" applyFont="1">
      <alignment/>
      <protection/>
    </xf>
    <xf numFmtId="0" fontId="2" fillId="0" borderId="0" xfId="19" applyFont="1" applyBorder="1">
      <alignment/>
      <protection/>
    </xf>
    <xf numFmtId="0" fontId="0" fillId="0" borderId="0" xfId="19" applyFont="1" applyAlignment="1">
      <alignment vertical="top" wrapText="1"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left" wrapText="1"/>
      <protection/>
    </xf>
    <xf numFmtId="0" fontId="2" fillId="0" borderId="0" xfId="0" applyFont="1" applyAlignment="1">
      <alignment vertical="top" wrapText="1"/>
    </xf>
    <xf numFmtId="2" fontId="0" fillId="0" borderId="0" xfId="19" applyNumberFormat="1" applyFont="1" applyAlignment="1">
      <alignment horizontal="right"/>
      <protection/>
    </xf>
    <xf numFmtId="172" fontId="0" fillId="0" borderId="0" xfId="19" applyNumberFormat="1" applyFont="1">
      <alignment/>
      <protection/>
    </xf>
    <xf numFmtId="17" fontId="0" fillId="0" borderId="0" xfId="19" applyNumberFormat="1" applyFont="1" applyAlignment="1">
      <alignment horizontal="left"/>
      <protection/>
    </xf>
    <xf numFmtId="0" fontId="0" fillId="0" borderId="0" xfId="19" applyFont="1" applyBorder="1" applyAlignment="1">
      <alignment horizontal="left"/>
      <protection/>
    </xf>
    <xf numFmtId="11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1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-75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175</v>
      </c>
    </row>
    <row r="2" ht="12.75">
      <c r="A2" t="s">
        <v>176</v>
      </c>
    </row>
    <row r="3" ht="12.75">
      <c r="A3" t="s">
        <v>177</v>
      </c>
    </row>
    <row r="4" ht="12.75">
      <c r="A4" t="s">
        <v>178</v>
      </c>
    </row>
    <row r="5" ht="12.75">
      <c r="A5" t="s">
        <v>179</v>
      </c>
    </row>
    <row r="6" ht="12.75">
      <c r="A6" t="s">
        <v>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B1">
      <selection activeCell="B2" sqref="B2"/>
    </sheetView>
  </sheetViews>
  <sheetFormatPr defaultColWidth="9.140625" defaultRowHeight="12.75"/>
  <cols>
    <col min="1" max="1" width="2.8515625" style="13" hidden="1" customWidth="1"/>
    <col min="2" max="2" width="23.421875" style="13" customWidth="1"/>
    <col min="3" max="3" width="57.28125" style="13" customWidth="1"/>
    <col min="4" max="4" width="22.28125" style="13" customWidth="1"/>
    <col min="5" max="5" width="41.140625" style="13" customWidth="1"/>
    <col min="6" max="16384" width="11.421875" style="13" customWidth="1"/>
  </cols>
  <sheetData>
    <row r="1" ht="12.75">
      <c r="B1" s="17" t="s">
        <v>133</v>
      </c>
    </row>
    <row r="3" spans="2:3" ht="12.75">
      <c r="B3" s="13" t="s">
        <v>132</v>
      </c>
      <c r="C3" s="20">
        <v>815</v>
      </c>
    </row>
    <row r="4" spans="2:3" ht="12.75">
      <c r="B4" s="13" t="s">
        <v>0</v>
      </c>
      <c r="C4" s="13" t="s">
        <v>92</v>
      </c>
    </row>
    <row r="5" spans="2:3" ht="12.75">
      <c r="B5" s="13" t="s">
        <v>1</v>
      </c>
      <c r="C5" s="13" t="s">
        <v>2</v>
      </c>
    </row>
    <row r="6" ht="12.75">
      <c r="B6" s="13" t="s">
        <v>3</v>
      </c>
    </row>
    <row r="7" spans="2:3" ht="12.75">
      <c r="B7" s="13" t="s">
        <v>136</v>
      </c>
      <c r="C7" s="13" t="s">
        <v>4</v>
      </c>
    </row>
    <row r="8" spans="2:3" ht="12.75">
      <c r="B8" s="13" t="s">
        <v>137</v>
      </c>
      <c r="C8" s="13" t="s">
        <v>5</v>
      </c>
    </row>
    <row r="9" spans="2:3" ht="12.75">
      <c r="B9" s="13" t="s">
        <v>6</v>
      </c>
      <c r="C9" s="13" t="s">
        <v>96</v>
      </c>
    </row>
    <row r="10" spans="2:3" ht="12.75">
      <c r="B10" s="13" t="s">
        <v>7</v>
      </c>
      <c r="C10" s="13" t="s">
        <v>97</v>
      </c>
    </row>
    <row r="11" spans="2:3" ht="12.75">
      <c r="B11" s="13" t="s">
        <v>167</v>
      </c>
      <c r="C11" s="20">
        <v>0</v>
      </c>
    </row>
    <row r="12" spans="2:3" ht="12.75">
      <c r="B12" s="13" t="s">
        <v>174</v>
      </c>
      <c r="C12" s="19" t="s">
        <v>164</v>
      </c>
    </row>
    <row r="13" spans="2:3" ht="12.75">
      <c r="B13" s="13" t="s">
        <v>173</v>
      </c>
      <c r="C13" s="19" t="s">
        <v>180</v>
      </c>
    </row>
    <row r="14" spans="2:3" ht="51">
      <c r="B14" s="13" t="s">
        <v>8</v>
      </c>
      <c r="C14" s="19" t="s">
        <v>163</v>
      </c>
    </row>
    <row r="15" spans="2:3" ht="12.75">
      <c r="B15" s="13" t="s">
        <v>129</v>
      </c>
      <c r="C15" s="20">
        <v>20</v>
      </c>
    </row>
    <row r="16" spans="2:3" ht="12.75">
      <c r="B16" s="13" t="s">
        <v>135</v>
      </c>
      <c r="C16" s="20"/>
    </row>
    <row r="17" spans="2:3" ht="12.75">
      <c r="B17" s="13" t="s">
        <v>168</v>
      </c>
      <c r="C17" s="13" t="s">
        <v>97</v>
      </c>
    </row>
    <row r="18" ht="12.75">
      <c r="B18" s="13" t="s">
        <v>169</v>
      </c>
    </row>
    <row r="19" spans="2:3" ht="12.75">
      <c r="B19" s="13" t="s">
        <v>9</v>
      </c>
      <c r="C19" s="13" t="s">
        <v>98</v>
      </c>
    </row>
    <row r="20" spans="2:3" ht="12.75">
      <c r="B20" s="13" t="s">
        <v>128</v>
      </c>
      <c r="C20" s="13" t="s">
        <v>99</v>
      </c>
    </row>
    <row r="21" spans="2:3" s="36" customFormat="1" ht="25.5">
      <c r="B21" s="36" t="s">
        <v>127</v>
      </c>
      <c r="C21" s="36" t="s">
        <v>119</v>
      </c>
    </row>
    <row r="22" spans="2:3" ht="12.75">
      <c r="B22" s="13" t="s">
        <v>126</v>
      </c>
      <c r="C22" s="13" t="s">
        <v>17</v>
      </c>
    </row>
    <row r="24" ht="12.75">
      <c r="B24" s="13" t="s">
        <v>10</v>
      </c>
    </row>
    <row r="25" spans="2:3" ht="12.75">
      <c r="B25" s="13" t="s">
        <v>138</v>
      </c>
      <c r="C25" s="31">
        <f>(42.375/0.956)/12</f>
        <v>3.693776150627615</v>
      </c>
    </row>
    <row r="26" spans="2:3" ht="12.75">
      <c r="B26" s="13" t="s">
        <v>139</v>
      </c>
      <c r="C26" s="31">
        <v>80.5</v>
      </c>
    </row>
    <row r="27" spans="2:3" ht="12.75">
      <c r="B27" s="13" t="s">
        <v>140</v>
      </c>
      <c r="C27" s="31">
        <f>2044/60</f>
        <v>34.06666666666667</v>
      </c>
    </row>
    <row r="28" spans="2:3" ht="12.75">
      <c r="B28" s="13" t="s">
        <v>141</v>
      </c>
      <c r="C28" s="20">
        <v>600</v>
      </c>
    </row>
    <row r="29" ht="12.75">
      <c r="C29" s="31"/>
    </row>
    <row r="30" spans="2:4" ht="12.75">
      <c r="B30" s="13" t="s">
        <v>100</v>
      </c>
      <c r="C30" s="13" t="s">
        <v>101</v>
      </c>
      <c r="D30" s="20"/>
    </row>
    <row r="31" spans="2:4" s="19" customFormat="1" ht="25.5">
      <c r="B31" s="19" t="s">
        <v>155</v>
      </c>
      <c r="D31" s="38"/>
    </row>
    <row r="50" ht="12.75">
      <c r="B50" s="22"/>
    </row>
    <row r="51" ht="12.75">
      <c r="C51" s="33"/>
    </row>
    <row r="52" ht="12.75">
      <c r="C52" s="22"/>
    </row>
    <row r="53" ht="12.75">
      <c r="C53" s="22"/>
    </row>
    <row r="54" spans="2:3" ht="12.75">
      <c r="B54" s="22"/>
      <c r="C54" s="22"/>
    </row>
    <row r="55" ht="12.75">
      <c r="C55" s="22"/>
    </row>
    <row r="56" ht="12.75">
      <c r="C56" s="33"/>
    </row>
    <row r="57" ht="12.75">
      <c r="C57" s="22"/>
    </row>
    <row r="58" ht="12.75">
      <c r="C58" s="22"/>
    </row>
    <row r="59" ht="12.75">
      <c r="C59" s="22"/>
    </row>
    <row r="60" ht="12.75">
      <c r="C60" s="22"/>
    </row>
    <row r="61" ht="12.75">
      <c r="C61" s="22"/>
    </row>
    <row r="62" ht="12.75">
      <c r="C62" s="2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4" sqref="B4"/>
    </sheetView>
  </sheetViews>
  <sheetFormatPr defaultColWidth="9.140625" defaultRowHeight="12.75"/>
  <cols>
    <col min="1" max="1" width="9.140625" style="9" hidden="1" customWidth="1"/>
    <col min="2" max="2" width="21.00390625" style="9" customWidth="1"/>
    <col min="3" max="3" width="48.421875" style="9" customWidth="1"/>
    <col min="4" max="16384" width="9.140625" style="9" customWidth="1"/>
  </cols>
  <sheetData>
    <row r="1" ht="12.75">
      <c r="B1" s="49" t="s">
        <v>165</v>
      </c>
    </row>
    <row r="3" ht="12.75">
      <c r="B3" s="39" t="s">
        <v>104</v>
      </c>
    </row>
    <row r="4" ht="12.75">
      <c r="B4" s="39"/>
    </row>
    <row r="5" spans="2:3" s="13" customFormat="1" ht="12.75">
      <c r="B5" s="13" t="s">
        <v>11</v>
      </c>
      <c r="C5" s="19" t="s">
        <v>102</v>
      </c>
    </row>
    <row r="6" spans="2:3" s="13" customFormat="1" ht="12.75">
      <c r="B6" s="13" t="s">
        <v>12</v>
      </c>
      <c r="C6" s="13" t="s">
        <v>13</v>
      </c>
    </row>
    <row r="7" spans="2:3" s="13" customFormat="1" ht="12.75">
      <c r="B7" s="13" t="s">
        <v>14</v>
      </c>
      <c r="C7" s="13" t="s">
        <v>13</v>
      </c>
    </row>
    <row r="8" spans="2:3" s="13" customFormat="1" ht="12.75">
      <c r="B8" s="13" t="s">
        <v>15</v>
      </c>
      <c r="C8" s="32">
        <v>35605</v>
      </c>
    </row>
    <row r="9" spans="2:3" s="13" customFormat="1" ht="12.75">
      <c r="B9" s="13" t="s">
        <v>162</v>
      </c>
      <c r="C9" s="42">
        <v>35582</v>
      </c>
    </row>
    <row r="10" spans="2:3" s="13" customFormat="1" ht="12.75">
      <c r="B10" s="13" t="s">
        <v>134</v>
      </c>
      <c r="C10" s="13" t="s">
        <v>106</v>
      </c>
    </row>
    <row r="11" spans="2:3" s="13" customFormat="1" ht="12.75">
      <c r="B11" s="13" t="s">
        <v>16</v>
      </c>
      <c r="C11" s="13" t="s">
        <v>103</v>
      </c>
    </row>
    <row r="12" s="13" customFormat="1" ht="12.75"/>
    <row r="13" ht="12.75">
      <c r="B13" s="39" t="s">
        <v>166</v>
      </c>
    </row>
    <row r="14" ht="12.75">
      <c r="B14" s="39"/>
    </row>
    <row r="15" spans="2:3" s="13" customFormat="1" ht="12.75">
      <c r="B15" s="13" t="s">
        <v>11</v>
      </c>
      <c r="C15" s="19" t="s">
        <v>102</v>
      </c>
    </row>
    <row r="16" spans="2:3" s="13" customFormat="1" ht="12.75">
      <c r="B16" s="13" t="s">
        <v>12</v>
      </c>
      <c r="C16" s="13" t="s">
        <v>13</v>
      </c>
    </row>
    <row r="17" spans="2:3" s="13" customFormat="1" ht="12.75">
      <c r="B17" s="13" t="s">
        <v>14</v>
      </c>
      <c r="C17" s="13" t="s">
        <v>13</v>
      </c>
    </row>
    <row r="18" spans="2:3" s="13" customFormat="1" ht="12.75">
      <c r="B18" s="13" t="s">
        <v>15</v>
      </c>
      <c r="C18" s="32" t="s">
        <v>109</v>
      </c>
    </row>
    <row r="19" spans="2:3" s="13" customFormat="1" ht="12.75">
      <c r="B19" s="13" t="s">
        <v>162</v>
      </c>
      <c r="C19" s="42">
        <v>35582</v>
      </c>
    </row>
    <row r="20" spans="2:3" s="13" customFormat="1" ht="12.75">
      <c r="B20" s="13" t="s">
        <v>134</v>
      </c>
      <c r="C20" s="13" t="s">
        <v>105</v>
      </c>
    </row>
    <row r="21" s="13" customFormat="1" ht="12.75">
      <c r="B21" s="13" t="s">
        <v>16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B1">
      <selection activeCell="Q8" sqref="Q8"/>
    </sheetView>
  </sheetViews>
  <sheetFormatPr defaultColWidth="9.140625" defaultRowHeight="12.75"/>
  <cols>
    <col min="1" max="1" width="9.140625" style="13" hidden="1" customWidth="1"/>
    <col min="2" max="2" width="22.28125" style="13" customWidth="1"/>
    <col min="3" max="3" width="6.28125" style="13" customWidth="1"/>
    <col min="4" max="4" width="8.140625" style="13" customWidth="1"/>
    <col min="5" max="5" width="5.57421875" style="13" customWidth="1"/>
    <col min="6" max="6" width="3.28125" style="14" customWidth="1"/>
    <col min="7" max="7" width="11.28125" style="13" customWidth="1"/>
    <col min="8" max="8" width="2.8515625" style="14" customWidth="1"/>
    <col min="9" max="9" width="10.140625" style="13" customWidth="1"/>
    <col min="10" max="10" width="2.8515625" style="14" customWidth="1"/>
    <col min="11" max="11" width="9.00390625" style="13" customWidth="1"/>
    <col min="12" max="12" width="4.57421875" style="13" customWidth="1"/>
    <col min="13" max="13" width="8.8515625" style="13" customWidth="1"/>
    <col min="14" max="14" width="10.421875" style="13" customWidth="1"/>
    <col min="15" max="15" width="9.8515625" style="13" customWidth="1"/>
    <col min="16" max="16384" width="11.421875" style="13" customWidth="1"/>
  </cols>
  <sheetData>
    <row r="1" spans="2:3" ht="12.75">
      <c r="B1" s="17" t="s">
        <v>121</v>
      </c>
      <c r="C1" s="17"/>
    </row>
    <row r="3" spans="3:15" ht="12.75">
      <c r="C3" s="13" t="s">
        <v>142</v>
      </c>
      <c r="D3" s="13" t="s">
        <v>18</v>
      </c>
      <c r="E3" s="13" t="s">
        <v>131</v>
      </c>
      <c r="G3" s="14"/>
      <c r="I3" s="14"/>
      <c r="K3" s="14"/>
      <c r="L3" s="26"/>
      <c r="M3" s="14"/>
      <c r="O3" s="14"/>
    </row>
    <row r="4" spans="7:12" ht="12.75">
      <c r="G4" s="14"/>
      <c r="I4" s="14"/>
      <c r="K4" s="14"/>
      <c r="L4" s="14"/>
    </row>
    <row r="5" spans="7:12" ht="12.75">
      <c r="G5" s="14"/>
      <c r="I5" s="14"/>
      <c r="K5" s="14"/>
      <c r="L5" s="14"/>
    </row>
    <row r="6" spans="1:13" ht="12.75">
      <c r="A6" s="13">
        <v>1</v>
      </c>
      <c r="B6" s="17" t="s">
        <v>104</v>
      </c>
      <c r="C6" s="17"/>
      <c r="G6" s="14" t="s">
        <v>159</v>
      </c>
      <c r="I6" s="14" t="s">
        <v>160</v>
      </c>
      <c r="K6" s="14" t="s">
        <v>161</v>
      </c>
      <c r="M6" s="27" t="s">
        <v>20</v>
      </c>
    </row>
    <row r="7" spans="7:13" ht="12.75">
      <c r="G7" s="14"/>
      <c r="I7" s="14"/>
      <c r="K7" s="14"/>
      <c r="M7" s="18"/>
    </row>
    <row r="8" spans="2:13" ht="12.75">
      <c r="B8" s="13" t="s">
        <v>147</v>
      </c>
      <c r="C8" s="13" t="s">
        <v>170</v>
      </c>
      <c r="D8" s="13" t="s">
        <v>23</v>
      </c>
      <c r="E8" s="13" t="s">
        <v>88</v>
      </c>
      <c r="G8" s="25">
        <v>16.29</v>
      </c>
      <c r="H8" s="28"/>
      <c r="I8" s="25">
        <v>23.43</v>
      </c>
      <c r="J8" s="28"/>
      <c r="K8" s="25">
        <v>19.32</v>
      </c>
      <c r="L8" s="25"/>
      <c r="M8" s="25">
        <f>AVERAGE(G8,I8,K8)</f>
        <v>19.68</v>
      </c>
    </row>
    <row r="9" spans="2:13" ht="12.75">
      <c r="B9" s="13" t="s">
        <v>148</v>
      </c>
      <c r="C9" s="13" t="s">
        <v>170</v>
      </c>
      <c r="D9" s="13" t="s">
        <v>23</v>
      </c>
      <c r="E9" s="13" t="s">
        <v>88</v>
      </c>
      <c r="G9" s="25">
        <v>24</v>
      </c>
      <c r="H9" s="28"/>
      <c r="I9" s="25">
        <v>36.5</v>
      </c>
      <c r="J9" s="28"/>
      <c r="K9" s="25">
        <v>29.5</v>
      </c>
      <c r="L9" s="25"/>
      <c r="M9" s="25">
        <f>AVERAGE(G9,I9,K9)</f>
        <v>30</v>
      </c>
    </row>
    <row r="10" ht="12.75">
      <c r="M10" s="18"/>
    </row>
    <row r="11" spans="2:13" ht="12.75">
      <c r="B11" s="13" t="s">
        <v>31</v>
      </c>
      <c r="C11" s="13" t="s">
        <v>86</v>
      </c>
      <c r="M11" s="18"/>
    </row>
    <row r="12" spans="2:13" ht="12.75">
      <c r="B12" s="13" t="s">
        <v>153</v>
      </c>
      <c r="M12" s="18"/>
    </row>
    <row r="13" spans="2:13" ht="12.75">
      <c r="B13" s="13" t="s">
        <v>144</v>
      </c>
      <c r="D13" s="13" t="s">
        <v>24</v>
      </c>
      <c r="E13" s="13" t="s">
        <v>85</v>
      </c>
      <c r="G13" s="18">
        <v>0.212</v>
      </c>
      <c r="H13" s="27"/>
      <c r="I13" s="18">
        <v>0.209</v>
      </c>
      <c r="J13" s="27"/>
      <c r="K13" s="18">
        <v>0.186</v>
      </c>
      <c r="L13" s="18"/>
      <c r="M13" s="18"/>
    </row>
    <row r="14" spans="2:11" ht="12.75">
      <c r="B14" s="13" t="s">
        <v>123</v>
      </c>
      <c r="C14" s="13" t="s">
        <v>170</v>
      </c>
      <c r="D14" s="13" t="s">
        <v>21</v>
      </c>
      <c r="F14" s="14" t="s">
        <v>32</v>
      </c>
      <c r="G14" s="13">
        <v>99.999992</v>
      </c>
      <c r="H14" s="14" t="s">
        <v>32</v>
      </c>
      <c r="I14" s="13">
        <v>99.999993</v>
      </c>
      <c r="J14" s="14" t="s">
        <v>32</v>
      </c>
      <c r="K14" s="13">
        <v>99.999993</v>
      </c>
    </row>
    <row r="16" spans="2:4" ht="12.75">
      <c r="B16" s="13" t="s">
        <v>149</v>
      </c>
      <c r="C16" s="13" t="s">
        <v>143</v>
      </c>
      <c r="D16" s="13" t="s">
        <v>170</v>
      </c>
    </row>
    <row r="17" spans="2:13" ht="12.75">
      <c r="B17" s="13" t="s">
        <v>25</v>
      </c>
      <c r="D17" s="13" t="s">
        <v>26</v>
      </c>
      <c r="G17" s="13">
        <v>3959</v>
      </c>
      <c r="I17" s="13">
        <v>3916</v>
      </c>
      <c r="K17" s="13">
        <v>3927</v>
      </c>
      <c r="M17" s="13">
        <f>AVERAGE(G17,I17,K17)</f>
        <v>3934</v>
      </c>
    </row>
    <row r="18" spans="2:13" ht="12.75">
      <c r="B18" s="13" t="s">
        <v>27</v>
      </c>
      <c r="D18" s="13" t="s">
        <v>21</v>
      </c>
      <c r="G18" s="13">
        <v>7.7</v>
      </c>
      <c r="I18" s="13">
        <v>6.3</v>
      </c>
      <c r="K18" s="13">
        <v>6.1</v>
      </c>
      <c r="M18" s="13">
        <f>AVERAGE(G18,I18,K18)</f>
        <v>6.7</v>
      </c>
    </row>
    <row r="19" spans="2:13" ht="12.75">
      <c r="B19" s="13" t="s">
        <v>145</v>
      </c>
      <c r="D19" s="13" t="s">
        <v>21</v>
      </c>
      <c r="G19" s="25">
        <v>61.2</v>
      </c>
      <c r="H19" s="28"/>
      <c r="I19" s="25">
        <v>61.53</v>
      </c>
      <c r="J19" s="28"/>
      <c r="K19" s="25">
        <v>61.89</v>
      </c>
      <c r="L19" s="25"/>
      <c r="M19" s="25">
        <f>AVERAGE(G19,I19,K19)</f>
        <v>61.54</v>
      </c>
    </row>
    <row r="20" spans="2:13" ht="12.75">
      <c r="B20" s="13" t="s">
        <v>28</v>
      </c>
      <c r="D20" s="13" t="s">
        <v>29</v>
      </c>
      <c r="G20" s="13">
        <v>585</v>
      </c>
      <c r="I20" s="13">
        <v>585</v>
      </c>
      <c r="K20" s="13">
        <v>588</v>
      </c>
      <c r="M20" s="13">
        <f>AVERAGE(G20,I20,K20)</f>
        <v>586</v>
      </c>
    </row>
    <row r="21" ht="15" customHeight="1"/>
    <row r="22" spans="1:13" ht="12.75">
      <c r="A22" s="13">
        <v>2</v>
      </c>
      <c r="B22" s="17" t="s">
        <v>166</v>
      </c>
      <c r="C22" s="17"/>
      <c r="G22" s="14" t="s">
        <v>159</v>
      </c>
      <c r="I22" s="14" t="s">
        <v>160</v>
      </c>
      <c r="K22" s="14" t="s">
        <v>161</v>
      </c>
      <c r="M22" s="27" t="s">
        <v>20</v>
      </c>
    </row>
    <row r="23" spans="7:11" ht="12.75">
      <c r="G23" s="14"/>
      <c r="I23" s="14"/>
      <c r="K23" s="14"/>
    </row>
    <row r="24" spans="2:13" ht="12.75">
      <c r="B24" s="13" t="s">
        <v>22</v>
      </c>
      <c r="C24" s="13" t="s">
        <v>170</v>
      </c>
      <c r="D24" s="13" t="s">
        <v>87</v>
      </c>
      <c r="E24" s="13" t="s">
        <v>88</v>
      </c>
      <c r="G24" s="13">
        <v>0.0076</v>
      </c>
      <c r="I24" s="13">
        <v>0.0099</v>
      </c>
      <c r="K24" s="13">
        <v>0.0108</v>
      </c>
      <c r="M24" s="30">
        <f>AVERAGE(G24,I24,K24)</f>
        <v>0.009433333333333334</v>
      </c>
    </row>
    <row r="25" spans="2:13" ht="12.75">
      <c r="B25" s="13" t="s">
        <v>147</v>
      </c>
      <c r="C25" s="13" t="s">
        <v>170</v>
      </c>
      <c r="D25" s="13" t="s">
        <v>23</v>
      </c>
      <c r="E25" s="13" t="s">
        <v>88</v>
      </c>
      <c r="G25" s="25">
        <v>10.49</v>
      </c>
      <c r="H25" s="28"/>
      <c r="I25" s="25">
        <v>8.62</v>
      </c>
      <c r="J25" s="28"/>
      <c r="K25" s="25">
        <v>10.65</v>
      </c>
      <c r="L25" s="25"/>
      <c r="M25" s="25">
        <f>AVERAGE(G25,I25,K25)</f>
        <v>9.92</v>
      </c>
    </row>
    <row r="26" spans="2:13" ht="12.75">
      <c r="B26" s="13" t="s">
        <v>148</v>
      </c>
      <c r="C26" s="13" t="s">
        <v>170</v>
      </c>
      <c r="D26" s="13" t="s">
        <v>23</v>
      </c>
      <c r="E26" s="13" t="s">
        <v>88</v>
      </c>
      <c r="G26" s="25">
        <v>11.72</v>
      </c>
      <c r="H26" s="28"/>
      <c r="I26" s="25">
        <v>10.18</v>
      </c>
      <c r="J26" s="28"/>
      <c r="K26" s="25">
        <v>10.87</v>
      </c>
      <c r="L26" s="25"/>
      <c r="M26" s="25">
        <f>AVERAGE(G26,I26,K26)</f>
        <v>10.923333333333332</v>
      </c>
    </row>
    <row r="27" spans="2:13" ht="12.75">
      <c r="B27" s="13" t="s">
        <v>90</v>
      </c>
      <c r="D27" s="13" t="s">
        <v>91</v>
      </c>
      <c r="E27" s="13" t="s">
        <v>85</v>
      </c>
      <c r="G27" s="18">
        <v>1.04</v>
      </c>
      <c r="H27" s="27"/>
      <c r="I27" s="18">
        <v>5.83</v>
      </c>
      <c r="J27" s="27"/>
      <c r="K27" s="18">
        <v>1.13</v>
      </c>
      <c r="L27" s="18"/>
      <c r="M27" s="18">
        <f aca="true" t="shared" si="0" ref="M27:M41">AVERAGE(G27,I27,K27)</f>
        <v>2.6666666666666665</v>
      </c>
    </row>
    <row r="28" spans="2:13" ht="12.75">
      <c r="B28" s="13" t="s">
        <v>89</v>
      </c>
      <c r="D28" s="13" t="s">
        <v>91</v>
      </c>
      <c r="E28" s="13" t="s">
        <v>85</v>
      </c>
      <c r="G28" s="18">
        <v>0.0458</v>
      </c>
      <c r="H28" s="27"/>
      <c r="I28" s="18">
        <v>0.747</v>
      </c>
      <c r="J28" s="27"/>
      <c r="K28" s="18">
        <v>0.0665</v>
      </c>
      <c r="L28" s="18"/>
      <c r="M28" s="18">
        <f t="shared" si="0"/>
        <v>0.2864333333333333</v>
      </c>
    </row>
    <row r="29" spans="2:13" ht="12.75" customHeight="1">
      <c r="B29" s="13" t="s">
        <v>171</v>
      </c>
      <c r="D29" s="13" t="s">
        <v>24</v>
      </c>
      <c r="E29" s="13" t="s">
        <v>85</v>
      </c>
      <c r="G29" s="24" t="s">
        <v>98</v>
      </c>
      <c r="I29" s="18">
        <v>6.16</v>
      </c>
      <c r="J29" s="29"/>
      <c r="K29" s="18">
        <v>2.82</v>
      </c>
      <c r="L29" s="23"/>
      <c r="M29" s="18">
        <f t="shared" si="0"/>
        <v>4.49</v>
      </c>
    </row>
    <row r="30" spans="2:13" ht="12.75" customHeight="1">
      <c r="B30" s="13" t="s">
        <v>37</v>
      </c>
      <c r="D30" s="13" t="s">
        <v>24</v>
      </c>
      <c r="E30" s="13" t="s">
        <v>85</v>
      </c>
      <c r="G30" s="18">
        <v>16.6</v>
      </c>
      <c r="H30" s="29"/>
      <c r="I30" s="18">
        <v>15.6</v>
      </c>
      <c r="J30" s="29"/>
      <c r="K30" s="18">
        <v>14.6</v>
      </c>
      <c r="L30" s="23"/>
      <c r="M30" s="18">
        <f t="shared" si="0"/>
        <v>15.600000000000001</v>
      </c>
    </row>
    <row r="31" spans="2:13" ht="13.5" customHeight="1">
      <c r="B31" s="13" t="s">
        <v>38</v>
      </c>
      <c r="D31" s="13" t="s">
        <v>24</v>
      </c>
      <c r="E31" s="13" t="s">
        <v>85</v>
      </c>
      <c r="F31" s="14" t="s">
        <v>30</v>
      </c>
      <c r="G31" s="18">
        <v>2.71</v>
      </c>
      <c r="H31" s="29" t="s">
        <v>30</v>
      </c>
      <c r="I31" s="18">
        <v>2.78</v>
      </c>
      <c r="J31" s="29" t="s">
        <v>30</v>
      </c>
      <c r="K31" s="18">
        <v>2.61</v>
      </c>
      <c r="L31" s="23"/>
      <c r="M31" s="18">
        <f t="shared" si="0"/>
        <v>2.6999999999999997</v>
      </c>
    </row>
    <row r="32" spans="2:13" ht="12.75">
      <c r="B32" s="13" t="s">
        <v>39</v>
      </c>
      <c r="D32" s="13" t="s">
        <v>24</v>
      </c>
      <c r="E32" s="13" t="s">
        <v>85</v>
      </c>
      <c r="G32" s="18">
        <v>62</v>
      </c>
      <c r="H32" s="29"/>
      <c r="I32" s="18">
        <v>61.7</v>
      </c>
      <c r="J32" s="29"/>
      <c r="K32" s="18">
        <v>57.3</v>
      </c>
      <c r="L32" s="23"/>
      <c r="M32" s="18">
        <f t="shared" si="0"/>
        <v>60.333333333333336</v>
      </c>
    </row>
    <row r="33" spans="2:13" ht="12.75">
      <c r="B33" s="13" t="s">
        <v>40</v>
      </c>
      <c r="D33" s="13" t="s">
        <v>24</v>
      </c>
      <c r="E33" s="13" t="s">
        <v>85</v>
      </c>
      <c r="G33" s="18">
        <v>0.119</v>
      </c>
      <c r="H33" s="29"/>
      <c r="I33" s="18">
        <v>0.122</v>
      </c>
      <c r="J33" s="29"/>
      <c r="K33" s="18">
        <v>0.109</v>
      </c>
      <c r="L33" s="23"/>
      <c r="M33" s="18">
        <f t="shared" si="0"/>
        <v>0.11666666666666665</v>
      </c>
    </row>
    <row r="34" spans="2:13" ht="12.75">
      <c r="B34" s="13" t="s">
        <v>41</v>
      </c>
      <c r="D34" s="13" t="s">
        <v>24</v>
      </c>
      <c r="E34" s="13" t="s">
        <v>85</v>
      </c>
      <c r="F34" s="14" t="s">
        <v>30</v>
      </c>
      <c r="G34" s="18">
        <v>0.113</v>
      </c>
      <c r="H34" s="29" t="s">
        <v>30</v>
      </c>
      <c r="I34" s="18">
        <v>0.116</v>
      </c>
      <c r="J34" s="29" t="s">
        <v>30</v>
      </c>
      <c r="K34" s="18">
        <v>0.109</v>
      </c>
      <c r="L34" s="23"/>
      <c r="M34" s="18">
        <f t="shared" si="0"/>
        <v>0.11266666666666668</v>
      </c>
    </row>
    <row r="35" spans="2:13" ht="12.75">
      <c r="B35" s="13" t="s">
        <v>42</v>
      </c>
      <c r="D35" s="13" t="s">
        <v>24</v>
      </c>
      <c r="E35" s="13" t="s">
        <v>85</v>
      </c>
      <c r="G35" s="18">
        <v>13.4</v>
      </c>
      <c r="H35" s="29"/>
      <c r="I35" s="18">
        <v>11.4</v>
      </c>
      <c r="J35" s="29"/>
      <c r="K35" s="18">
        <v>12.9</v>
      </c>
      <c r="L35" s="23"/>
      <c r="M35" s="18">
        <f t="shared" si="0"/>
        <v>12.566666666666668</v>
      </c>
    </row>
    <row r="36" spans="2:13" ht="12.75">
      <c r="B36" s="13" t="s">
        <v>43</v>
      </c>
      <c r="D36" s="13" t="s">
        <v>24</v>
      </c>
      <c r="E36" s="13" t="s">
        <v>85</v>
      </c>
      <c r="G36" s="18">
        <v>9</v>
      </c>
      <c r="H36" s="29"/>
      <c r="I36" s="18">
        <v>12.2</v>
      </c>
      <c r="J36" s="29"/>
      <c r="K36" s="18">
        <v>9.69</v>
      </c>
      <c r="L36" s="23"/>
      <c r="M36" s="18">
        <f t="shared" si="0"/>
        <v>10.296666666666667</v>
      </c>
    </row>
    <row r="37" spans="2:13" ht="12.75">
      <c r="B37" s="13" t="s">
        <v>44</v>
      </c>
      <c r="D37" s="13" t="s">
        <v>24</v>
      </c>
      <c r="E37" s="13" t="s">
        <v>85</v>
      </c>
      <c r="G37" s="18">
        <v>1.24</v>
      </c>
      <c r="H37" s="29" t="s">
        <v>30</v>
      </c>
      <c r="I37" s="18">
        <v>1.07</v>
      </c>
      <c r="J37" s="29" t="s">
        <v>30</v>
      </c>
      <c r="K37" s="18">
        <v>1</v>
      </c>
      <c r="L37" s="25"/>
      <c r="M37" s="18">
        <f t="shared" si="0"/>
        <v>1.1033333333333333</v>
      </c>
    </row>
    <row r="38" spans="2:13" ht="12.75">
      <c r="B38" s="13" t="s">
        <v>45</v>
      </c>
      <c r="D38" s="13" t="s">
        <v>24</v>
      </c>
      <c r="E38" s="13" t="s">
        <v>85</v>
      </c>
      <c r="G38" s="18">
        <v>517</v>
      </c>
      <c r="H38" s="29"/>
      <c r="I38" s="18">
        <v>534</v>
      </c>
      <c r="J38" s="29"/>
      <c r="K38" s="18">
        <v>517</v>
      </c>
      <c r="L38" s="23"/>
      <c r="M38" s="18">
        <f t="shared" si="0"/>
        <v>522.6666666666666</v>
      </c>
    </row>
    <row r="39" spans="2:13" ht="12.75">
      <c r="B39" s="13" t="s">
        <v>46</v>
      </c>
      <c r="D39" s="13" t="s">
        <v>24</v>
      </c>
      <c r="E39" s="13" t="s">
        <v>85</v>
      </c>
      <c r="G39" s="18">
        <v>18.4</v>
      </c>
      <c r="H39" s="29"/>
      <c r="I39" s="18">
        <v>18</v>
      </c>
      <c r="J39" s="29"/>
      <c r="K39" s="18">
        <v>16.1</v>
      </c>
      <c r="L39" s="23"/>
      <c r="M39" s="18">
        <f t="shared" si="0"/>
        <v>17.5</v>
      </c>
    </row>
    <row r="40" spans="2:13" ht="12.75">
      <c r="B40" s="13" t="s">
        <v>47</v>
      </c>
      <c r="D40" s="13" t="s">
        <v>24</v>
      </c>
      <c r="E40" s="13" t="s">
        <v>85</v>
      </c>
      <c r="F40" s="14" t="s">
        <v>30</v>
      </c>
      <c r="G40" s="18">
        <v>0.298</v>
      </c>
      <c r="H40" s="29" t="s">
        <v>30</v>
      </c>
      <c r="I40" s="18">
        <v>0.306</v>
      </c>
      <c r="J40" s="29" t="s">
        <v>30</v>
      </c>
      <c r="K40" s="18">
        <v>0.287</v>
      </c>
      <c r="L40" s="23"/>
      <c r="M40" s="18">
        <f t="shared" si="0"/>
        <v>0.297</v>
      </c>
    </row>
    <row r="41" spans="2:13" ht="12.75">
      <c r="B41" s="13" t="s">
        <v>48</v>
      </c>
      <c r="D41" s="13" t="s">
        <v>24</v>
      </c>
      <c r="E41" s="13" t="s">
        <v>85</v>
      </c>
      <c r="F41" s="14" t="s">
        <v>30</v>
      </c>
      <c r="G41" s="18">
        <v>6.74</v>
      </c>
      <c r="H41" s="29" t="s">
        <v>30</v>
      </c>
      <c r="I41" s="18">
        <v>6.91</v>
      </c>
      <c r="J41" s="29" t="s">
        <v>30</v>
      </c>
      <c r="K41" s="18">
        <v>6.48</v>
      </c>
      <c r="L41" s="23"/>
      <c r="M41" s="18">
        <f t="shared" si="0"/>
        <v>6.710000000000001</v>
      </c>
    </row>
    <row r="42" ht="12.75" customHeight="1"/>
    <row r="43" spans="2:13" ht="12.75">
      <c r="B43" s="13" t="s">
        <v>149</v>
      </c>
      <c r="C43" s="13" t="s">
        <v>108</v>
      </c>
      <c r="D43" s="13" t="s">
        <v>170</v>
      </c>
      <c r="G43" s="23"/>
      <c r="H43" s="29"/>
      <c r="I43" s="23"/>
      <c r="J43" s="29"/>
      <c r="K43" s="23"/>
      <c r="L43" s="23"/>
      <c r="M43" s="23"/>
    </row>
    <row r="44" spans="2:13" ht="12.75">
      <c r="B44" s="13" t="s">
        <v>25</v>
      </c>
      <c r="D44" s="13" t="s">
        <v>26</v>
      </c>
      <c r="G44" s="13">
        <v>4360</v>
      </c>
      <c r="I44" s="13">
        <v>4385</v>
      </c>
      <c r="K44" s="13">
        <v>4323</v>
      </c>
      <c r="M44" s="13">
        <f>AVERAGE(G44,I44,K44)</f>
        <v>4356</v>
      </c>
    </row>
    <row r="45" spans="2:13" ht="12.75">
      <c r="B45" s="13" t="s">
        <v>27</v>
      </c>
      <c r="D45" s="13" t="s">
        <v>21</v>
      </c>
      <c r="G45" s="13">
        <v>4.6</v>
      </c>
      <c r="I45" s="13">
        <v>4.7</v>
      </c>
      <c r="K45" s="13">
        <v>4.9</v>
      </c>
      <c r="M45" s="25">
        <f>AVERAGE(G45,I45,K45)</f>
        <v>4.733333333333333</v>
      </c>
    </row>
    <row r="46" spans="2:13" ht="12.75">
      <c r="B46" s="13" t="s">
        <v>145</v>
      </c>
      <c r="D46" s="13" t="s">
        <v>21</v>
      </c>
      <c r="G46" s="25">
        <v>64.08</v>
      </c>
      <c r="H46" s="28"/>
      <c r="I46" s="25">
        <v>63.01</v>
      </c>
      <c r="J46" s="28"/>
      <c r="K46" s="25">
        <v>63.68</v>
      </c>
      <c r="L46" s="25"/>
      <c r="M46" s="25">
        <f>AVERAGE(G46,I46,K46)</f>
        <v>63.59</v>
      </c>
    </row>
    <row r="47" spans="2:13" ht="12.75">
      <c r="B47" s="13" t="s">
        <v>28</v>
      </c>
      <c r="D47" s="13" t="s">
        <v>29</v>
      </c>
      <c r="G47" s="13">
        <v>609</v>
      </c>
      <c r="I47" s="13">
        <v>609</v>
      </c>
      <c r="K47" s="13">
        <v>611</v>
      </c>
      <c r="M47" s="21">
        <f>AVERAGE(G47,I47,K47)</f>
        <v>609.6666666666666</v>
      </c>
    </row>
    <row r="49" spans="2:4" ht="12" customHeight="1">
      <c r="B49" s="13" t="s">
        <v>149</v>
      </c>
      <c r="C49" s="13" t="s">
        <v>107</v>
      </c>
      <c r="D49" s="13" t="s">
        <v>172</v>
      </c>
    </row>
    <row r="50" spans="2:13" ht="12.75">
      <c r="B50" s="13" t="s">
        <v>25</v>
      </c>
      <c r="D50" s="13" t="s">
        <v>26</v>
      </c>
      <c r="G50" s="13">
        <v>3866</v>
      </c>
      <c r="I50" s="13">
        <v>3791</v>
      </c>
      <c r="K50" s="13">
        <v>4121</v>
      </c>
      <c r="M50" s="13">
        <f>AVERAGE(G50,I50,K50)</f>
        <v>3926</v>
      </c>
    </row>
    <row r="51" spans="2:13" ht="12.75">
      <c r="B51" s="13" t="s">
        <v>27</v>
      </c>
      <c r="D51" s="13" t="s">
        <v>21</v>
      </c>
      <c r="G51" s="25">
        <v>5</v>
      </c>
      <c r="H51" s="28"/>
      <c r="I51" s="25">
        <v>5.1</v>
      </c>
      <c r="J51" s="28"/>
      <c r="K51" s="25">
        <v>5.4</v>
      </c>
      <c r="L51" s="25"/>
      <c r="M51" s="25">
        <f>AVERAGE(G51,I51,K51)</f>
        <v>5.166666666666667</v>
      </c>
    </row>
    <row r="52" spans="2:13" ht="12.75">
      <c r="B52" s="13" t="s">
        <v>145</v>
      </c>
      <c r="D52" s="13" t="s">
        <v>21</v>
      </c>
      <c r="G52" s="25">
        <v>64.4</v>
      </c>
      <c r="H52" s="28"/>
      <c r="I52" s="25">
        <v>63.95</v>
      </c>
      <c r="J52" s="28"/>
      <c r="K52" s="25">
        <v>63.76</v>
      </c>
      <c r="L52" s="25"/>
      <c r="M52" s="25">
        <f>AVERAGE(G52,I52,K52)</f>
        <v>64.03666666666668</v>
      </c>
    </row>
    <row r="53" spans="2:13" ht="12.75">
      <c r="B53" s="13" t="s">
        <v>28</v>
      </c>
      <c r="D53" s="13" t="s">
        <v>29</v>
      </c>
      <c r="G53" s="13">
        <v>604</v>
      </c>
      <c r="I53" s="13">
        <v>604</v>
      </c>
      <c r="K53" s="13">
        <v>608</v>
      </c>
      <c r="M53" s="18">
        <f>AVERAGE(G53,I53,K53)</f>
        <v>605.3333333333334</v>
      </c>
    </row>
    <row r="55" spans="2:13" ht="12.75">
      <c r="B55" s="13" t="s">
        <v>90</v>
      </c>
      <c r="C55" s="13" t="s">
        <v>170</v>
      </c>
      <c r="D55" s="13" t="s">
        <v>23</v>
      </c>
      <c r="E55" s="13" t="s">
        <v>88</v>
      </c>
      <c r="G55" s="25">
        <f>G27/1000*667.8*(21-7)/(21-G45)</f>
        <v>0.5928760975609757</v>
      </c>
      <c r="I55" s="25">
        <f>I27/1000*667.8*(21-7)/(21-I45)</f>
        <v>3.3439163190184047</v>
      </c>
      <c r="K55" s="25">
        <f>K27/1000*667.8*(21-7)/(21-K45)</f>
        <v>0.6561860869565216</v>
      </c>
      <c r="M55" s="25">
        <f>AVERAGE(K55,I55,G55)</f>
        <v>1.5309928345119674</v>
      </c>
    </row>
    <row r="56" spans="2:13" ht="12.75">
      <c r="B56" s="13" t="s">
        <v>89</v>
      </c>
      <c r="C56" s="13" t="s">
        <v>170</v>
      </c>
      <c r="D56" s="13" t="s">
        <v>23</v>
      </c>
      <c r="E56" s="13" t="s">
        <v>88</v>
      </c>
      <c r="G56" s="25">
        <f>G28/1000*343.4*(21-7)/(21-G45)</f>
        <v>0.013426102439024392</v>
      </c>
      <c r="I56" s="25">
        <f>I28/1000*343.4*(21-7)/(21-I45)</f>
        <v>0.220323754601227</v>
      </c>
      <c r="K56" s="25">
        <f>K28/1000*343.4*(21-7)/(21-K45)</f>
        <v>0.019857478260869563</v>
      </c>
      <c r="M56" s="25">
        <f>AVERAGE(K56,I56,G56)</f>
        <v>0.08453577843370698</v>
      </c>
    </row>
    <row r="57" spans="2:13" ht="12.75">
      <c r="B57" s="13" t="s">
        <v>146</v>
      </c>
      <c r="C57" s="13" t="s">
        <v>170</v>
      </c>
      <c r="D57" s="13" t="s">
        <v>23</v>
      </c>
      <c r="E57" s="13" t="s">
        <v>88</v>
      </c>
      <c r="G57" s="25">
        <f>G55+2*G56</f>
        <v>0.6197283024390244</v>
      </c>
      <c r="I57" s="25">
        <f>I55+2*I56</f>
        <v>3.7845638282208585</v>
      </c>
      <c r="K57" s="25">
        <f>K55+2*K56</f>
        <v>0.6959010434782608</v>
      </c>
      <c r="M57" s="25">
        <f>AVERAGE(K57,I57,G57)</f>
        <v>1.7000643913793814</v>
      </c>
    </row>
    <row r="58" spans="7:13" ht="12.75">
      <c r="G58" s="25"/>
      <c r="I58" s="25"/>
      <c r="K58" s="25"/>
      <c r="M58" s="25"/>
    </row>
    <row r="59" spans="2:13" ht="12.75">
      <c r="B59" s="13" t="s">
        <v>171</v>
      </c>
      <c r="C59" s="13" t="s">
        <v>172</v>
      </c>
      <c r="D59" s="13" t="s">
        <v>24</v>
      </c>
      <c r="E59" s="13" t="s">
        <v>88</v>
      </c>
      <c r="G59" s="25"/>
      <c r="I59" s="25">
        <f>I29*(21-7)/(21-I$51)</f>
        <v>5.423899371069183</v>
      </c>
      <c r="K59" s="25">
        <f>K29*(21-7)/(21-K$51)</f>
        <v>2.5307692307692307</v>
      </c>
      <c r="M59" s="25">
        <f>AVERAGE(K59,I59,G59)</f>
        <v>3.977334300919207</v>
      </c>
    </row>
    <row r="60" spans="7:13" ht="12.75">
      <c r="G60" s="25"/>
      <c r="I60" s="25"/>
      <c r="K60" s="25"/>
      <c r="M60" s="25"/>
    </row>
    <row r="61" spans="2:13" ht="12.75">
      <c r="B61" s="13" t="s">
        <v>37</v>
      </c>
      <c r="C61" s="13" t="s">
        <v>172</v>
      </c>
      <c r="D61" s="13" t="s">
        <v>24</v>
      </c>
      <c r="E61" s="13" t="s">
        <v>88</v>
      </c>
      <c r="G61" s="25">
        <f aca="true" t="shared" si="1" ref="G61:I72">G30*(21-7)/(21-G$51)</f>
        <v>14.525000000000002</v>
      </c>
      <c r="I61" s="25">
        <f t="shared" si="1"/>
        <v>13.735849056603774</v>
      </c>
      <c r="K61" s="25">
        <f aca="true" t="shared" si="2" ref="K61:K72">K30*(21-7)/(21-K$51)</f>
        <v>13.102564102564104</v>
      </c>
      <c r="M61" s="25">
        <f aca="true" t="shared" si="3" ref="M61:M72">AVERAGE(K61,I61,G61)</f>
        <v>13.787804386389292</v>
      </c>
    </row>
    <row r="62" spans="2:13" ht="12.75">
      <c r="B62" s="13" t="s">
        <v>38</v>
      </c>
      <c r="C62" s="13" t="s">
        <v>172</v>
      </c>
      <c r="D62" s="13" t="s">
        <v>24</v>
      </c>
      <c r="E62" s="13" t="s">
        <v>88</v>
      </c>
      <c r="F62" s="14" t="s">
        <v>30</v>
      </c>
      <c r="G62" s="25">
        <f t="shared" si="1"/>
        <v>2.37125</v>
      </c>
      <c r="H62" s="29" t="s">
        <v>30</v>
      </c>
      <c r="I62" s="25">
        <f>I31*(21-7)/(21-I$51)</f>
        <v>2.4477987421383642</v>
      </c>
      <c r="J62" s="29" t="s">
        <v>30</v>
      </c>
      <c r="K62" s="25">
        <f t="shared" si="2"/>
        <v>2.3423076923076924</v>
      </c>
      <c r="L62" s="13">
        <v>100</v>
      </c>
      <c r="M62" s="25">
        <f t="shared" si="3"/>
        <v>2.387118811482019</v>
      </c>
    </row>
    <row r="63" spans="2:13" ht="12.75">
      <c r="B63" s="13" t="s">
        <v>39</v>
      </c>
      <c r="C63" s="13" t="s">
        <v>172</v>
      </c>
      <c r="D63" s="13" t="s">
        <v>24</v>
      </c>
      <c r="E63" s="13" t="s">
        <v>88</v>
      </c>
      <c r="G63" s="25">
        <f t="shared" si="1"/>
        <v>54.25</v>
      </c>
      <c r="H63" s="29"/>
      <c r="I63" s="25">
        <f t="shared" si="1"/>
        <v>54.327044025157235</v>
      </c>
      <c r="J63" s="29"/>
      <c r="K63" s="25">
        <f t="shared" si="2"/>
        <v>51.42307692307692</v>
      </c>
      <c r="M63" s="25">
        <f t="shared" si="3"/>
        <v>53.333373649411385</v>
      </c>
    </row>
    <row r="64" spans="2:13" ht="12.75">
      <c r="B64" s="13" t="s">
        <v>40</v>
      </c>
      <c r="C64" s="13" t="s">
        <v>172</v>
      </c>
      <c r="D64" s="13" t="s">
        <v>24</v>
      </c>
      <c r="E64" s="13" t="s">
        <v>88</v>
      </c>
      <c r="G64" s="25">
        <f t="shared" si="1"/>
        <v>0.104125</v>
      </c>
      <c r="H64" s="29"/>
      <c r="I64" s="25">
        <f t="shared" si="1"/>
        <v>0.10742138364779874</v>
      </c>
      <c r="J64" s="29"/>
      <c r="K64" s="25">
        <f t="shared" si="2"/>
        <v>0.09782051282051282</v>
      </c>
      <c r="M64" s="25">
        <f t="shared" si="3"/>
        <v>0.10312229882277052</v>
      </c>
    </row>
    <row r="65" spans="2:13" ht="12.75">
      <c r="B65" s="13" t="s">
        <v>41</v>
      </c>
      <c r="C65" s="13" t="s">
        <v>172</v>
      </c>
      <c r="D65" s="13" t="s">
        <v>24</v>
      </c>
      <c r="E65" s="13" t="s">
        <v>88</v>
      </c>
      <c r="F65" s="14" t="s">
        <v>30</v>
      </c>
      <c r="G65" s="25">
        <f t="shared" si="1"/>
        <v>0.098875</v>
      </c>
      <c r="H65" s="29" t="s">
        <v>30</v>
      </c>
      <c r="I65" s="25">
        <f t="shared" si="1"/>
        <v>0.10213836477987422</v>
      </c>
      <c r="J65" s="29" t="s">
        <v>30</v>
      </c>
      <c r="K65" s="25">
        <f t="shared" si="2"/>
        <v>0.09782051282051282</v>
      </c>
      <c r="L65" s="13">
        <v>100</v>
      </c>
      <c r="M65" s="25">
        <f t="shared" si="3"/>
        <v>0.09961129253346235</v>
      </c>
    </row>
    <row r="66" spans="2:13" ht="12.75">
      <c r="B66" s="13" t="s">
        <v>42</v>
      </c>
      <c r="C66" s="13" t="s">
        <v>172</v>
      </c>
      <c r="D66" s="13" t="s">
        <v>24</v>
      </c>
      <c r="E66" s="13" t="s">
        <v>88</v>
      </c>
      <c r="G66" s="25">
        <f t="shared" si="1"/>
        <v>11.725</v>
      </c>
      <c r="H66" s="29"/>
      <c r="I66" s="25">
        <f t="shared" si="1"/>
        <v>10.037735849056602</v>
      </c>
      <c r="J66" s="29"/>
      <c r="K66" s="25">
        <f t="shared" si="2"/>
        <v>11.576923076923077</v>
      </c>
      <c r="M66" s="25">
        <f t="shared" si="3"/>
        <v>11.113219641993226</v>
      </c>
    </row>
    <row r="67" spans="2:13" ht="12.75">
      <c r="B67" s="13" t="s">
        <v>43</v>
      </c>
      <c r="C67" s="13" t="s">
        <v>172</v>
      </c>
      <c r="D67" s="13" t="s">
        <v>24</v>
      </c>
      <c r="E67" s="13" t="s">
        <v>88</v>
      </c>
      <c r="G67" s="25">
        <f t="shared" si="1"/>
        <v>7.875</v>
      </c>
      <c r="H67" s="29"/>
      <c r="I67" s="25">
        <f t="shared" si="1"/>
        <v>10.742138364779873</v>
      </c>
      <c r="J67" s="29"/>
      <c r="K67" s="25">
        <f t="shared" si="2"/>
        <v>8.696153846153846</v>
      </c>
      <c r="M67" s="25">
        <f t="shared" si="3"/>
        <v>9.104430736977905</v>
      </c>
    </row>
    <row r="68" spans="2:13" ht="12.75">
      <c r="B68" s="13" t="s">
        <v>44</v>
      </c>
      <c r="C68" s="13" t="s">
        <v>172</v>
      </c>
      <c r="D68" s="13" t="s">
        <v>24</v>
      </c>
      <c r="E68" s="13" t="s">
        <v>88</v>
      </c>
      <c r="G68" s="25">
        <f t="shared" si="1"/>
        <v>1.085</v>
      </c>
      <c r="H68" s="29" t="s">
        <v>30</v>
      </c>
      <c r="I68" s="25">
        <f t="shared" si="1"/>
        <v>0.9421383647798742</v>
      </c>
      <c r="J68" s="29" t="s">
        <v>30</v>
      </c>
      <c r="K68" s="25">
        <f t="shared" si="2"/>
        <v>0.8974358974358975</v>
      </c>
      <c r="L68" s="13">
        <f>SUM(K68,I68)/M68*100/3</f>
        <v>62.900583034675215</v>
      </c>
      <c r="M68" s="25">
        <f t="shared" si="3"/>
        <v>0.9748580874052571</v>
      </c>
    </row>
    <row r="69" spans="2:13" ht="12.75">
      <c r="B69" s="13" t="s">
        <v>45</v>
      </c>
      <c r="C69" s="13" t="s">
        <v>172</v>
      </c>
      <c r="D69" s="13" t="s">
        <v>24</v>
      </c>
      <c r="E69" s="13" t="s">
        <v>88</v>
      </c>
      <c r="G69" s="25">
        <f t="shared" si="1"/>
        <v>452.375</v>
      </c>
      <c r="H69" s="29"/>
      <c r="I69" s="25">
        <f t="shared" si="1"/>
        <v>470.188679245283</v>
      </c>
      <c r="J69" s="29"/>
      <c r="K69" s="25">
        <f t="shared" si="2"/>
        <v>463.974358974359</v>
      </c>
      <c r="M69" s="25">
        <f t="shared" si="3"/>
        <v>462.179346073214</v>
      </c>
    </row>
    <row r="70" spans="2:13" ht="12.75">
      <c r="B70" s="13" t="s">
        <v>46</v>
      </c>
      <c r="C70" s="13" t="s">
        <v>172</v>
      </c>
      <c r="D70" s="13" t="s">
        <v>24</v>
      </c>
      <c r="E70" s="13" t="s">
        <v>88</v>
      </c>
      <c r="G70" s="25">
        <f t="shared" si="1"/>
        <v>16.099999999999998</v>
      </c>
      <c r="H70" s="29"/>
      <c r="I70" s="25">
        <f t="shared" si="1"/>
        <v>15.849056603773585</v>
      </c>
      <c r="J70" s="29"/>
      <c r="K70" s="25">
        <f t="shared" si="2"/>
        <v>14.44871794871795</v>
      </c>
      <c r="M70" s="25">
        <f t="shared" si="3"/>
        <v>15.465924850830511</v>
      </c>
    </row>
    <row r="71" spans="2:13" ht="12.75">
      <c r="B71" s="13" t="s">
        <v>47</v>
      </c>
      <c r="C71" s="13" t="s">
        <v>172</v>
      </c>
      <c r="D71" s="13" t="s">
        <v>24</v>
      </c>
      <c r="E71" s="13" t="s">
        <v>88</v>
      </c>
      <c r="F71" s="14" t="s">
        <v>30</v>
      </c>
      <c r="G71" s="25">
        <f t="shared" si="1"/>
        <v>0.26075</v>
      </c>
      <c r="H71" s="29" t="s">
        <v>30</v>
      </c>
      <c r="I71" s="25">
        <f t="shared" si="1"/>
        <v>0.26943396226415095</v>
      </c>
      <c r="J71" s="29" t="s">
        <v>30</v>
      </c>
      <c r="K71" s="25">
        <f t="shared" si="2"/>
        <v>0.25756410256410256</v>
      </c>
      <c r="L71" s="13">
        <v>100</v>
      </c>
      <c r="M71" s="25">
        <f t="shared" si="3"/>
        <v>0.2625826882760845</v>
      </c>
    </row>
    <row r="72" spans="2:13" ht="12.75">
      <c r="B72" s="13" t="s">
        <v>48</v>
      </c>
      <c r="C72" s="13" t="s">
        <v>172</v>
      </c>
      <c r="D72" s="13" t="s">
        <v>24</v>
      </c>
      <c r="E72" s="13" t="s">
        <v>88</v>
      </c>
      <c r="F72" s="14" t="s">
        <v>30</v>
      </c>
      <c r="G72" s="25">
        <f t="shared" si="1"/>
        <v>5.8975</v>
      </c>
      <c r="H72" s="29" t="s">
        <v>30</v>
      </c>
      <c r="I72" s="25">
        <f t="shared" si="1"/>
        <v>6.084276729559749</v>
      </c>
      <c r="J72" s="29" t="s">
        <v>30</v>
      </c>
      <c r="K72" s="25">
        <f t="shared" si="2"/>
        <v>5.815384615384615</v>
      </c>
      <c r="L72" s="13">
        <v>100</v>
      </c>
      <c r="M72" s="25">
        <f t="shared" si="3"/>
        <v>5.932387114981455</v>
      </c>
    </row>
    <row r="73" spans="7:13" ht="12.75">
      <c r="G73" s="25"/>
      <c r="H73" s="29"/>
      <c r="I73" s="25"/>
      <c r="J73" s="29"/>
      <c r="K73" s="25"/>
      <c r="M73" s="25"/>
    </row>
    <row r="74" spans="2:13" ht="12.75">
      <c r="B74" s="13" t="s">
        <v>116</v>
      </c>
      <c r="C74" s="13" t="s">
        <v>172</v>
      </c>
      <c r="D74" s="13" t="s">
        <v>24</v>
      </c>
      <c r="E74" s="13" t="s">
        <v>88</v>
      </c>
      <c r="F74" s="14">
        <v>1.2</v>
      </c>
      <c r="G74" s="25">
        <f>G67+G65</f>
        <v>7.973875</v>
      </c>
      <c r="H74" s="14">
        <v>0.9</v>
      </c>
      <c r="I74" s="25">
        <f>I67+I65</f>
        <v>10.844276729559747</v>
      </c>
      <c r="J74" s="14">
        <v>1.1</v>
      </c>
      <c r="K74" s="25">
        <f>K67+K65</f>
        <v>8.79397435897436</v>
      </c>
      <c r="L74" s="13">
        <f>M65/M74*100</f>
        <v>1.0822559503104594</v>
      </c>
      <c r="M74" s="25">
        <f>AVERAGE(K74,I74,G74)</f>
        <v>9.204042029511369</v>
      </c>
    </row>
    <row r="75" spans="2:13" ht="12.75">
      <c r="B75" s="13" t="s">
        <v>117</v>
      </c>
      <c r="C75" s="13" t="s">
        <v>172</v>
      </c>
      <c r="D75" s="13" t="s">
        <v>24</v>
      </c>
      <c r="E75" s="13" t="s">
        <v>88</v>
      </c>
      <c r="F75" s="14">
        <f>G62/G75*100</f>
        <v>16.698502680386962</v>
      </c>
      <c r="G75" s="25">
        <f>G62+G64+G66</f>
        <v>14.200375</v>
      </c>
      <c r="H75" s="14">
        <f>I62/I75*100</f>
        <v>19.43784086141798</v>
      </c>
      <c r="I75" s="25">
        <f>I62+I64+I66</f>
        <v>12.592955974842766</v>
      </c>
      <c r="J75" s="14">
        <f>K62/K75*100</f>
        <v>16.71041680005122</v>
      </c>
      <c r="K75" s="25">
        <f>K62+K64+K66</f>
        <v>14.017051282051282</v>
      </c>
      <c r="L75" s="14">
        <f>M62/M75*100</f>
        <v>17.54787884457097</v>
      </c>
      <c r="M75" s="25">
        <f>AVERAGE(K75,I75,G75)</f>
        <v>13.603460752298018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2"/>
  <sheetViews>
    <sheetView zoomScale="75" zoomScaleNormal="75" workbookViewId="0" topLeftCell="B1">
      <selection activeCell="B17" sqref="B17"/>
    </sheetView>
  </sheetViews>
  <sheetFormatPr defaultColWidth="9.140625" defaultRowHeight="12.75"/>
  <cols>
    <col min="1" max="1" width="9.140625" style="13" hidden="1" customWidth="1"/>
    <col min="2" max="2" width="20.421875" style="13" customWidth="1"/>
    <col min="3" max="3" width="1.28515625" style="13" customWidth="1"/>
    <col min="4" max="4" width="8.7109375" style="13" customWidth="1"/>
    <col min="5" max="5" width="4.421875" style="14" customWidth="1"/>
    <col min="6" max="6" width="9.8515625" style="13" customWidth="1"/>
    <col min="7" max="7" width="4.00390625" style="14" customWidth="1"/>
    <col min="8" max="8" width="9.8515625" style="13" customWidth="1"/>
    <col min="9" max="9" width="5.140625" style="14" customWidth="1"/>
    <col min="10" max="10" width="10.421875" style="13" customWidth="1"/>
    <col min="11" max="11" width="4.00390625" style="14" customWidth="1"/>
    <col min="12" max="12" width="9.00390625" style="13" customWidth="1"/>
    <col min="13" max="13" width="4.00390625" style="13" customWidth="1"/>
    <col min="14" max="14" width="8.57421875" style="13" customWidth="1"/>
    <col min="15" max="15" width="3.8515625" style="13" customWidth="1"/>
    <col min="16" max="16" width="12.00390625" style="13" customWidth="1"/>
    <col min="17" max="17" width="4.421875" style="13" customWidth="1"/>
    <col min="18" max="18" width="12.421875" style="13" customWidth="1"/>
    <col min="19" max="19" width="4.421875" style="13" customWidth="1"/>
    <col min="20" max="20" width="11.28125" style="13" customWidth="1"/>
    <col min="21" max="21" width="4.57421875" style="13" customWidth="1"/>
    <col min="22" max="22" width="14.140625" style="13" customWidth="1"/>
    <col min="23" max="23" width="4.28125" style="13" customWidth="1"/>
    <col min="24" max="24" width="13.00390625" style="13" customWidth="1"/>
    <col min="25" max="25" width="4.28125" style="13" customWidth="1"/>
    <col min="26" max="26" width="9.8515625" style="13" customWidth="1"/>
    <col min="27" max="27" width="3.8515625" style="13" customWidth="1"/>
    <col min="28" max="28" width="13.140625" style="13" customWidth="1"/>
    <col min="29" max="29" width="5.00390625" style="13" customWidth="1"/>
    <col min="30" max="30" width="10.57421875" style="13" customWidth="1"/>
    <col min="31" max="31" width="4.421875" style="13" customWidth="1"/>
    <col min="32" max="32" width="10.00390625" style="13" customWidth="1"/>
    <col min="33" max="33" width="5.00390625" style="13" customWidth="1"/>
    <col min="34" max="34" width="10.140625" style="13" customWidth="1"/>
    <col min="35" max="35" width="3.8515625" style="13" customWidth="1"/>
    <col min="36" max="36" width="7.57421875" style="13" customWidth="1"/>
    <col min="37" max="37" width="3.00390625" style="13" customWidth="1"/>
    <col min="38" max="38" width="11.57421875" style="13" customWidth="1"/>
    <col min="39" max="39" width="3.00390625" style="13" customWidth="1"/>
    <col min="40" max="40" width="9.28125" style="13" customWidth="1"/>
    <col min="41" max="41" width="3.00390625" style="13" customWidth="1"/>
    <col min="42" max="42" width="9.421875" style="13" customWidth="1"/>
    <col min="43" max="43" width="3.00390625" style="13" customWidth="1"/>
    <col min="44" max="44" width="10.57421875" style="13" customWidth="1"/>
    <col min="45" max="45" width="4.421875" style="13" customWidth="1"/>
    <col min="46" max="46" width="9.28125" style="13" customWidth="1"/>
    <col min="47" max="47" width="5.00390625" style="13" customWidth="1"/>
    <col min="48" max="48" width="11.57421875" style="13" customWidth="1"/>
    <col min="49" max="49" width="4.57421875" style="13" customWidth="1"/>
    <col min="50" max="50" width="9.140625" style="13" customWidth="1"/>
    <col min="51" max="51" width="4.421875" style="13" customWidth="1"/>
    <col min="52" max="52" width="9.00390625" style="13" customWidth="1"/>
    <col min="53" max="53" width="4.421875" style="13" customWidth="1"/>
    <col min="54" max="54" width="11.421875" style="13" customWidth="1"/>
    <col min="55" max="55" width="4.140625" style="13" customWidth="1"/>
    <col min="56" max="56" width="11.421875" style="13" customWidth="1"/>
    <col min="57" max="57" width="4.00390625" style="13" customWidth="1"/>
    <col min="58" max="58" width="11.421875" style="13" customWidth="1"/>
    <col min="59" max="59" width="4.57421875" style="13" customWidth="1"/>
    <col min="60" max="16384" width="11.421875" style="13" customWidth="1"/>
  </cols>
  <sheetData>
    <row r="1" spans="2:3" ht="12.75">
      <c r="B1" s="17" t="s">
        <v>125</v>
      </c>
      <c r="C1" s="17"/>
    </row>
    <row r="2" ht="12.75">
      <c r="J2" s="14"/>
    </row>
    <row r="3" spans="5:11" ht="12.75">
      <c r="E3" s="13"/>
      <c r="G3" s="13"/>
      <c r="I3" s="13"/>
      <c r="K3" s="13"/>
    </row>
    <row r="4" spans="1:60" ht="12.75">
      <c r="A4" s="13" t="s">
        <v>151</v>
      </c>
      <c r="B4" s="17" t="s">
        <v>104</v>
      </c>
      <c r="C4" s="17"/>
      <c r="F4" s="13" t="s">
        <v>159</v>
      </c>
      <c r="H4" s="13" t="s">
        <v>160</v>
      </c>
      <c r="J4" s="13" t="s">
        <v>161</v>
      </c>
      <c r="L4" s="13" t="s">
        <v>20</v>
      </c>
      <c r="N4" s="13" t="s">
        <v>159</v>
      </c>
      <c r="O4" s="14"/>
      <c r="P4" s="13" t="s">
        <v>160</v>
      </c>
      <c r="Q4" s="14"/>
      <c r="R4" s="13" t="s">
        <v>161</v>
      </c>
      <c r="T4" s="13" t="s">
        <v>20</v>
      </c>
      <c r="V4" s="13" t="s">
        <v>159</v>
      </c>
      <c r="W4" s="14"/>
      <c r="X4" s="13" t="s">
        <v>160</v>
      </c>
      <c r="Y4" s="14"/>
      <c r="Z4" s="13" t="s">
        <v>161</v>
      </c>
      <c r="AB4" s="13" t="s">
        <v>20</v>
      </c>
      <c r="AD4" s="13" t="s">
        <v>159</v>
      </c>
      <c r="AE4" s="14"/>
      <c r="AF4" s="13" t="s">
        <v>160</v>
      </c>
      <c r="AG4" s="14"/>
      <c r="AH4" s="13" t="s">
        <v>161</v>
      </c>
      <c r="AJ4" s="13" t="s">
        <v>20</v>
      </c>
      <c r="AL4" s="13" t="s">
        <v>159</v>
      </c>
      <c r="AM4" s="14"/>
      <c r="AN4" s="13" t="s">
        <v>160</v>
      </c>
      <c r="AO4" s="14"/>
      <c r="AP4" s="13" t="s">
        <v>161</v>
      </c>
      <c r="AR4" s="13" t="s">
        <v>20</v>
      </c>
      <c r="AT4" s="13" t="s">
        <v>159</v>
      </c>
      <c r="AU4" s="14"/>
      <c r="AV4" s="13" t="s">
        <v>160</v>
      </c>
      <c r="AW4" s="14"/>
      <c r="AX4" s="13" t="s">
        <v>161</v>
      </c>
      <c r="AZ4" s="13" t="s">
        <v>20</v>
      </c>
      <c r="BB4" s="13" t="s">
        <v>159</v>
      </c>
      <c r="BC4" s="14"/>
      <c r="BD4" s="13" t="s">
        <v>160</v>
      </c>
      <c r="BE4" s="14"/>
      <c r="BF4" s="13" t="s">
        <v>161</v>
      </c>
      <c r="BH4" s="13" t="s">
        <v>20</v>
      </c>
    </row>
    <row r="5" spans="2:57" ht="12.75">
      <c r="B5" s="17"/>
      <c r="C5" s="17"/>
      <c r="O5" s="14"/>
      <c r="Q5" s="14"/>
      <c r="W5" s="14"/>
      <c r="Y5" s="14"/>
      <c r="AM5" s="14"/>
      <c r="AO5" s="14"/>
      <c r="AU5" s="14"/>
      <c r="AW5" s="14"/>
      <c r="BC5" s="14"/>
      <c r="BE5" s="14"/>
    </row>
    <row r="6" spans="2:60" ht="12.75">
      <c r="B6" s="13" t="s">
        <v>181</v>
      </c>
      <c r="C6" s="17"/>
      <c r="F6" s="13" t="s">
        <v>183</v>
      </c>
      <c r="H6" s="13" t="s">
        <v>183</v>
      </c>
      <c r="J6" s="13" t="s">
        <v>183</v>
      </c>
      <c r="L6" s="13" t="s">
        <v>183</v>
      </c>
      <c r="N6" s="13" t="s">
        <v>185</v>
      </c>
      <c r="O6" s="14"/>
      <c r="P6" s="13" t="s">
        <v>185</v>
      </c>
      <c r="Q6" s="14"/>
      <c r="R6" s="13" t="s">
        <v>185</v>
      </c>
      <c r="T6" s="13" t="s">
        <v>185</v>
      </c>
      <c r="V6" s="13" t="s">
        <v>187</v>
      </c>
      <c r="W6" s="14"/>
      <c r="X6" s="13" t="s">
        <v>187</v>
      </c>
      <c r="Y6" s="14"/>
      <c r="Z6" s="13" t="s">
        <v>187</v>
      </c>
      <c r="AB6" s="13" t="s">
        <v>187</v>
      </c>
      <c r="AL6" s="13" t="s">
        <v>188</v>
      </c>
      <c r="AM6" s="14"/>
      <c r="AN6" s="13" t="s">
        <v>188</v>
      </c>
      <c r="AO6" s="14"/>
      <c r="AP6" s="13" t="s">
        <v>188</v>
      </c>
      <c r="AR6" s="13" t="s">
        <v>188</v>
      </c>
      <c r="AT6" s="13" t="s">
        <v>190</v>
      </c>
      <c r="AU6" s="14"/>
      <c r="AV6" s="13" t="s">
        <v>190</v>
      </c>
      <c r="AW6" s="14"/>
      <c r="AX6" s="13" t="s">
        <v>190</v>
      </c>
      <c r="AZ6" s="13" t="s">
        <v>190</v>
      </c>
      <c r="BB6" s="13" t="s">
        <v>191</v>
      </c>
      <c r="BC6" s="14"/>
      <c r="BD6" s="13" t="s">
        <v>191</v>
      </c>
      <c r="BE6" s="14"/>
      <c r="BF6" s="13" t="s">
        <v>191</v>
      </c>
      <c r="BH6" s="13" t="s">
        <v>191</v>
      </c>
    </row>
    <row r="7" spans="2:60" ht="12.75">
      <c r="B7" s="13" t="s">
        <v>182</v>
      </c>
      <c r="F7" s="13" t="s">
        <v>184</v>
      </c>
      <c r="H7" s="13" t="s">
        <v>184</v>
      </c>
      <c r="J7" s="13" t="s">
        <v>184</v>
      </c>
      <c r="L7" s="13" t="s">
        <v>184</v>
      </c>
      <c r="N7" s="13" t="s">
        <v>186</v>
      </c>
      <c r="P7" s="13" t="s">
        <v>186</v>
      </c>
      <c r="R7" s="13" t="s">
        <v>186</v>
      </c>
      <c r="T7" s="13" t="s">
        <v>186</v>
      </c>
      <c r="V7" s="13" t="s">
        <v>184</v>
      </c>
      <c r="X7" s="13" t="s">
        <v>184</v>
      </c>
      <c r="Z7" s="13" t="s">
        <v>184</v>
      </c>
      <c r="AB7" s="13" t="s">
        <v>184</v>
      </c>
      <c r="AL7" s="13" t="s">
        <v>189</v>
      </c>
      <c r="AN7" s="13" t="s">
        <v>189</v>
      </c>
      <c r="AP7" s="13" t="s">
        <v>189</v>
      </c>
      <c r="AR7" s="13" t="s">
        <v>189</v>
      </c>
      <c r="AT7" s="13" t="s">
        <v>124</v>
      </c>
      <c r="AV7" s="13" t="s">
        <v>124</v>
      </c>
      <c r="AX7" s="13" t="s">
        <v>124</v>
      </c>
      <c r="AZ7" s="13" t="s">
        <v>124</v>
      </c>
      <c r="BB7" s="13" t="s">
        <v>54</v>
      </c>
      <c r="BD7" s="13" t="s">
        <v>54</v>
      </c>
      <c r="BF7" s="13" t="s">
        <v>54</v>
      </c>
      <c r="BH7" s="13" t="s">
        <v>54</v>
      </c>
    </row>
    <row r="8" spans="2:60" ht="12.75">
      <c r="B8" s="13" t="s">
        <v>197</v>
      </c>
      <c r="AD8" s="13" t="s">
        <v>122</v>
      </c>
      <c r="AF8" s="13" t="s">
        <v>122</v>
      </c>
      <c r="AH8" s="13" t="s">
        <v>122</v>
      </c>
      <c r="AJ8" s="13" t="s">
        <v>122</v>
      </c>
      <c r="AL8" s="13" t="s">
        <v>198</v>
      </c>
      <c r="AN8" s="13" t="s">
        <v>198</v>
      </c>
      <c r="AP8" s="13" t="s">
        <v>198</v>
      </c>
      <c r="AR8" s="13" t="s">
        <v>198</v>
      </c>
      <c r="AT8" s="13" t="s">
        <v>124</v>
      </c>
      <c r="AV8" s="13" t="s">
        <v>124</v>
      </c>
      <c r="AX8" s="13" t="s">
        <v>124</v>
      </c>
      <c r="AZ8" s="13" t="s">
        <v>124</v>
      </c>
      <c r="BB8" s="13" t="s">
        <v>54</v>
      </c>
      <c r="BD8" s="13" t="s">
        <v>54</v>
      </c>
      <c r="BF8" s="13" t="s">
        <v>54</v>
      </c>
      <c r="BH8" s="13" t="s">
        <v>54</v>
      </c>
    </row>
    <row r="9" spans="2:60" ht="12.75">
      <c r="B9" s="13" t="s">
        <v>154</v>
      </c>
      <c r="F9" s="24" t="s">
        <v>156</v>
      </c>
      <c r="H9" s="24" t="s">
        <v>156</v>
      </c>
      <c r="J9" s="24" t="s">
        <v>156</v>
      </c>
      <c r="L9" s="24" t="s">
        <v>156</v>
      </c>
      <c r="M9" s="24"/>
      <c r="N9" s="24" t="s">
        <v>158</v>
      </c>
      <c r="O9" s="24"/>
      <c r="P9" s="24" t="s">
        <v>158</v>
      </c>
      <c r="Q9" s="24"/>
      <c r="R9" s="24" t="s">
        <v>158</v>
      </c>
      <c r="S9" s="24"/>
      <c r="T9" s="24" t="s">
        <v>158</v>
      </c>
      <c r="U9" s="24"/>
      <c r="V9" s="24"/>
      <c r="W9" s="24" t="s">
        <v>157</v>
      </c>
      <c r="X9" s="24"/>
      <c r="Y9" s="24" t="s">
        <v>157</v>
      </c>
      <c r="Z9" s="24"/>
      <c r="AA9" s="24" t="s">
        <v>157</v>
      </c>
      <c r="AB9" s="24"/>
      <c r="AC9" s="24" t="s">
        <v>157</v>
      </c>
      <c r="AL9" s="24" t="s">
        <v>111</v>
      </c>
      <c r="AM9" s="24"/>
      <c r="AN9" s="24" t="s">
        <v>111</v>
      </c>
      <c r="AO9" s="24"/>
      <c r="AP9" s="24" t="s">
        <v>111</v>
      </c>
      <c r="AQ9" s="24"/>
      <c r="AR9" s="24" t="s">
        <v>111</v>
      </c>
      <c r="AS9" s="24"/>
      <c r="AT9" s="24" t="s">
        <v>120</v>
      </c>
      <c r="AU9" s="24"/>
      <c r="AV9" s="24" t="s">
        <v>120</v>
      </c>
      <c r="AW9" s="24"/>
      <c r="AX9" s="24" t="s">
        <v>120</v>
      </c>
      <c r="AY9" s="24"/>
      <c r="AZ9" s="40" t="s">
        <v>120</v>
      </c>
      <c r="BA9" s="24"/>
      <c r="BB9" s="13" t="s">
        <v>54</v>
      </c>
      <c r="BD9" s="13" t="s">
        <v>54</v>
      </c>
      <c r="BF9" s="13" t="s">
        <v>54</v>
      </c>
      <c r="BH9" s="13" t="s">
        <v>54</v>
      </c>
    </row>
    <row r="10" spans="2:52" ht="12.75">
      <c r="B10" s="13" t="s">
        <v>153</v>
      </c>
      <c r="D10" s="13" t="s">
        <v>34</v>
      </c>
      <c r="F10" s="13">
        <v>643</v>
      </c>
      <c r="H10" s="13">
        <v>642</v>
      </c>
      <c r="J10" s="13">
        <v>643</v>
      </c>
      <c r="L10" s="25">
        <f>AVERAGE(J10,H10,F10)</f>
        <v>642.6666666666666</v>
      </c>
      <c r="N10" s="13">
        <v>716</v>
      </c>
      <c r="P10" s="13">
        <v>838</v>
      </c>
      <c r="R10" s="13">
        <v>841</v>
      </c>
      <c r="T10" s="25">
        <f>AVERAGE(R10,P10,N10)</f>
        <v>798.3333333333334</v>
      </c>
      <c r="V10" s="13">
        <v>10715</v>
      </c>
      <c r="X10" s="13">
        <v>10757</v>
      </c>
      <c r="Z10" s="13">
        <v>10773</v>
      </c>
      <c r="AB10" s="25">
        <f>AVERAGE(Z10,X10,V10)</f>
        <v>10748.333333333334</v>
      </c>
      <c r="AT10" s="13">
        <v>19.6</v>
      </c>
      <c r="AV10" s="13">
        <v>20.5</v>
      </c>
      <c r="AX10" s="13">
        <v>20.2</v>
      </c>
      <c r="AZ10" s="25">
        <f>AVERAGE(AX10,AV10,AT10)</f>
        <v>20.1</v>
      </c>
    </row>
    <row r="11" spans="2:44" ht="12.75">
      <c r="B11" s="13" t="s">
        <v>153</v>
      </c>
      <c r="D11" s="13" t="s">
        <v>49</v>
      </c>
      <c r="AL11" s="13">
        <v>3980</v>
      </c>
      <c r="AN11" s="13">
        <v>4052</v>
      </c>
      <c r="AP11" s="13">
        <v>4348</v>
      </c>
      <c r="AR11" s="25">
        <f>AVERAGE(AP11,AN11,AL11)</f>
        <v>4126.666666666667</v>
      </c>
    </row>
    <row r="12" spans="2:60" ht="12.75" customHeight="1">
      <c r="B12" s="13" t="s">
        <v>152</v>
      </c>
      <c r="D12" s="13" t="s">
        <v>33</v>
      </c>
      <c r="F12" s="13">
        <v>15.61</v>
      </c>
      <c r="H12" s="13">
        <v>15.73</v>
      </c>
      <c r="J12" s="13">
        <v>16.05</v>
      </c>
      <c r="L12" s="25">
        <f>AVERAGE(J12,H12,F12)</f>
        <v>15.796666666666667</v>
      </c>
      <c r="M12" s="25"/>
      <c r="N12" s="25"/>
      <c r="O12" s="25"/>
      <c r="P12" s="25"/>
      <c r="Q12" s="25"/>
      <c r="R12" s="25"/>
      <c r="S12" s="25"/>
      <c r="AD12" s="13">
        <f>F12</f>
        <v>15.61</v>
      </c>
      <c r="AF12" s="13">
        <f>H12</f>
        <v>15.73</v>
      </c>
      <c r="AH12" s="13">
        <f>J12</f>
        <v>16.05</v>
      </c>
      <c r="AJ12" s="13">
        <f>L12</f>
        <v>15.796666666666667</v>
      </c>
      <c r="AL12" s="25">
        <f>AL11*1000/1000000</f>
        <v>3.98</v>
      </c>
      <c r="AN12" s="25">
        <f>AN11*1000/1000000</f>
        <v>4.052</v>
      </c>
      <c r="AP12" s="25">
        <f>AP11*1000/1000000</f>
        <v>4.348</v>
      </c>
      <c r="AR12" s="25">
        <f>AR11*1000/1000000</f>
        <v>4.126666666666667</v>
      </c>
      <c r="AS12" s="25"/>
      <c r="AT12" s="25"/>
      <c r="AU12" s="25"/>
      <c r="AV12" s="25"/>
      <c r="AW12" s="25"/>
      <c r="AX12" s="25"/>
      <c r="AY12" s="25"/>
      <c r="BB12" s="25">
        <f>SUM(AT12,AL12,V12,N12,F12)</f>
        <v>19.59</v>
      </c>
      <c r="BC12" s="25"/>
      <c r="BD12" s="25">
        <f>SUM(AV12,AN12,X12,P12,H12)</f>
        <v>19.782</v>
      </c>
      <c r="BE12" s="25"/>
      <c r="BF12" s="25">
        <f>SUM(AX12,AP12,Z12,R12,J12)</f>
        <v>20.398</v>
      </c>
      <c r="BG12" s="25"/>
      <c r="BH12" s="25">
        <f>SUM(AZ12,AR12,AB12,T12,L12)</f>
        <v>19.923333333333332</v>
      </c>
    </row>
    <row r="13" spans="2:60" ht="12.75" customHeight="1">
      <c r="B13" s="13" t="s">
        <v>199</v>
      </c>
      <c r="D13" s="13" t="s">
        <v>33</v>
      </c>
      <c r="BB13" s="25">
        <f>BB15*60/9000*(21-BB16)/21</f>
        <v>16.715777777777777</v>
      </c>
      <c r="BD13" s="25">
        <f>BD15*60/9000*(21-BD16)/21</f>
        <v>18.274666666666665</v>
      </c>
      <c r="BF13" s="25">
        <f>BF15*60/9000*(21-BF16)/21</f>
        <v>18.575333333333333</v>
      </c>
      <c r="BH13" s="25">
        <f>BH15*60/9000*(21-BH16)/21</f>
        <v>17.859111111111112</v>
      </c>
    </row>
    <row r="15" spans="2:60" ht="12.75">
      <c r="B15" s="13" t="s">
        <v>25</v>
      </c>
      <c r="D15" s="13" t="s">
        <v>26</v>
      </c>
      <c r="F15" s="13">
        <v>3959</v>
      </c>
      <c r="H15" s="13">
        <v>3916</v>
      </c>
      <c r="J15" s="13">
        <v>3927</v>
      </c>
      <c r="L15" s="13">
        <f>AVERAGE(F15,H15,J15)</f>
        <v>3934</v>
      </c>
      <c r="BB15" s="13">
        <f>emiss!G17</f>
        <v>3959</v>
      </c>
      <c r="BD15" s="13">
        <f>emiss!I17</f>
        <v>3916</v>
      </c>
      <c r="BF15" s="13">
        <f>emiss!K17</f>
        <v>3927</v>
      </c>
      <c r="BH15" s="13">
        <f>emiss!M17</f>
        <v>3934</v>
      </c>
    </row>
    <row r="16" spans="2:60" ht="12.75">
      <c r="B16" s="13" t="s">
        <v>27</v>
      </c>
      <c r="D16" s="13" t="s">
        <v>21</v>
      </c>
      <c r="F16" s="13">
        <v>7.7</v>
      </c>
      <c r="H16" s="13">
        <v>6.3</v>
      </c>
      <c r="J16" s="13">
        <v>6.1</v>
      </c>
      <c r="L16" s="13">
        <f>AVERAGE(F16,H16,J16)</f>
        <v>6.7</v>
      </c>
      <c r="BB16" s="13">
        <f>emiss!G18</f>
        <v>7.7</v>
      </c>
      <c r="BD16" s="13">
        <f>emiss!I18</f>
        <v>6.3</v>
      </c>
      <c r="BF16" s="13">
        <f>emiss!K18</f>
        <v>6.1</v>
      </c>
      <c r="BH16" s="13">
        <f>emiss!M18</f>
        <v>6.7</v>
      </c>
    </row>
    <row r="18" spans="1:60" ht="12.75">
      <c r="A18" s="13" t="s">
        <v>151</v>
      </c>
      <c r="B18" s="17" t="s">
        <v>150</v>
      </c>
      <c r="C18" s="17"/>
      <c r="F18" s="13" t="s">
        <v>159</v>
      </c>
      <c r="H18" s="13" t="s">
        <v>160</v>
      </c>
      <c r="J18" s="13" t="s">
        <v>161</v>
      </c>
      <c r="L18" s="13" t="s">
        <v>20</v>
      </c>
      <c r="N18" s="13" t="s">
        <v>159</v>
      </c>
      <c r="O18" s="14"/>
      <c r="P18" s="13" t="s">
        <v>160</v>
      </c>
      <c r="Q18" s="14"/>
      <c r="R18" s="13" t="s">
        <v>161</v>
      </c>
      <c r="S18" s="14"/>
      <c r="T18" s="13" t="s">
        <v>20</v>
      </c>
      <c r="V18" s="13" t="s">
        <v>159</v>
      </c>
      <c r="W18" s="14"/>
      <c r="X18" s="13" t="s">
        <v>160</v>
      </c>
      <c r="Y18" s="14"/>
      <c r="Z18" s="13" t="s">
        <v>161</v>
      </c>
      <c r="AA18" s="14"/>
      <c r="AB18" s="13" t="s">
        <v>20</v>
      </c>
      <c r="AD18" s="13" t="s">
        <v>159</v>
      </c>
      <c r="AE18" s="14"/>
      <c r="AF18" s="13" t="s">
        <v>160</v>
      </c>
      <c r="AG18" s="14"/>
      <c r="AH18" s="13" t="s">
        <v>161</v>
      </c>
      <c r="AI18" s="14"/>
      <c r="AJ18" s="13" t="s">
        <v>20</v>
      </c>
      <c r="AL18" s="13" t="s">
        <v>159</v>
      </c>
      <c r="AM18" s="14"/>
      <c r="AN18" s="13" t="s">
        <v>160</v>
      </c>
      <c r="AO18" s="14"/>
      <c r="AP18" s="13" t="s">
        <v>161</v>
      </c>
      <c r="AQ18" s="14"/>
      <c r="AR18" s="13" t="s">
        <v>20</v>
      </c>
      <c r="AT18" s="13" t="s">
        <v>159</v>
      </c>
      <c r="AU18" s="14"/>
      <c r="AV18" s="13" t="s">
        <v>160</v>
      </c>
      <c r="AW18" s="14"/>
      <c r="AX18" s="13" t="s">
        <v>161</v>
      </c>
      <c r="AY18" s="14"/>
      <c r="AZ18" s="13" t="s">
        <v>20</v>
      </c>
      <c r="BB18" s="13" t="s">
        <v>159</v>
      </c>
      <c r="BC18" s="14"/>
      <c r="BD18" s="13" t="s">
        <v>160</v>
      </c>
      <c r="BE18" s="14"/>
      <c r="BF18" s="13" t="s">
        <v>161</v>
      </c>
      <c r="BG18" s="14"/>
      <c r="BH18" s="13" t="s">
        <v>20</v>
      </c>
    </row>
    <row r="20" spans="2:60" ht="12.75">
      <c r="B20" s="13" t="s">
        <v>195</v>
      </c>
      <c r="F20" s="13" t="s">
        <v>183</v>
      </c>
      <c r="H20" s="13" t="s">
        <v>183</v>
      </c>
      <c r="J20" s="13" t="s">
        <v>183</v>
      </c>
      <c r="L20" s="13" t="s">
        <v>183</v>
      </c>
      <c r="N20" s="13" t="s">
        <v>185</v>
      </c>
      <c r="P20" s="13" t="s">
        <v>185</v>
      </c>
      <c r="R20" s="13" t="s">
        <v>185</v>
      </c>
      <c r="T20" s="13" t="s">
        <v>185</v>
      </c>
      <c r="V20" s="13" t="s">
        <v>187</v>
      </c>
      <c r="X20" s="13" t="s">
        <v>187</v>
      </c>
      <c r="Z20" s="13" t="s">
        <v>187</v>
      </c>
      <c r="AB20" s="13" t="s">
        <v>187</v>
      </c>
      <c r="AL20" s="13" t="s">
        <v>188</v>
      </c>
      <c r="AN20" s="13" t="s">
        <v>188</v>
      </c>
      <c r="AP20" s="13" t="s">
        <v>188</v>
      </c>
      <c r="AR20" s="13" t="s">
        <v>188</v>
      </c>
      <c r="AT20" s="13" t="s">
        <v>190</v>
      </c>
      <c r="AV20" s="13" t="s">
        <v>190</v>
      </c>
      <c r="AX20" s="13" t="s">
        <v>190</v>
      </c>
      <c r="AZ20" s="13" t="s">
        <v>190</v>
      </c>
      <c r="BB20" s="13" t="s">
        <v>191</v>
      </c>
      <c r="BD20" s="13" t="s">
        <v>191</v>
      </c>
      <c r="BF20" s="13" t="s">
        <v>191</v>
      </c>
      <c r="BH20" s="13" t="s">
        <v>191</v>
      </c>
    </row>
    <row r="21" spans="2:60" ht="12.75">
      <c r="B21" s="13" t="s">
        <v>182</v>
      </c>
      <c r="F21" s="13" t="s">
        <v>184</v>
      </c>
      <c r="H21" s="13" t="s">
        <v>184</v>
      </c>
      <c r="J21" s="13" t="s">
        <v>184</v>
      </c>
      <c r="L21" s="13" t="s">
        <v>184</v>
      </c>
      <c r="N21" s="13" t="s">
        <v>196</v>
      </c>
      <c r="P21" s="13" t="s">
        <v>196</v>
      </c>
      <c r="R21" s="13" t="s">
        <v>196</v>
      </c>
      <c r="T21" s="13" t="s">
        <v>196</v>
      </c>
      <c r="V21" s="13" t="s">
        <v>196</v>
      </c>
      <c r="X21" s="13" t="s">
        <v>196</v>
      </c>
      <c r="Z21" s="13" t="s">
        <v>196</v>
      </c>
      <c r="AB21" s="13" t="s">
        <v>196</v>
      </c>
      <c r="AL21" s="13" t="s">
        <v>189</v>
      </c>
      <c r="AN21" s="13" t="s">
        <v>189</v>
      </c>
      <c r="AP21" s="13" t="s">
        <v>189</v>
      </c>
      <c r="AR21" s="13" t="s">
        <v>189</v>
      </c>
      <c r="AT21" s="13" t="s">
        <v>124</v>
      </c>
      <c r="AV21" s="13" t="s">
        <v>124</v>
      </c>
      <c r="AX21" s="13" t="s">
        <v>124</v>
      </c>
      <c r="AZ21" s="13" t="s">
        <v>124</v>
      </c>
      <c r="BB21" s="13" t="s">
        <v>54</v>
      </c>
      <c r="BD21" s="13" t="s">
        <v>54</v>
      </c>
      <c r="BF21" s="13" t="s">
        <v>54</v>
      </c>
      <c r="BH21" s="13" t="s">
        <v>54</v>
      </c>
    </row>
    <row r="22" spans="2:60" ht="12.75">
      <c r="B22" s="13" t="s">
        <v>197</v>
      </c>
      <c r="AD22" s="13" t="s">
        <v>122</v>
      </c>
      <c r="AF22" s="13" t="s">
        <v>122</v>
      </c>
      <c r="AH22" s="13" t="s">
        <v>122</v>
      </c>
      <c r="AJ22" s="13" t="s">
        <v>122</v>
      </c>
      <c r="AL22" s="13" t="s">
        <v>198</v>
      </c>
      <c r="AN22" s="13" t="s">
        <v>198</v>
      </c>
      <c r="AP22" s="13" t="s">
        <v>198</v>
      </c>
      <c r="AR22" s="13" t="s">
        <v>198</v>
      </c>
      <c r="AT22" s="13" t="s">
        <v>124</v>
      </c>
      <c r="AV22" s="13" t="s">
        <v>124</v>
      </c>
      <c r="AX22" s="13" t="s">
        <v>124</v>
      </c>
      <c r="AZ22" s="13" t="s">
        <v>124</v>
      </c>
      <c r="BB22" s="13" t="s">
        <v>54</v>
      </c>
      <c r="BD22" s="13" t="s">
        <v>54</v>
      </c>
      <c r="BF22" s="13" t="s">
        <v>54</v>
      </c>
      <c r="BH22" s="13" t="s">
        <v>54</v>
      </c>
    </row>
    <row r="23" spans="2:60" ht="12.75">
      <c r="B23" s="13" t="s">
        <v>154</v>
      </c>
      <c r="F23" s="24" t="s">
        <v>156</v>
      </c>
      <c r="H23" s="24" t="s">
        <v>156</v>
      </c>
      <c r="J23" s="24" t="s">
        <v>156</v>
      </c>
      <c r="L23" s="24" t="s">
        <v>156</v>
      </c>
      <c r="M23" s="24"/>
      <c r="N23" s="24" t="s">
        <v>158</v>
      </c>
      <c r="O23" s="24"/>
      <c r="P23" s="24" t="s">
        <v>158</v>
      </c>
      <c r="Q23" s="24"/>
      <c r="R23" s="24" t="s">
        <v>158</v>
      </c>
      <c r="S23" s="24"/>
      <c r="T23" s="24" t="s">
        <v>158</v>
      </c>
      <c r="U23" s="24"/>
      <c r="V23" s="24" t="s">
        <v>157</v>
      </c>
      <c r="X23" s="24" t="s">
        <v>157</v>
      </c>
      <c r="Z23" s="24" t="s">
        <v>157</v>
      </c>
      <c r="AB23" s="24" t="s">
        <v>157</v>
      </c>
      <c r="AL23" s="24" t="s">
        <v>111</v>
      </c>
      <c r="AM23" s="24"/>
      <c r="AN23" s="24" t="s">
        <v>111</v>
      </c>
      <c r="AO23" s="24"/>
      <c r="AP23" s="24" t="s">
        <v>111</v>
      </c>
      <c r="AQ23" s="24"/>
      <c r="AR23" s="24" t="s">
        <v>111</v>
      </c>
      <c r="AS23" s="24"/>
      <c r="AT23" s="24" t="s">
        <v>120</v>
      </c>
      <c r="AU23" s="24"/>
      <c r="AV23" s="24" t="s">
        <v>120</v>
      </c>
      <c r="AW23" s="24"/>
      <c r="AX23" s="24" t="s">
        <v>120</v>
      </c>
      <c r="AY23" s="24"/>
      <c r="AZ23" s="40" t="s">
        <v>120</v>
      </c>
      <c r="BA23" s="24"/>
      <c r="BB23" s="13" t="s">
        <v>54</v>
      </c>
      <c r="BD23" s="13" t="s">
        <v>54</v>
      </c>
      <c r="BF23" s="13" t="s">
        <v>54</v>
      </c>
      <c r="BH23" s="13" t="s">
        <v>54</v>
      </c>
    </row>
    <row r="24" spans="2:28" ht="12.75">
      <c r="B24" s="13" t="s">
        <v>153</v>
      </c>
      <c r="D24" s="13" t="s">
        <v>34</v>
      </c>
      <c r="F24" s="13">
        <v>692</v>
      </c>
      <c r="H24" s="13">
        <v>692</v>
      </c>
      <c r="J24" s="13">
        <v>693</v>
      </c>
      <c r="L24" s="25">
        <f>AVERAGE(J24,H24,F24)</f>
        <v>692.3333333333334</v>
      </c>
      <c r="N24" s="13">
        <v>524</v>
      </c>
      <c r="P24" s="13">
        <v>517</v>
      </c>
      <c r="R24" s="13">
        <v>554</v>
      </c>
      <c r="T24" s="25">
        <f>AVERAGE(R24,P24,N24)</f>
        <v>531.6666666666666</v>
      </c>
      <c r="V24" s="13">
        <v>10452</v>
      </c>
      <c r="X24" s="13">
        <v>10455</v>
      </c>
      <c r="Z24" s="13">
        <v>10458</v>
      </c>
      <c r="AB24" s="25">
        <f>AVERAGE(Z24,X24,V24)</f>
        <v>10455</v>
      </c>
    </row>
    <row r="25" spans="2:44" ht="13.5" customHeight="1">
      <c r="B25" s="13" t="s">
        <v>153</v>
      </c>
      <c r="D25" s="13" t="s">
        <v>49</v>
      </c>
      <c r="AL25" s="13">
        <v>6450</v>
      </c>
      <c r="AN25" s="13">
        <v>6404</v>
      </c>
      <c r="AP25" s="13">
        <v>6894</v>
      </c>
      <c r="AR25" s="25">
        <f>AVERAGE(AP25,AN25,AL25)</f>
        <v>6582.666666666667</v>
      </c>
    </row>
    <row r="26" spans="2:60" ht="12.75">
      <c r="B26" s="13" t="s">
        <v>152</v>
      </c>
      <c r="D26" s="13" t="s">
        <v>33</v>
      </c>
      <c r="F26" s="13">
        <v>18.18</v>
      </c>
      <c r="H26" s="13">
        <v>17.64</v>
      </c>
      <c r="J26" s="13">
        <v>19</v>
      </c>
      <c r="L26" s="25">
        <f>AVERAGE(J26,H26,F26)</f>
        <v>18.273333333333333</v>
      </c>
      <c r="M26" s="25"/>
      <c r="N26" s="25"/>
      <c r="O26" s="25"/>
      <c r="P26" s="25"/>
      <c r="Q26" s="25"/>
      <c r="R26" s="25"/>
      <c r="S26" s="25"/>
      <c r="AD26" s="13">
        <f>F26</f>
        <v>18.18</v>
      </c>
      <c r="AF26" s="13">
        <f>H26</f>
        <v>17.64</v>
      </c>
      <c r="AH26" s="13">
        <f>J26</f>
        <v>19</v>
      </c>
      <c r="AJ26" s="13">
        <f>L26</f>
        <v>18.273333333333333</v>
      </c>
      <c r="AL26" s="18">
        <f>AL25*1000/1000000</f>
        <v>6.45</v>
      </c>
      <c r="AM26" s="18"/>
      <c r="AN26" s="18">
        <f>AN25*1000/1000000</f>
        <v>6.404</v>
      </c>
      <c r="AO26" s="18"/>
      <c r="AP26" s="18">
        <f>AP25*1000/1000000</f>
        <v>6.894</v>
      </c>
      <c r="AR26" s="18">
        <f>AR25*1000/1000000</f>
        <v>6.582666666666667</v>
      </c>
      <c r="BB26" s="18">
        <f>SUM(AT26,AL26,V26,N26,F26)</f>
        <v>24.63</v>
      </c>
      <c r="BC26" s="18"/>
      <c r="BD26" s="18">
        <f>SUM(AV26,AN26,X26,P26,H26)</f>
        <v>24.044</v>
      </c>
      <c r="BE26" s="18"/>
      <c r="BF26" s="18">
        <f>SUM(AX26,AP26,Z26,R26,J26)</f>
        <v>25.894</v>
      </c>
      <c r="BG26" s="18"/>
      <c r="BH26" s="18">
        <f>SUM(AZ26,AR26,AB26,T26,L26)</f>
        <v>24.856</v>
      </c>
    </row>
    <row r="27" spans="2:60" ht="12.75">
      <c r="B27" s="13" t="s">
        <v>199</v>
      </c>
      <c r="D27" s="13" t="s">
        <v>33</v>
      </c>
      <c r="BB27" s="25">
        <f>BB44/150*(21-BB45)/21</f>
        <v>22.49447619047619</v>
      </c>
      <c r="BD27" s="25">
        <f>BD44/150*(21-BD45)/21</f>
        <v>22.699682539682538</v>
      </c>
      <c r="BF27" s="25">
        <f>BF44/150*(21-BF45)/21</f>
        <v>22.690634920634924</v>
      </c>
      <c r="BH27" s="25">
        <f>BH44/150*(21-BH45)/21</f>
        <v>22.095333333333336</v>
      </c>
    </row>
    <row r="28" ht="12.75">
      <c r="BH28" s="25"/>
    </row>
    <row r="29" spans="2:28" ht="12.75">
      <c r="B29" s="13" t="s">
        <v>35</v>
      </c>
      <c r="D29" s="13" t="s">
        <v>34</v>
      </c>
      <c r="F29" s="13">
        <v>2.03</v>
      </c>
      <c r="H29" s="13">
        <v>2.47</v>
      </c>
      <c r="J29" s="13">
        <v>2.24</v>
      </c>
      <c r="L29" s="18"/>
      <c r="M29" s="18"/>
      <c r="N29" s="18">
        <v>1.05</v>
      </c>
      <c r="O29" s="18"/>
      <c r="P29" s="18">
        <v>1.08</v>
      </c>
      <c r="Q29" s="18"/>
      <c r="R29" s="18">
        <v>1.19</v>
      </c>
      <c r="S29" s="18"/>
      <c r="T29" s="18"/>
      <c r="V29" s="13">
        <v>0.41</v>
      </c>
      <c r="X29" s="13">
        <v>0.41</v>
      </c>
      <c r="Z29" s="13">
        <v>0.41</v>
      </c>
      <c r="AB29" s="18"/>
    </row>
    <row r="30" spans="2:52" ht="12.75">
      <c r="B30" s="13" t="s">
        <v>36</v>
      </c>
      <c r="D30" s="13" t="s">
        <v>34</v>
      </c>
      <c r="E30" s="14" t="s">
        <v>30</v>
      </c>
      <c r="F30" s="23">
        <v>0.015</v>
      </c>
      <c r="G30" s="14" t="s">
        <v>30</v>
      </c>
      <c r="H30" s="23">
        <v>0.0152</v>
      </c>
      <c r="I30" s="14" t="s">
        <v>30</v>
      </c>
      <c r="J30" s="23">
        <v>0.0151</v>
      </c>
      <c r="L30" s="34"/>
      <c r="M30" s="29" t="s">
        <v>30</v>
      </c>
      <c r="N30" s="23">
        <v>0.000233</v>
      </c>
      <c r="O30" s="29" t="s">
        <v>30</v>
      </c>
      <c r="P30" s="23">
        <v>0.000227</v>
      </c>
      <c r="Q30" s="29" t="s">
        <v>30</v>
      </c>
      <c r="R30" s="23">
        <v>0.000252</v>
      </c>
      <c r="S30" s="34"/>
      <c r="T30" s="23"/>
      <c r="U30" s="29" t="s">
        <v>30</v>
      </c>
      <c r="V30" s="23">
        <v>0.000245</v>
      </c>
      <c r="W30" s="29" t="s">
        <v>30</v>
      </c>
      <c r="X30" s="23">
        <v>0.000245</v>
      </c>
      <c r="Y30" s="29" t="s">
        <v>30</v>
      </c>
      <c r="Z30" s="23">
        <v>0.000245</v>
      </c>
      <c r="AB30" s="23"/>
      <c r="AS30" s="13" t="s">
        <v>30</v>
      </c>
      <c r="AT30" s="23">
        <v>0.0143</v>
      </c>
      <c r="AU30" s="13" t="s">
        <v>30</v>
      </c>
      <c r="AV30" s="23">
        <v>0.0143</v>
      </c>
      <c r="AW30" s="13" t="s">
        <v>30</v>
      </c>
      <c r="AX30" s="23">
        <v>0.0144</v>
      </c>
      <c r="AZ30" s="41">
        <f>AVERAGE(AX30,AV30,AT30)</f>
        <v>0.014333333333333332</v>
      </c>
    </row>
    <row r="31" spans="2:28" ht="12.75">
      <c r="B31" s="13" t="s">
        <v>37</v>
      </c>
      <c r="D31" s="13" t="s">
        <v>34</v>
      </c>
      <c r="E31" s="14" t="s">
        <v>30</v>
      </c>
      <c r="F31" s="23">
        <v>0.00106</v>
      </c>
      <c r="G31" s="14" t="s">
        <v>30</v>
      </c>
      <c r="H31" s="23">
        <v>0.00108</v>
      </c>
      <c r="I31" s="14" t="s">
        <v>30</v>
      </c>
      <c r="J31" s="23">
        <v>0.00107</v>
      </c>
      <c r="L31" s="34"/>
      <c r="M31" s="29" t="s">
        <v>30</v>
      </c>
      <c r="N31" s="23">
        <v>1.54E-05</v>
      </c>
      <c r="O31" s="29" t="s">
        <v>30</v>
      </c>
      <c r="P31" s="23">
        <v>1.48E-05</v>
      </c>
      <c r="Q31" s="29" t="s">
        <v>30</v>
      </c>
      <c r="R31" s="23">
        <v>1.61E-05</v>
      </c>
      <c r="S31" s="34"/>
      <c r="T31" s="23"/>
      <c r="U31" s="29" t="s">
        <v>30</v>
      </c>
      <c r="V31" s="23">
        <v>0.000292</v>
      </c>
      <c r="W31" s="29" t="s">
        <v>30</v>
      </c>
      <c r="X31" s="23">
        <v>0.000292</v>
      </c>
      <c r="Y31" s="29" t="s">
        <v>30</v>
      </c>
      <c r="Z31" s="23">
        <v>0.000292</v>
      </c>
      <c r="AB31" s="23"/>
    </row>
    <row r="32" spans="2:28" ht="12.75">
      <c r="B32" s="13" t="s">
        <v>38</v>
      </c>
      <c r="D32" s="13" t="s">
        <v>34</v>
      </c>
      <c r="E32" s="14" t="s">
        <v>30</v>
      </c>
      <c r="F32" s="23">
        <v>0.00018</v>
      </c>
      <c r="G32" s="14" t="s">
        <v>30</v>
      </c>
      <c r="H32" s="23">
        <v>0.000182</v>
      </c>
      <c r="I32" s="14" t="s">
        <v>30</v>
      </c>
      <c r="J32" s="23">
        <v>0.00018</v>
      </c>
      <c r="L32" s="34"/>
      <c r="M32" s="29" t="s">
        <v>30</v>
      </c>
      <c r="N32" s="23">
        <v>2.16E-06</v>
      </c>
      <c r="O32" s="29" t="s">
        <v>30</v>
      </c>
      <c r="P32" s="23">
        <v>2.24E-06</v>
      </c>
      <c r="Q32" s="29" t="s">
        <v>30</v>
      </c>
      <c r="R32" s="23">
        <v>2.24E-07</v>
      </c>
      <c r="S32" s="34"/>
      <c r="T32" s="23"/>
      <c r="U32" s="29" t="s">
        <v>30</v>
      </c>
      <c r="V32" s="23">
        <v>2.07E-07</v>
      </c>
      <c r="W32" s="29" t="s">
        <v>30</v>
      </c>
      <c r="X32" s="23">
        <v>2.07E-07</v>
      </c>
      <c r="Y32" s="29" t="s">
        <v>30</v>
      </c>
      <c r="Z32" s="23">
        <v>2.07E-07</v>
      </c>
      <c r="AB32" s="23"/>
    </row>
    <row r="33" spans="2:28" ht="12.75">
      <c r="B33" s="13" t="s">
        <v>39</v>
      </c>
      <c r="D33" s="13" t="s">
        <v>34</v>
      </c>
      <c r="E33" s="14" t="s">
        <v>30</v>
      </c>
      <c r="F33" s="23">
        <v>0.00056</v>
      </c>
      <c r="G33" s="14" t="s">
        <v>30</v>
      </c>
      <c r="H33" s="23">
        <v>0.000575</v>
      </c>
      <c r="I33" s="14" t="s">
        <v>30</v>
      </c>
      <c r="J33" s="23">
        <v>0.00057</v>
      </c>
      <c r="L33" s="34"/>
      <c r="M33" s="29" t="s">
        <v>30</v>
      </c>
      <c r="N33" s="23">
        <v>1.54E-05</v>
      </c>
      <c r="O33" s="29" t="s">
        <v>30</v>
      </c>
      <c r="P33" s="23">
        <v>1.51E-05</v>
      </c>
      <c r="Q33" s="29" t="s">
        <v>30</v>
      </c>
      <c r="R33" s="23">
        <v>1.61E-05</v>
      </c>
      <c r="S33" s="34"/>
      <c r="T33" s="23"/>
      <c r="U33" s="29" t="s">
        <v>30</v>
      </c>
      <c r="V33" s="23">
        <v>6E-05</v>
      </c>
      <c r="W33" s="29" t="s">
        <v>30</v>
      </c>
      <c r="X33" s="23">
        <v>6.01E-05</v>
      </c>
      <c r="Y33" s="29" t="s">
        <v>30</v>
      </c>
      <c r="Z33" s="23">
        <v>6.01E-05</v>
      </c>
      <c r="AB33" s="23"/>
    </row>
    <row r="34" spans="2:28" ht="12.75">
      <c r="B34" s="13" t="s">
        <v>40</v>
      </c>
      <c r="D34" s="13" t="s">
        <v>34</v>
      </c>
      <c r="E34" s="14" t="s">
        <v>30</v>
      </c>
      <c r="F34" s="23">
        <v>0.000177</v>
      </c>
      <c r="G34" s="14" t="s">
        <v>30</v>
      </c>
      <c r="H34" s="23">
        <v>0.000178</v>
      </c>
      <c r="I34" s="14" t="s">
        <v>30</v>
      </c>
      <c r="J34" s="23">
        <v>0.000177</v>
      </c>
      <c r="L34" s="34"/>
      <c r="M34" s="29" t="s">
        <v>30</v>
      </c>
      <c r="N34" s="23">
        <v>1.14E-06</v>
      </c>
      <c r="O34" s="29" t="s">
        <v>30</v>
      </c>
      <c r="P34" s="23">
        <v>1.1E-06</v>
      </c>
      <c r="Q34" s="29" t="s">
        <v>30</v>
      </c>
      <c r="R34" s="23">
        <v>1.12E-06</v>
      </c>
      <c r="S34" s="34"/>
      <c r="T34" s="23"/>
      <c r="U34" s="29" t="s">
        <v>30</v>
      </c>
      <c r="V34" s="23">
        <v>2.07E-07</v>
      </c>
      <c r="W34" s="29" t="s">
        <v>30</v>
      </c>
      <c r="X34" s="23">
        <v>2.07E-07</v>
      </c>
      <c r="Y34" s="29" t="s">
        <v>30</v>
      </c>
      <c r="Z34" s="23">
        <v>2.07E-07</v>
      </c>
      <c r="AB34" s="23"/>
    </row>
    <row r="35" spans="2:28" ht="12.75">
      <c r="B35" s="13" t="s">
        <v>41</v>
      </c>
      <c r="D35" s="13" t="s">
        <v>34</v>
      </c>
      <c r="E35" s="14" t="s">
        <v>30</v>
      </c>
      <c r="F35" s="23">
        <v>0.000178</v>
      </c>
      <c r="G35" s="14" t="s">
        <v>30</v>
      </c>
      <c r="H35" s="23">
        <v>0.000179</v>
      </c>
      <c r="I35" s="14" t="s">
        <v>30</v>
      </c>
      <c r="J35" s="23">
        <v>0.000178</v>
      </c>
      <c r="L35" s="34"/>
      <c r="M35" s="29" t="s">
        <v>30</v>
      </c>
      <c r="N35" s="23">
        <v>1.08E-06</v>
      </c>
      <c r="O35" s="29" t="s">
        <v>30</v>
      </c>
      <c r="P35" s="23">
        <v>1.1E-06</v>
      </c>
      <c r="Q35" s="29" t="s">
        <v>30</v>
      </c>
      <c r="R35" s="23">
        <v>1.12E-06</v>
      </c>
      <c r="S35" s="34"/>
      <c r="T35" s="23"/>
      <c r="U35" s="29" t="s">
        <v>30</v>
      </c>
      <c r="V35" s="23">
        <v>7.25E-07</v>
      </c>
      <c r="W35" s="29" t="s">
        <v>30</v>
      </c>
      <c r="X35" s="23">
        <v>7.25E-07</v>
      </c>
      <c r="Y35" s="29" t="s">
        <v>30</v>
      </c>
      <c r="Z35" s="23">
        <v>7.25E-07</v>
      </c>
      <c r="AB35" s="23"/>
    </row>
    <row r="36" spans="2:28" ht="12.75">
      <c r="B36" s="13" t="s">
        <v>42</v>
      </c>
      <c r="D36" s="13" t="s">
        <v>34</v>
      </c>
      <c r="E36" s="14" t="s">
        <v>30</v>
      </c>
      <c r="F36" s="23">
        <v>0.000209</v>
      </c>
      <c r="G36" s="14" t="s">
        <v>30</v>
      </c>
      <c r="H36" s="23">
        <v>0.000215</v>
      </c>
      <c r="I36" s="14" t="s">
        <v>30</v>
      </c>
      <c r="J36" s="23">
        <v>0.000212</v>
      </c>
      <c r="L36" s="34"/>
      <c r="M36" s="29" t="s">
        <v>30</v>
      </c>
      <c r="N36" s="23">
        <v>5.93E-06</v>
      </c>
      <c r="O36" s="29" t="s">
        <v>30</v>
      </c>
      <c r="P36" s="23">
        <v>6.02E-06</v>
      </c>
      <c r="Q36" s="29" t="s">
        <v>30</v>
      </c>
      <c r="R36" s="23">
        <v>6.13E-06</v>
      </c>
      <c r="S36" s="34"/>
      <c r="T36" s="23"/>
      <c r="U36" s="29" t="s">
        <v>30</v>
      </c>
      <c r="V36" s="23">
        <v>8.38E-06</v>
      </c>
      <c r="W36" s="29" t="s">
        <v>30</v>
      </c>
      <c r="X36" s="23">
        <v>8.39E-06</v>
      </c>
      <c r="Y36" s="29" t="s">
        <v>30</v>
      </c>
      <c r="Z36" s="23">
        <v>8.39E-06</v>
      </c>
      <c r="AB36" s="23"/>
    </row>
    <row r="37" spans="2:28" ht="12.75">
      <c r="B37" s="13" t="s">
        <v>43</v>
      </c>
      <c r="D37" s="13" t="s">
        <v>34</v>
      </c>
      <c r="E37" s="14" t="s">
        <v>30</v>
      </c>
      <c r="F37" s="23">
        <v>0.000404</v>
      </c>
      <c r="G37" s="14" t="s">
        <v>30</v>
      </c>
      <c r="H37" s="23">
        <v>0.000408</v>
      </c>
      <c r="I37" s="14" t="s">
        <v>30</v>
      </c>
      <c r="J37" s="23">
        <v>0.000406</v>
      </c>
      <c r="L37" s="34"/>
      <c r="M37" s="29" t="s">
        <v>30</v>
      </c>
      <c r="N37" s="23">
        <v>4.85E-06</v>
      </c>
      <c r="O37" s="29" t="s">
        <v>30</v>
      </c>
      <c r="P37" s="23">
        <v>4.92E-06</v>
      </c>
      <c r="Q37" s="29" t="s">
        <v>30</v>
      </c>
      <c r="R37" s="23">
        <v>5.01E-06</v>
      </c>
      <c r="S37" s="34"/>
      <c r="T37" s="23"/>
      <c r="U37" s="29" t="s">
        <v>30</v>
      </c>
      <c r="V37" s="23">
        <v>1.9E-05</v>
      </c>
      <c r="W37" s="29" t="s">
        <v>30</v>
      </c>
      <c r="X37" s="23">
        <v>1.9E-05</v>
      </c>
      <c r="Y37" s="29" t="s">
        <v>30</v>
      </c>
      <c r="Z37" s="23">
        <v>1.9E-05</v>
      </c>
      <c r="AB37" s="23"/>
    </row>
    <row r="38" spans="2:28" ht="12.75">
      <c r="B38" s="13" t="s">
        <v>44</v>
      </c>
      <c r="D38" s="13" t="s">
        <v>34</v>
      </c>
      <c r="E38" s="14" t="s">
        <v>30</v>
      </c>
      <c r="F38" s="23">
        <v>0.000152</v>
      </c>
      <c r="G38" s="14" t="s">
        <v>30</v>
      </c>
      <c r="H38" s="23">
        <v>0.000154</v>
      </c>
      <c r="I38" s="14" t="s">
        <v>30</v>
      </c>
      <c r="J38" s="23">
        <v>0.000153</v>
      </c>
      <c r="L38" s="34"/>
      <c r="M38" s="29" t="s">
        <v>30</v>
      </c>
      <c r="N38" s="23">
        <v>2.29E-06</v>
      </c>
      <c r="O38" s="29" t="s">
        <v>30</v>
      </c>
      <c r="P38" s="23">
        <v>2.2E-06</v>
      </c>
      <c r="Q38" s="29" t="s">
        <v>30</v>
      </c>
      <c r="R38" s="23">
        <v>2.4E-06</v>
      </c>
      <c r="S38" s="34"/>
      <c r="T38" s="23"/>
      <c r="U38" s="29" t="s">
        <v>30</v>
      </c>
      <c r="V38" s="23">
        <v>3.52E-06</v>
      </c>
      <c r="W38" s="29" t="s">
        <v>30</v>
      </c>
      <c r="X38" s="23">
        <v>3.52E-06</v>
      </c>
      <c r="Y38" s="29" t="s">
        <v>30</v>
      </c>
      <c r="Z38" s="23">
        <v>3.52E-06</v>
      </c>
      <c r="AB38" s="23"/>
    </row>
    <row r="39" spans="2:28" ht="12.75">
      <c r="B39" s="13" t="s">
        <v>45</v>
      </c>
      <c r="D39" s="13" t="s">
        <v>34</v>
      </c>
      <c r="F39" s="23">
        <v>0.00685</v>
      </c>
      <c r="H39" s="23">
        <v>0.00575</v>
      </c>
      <c r="J39" s="23">
        <v>0.0063</v>
      </c>
      <c r="L39" s="34"/>
      <c r="M39" s="29"/>
      <c r="N39" s="23"/>
      <c r="O39" s="29"/>
      <c r="P39" s="23"/>
      <c r="Q39" s="29"/>
      <c r="R39" s="23"/>
      <c r="S39" s="34"/>
      <c r="T39" s="23"/>
      <c r="U39" s="29"/>
      <c r="V39" s="23"/>
      <c r="W39" s="29"/>
      <c r="X39" s="23"/>
      <c r="Y39" s="29"/>
      <c r="Z39" s="23"/>
      <c r="AB39" s="23"/>
    </row>
    <row r="40" spans="2:28" ht="12.75">
      <c r="B40" s="13" t="s">
        <v>46</v>
      </c>
      <c r="D40" s="13" t="s">
        <v>34</v>
      </c>
      <c r="E40" s="14" t="s">
        <v>30</v>
      </c>
      <c r="F40" s="23">
        <v>0.000346</v>
      </c>
      <c r="G40" s="14" t="s">
        <v>30</v>
      </c>
      <c r="H40" s="23">
        <v>0.000346</v>
      </c>
      <c r="I40" s="14" t="s">
        <v>30</v>
      </c>
      <c r="J40" s="23">
        <v>0.000346</v>
      </c>
      <c r="L40" s="34"/>
      <c r="M40" s="29"/>
      <c r="N40" s="23"/>
      <c r="O40" s="29"/>
      <c r="P40" s="23"/>
      <c r="Q40" s="29"/>
      <c r="R40" s="23"/>
      <c r="S40" s="34"/>
      <c r="T40" s="23"/>
      <c r="U40" s="29"/>
      <c r="V40" s="23"/>
      <c r="W40" s="29"/>
      <c r="X40" s="23"/>
      <c r="Y40" s="29"/>
      <c r="Z40" s="23"/>
      <c r="AB40" s="23"/>
    </row>
    <row r="41" spans="2:28" ht="12.75">
      <c r="B41" s="13" t="s">
        <v>47</v>
      </c>
      <c r="D41" s="13" t="s">
        <v>34</v>
      </c>
      <c r="E41" s="14" t="s">
        <v>30</v>
      </c>
      <c r="F41" s="23">
        <v>0.000242</v>
      </c>
      <c r="G41" s="14" t="s">
        <v>30</v>
      </c>
      <c r="H41" s="23">
        <v>0.000244</v>
      </c>
      <c r="I41" s="14" t="s">
        <v>30</v>
      </c>
      <c r="J41" s="23">
        <v>0.000243</v>
      </c>
      <c r="L41" s="34"/>
      <c r="M41" s="29" t="s">
        <v>30</v>
      </c>
      <c r="N41" s="23">
        <v>1.62E-06</v>
      </c>
      <c r="O41" s="29" t="s">
        <v>30</v>
      </c>
      <c r="P41" s="23">
        <v>1.65E-06</v>
      </c>
      <c r="Q41" s="29" t="s">
        <v>30</v>
      </c>
      <c r="R41" s="23">
        <v>1.8E-06</v>
      </c>
      <c r="S41" s="34"/>
      <c r="T41" s="23"/>
      <c r="U41" s="29" t="s">
        <v>30</v>
      </c>
      <c r="V41" s="23">
        <v>2.77E-05</v>
      </c>
      <c r="W41" s="29" t="s">
        <v>30</v>
      </c>
      <c r="X41" s="23">
        <v>2.77E-05</v>
      </c>
      <c r="Y41" s="29" t="s">
        <v>30</v>
      </c>
      <c r="Z41" s="23">
        <v>2.77E-05</v>
      </c>
      <c r="AB41" s="23"/>
    </row>
    <row r="42" spans="2:28" ht="12.75">
      <c r="B42" s="13" t="s">
        <v>48</v>
      </c>
      <c r="D42" s="13" t="s">
        <v>34</v>
      </c>
      <c r="E42" s="14" t="s">
        <v>30</v>
      </c>
      <c r="F42" s="23">
        <v>0.000429</v>
      </c>
      <c r="G42" s="14" t="s">
        <v>30</v>
      </c>
      <c r="H42" s="23">
        <v>0.000435</v>
      </c>
      <c r="I42" s="14" t="s">
        <v>30</v>
      </c>
      <c r="J42" s="23">
        <v>0.000432</v>
      </c>
      <c r="L42" s="34"/>
      <c r="M42" s="29" t="s">
        <v>30</v>
      </c>
      <c r="N42" s="23">
        <v>5.39E-06</v>
      </c>
      <c r="O42" s="29" t="s">
        <v>30</v>
      </c>
      <c r="P42" s="23">
        <v>5.47E-06</v>
      </c>
      <c r="Q42" s="29" t="s">
        <v>30</v>
      </c>
      <c r="R42" s="23">
        <v>5.98E-06</v>
      </c>
      <c r="S42" s="34"/>
      <c r="T42" s="23"/>
      <c r="U42" s="29" t="s">
        <v>30</v>
      </c>
      <c r="V42" s="23">
        <v>2.96E-05</v>
      </c>
      <c r="W42" s="29" t="s">
        <v>30</v>
      </c>
      <c r="X42" s="23">
        <v>2.96E-05</v>
      </c>
      <c r="Y42" s="29" t="s">
        <v>30</v>
      </c>
      <c r="Z42" s="23">
        <v>2.96E-05</v>
      </c>
      <c r="AB42" s="23"/>
    </row>
    <row r="43" spans="6:19" ht="12.75">
      <c r="F43" s="34"/>
      <c r="H43" s="34"/>
      <c r="J43" s="34"/>
      <c r="L43" s="34"/>
      <c r="M43" s="34"/>
      <c r="N43" s="34"/>
      <c r="O43" s="34"/>
      <c r="P43" s="34"/>
      <c r="Q43" s="34"/>
      <c r="R43" s="34"/>
      <c r="S43" s="34"/>
    </row>
    <row r="44" spans="2:60" ht="12.75">
      <c r="B44" s="13" t="s">
        <v>113</v>
      </c>
      <c r="D44" s="13" t="s">
        <v>26</v>
      </c>
      <c r="F44" s="25">
        <f>emiss!$G$44</f>
        <v>4360</v>
      </c>
      <c r="H44" s="25">
        <f>emiss!$I$44</f>
        <v>4385</v>
      </c>
      <c r="J44" s="25">
        <f>emiss!$K$44</f>
        <v>4323</v>
      </c>
      <c r="L44" s="25">
        <f>emiss!$M$44</f>
        <v>4356</v>
      </c>
      <c r="M44" s="25"/>
      <c r="N44" s="25">
        <f>emiss!$G$44</f>
        <v>4360</v>
      </c>
      <c r="O44" s="14"/>
      <c r="P44" s="25">
        <f>emiss!$I$44</f>
        <v>4385</v>
      </c>
      <c r="Q44" s="14"/>
      <c r="R44" s="25">
        <f>emiss!$K$44</f>
        <v>4323</v>
      </c>
      <c r="S44" s="14"/>
      <c r="T44" s="25">
        <f>emiss!$M$44</f>
        <v>4356</v>
      </c>
      <c r="V44" s="25">
        <f>emiss!$G$44</f>
        <v>4360</v>
      </c>
      <c r="W44" s="14"/>
      <c r="X44" s="25">
        <f>emiss!$I$44</f>
        <v>4385</v>
      </c>
      <c r="Y44" s="14"/>
      <c r="Z44" s="25">
        <f>emiss!$K$44</f>
        <v>4323</v>
      </c>
      <c r="AA44" s="14"/>
      <c r="AB44" s="25">
        <f>emiss!$M$44</f>
        <v>4356</v>
      </c>
      <c r="AT44" s="25">
        <f>emiss!$M$44</f>
        <v>4356</v>
      </c>
      <c r="AV44" s="25">
        <f>emiss!$G$44</f>
        <v>4360</v>
      </c>
      <c r="AW44" s="14"/>
      <c r="AX44" s="25">
        <f>emiss!$I$44</f>
        <v>4385</v>
      </c>
      <c r="AY44" s="14"/>
      <c r="AZ44" s="25">
        <f>emiss!$K$44</f>
        <v>4323</v>
      </c>
      <c r="BA44" s="14"/>
      <c r="BB44" s="25">
        <f>emiss!$M$44</f>
        <v>4356</v>
      </c>
      <c r="BD44" s="25">
        <f>emiss!$G$44</f>
        <v>4360</v>
      </c>
      <c r="BE44" s="14"/>
      <c r="BF44" s="25">
        <f>emiss!$I$44</f>
        <v>4385</v>
      </c>
      <c r="BG44" s="14"/>
      <c r="BH44" s="25">
        <f>emiss!$K$44</f>
        <v>4323</v>
      </c>
    </row>
    <row r="45" spans="2:60" ht="12.75">
      <c r="B45" s="13" t="s">
        <v>114</v>
      </c>
      <c r="D45" s="13" t="s">
        <v>21</v>
      </c>
      <c r="F45" s="25">
        <f>emiss!$G$45</f>
        <v>4.6</v>
      </c>
      <c r="H45" s="25">
        <f>emiss!$I$45</f>
        <v>4.7</v>
      </c>
      <c r="J45" s="25">
        <f>emiss!$K$45</f>
        <v>4.9</v>
      </c>
      <c r="L45" s="25">
        <f>emiss!$M$45</f>
        <v>4.733333333333333</v>
      </c>
      <c r="M45" s="25"/>
      <c r="N45" s="25">
        <f>emiss!$G$45</f>
        <v>4.6</v>
      </c>
      <c r="O45" s="14"/>
      <c r="P45" s="25">
        <f>emiss!$I$45</f>
        <v>4.7</v>
      </c>
      <c r="Q45" s="14"/>
      <c r="R45" s="25">
        <f>emiss!$K$45</f>
        <v>4.9</v>
      </c>
      <c r="S45" s="14"/>
      <c r="T45" s="25">
        <f>emiss!$M$45</f>
        <v>4.733333333333333</v>
      </c>
      <c r="V45" s="25">
        <f>emiss!$G$45</f>
        <v>4.6</v>
      </c>
      <c r="W45" s="14"/>
      <c r="X45" s="25">
        <f>emiss!$I$45</f>
        <v>4.7</v>
      </c>
      <c r="Y45" s="14"/>
      <c r="Z45" s="25">
        <f>emiss!$K$45</f>
        <v>4.9</v>
      </c>
      <c r="AA45" s="14"/>
      <c r="AB45" s="25">
        <f>emiss!$M$45</f>
        <v>4.733333333333333</v>
      </c>
      <c r="AT45" s="25">
        <f>emiss!$M$45</f>
        <v>4.733333333333333</v>
      </c>
      <c r="AV45" s="25">
        <f>emiss!$G$45</f>
        <v>4.6</v>
      </c>
      <c r="AW45" s="14"/>
      <c r="AX45" s="25">
        <f>emiss!$I$45</f>
        <v>4.7</v>
      </c>
      <c r="AY45" s="14"/>
      <c r="AZ45" s="25">
        <f>emiss!$K$45</f>
        <v>4.9</v>
      </c>
      <c r="BA45" s="14"/>
      <c r="BB45" s="25">
        <f>emiss!$M$45</f>
        <v>4.733333333333333</v>
      </c>
      <c r="BD45" s="25">
        <f>emiss!$G$45</f>
        <v>4.6</v>
      </c>
      <c r="BE45" s="14"/>
      <c r="BF45" s="25">
        <f>emiss!$I$45</f>
        <v>4.7</v>
      </c>
      <c r="BG45" s="14"/>
      <c r="BH45" s="25">
        <f>emiss!$K$45</f>
        <v>4.9</v>
      </c>
    </row>
    <row r="46" spans="6:60" ht="12.75">
      <c r="F46" s="23"/>
      <c r="H46" s="23"/>
      <c r="J46" s="23"/>
      <c r="L46" s="25"/>
      <c r="M46" s="25"/>
      <c r="N46" s="25"/>
      <c r="O46" s="25"/>
      <c r="P46" s="25"/>
      <c r="Q46" s="25"/>
      <c r="R46" s="25"/>
      <c r="S46" s="25"/>
      <c r="BH46" s="25"/>
    </row>
    <row r="47" spans="2:60" ht="12.75">
      <c r="B47" s="37" t="s">
        <v>130</v>
      </c>
      <c r="C47" s="37"/>
      <c r="AB47" s="25"/>
      <c r="BH47" s="25"/>
    </row>
    <row r="48" spans="2:60" ht="12.75">
      <c r="B48" s="13" t="s">
        <v>35</v>
      </c>
      <c r="D48" s="13" t="s">
        <v>91</v>
      </c>
      <c r="F48" s="25">
        <f>F29*454/F44/60/0.0283*1000*(21-7)/(21-F45)</f>
        <v>106.27029917655486</v>
      </c>
      <c r="H48" s="25">
        <f>H29*454/H44/60/0.0283*1000*(21-7)/(21-H45)</f>
        <v>129.3558141723738</v>
      </c>
      <c r="J48" s="25">
        <f>J29*454/J44/60/0.0283*1000*(21-7)/(21-J45)</f>
        <v>120.47116479147763</v>
      </c>
      <c r="L48" s="25">
        <f>AVERAGE(F48,H48,J48)</f>
        <v>118.69909271346876</v>
      </c>
      <c r="M48" s="14"/>
      <c r="N48" s="25">
        <f>N29*454/N44/60/0.0283*1000*(21-7)/(21-N45)</f>
        <v>54.967396125804235</v>
      </c>
      <c r="O48" s="14"/>
      <c r="P48" s="25">
        <f>P29*454/P44/60/0.0283*1000*(21-7)/(21-P45)</f>
        <v>56.56043696605819</v>
      </c>
      <c r="Q48" s="14"/>
      <c r="R48" s="25">
        <f>R29*454/R44/60/0.0283*1000*(21-7)/(21-R45)</f>
        <v>64.00030629547248</v>
      </c>
      <c r="S48" s="25"/>
      <c r="T48" s="25">
        <f>AVERAGE(N48,P48,R48)</f>
        <v>58.5093797957783</v>
      </c>
      <c r="U48" s="14"/>
      <c r="V48" s="25">
        <f>V29*454/V44/60/0.0283*1000*(21-7)/(21-V45)</f>
        <v>21.463459439599742</v>
      </c>
      <c r="W48" s="14"/>
      <c r="X48" s="25">
        <f>X29*454/X44/60/0.0283*1000*(21-7)/(21-X45)</f>
        <v>21.472017737114676</v>
      </c>
      <c r="Y48" s="14"/>
      <c r="Z48" s="25">
        <f>Z29*454/Z44/60/0.0283*1000*(21-7)/(21-Z45)</f>
        <v>22.05052569844009</v>
      </c>
      <c r="AB48" s="25">
        <f aca="true" t="shared" si="0" ref="AB48:AB57">AVERAGE(V48,X48,Z48)</f>
        <v>21.662000958384834</v>
      </c>
      <c r="AC48" s="21">
        <f aca="true" t="shared" si="1" ref="AC48:AC61">(E48*F48+M48*N48+U48*V48)/AD48</f>
        <v>0</v>
      </c>
      <c r="AD48" s="25">
        <f>F48+N48+V48</f>
        <v>182.70115474195885</v>
      </c>
      <c r="AE48" s="21">
        <f aca="true" t="shared" si="2" ref="AE48:AE61">(G48*H48+O48*P48+W48*X48)/AF48</f>
        <v>0</v>
      </c>
      <c r="AF48" s="25">
        <f>H48+P48+X48</f>
        <v>207.3882688755467</v>
      </c>
      <c r="AG48" s="21">
        <f aca="true" t="shared" si="3" ref="AG48:AG61">(I48*J48+Q48*R48+Y48*Z48)/AH48</f>
        <v>0</v>
      </c>
      <c r="AH48" s="25">
        <f>J48+R48+Z48</f>
        <v>206.5219967853902</v>
      </c>
      <c r="AI48" s="21">
        <f aca="true" t="shared" si="4" ref="AI48:AI61">(K48*L48+S48*T48+AA48*AB48)/AJ48</f>
        <v>0</v>
      </c>
      <c r="AJ48" s="25">
        <f>AVERAGE(AD48,AF48,AH48)</f>
        <v>198.8704734676319</v>
      </c>
      <c r="BB48" s="25">
        <f>SUM(AT48,AL48,V48,N48,F48)</f>
        <v>182.70115474195882</v>
      </c>
      <c r="BC48" s="25"/>
      <c r="BD48" s="25">
        <f>SUM(AV48,AN48,X48,P48,H48)</f>
        <v>207.3882688755467</v>
      </c>
      <c r="BE48" s="25"/>
      <c r="BF48" s="25">
        <f>SUM(AX48,AP48,Z48,R48,J48)</f>
        <v>206.5219967853902</v>
      </c>
      <c r="BG48" s="25"/>
      <c r="BH48" s="25">
        <f>SUM(AZ48,AR48,AB48,T48,L48)</f>
        <v>198.87047346763188</v>
      </c>
    </row>
    <row r="49" spans="2:60" ht="12.75">
      <c r="B49" s="13" t="s">
        <v>36</v>
      </c>
      <c r="D49" s="13" t="s">
        <v>115</v>
      </c>
      <c r="E49" s="14">
        <v>100</v>
      </c>
      <c r="F49" s="25">
        <f aca="true" t="shared" si="5" ref="F49:F61">F30*454/F$44/60/0.0283*1000000*(21-7)/(21-F$45)</f>
        <v>785.2485160829175</v>
      </c>
      <c r="G49" s="14">
        <v>100</v>
      </c>
      <c r="H49" s="25">
        <f aca="true" t="shared" si="6" ref="H49:H61">H30*454/H$44/60/0.0283*1000000*(21-7)/(21-H$45)</f>
        <v>796.0357795223003</v>
      </c>
      <c r="I49" s="14">
        <v>100</v>
      </c>
      <c r="J49" s="25">
        <f aca="true" t="shared" si="7" ref="J49:J61">J30*454/J$44/60/0.0283*1000000*(21-7)/(21-J$45)</f>
        <v>812.10472694255</v>
      </c>
      <c r="K49" s="14">
        <v>100</v>
      </c>
      <c r="L49" s="25">
        <f aca="true" t="shared" si="8" ref="L49:L61">AVERAGE(F49,H49,J49)</f>
        <v>797.7963408492559</v>
      </c>
      <c r="M49" s="14">
        <v>100</v>
      </c>
      <c r="N49" s="25">
        <f aca="true" t="shared" si="9" ref="N49:N57">N30*454/N$44/60/0.0283*1000000*(21-7)/(21-N$45)</f>
        <v>12.197526949821322</v>
      </c>
      <c r="O49" s="14">
        <v>100</v>
      </c>
      <c r="P49" s="25">
        <f aca="true" t="shared" si="10" ref="P49:P57">P30*454/P$44/60/0.0283*1000000*(21-7)/(21-P$45)</f>
        <v>11.88816591786593</v>
      </c>
      <c r="Q49" s="14">
        <v>100</v>
      </c>
      <c r="R49" s="25">
        <f aca="true" t="shared" si="11" ref="R49:R57">R30*454/R$44/60/0.0283*1000000*(21-7)/(21-R$45)</f>
        <v>13.553006039041225</v>
      </c>
      <c r="S49" s="14">
        <v>100</v>
      </c>
      <c r="T49" s="25">
        <f aca="true" t="shared" si="12" ref="T49:T61">AVERAGE(N49,P49,R49)</f>
        <v>12.546232968909493</v>
      </c>
      <c r="U49" s="14">
        <v>100</v>
      </c>
      <c r="V49" s="25">
        <f aca="true" t="shared" si="13" ref="V49:V57">V30*454/V$44/60/0.0283*1000000*(21-7)/(21-V$45)</f>
        <v>12.825725762687654</v>
      </c>
      <c r="W49" s="14">
        <v>100</v>
      </c>
      <c r="X49" s="25">
        <f aca="true" t="shared" si="14" ref="X49:X57">X30*454/X$44/60/0.0283*1000000*(21-7)/(21-X$45)</f>
        <v>12.830839867300233</v>
      </c>
      <c r="Y49" s="14">
        <v>100</v>
      </c>
      <c r="Z49" s="25">
        <f aca="true" t="shared" si="15" ref="Z49:Z57">Z30*454/Z$44/60/0.0283*1000000*(21-7)/(21-Z$45)</f>
        <v>13.176533649067858</v>
      </c>
      <c r="AA49" s="14">
        <v>100</v>
      </c>
      <c r="AB49" s="25">
        <f t="shared" si="0"/>
        <v>12.944366426351914</v>
      </c>
      <c r="AC49" s="21">
        <f t="shared" si="1"/>
        <v>100.00000000000001</v>
      </c>
      <c r="AD49" s="25">
        <f aca="true" t="shared" si="16" ref="AD49:AD61">F49+N49+V49</f>
        <v>810.2717687954264</v>
      </c>
      <c r="AE49" s="21">
        <f t="shared" si="2"/>
        <v>100</v>
      </c>
      <c r="AF49" s="25">
        <f aca="true" t="shared" si="17" ref="AF49:AF61">H49+P49+X49</f>
        <v>820.7547853074665</v>
      </c>
      <c r="AG49" s="21">
        <f t="shared" si="3"/>
        <v>100.00000000000001</v>
      </c>
      <c r="AH49" s="25">
        <f aca="true" t="shared" si="18" ref="AH49:AH61">J49+R49+Z49</f>
        <v>838.834266630659</v>
      </c>
      <c r="AI49" s="21">
        <f t="shared" si="4"/>
        <v>100</v>
      </c>
      <c r="AJ49" s="25">
        <f aca="true" t="shared" si="19" ref="AJ49:AJ61">AVERAGE(AD49,AF49,AH49)</f>
        <v>823.2869402445173</v>
      </c>
      <c r="AS49" s="14">
        <v>100</v>
      </c>
      <c r="AT49" s="25">
        <f>AT30*454/AT$44/60/0.0283*1000000*(21-7)/(21-AT$45)</f>
        <v>755.4327378517844</v>
      </c>
      <c r="AU49" s="14">
        <v>100</v>
      </c>
      <c r="AV49" s="25">
        <f>AV30*454/AV$44/60/0.0283*1000000*(21-7)/(21-AV$45)</f>
        <v>748.6035853323815</v>
      </c>
      <c r="AW49" s="14">
        <v>100</v>
      </c>
      <c r="AX49" s="25">
        <f>AX30*454/AX$44/60/0.0283*1000000*(21-7)/(21-AX$45)</f>
        <v>754.1391595474422</v>
      </c>
      <c r="AY49" s="13">
        <v>100</v>
      </c>
      <c r="AZ49" s="18">
        <f>AVERAGE(AT49,AV49,AX49)</f>
        <v>752.725160910536</v>
      </c>
      <c r="BA49" s="13">
        <v>100</v>
      </c>
      <c r="BB49" s="25">
        <f>AD49+AT49</f>
        <v>1565.7045066472108</v>
      </c>
      <c r="BC49" s="13">
        <v>100</v>
      </c>
      <c r="BD49" s="25">
        <f>AF49+AV49</f>
        <v>1569.358370639848</v>
      </c>
      <c r="BE49" s="13">
        <v>100</v>
      </c>
      <c r="BF49" s="25">
        <f>AH49+AX49</f>
        <v>1592.9734261781014</v>
      </c>
      <c r="BG49" s="21">
        <v>100</v>
      </c>
      <c r="BH49" s="25">
        <f>AJ49+AZ49</f>
        <v>1576.0121011550532</v>
      </c>
    </row>
    <row r="50" spans="2:60" ht="12.75">
      <c r="B50" s="13" t="s">
        <v>37</v>
      </c>
      <c r="D50" s="13" t="s">
        <v>115</v>
      </c>
      <c r="E50" s="14">
        <v>100</v>
      </c>
      <c r="F50" s="25">
        <f t="shared" si="5"/>
        <v>55.49089513652618</v>
      </c>
      <c r="G50" s="14">
        <v>100</v>
      </c>
      <c r="H50" s="25">
        <f t="shared" si="6"/>
        <v>56.56043696605818</v>
      </c>
      <c r="I50" s="14">
        <v>100</v>
      </c>
      <c r="J50" s="25">
        <f t="shared" si="7"/>
        <v>57.54649389592903</v>
      </c>
      <c r="K50" s="14">
        <v>100</v>
      </c>
      <c r="L50" s="25">
        <f t="shared" si="8"/>
        <v>56.53260866617112</v>
      </c>
      <c r="M50" s="14">
        <v>100</v>
      </c>
      <c r="N50" s="25">
        <f t="shared" si="9"/>
        <v>0.8061884765117954</v>
      </c>
      <c r="O50" s="14">
        <v>100</v>
      </c>
      <c r="P50" s="25">
        <f t="shared" si="10"/>
        <v>0.7750874695348714</v>
      </c>
      <c r="Q50" s="14">
        <v>100</v>
      </c>
      <c r="R50" s="25">
        <f t="shared" si="11"/>
        <v>0.8658864969387449</v>
      </c>
      <c r="S50" s="14">
        <v>100</v>
      </c>
      <c r="T50" s="25">
        <f t="shared" si="12"/>
        <v>0.8157208143284705</v>
      </c>
      <c r="U50" s="14">
        <v>100</v>
      </c>
      <c r="V50" s="25">
        <f t="shared" si="13"/>
        <v>15.286171113080796</v>
      </c>
      <c r="W50" s="14">
        <v>100</v>
      </c>
      <c r="X50" s="25">
        <f t="shared" si="14"/>
        <v>15.292266290823132</v>
      </c>
      <c r="Y50" s="14">
        <v>100</v>
      </c>
      <c r="Z50" s="25">
        <f t="shared" si="15"/>
        <v>15.704276838889042</v>
      </c>
      <c r="AA50" s="14">
        <v>100</v>
      </c>
      <c r="AB50" s="25">
        <f t="shared" si="0"/>
        <v>15.427571414264323</v>
      </c>
      <c r="AC50" s="21">
        <f t="shared" si="1"/>
        <v>100.00000000000001</v>
      </c>
      <c r="AD50" s="25">
        <f t="shared" si="16"/>
        <v>71.58325472611877</v>
      </c>
      <c r="AE50" s="21">
        <f t="shared" si="2"/>
        <v>100.00000000000001</v>
      </c>
      <c r="AF50" s="25">
        <f t="shared" si="17"/>
        <v>72.62779072641618</v>
      </c>
      <c r="AG50" s="21">
        <f t="shared" si="3"/>
        <v>100</v>
      </c>
      <c r="AH50" s="25">
        <f t="shared" si="18"/>
        <v>74.11665723175682</v>
      </c>
      <c r="AI50" s="21">
        <f t="shared" si="4"/>
        <v>99.99999999999999</v>
      </c>
      <c r="AJ50" s="25">
        <f t="shared" si="19"/>
        <v>72.77590089476392</v>
      </c>
      <c r="BA50" s="21">
        <f aca="true" t="shared" si="20" ref="BA50:BH50">AC50</f>
        <v>100.00000000000001</v>
      </c>
      <c r="BB50" s="25">
        <f t="shared" si="20"/>
        <v>71.58325472611877</v>
      </c>
      <c r="BC50" s="21">
        <f t="shared" si="20"/>
        <v>100.00000000000001</v>
      </c>
      <c r="BD50" s="25">
        <f t="shared" si="20"/>
        <v>72.62779072641618</v>
      </c>
      <c r="BE50" s="21">
        <f t="shared" si="20"/>
        <v>100</v>
      </c>
      <c r="BF50" s="25">
        <f t="shared" si="20"/>
        <v>74.11665723175682</v>
      </c>
      <c r="BG50" s="21">
        <f t="shared" si="20"/>
        <v>99.99999999999999</v>
      </c>
      <c r="BH50" s="25">
        <f t="shared" si="20"/>
        <v>72.77590089476392</v>
      </c>
    </row>
    <row r="51" spans="2:60" ht="12.75">
      <c r="B51" s="13" t="s">
        <v>38</v>
      </c>
      <c r="D51" s="13" t="s">
        <v>115</v>
      </c>
      <c r="E51" s="14">
        <v>100</v>
      </c>
      <c r="F51" s="25">
        <f t="shared" si="5"/>
        <v>9.422982192995013</v>
      </c>
      <c r="G51" s="14">
        <v>100</v>
      </c>
      <c r="H51" s="25">
        <f t="shared" si="6"/>
        <v>9.531481044280175</v>
      </c>
      <c r="I51" s="14">
        <v>100</v>
      </c>
      <c r="J51" s="25">
        <f t="shared" si="7"/>
        <v>9.680718599315163</v>
      </c>
      <c r="K51" s="14">
        <v>100</v>
      </c>
      <c r="L51" s="25">
        <f t="shared" si="8"/>
        <v>9.545060612196783</v>
      </c>
      <c r="M51" s="14">
        <v>100</v>
      </c>
      <c r="N51" s="25">
        <f t="shared" si="9"/>
        <v>0.11307578631594015</v>
      </c>
      <c r="O51" s="14">
        <v>100</v>
      </c>
      <c r="P51" s="25">
        <f t="shared" si="10"/>
        <v>0.11731053592960215</v>
      </c>
      <c r="Q51" s="14">
        <v>100</v>
      </c>
      <c r="R51" s="25">
        <f t="shared" si="11"/>
        <v>0.012047116479147756</v>
      </c>
      <c r="S51" s="14">
        <v>100</v>
      </c>
      <c r="T51" s="25">
        <f t="shared" si="12"/>
        <v>0.08081114624156334</v>
      </c>
      <c r="U51" s="14">
        <v>100</v>
      </c>
      <c r="V51" s="25">
        <f t="shared" si="13"/>
        <v>0.010836429521944265</v>
      </c>
      <c r="W51" s="14">
        <v>100</v>
      </c>
      <c r="X51" s="25">
        <f t="shared" si="14"/>
        <v>0.010840750418494485</v>
      </c>
      <c r="Y51" s="14">
        <v>100</v>
      </c>
      <c r="Z51" s="25">
        <f t="shared" si="15"/>
        <v>0.011132826389212439</v>
      </c>
      <c r="AA51" s="14">
        <v>100</v>
      </c>
      <c r="AB51" s="18">
        <f t="shared" si="0"/>
        <v>0.010936668776550397</v>
      </c>
      <c r="AC51" s="21">
        <f t="shared" si="1"/>
        <v>99.99999999999999</v>
      </c>
      <c r="AD51" s="25">
        <f t="shared" si="16"/>
        <v>9.546894408832898</v>
      </c>
      <c r="AE51" s="21">
        <f t="shared" si="2"/>
        <v>99.99999999999999</v>
      </c>
      <c r="AF51" s="25">
        <f t="shared" si="17"/>
        <v>9.659632330628273</v>
      </c>
      <c r="AG51" s="21">
        <f t="shared" si="3"/>
        <v>100</v>
      </c>
      <c r="AH51" s="25">
        <f t="shared" si="18"/>
        <v>9.703898542183524</v>
      </c>
      <c r="AI51" s="21">
        <f t="shared" si="4"/>
        <v>100</v>
      </c>
      <c r="AJ51" s="25">
        <f t="shared" si="19"/>
        <v>9.636808427214898</v>
      </c>
      <c r="BA51" s="21">
        <f aca="true" t="shared" si="21" ref="BA51:BA64">AC51</f>
        <v>99.99999999999999</v>
      </c>
      <c r="BB51" s="25">
        <f aca="true" t="shared" si="22" ref="BB51:BB64">AD51</f>
        <v>9.546894408832898</v>
      </c>
      <c r="BC51" s="21">
        <f aca="true" t="shared" si="23" ref="BC51:BC61">AE51</f>
        <v>99.99999999999999</v>
      </c>
      <c r="BD51" s="25">
        <f aca="true" t="shared" si="24" ref="BD51:BD61">AF51</f>
        <v>9.659632330628273</v>
      </c>
      <c r="BE51" s="21">
        <f aca="true" t="shared" si="25" ref="BE51:BE61">AG51</f>
        <v>100</v>
      </c>
      <c r="BF51" s="25">
        <f aca="true" t="shared" si="26" ref="BF51:BF61">AH51</f>
        <v>9.703898542183524</v>
      </c>
      <c r="BG51" s="21">
        <f aca="true" t="shared" si="27" ref="BG51:BG61">AI51</f>
        <v>100</v>
      </c>
      <c r="BH51" s="25">
        <f aca="true" t="shared" si="28" ref="BH51:BH61">AJ51</f>
        <v>9.636808427214898</v>
      </c>
    </row>
    <row r="52" spans="2:60" ht="12.75">
      <c r="B52" s="13" t="s">
        <v>39</v>
      </c>
      <c r="D52" s="13" t="s">
        <v>115</v>
      </c>
      <c r="E52" s="14">
        <v>100</v>
      </c>
      <c r="F52" s="25">
        <f t="shared" si="5"/>
        <v>29.315944600428917</v>
      </c>
      <c r="G52" s="14">
        <v>100</v>
      </c>
      <c r="H52" s="25">
        <f t="shared" si="6"/>
        <v>30.113195606929118</v>
      </c>
      <c r="I52" s="14">
        <v>100</v>
      </c>
      <c r="J52" s="25">
        <f t="shared" si="7"/>
        <v>30.655608897831353</v>
      </c>
      <c r="K52" s="14">
        <v>100</v>
      </c>
      <c r="L52" s="25">
        <f t="shared" si="8"/>
        <v>30.028249701729795</v>
      </c>
      <c r="M52" s="14">
        <v>100</v>
      </c>
      <c r="N52" s="25">
        <f t="shared" si="9"/>
        <v>0.8061884765117954</v>
      </c>
      <c r="O52" s="14">
        <v>100</v>
      </c>
      <c r="P52" s="25">
        <f t="shared" si="10"/>
        <v>0.7907987020254429</v>
      </c>
      <c r="Q52" s="14">
        <v>100</v>
      </c>
      <c r="R52" s="25">
        <f t="shared" si="11"/>
        <v>0.8658864969387449</v>
      </c>
      <c r="S52" s="14">
        <v>100</v>
      </c>
      <c r="T52" s="25">
        <f t="shared" si="12"/>
        <v>0.8209578918253277</v>
      </c>
      <c r="U52" s="14">
        <v>100</v>
      </c>
      <c r="V52" s="25">
        <f t="shared" si="13"/>
        <v>3.1409940643316703</v>
      </c>
      <c r="W52" s="14">
        <v>100</v>
      </c>
      <c r="X52" s="25">
        <f t="shared" si="14"/>
        <v>3.1474835756112003</v>
      </c>
      <c r="Y52" s="14">
        <v>100</v>
      </c>
      <c r="Z52" s="25">
        <f t="shared" si="15"/>
        <v>3.2322843767713403</v>
      </c>
      <c r="AA52" s="14">
        <v>100</v>
      </c>
      <c r="AB52" s="25">
        <f t="shared" si="0"/>
        <v>3.173587338904737</v>
      </c>
      <c r="AC52" s="21">
        <f t="shared" si="1"/>
        <v>100</v>
      </c>
      <c r="AD52" s="25">
        <f t="shared" si="16"/>
        <v>33.263127141272385</v>
      </c>
      <c r="AE52" s="21">
        <f t="shared" si="2"/>
        <v>100</v>
      </c>
      <c r="AF52" s="25">
        <f t="shared" si="17"/>
        <v>34.05147788456576</v>
      </c>
      <c r="AG52" s="21">
        <f t="shared" si="3"/>
        <v>100</v>
      </c>
      <c r="AH52" s="25">
        <f t="shared" si="18"/>
        <v>34.75377977154144</v>
      </c>
      <c r="AI52" s="21">
        <f t="shared" si="4"/>
        <v>99.99999999999999</v>
      </c>
      <c r="AJ52" s="25">
        <f t="shared" si="19"/>
        <v>34.02279493245987</v>
      </c>
      <c r="BA52" s="21">
        <f t="shared" si="21"/>
        <v>100</v>
      </c>
      <c r="BB52" s="25">
        <f t="shared" si="22"/>
        <v>33.263127141272385</v>
      </c>
      <c r="BC52" s="21">
        <f t="shared" si="23"/>
        <v>100</v>
      </c>
      <c r="BD52" s="25">
        <f t="shared" si="24"/>
        <v>34.05147788456576</v>
      </c>
      <c r="BE52" s="21">
        <f t="shared" si="25"/>
        <v>100</v>
      </c>
      <c r="BF52" s="25">
        <f t="shared" si="26"/>
        <v>34.75377977154144</v>
      </c>
      <c r="BG52" s="21">
        <f t="shared" si="27"/>
        <v>99.99999999999999</v>
      </c>
      <c r="BH52" s="25">
        <f t="shared" si="28"/>
        <v>34.02279493245987</v>
      </c>
    </row>
    <row r="53" spans="2:60" ht="12.75">
      <c r="B53" s="13" t="s">
        <v>40</v>
      </c>
      <c r="D53" s="13" t="s">
        <v>115</v>
      </c>
      <c r="E53" s="14">
        <v>100</v>
      </c>
      <c r="F53" s="25">
        <f t="shared" si="5"/>
        <v>9.265932489778427</v>
      </c>
      <c r="G53" s="14">
        <v>100</v>
      </c>
      <c r="H53" s="25">
        <f t="shared" si="6"/>
        <v>9.321997944405885</v>
      </c>
      <c r="I53" s="14">
        <v>100</v>
      </c>
      <c r="J53" s="25">
        <f t="shared" si="7"/>
        <v>9.519373289326577</v>
      </c>
      <c r="K53" s="14">
        <v>100</v>
      </c>
      <c r="L53" s="25">
        <f t="shared" si="8"/>
        <v>9.369101241170297</v>
      </c>
      <c r="M53" s="14">
        <v>100</v>
      </c>
      <c r="N53" s="25">
        <f t="shared" si="9"/>
        <v>0.05967888722230174</v>
      </c>
      <c r="O53" s="14">
        <v>100</v>
      </c>
      <c r="P53" s="25">
        <f t="shared" si="10"/>
        <v>0.05760785246542963</v>
      </c>
      <c r="Q53" s="14">
        <v>100</v>
      </c>
      <c r="R53" s="25">
        <f t="shared" si="11"/>
        <v>0.06023558239573879</v>
      </c>
      <c r="S53" s="14">
        <v>100</v>
      </c>
      <c r="T53" s="25">
        <f t="shared" si="12"/>
        <v>0.05917410736115672</v>
      </c>
      <c r="U53" s="14">
        <v>100</v>
      </c>
      <c r="V53" s="25">
        <f t="shared" si="13"/>
        <v>0.010836429521944265</v>
      </c>
      <c r="W53" s="14">
        <v>100</v>
      </c>
      <c r="X53" s="25">
        <f t="shared" si="14"/>
        <v>0.010840750418494485</v>
      </c>
      <c r="Y53" s="14">
        <v>100</v>
      </c>
      <c r="Z53" s="25">
        <f t="shared" si="15"/>
        <v>0.011132826389212439</v>
      </c>
      <c r="AA53" s="14">
        <v>100</v>
      </c>
      <c r="AB53" s="18">
        <f t="shared" si="0"/>
        <v>0.010936668776550397</v>
      </c>
      <c r="AC53" s="21">
        <f t="shared" si="1"/>
        <v>100</v>
      </c>
      <c r="AD53" s="25">
        <f t="shared" si="16"/>
        <v>9.336447806522672</v>
      </c>
      <c r="AE53" s="21">
        <f t="shared" si="2"/>
        <v>100</v>
      </c>
      <c r="AF53" s="25">
        <f t="shared" si="17"/>
        <v>9.390446547289809</v>
      </c>
      <c r="AG53" s="21">
        <f t="shared" si="3"/>
        <v>99.99999999999999</v>
      </c>
      <c r="AH53" s="25">
        <f t="shared" si="18"/>
        <v>9.590741698111529</v>
      </c>
      <c r="AI53" s="21">
        <f t="shared" si="4"/>
        <v>100.00000000000001</v>
      </c>
      <c r="AJ53" s="25">
        <f t="shared" si="19"/>
        <v>9.439212017308003</v>
      </c>
      <c r="BA53" s="21">
        <f t="shared" si="21"/>
        <v>100</v>
      </c>
      <c r="BB53" s="25">
        <f t="shared" si="22"/>
        <v>9.336447806522672</v>
      </c>
      <c r="BC53" s="21">
        <f t="shared" si="23"/>
        <v>100</v>
      </c>
      <c r="BD53" s="25">
        <f t="shared" si="24"/>
        <v>9.390446547289809</v>
      </c>
      <c r="BE53" s="21">
        <f t="shared" si="25"/>
        <v>99.99999999999999</v>
      </c>
      <c r="BF53" s="25">
        <f t="shared" si="26"/>
        <v>9.590741698111529</v>
      </c>
      <c r="BG53" s="21">
        <f t="shared" si="27"/>
        <v>100.00000000000001</v>
      </c>
      <c r="BH53" s="25">
        <f t="shared" si="28"/>
        <v>9.439212017308003</v>
      </c>
    </row>
    <row r="54" spans="2:60" ht="12.75">
      <c r="B54" s="13" t="s">
        <v>41</v>
      </c>
      <c r="D54" s="13" t="s">
        <v>115</v>
      </c>
      <c r="E54" s="14">
        <v>100</v>
      </c>
      <c r="F54" s="25">
        <f t="shared" si="5"/>
        <v>9.318282390850621</v>
      </c>
      <c r="G54" s="14">
        <v>100</v>
      </c>
      <c r="H54" s="25">
        <f t="shared" si="6"/>
        <v>9.374368719374456</v>
      </c>
      <c r="I54" s="14">
        <v>100</v>
      </c>
      <c r="J54" s="25">
        <f t="shared" si="7"/>
        <v>9.573155059322772</v>
      </c>
      <c r="K54" s="14">
        <v>100</v>
      </c>
      <c r="L54" s="25">
        <f t="shared" si="8"/>
        <v>9.421935389849283</v>
      </c>
      <c r="M54" s="14">
        <v>100</v>
      </c>
      <c r="N54" s="25">
        <f t="shared" si="9"/>
        <v>0.05653789315797007</v>
      </c>
      <c r="O54" s="14">
        <v>100</v>
      </c>
      <c r="P54" s="25">
        <f t="shared" si="10"/>
        <v>0.05760785246542963</v>
      </c>
      <c r="Q54" s="14">
        <v>100</v>
      </c>
      <c r="R54" s="25">
        <f t="shared" si="11"/>
        <v>0.06023558239573879</v>
      </c>
      <c r="S54" s="14">
        <v>100</v>
      </c>
      <c r="T54" s="25">
        <f t="shared" si="12"/>
        <v>0.05812710933971283</v>
      </c>
      <c r="U54" s="14">
        <v>100</v>
      </c>
      <c r="V54" s="25">
        <f t="shared" si="13"/>
        <v>0.037953678277341016</v>
      </c>
      <c r="W54" s="14">
        <v>100</v>
      </c>
      <c r="X54" s="25">
        <f t="shared" si="14"/>
        <v>0.037968811852214984</v>
      </c>
      <c r="Y54" s="14">
        <v>100</v>
      </c>
      <c r="Z54" s="25">
        <f t="shared" si="15"/>
        <v>0.03899178324724163</v>
      </c>
      <c r="AA54" s="14">
        <v>100</v>
      </c>
      <c r="AB54" s="18">
        <f t="shared" si="0"/>
        <v>0.03830475779226588</v>
      </c>
      <c r="AC54" s="21">
        <f t="shared" si="1"/>
        <v>100</v>
      </c>
      <c r="AD54" s="25">
        <f t="shared" si="16"/>
        <v>9.412773962285932</v>
      </c>
      <c r="AE54" s="21">
        <f t="shared" si="2"/>
        <v>100</v>
      </c>
      <c r="AF54" s="25">
        <f t="shared" si="17"/>
        <v>9.4699453836921</v>
      </c>
      <c r="AG54" s="21">
        <f t="shared" si="3"/>
        <v>99.99999999999999</v>
      </c>
      <c r="AH54" s="25">
        <f t="shared" si="18"/>
        <v>9.672382424965754</v>
      </c>
      <c r="AI54" s="21">
        <f t="shared" si="4"/>
        <v>100</v>
      </c>
      <c r="AJ54" s="25">
        <f t="shared" si="19"/>
        <v>9.518367256981263</v>
      </c>
      <c r="BA54" s="21">
        <f t="shared" si="21"/>
        <v>100</v>
      </c>
      <c r="BB54" s="25">
        <f t="shared" si="22"/>
        <v>9.412773962285932</v>
      </c>
      <c r="BC54" s="21">
        <f t="shared" si="23"/>
        <v>100</v>
      </c>
      <c r="BD54" s="25">
        <f t="shared" si="24"/>
        <v>9.4699453836921</v>
      </c>
      <c r="BE54" s="21">
        <f t="shared" si="25"/>
        <v>99.99999999999999</v>
      </c>
      <c r="BF54" s="25">
        <f t="shared" si="26"/>
        <v>9.672382424965754</v>
      </c>
      <c r="BG54" s="21">
        <f t="shared" si="27"/>
        <v>100</v>
      </c>
      <c r="BH54" s="25">
        <f t="shared" si="28"/>
        <v>9.518367256981263</v>
      </c>
    </row>
    <row r="55" spans="2:60" ht="12.75">
      <c r="B55" s="13" t="s">
        <v>42</v>
      </c>
      <c r="D55" s="13" t="s">
        <v>115</v>
      </c>
      <c r="E55" s="14">
        <v>100</v>
      </c>
      <c r="F55" s="25">
        <f t="shared" si="5"/>
        <v>10.941129324088653</v>
      </c>
      <c r="G55" s="14">
        <v>100</v>
      </c>
      <c r="H55" s="25">
        <f t="shared" si="6"/>
        <v>11.259716618243063</v>
      </c>
      <c r="I55" s="14">
        <v>100</v>
      </c>
      <c r="J55" s="25">
        <f t="shared" si="7"/>
        <v>11.401735239193416</v>
      </c>
      <c r="K55" s="14">
        <v>100</v>
      </c>
      <c r="L55" s="25">
        <f t="shared" si="8"/>
        <v>11.20086039384171</v>
      </c>
      <c r="M55" s="14">
        <v>100</v>
      </c>
      <c r="N55" s="25">
        <f t="shared" si="9"/>
        <v>0.31043491335811335</v>
      </c>
      <c r="O55" s="14">
        <v>100</v>
      </c>
      <c r="P55" s="25">
        <f t="shared" si="10"/>
        <v>0.31527206531080576</v>
      </c>
      <c r="Q55" s="14">
        <v>100</v>
      </c>
      <c r="R55" s="25">
        <f t="shared" si="11"/>
        <v>0.3296822500766775</v>
      </c>
      <c r="S55" s="14">
        <v>100</v>
      </c>
      <c r="T55" s="25">
        <f t="shared" si="12"/>
        <v>0.3184630762485322</v>
      </c>
      <c r="U55" s="14">
        <v>100</v>
      </c>
      <c r="V55" s="25">
        <f t="shared" si="13"/>
        <v>0.43869217098498986</v>
      </c>
      <c r="W55" s="14">
        <v>100</v>
      </c>
      <c r="X55" s="25">
        <f t="shared" si="14"/>
        <v>0.4393908019863223</v>
      </c>
      <c r="Y55" s="14">
        <v>100</v>
      </c>
      <c r="Z55" s="25">
        <f t="shared" si="15"/>
        <v>0.4512290502680789</v>
      </c>
      <c r="AA55" s="14">
        <v>100</v>
      </c>
      <c r="AB55" s="25">
        <f t="shared" si="0"/>
        <v>0.4431040077464637</v>
      </c>
      <c r="AC55" s="21">
        <f t="shared" si="1"/>
        <v>100</v>
      </c>
      <c r="AD55" s="25">
        <f t="shared" si="16"/>
        <v>11.690256408431756</v>
      </c>
      <c r="AE55" s="21">
        <f t="shared" si="2"/>
        <v>99.99999999999999</v>
      </c>
      <c r="AF55" s="25">
        <f t="shared" si="17"/>
        <v>12.014379485540191</v>
      </c>
      <c r="AG55" s="21">
        <f t="shared" si="3"/>
        <v>100</v>
      </c>
      <c r="AH55" s="25">
        <f t="shared" si="18"/>
        <v>12.182646539538172</v>
      </c>
      <c r="AI55" s="21">
        <f t="shared" si="4"/>
        <v>99.99999999999997</v>
      </c>
      <c r="AJ55" s="25">
        <f t="shared" si="19"/>
        <v>11.962427477836707</v>
      </c>
      <c r="BA55" s="21">
        <f t="shared" si="21"/>
        <v>100</v>
      </c>
      <c r="BB55" s="25">
        <f t="shared" si="22"/>
        <v>11.690256408431756</v>
      </c>
      <c r="BC55" s="21">
        <f t="shared" si="23"/>
        <v>99.99999999999999</v>
      </c>
      <c r="BD55" s="25">
        <f t="shared" si="24"/>
        <v>12.014379485540191</v>
      </c>
      <c r="BE55" s="21">
        <f t="shared" si="25"/>
        <v>100</v>
      </c>
      <c r="BF55" s="25">
        <f t="shared" si="26"/>
        <v>12.182646539538172</v>
      </c>
      <c r="BG55" s="21">
        <f t="shared" si="27"/>
        <v>99.99999999999997</v>
      </c>
      <c r="BH55" s="25">
        <f t="shared" si="28"/>
        <v>11.962427477836707</v>
      </c>
    </row>
    <row r="56" spans="2:60" ht="12.75">
      <c r="B56" s="13" t="s">
        <v>43</v>
      </c>
      <c r="D56" s="13" t="s">
        <v>115</v>
      </c>
      <c r="E56" s="14">
        <v>100</v>
      </c>
      <c r="F56" s="25">
        <f t="shared" si="5"/>
        <v>21.149360033166584</v>
      </c>
      <c r="G56" s="14">
        <v>100</v>
      </c>
      <c r="H56" s="25">
        <f t="shared" si="6"/>
        <v>21.367276187177534</v>
      </c>
      <c r="I56" s="14">
        <v>100</v>
      </c>
      <c r="J56" s="25">
        <f t="shared" si="7"/>
        <v>21.83539861845531</v>
      </c>
      <c r="K56" s="14">
        <v>100</v>
      </c>
      <c r="L56" s="25">
        <f t="shared" si="8"/>
        <v>21.45067827959981</v>
      </c>
      <c r="M56" s="14">
        <v>100</v>
      </c>
      <c r="N56" s="25">
        <f t="shared" si="9"/>
        <v>0.2538970202001434</v>
      </c>
      <c r="O56" s="14">
        <v>100</v>
      </c>
      <c r="P56" s="25">
        <f t="shared" si="10"/>
        <v>0.25766421284537616</v>
      </c>
      <c r="Q56" s="14">
        <v>100</v>
      </c>
      <c r="R56" s="25">
        <f t="shared" si="11"/>
        <v>0.2694466676809387</v>
      </c>
      <c r="S56" s="14">
        <v>100</v>
      </c>
      <c r="T56" s="25">
        <f t="shared" si="12"/>
        <v>0.2603359669088194</v>
      </c>
      <c r="U56" s="14">
        <v>100</v>
      </c>
      <c r="V56" s="25">
        <f t="shared" si="13"/>
        <v>0.9946481203716955</v>
      </c>
      <c r="W56" s="14">
        <v>100</v>
      </c>
      <c r="X56" s="25">
        <f t="shared" si="14"/>
        <v>0.9950447244028754</v>
      </c>
      <c r="Y56" s="14">
        <v>100</v>
      </c>
      <c r="Z56" s="25">
        <f t="shared" si="15"/>
        <v>1.0218536299277117</v>
      </c>
      <c r="AA56" s="14">
        <v>100</v>
      </c>
      <c r="AB56" s="25">
        <f t="shared" si="0"/>
        <v>1.0038488249007609</v>
      </c>
      <c r="AC56" s="21">
        <f t="shared" si="1"/>
        <v>100</v>
      </c>
      <c r="AD56" s="25">
        <f t="shared" si="16"/>
        <v>22.397905173738422</v>
      </c>
      <c r="AE56" s="21">
        <f t="shared" si="2"/>
        <v>100</v>
      </c>
      <c r="AF56" s="25">
        <f t="shared" si="17"/>
        <v>22.619985124425785</v>
      </c>
      <c r="AG56" s="21">
        <f t="shared" si="3"/>
        <v>100</v>
      </c>
      <c r="AH56" s="25">
        <f t="shared" si="18"/>
        <v>23.12669891606396</v>
      </c>
      <c r="AI56" s="21">
        <f t="shared" si="4"/>
        <v>100.00000000000001</v>
      </c>
      <c r="AJ56" s="25">
        <f t="shared" si="19"/>
        <v>22.714863071409386</v>
      </c>
      <c r="BA56" s="21">
        <f t="shared" si="21"/>
        <v>100</v>
      </c>
      <c r="BB56" s="25">
        <f t="shared" si="22"/>
        <v>22.397905173738422</v>
      </c>
      <c r="BC56" s="21">
        <f t="shared" si="23"/>
        <v>100</v>
      </c>
      <c r="BD56" s="25">
        <f t="shared" si="24"/>
        <v>22.619985124425785</v>
      </c>
      <c r="BE56" s="21">
        <f t="shared" si="25"/>
        <v>100</v>
      </c>
      <c r="BF56" s="25">
        <f t="shared" si="26"/>
        <v>23.12669891606396</v>
      </c>
      <c r="BG56" s="21">
        <f t="shared" si="27"/>
        <v>100.00000000000001</v>
      </c>
      <c r="BH56" s="25">
        <f t="shared" si="28"/>
        <v>22.714863071409386</v>
      </c>
    </row>
    <row r="57" spans="2:60" ht="12.75">
      <c r="B57" s="13" t="s">
        <v>44</v>
      </c>
      <c r="D57" s="13" t="s">
        <v>115</v>
      </c>
      <c r="E57" s="14">
        <v>100</v>
      </c>
      <c r="F57" s="25">
        <f t="shared" si="5"/>
        <v>7.957184962973564</v>
      </c>
      <c r="G57" s="14">
        <v>100</v>
      </c>
      <c r="H57" s="25">
        <f t="shared" si="6"/>
        <v>8.06509934516015</v>
      </c>
      <c r="I57" s="14">
        <v>100</v>
      </c>
      <c r="J57" s="25">
        <f t="shared" si="7"/>
        <v>8.228610809417889</v>
      </c>
      <c r="K57" s="14">
        <v>100</v>
      </c>
      <c r="L57" s="25">
        <f t="shared" si="8"/>
        <v>8.083631705850534</v>
      </c>
      <c r="M57" s="14">
        <v>100</v>
      </c>
      <c r="N57" s="25">
        <f t="shared" si="9"/>
        <v>0.11988127345532544</v>
      </c>
      <c r="O57" s="14">
        <v>100</v>
      </c>
      <c r="P57" s="25">
        <f t="shared" si="10"/>
        <v>0.11521570493085927</v>
      </c>
      <c r="Q57" s="14">
        <v>100</v>
      </c>
      <c r="R57" s="25">
        <f t="shared" si="11"/>
        <v>0.12907624799086884</v>
      </c>
      <c r="S57" s="14">
        <v>100</v>
      </c>
      <c r="T57" s="25">
        <f t="shared" si="12"/>
        <v>0.12139107545901784</v>
      </c>
      <c r="U57" s="14">
        <v>100</v>
      </c>
      <c r="V57" s="25">
        <f t="shared" si="13"/>
        <v>0.1842716517741247</v>
      </c>
      <c r="W57" s="14">
        <v>100</v>
      </c>
      <c r="X57" s="25">
        <f t="shared" si="14"/>
        <v>0.1843451278893748</v>
      </c>
      <c r="Y57" s="14">
        <v>100</v>
      </c>
      <c r="Z57" s="25">
        <f t="shared" si="15"/>
        <v>0.18931183038660762</v>
      </c>
      <c r="AA57" s="14">
        <v>100</v>
      </c>
      <c r="AB57" s="25">
        <f t="shared" si="0"/>
        <v>0.1859762033500357</v>
      </c>
      <c r="AC57" s="21">
        <f t="shared" si="1"/>
        <v>100</v>
      </c>
      <c r="AD57" s="25">
        <f t="shared" si="16"/>
        <v>8.261337888203014</v>
      </c>
      <c r="AE57" s="21">
        <f t="shared" si="2"/>
        <v>100</v>
      </c>
      <c r="AF57" s="25">
        <f t="shared" si="17"/>
        <v>8.364660177980383</v>
      </c>
      <c r="AG57" s="21">
        <f t="shared" si="3"/>
        <v>100.00000000000001</v>
      </c>
      <c r="AH57" s="25">
        <f t="shared" si="18"/>
        <v>8.546998887795365</v>
      </c>
      <c r="AI57" s="21">
        <f t="shared" si="4"/>
        <v>99.99999999999999</v>
      </c>
      <c r="AJ57" s="25">
        <f t="shared" si="19"/>
        <v>8.390998984659587</v>
      </c>
      <c r="BA57" s="21">
        <f t="shared" si="21"/>
        <v>100</v>
      </c>
      <c r="BB57" s="25">
        <f t="shared" si="22"/>
        <v>8.261337888203014</v>
      </c>
      <c r="BC57" s="21">
        <f t="shared" si="23"/>
        <v>100</v>
      </c>
      <c r="BD57" s="25">
        <f t="shared" si="24"/>
        <v>8.364660177980383</v>
      </c>
      <c r="BE57" s="21">
        <f t="shared" si="25"/>
        <v>100.00000000000001</v>
      </c>
      <c r="BF57" s="25">
        <f t="shared" si="26"/>
        <v>8.546998887795365</v>
      </c>
      <c r="BG57" s="21">
        <f t="shared" si="27"/>
        <v>99.99999999999999</v>
      </c>
      <c r="BH57" s="25">
        <f t="shared" si="28"/>
        <v>8.390998984659587</v>
      </c>
    </row>
    <row r="58" spans="2:60" ht="12.75">
      <c r="B58" s="13" t="s">
        <v>45</v>
      </c>
      <c r="D58" s="13" t="s">
        <v>115</v>
      </c>
      <c r="F58" s="25">
        <f t="shared" si="5"/>
        <v>358.59682234453237</v>
      </c>
      <c r="H58" s="25">
        <f t="shared" si="6"/>
        <v>301.1319560692912</v>
      </c>
      <c r="J58" s="25">
        <f t="shared" si="7"/>
        <v>338.8251509760307</v>
      </c>
      <c r="L58" s="25">
        <f t="shared" si="8"/>
        <v>332.8513097966181</v>
      </c>
      <c r="M58" s="14"/>
      <c r="N58" s="25"/>
      <c r="O58" s="14"/>
      <c r="P58" s="25"/>
      <c r="Q58" s="14"/>
      <c r="R58" s="25"/>
      <c r="S58" s="14"/>
      <c r="T58" s="25"/>
      <c r="U58" s="14"/>
      <c r="V58" s="25"/>
      <c r="W58" s="14"/>
      <c r="X58" s="25"/>
      <c r="Y58" s="14"/>
      <c r="Z58" s="25"/>
      <c r="AB58" s="25"/>
      <c r="AC58" s="21">
        <f t="shared" si="1"/>
        <v>0</v>
      </c>
      <c r="AD58" s="25">
        <f t="shared" si="16"/>
        <v>358.59682234453237</v>
      </c>
      <c r="AE58" s="21">
        <f t="shared" si="2"/>
        <v>0</v>
      </c>
      <c r="AF58" s="25">
        <f t="shared" si="17"/>
        <v>301.1319560692912</v>
      </c>
      <c r="AG58" s="21">
        <f t="shared" si="3"/>
        <v>0</v>
      </c>
      <c r="AH58" s="25">
        <f t="shared" si="18"/>
        <v>338.8251509760307</v>
      </c>
      <c r="AI58" s="21">
        <f t="shared" si="4"/>
        <v>0</v>
      </c>
      <c r="AJ58" s="25">
        <f>L58+T58/2+AB58/2</f>
        <v>332.8513097966181</v>
      </c>
      <c r="BA58" s="21">
        <f t="shared" si="21"/>
        <v>0</v>
      </c>
      <c r="BB58" s="25">
        <f t="shared" si="22"/>
        <v>358.59682234453237</v>
      </c>
      <c r="BC58" s="21">
        <f t="shared" si="23"/>
        <v>0</v>
      </c>
      <c r="BD58" s="25">
        <f t="shared" si="24"/>
        <v>301.1319560692912</v>
      </c>
      <c r="BE58" s="21">
        <f t="shared" si="25"/>
        <v>0</v>
      </c>
      <c r="BF58" s="25">
        <f t="shared" si="26"/>
        <v>338.8251509760307</v>
      </c>
      <c r="BG58" s="21">
        <f t="shared" si="27"/>
        <v>0</v>
      </c>
      <c r="BH58" s="25">
        <f t="shared" si="28"/>
        <v>332.8513097966181</v>
      </c>
    </row>
    <row r="59" spans="2:60" ht="12.75">
      <c r="B59" s="13" t="s">
        <v>46</v>
      </c>
      <c r="D59" s="13" t="s">
        <v>115</v>
      </c>
      <c r="E59" s="14">
        <v>100</v>
      </c>
      <c r="F59" s="25">
        <f t="shared" si="5"/>
        <v>18.1130657709793</v>
      </c>
      <c r="G59" s="14">
        <v>100</v>
      </c>
      <c r="H59" s="25">
        <f t="shared" si="6"/>
        <v>18.120288139126046</v>
      </c>
      <c r="I59" s="14">
        <v>100</v>
      </c>
      <c r="J59" s="25">
        <f t="shared" si="7"/>
        <v>18.60849241868359</v>
      </c>
      <c r="K59" s="14">
        <v>100</v>
      </c>
      <c r="L59" s="25">
        <f t="shared" si="8"/>
        <v>18.280615442929648</v>
      </c>
      <c r="M59" s="14"/>
      <c r="N59" s="25"/>
      <c r="O59" s="14"/>
      <c r="P59" s="25"/>
      <c r="Q59" s="14"/>
      <c r="R59" s="25"/>
      <c r="S59" s="14"/>
      <c r="T59" s="25"/>
      <c r="U59" s="14"/>
      <c r="V59" s="25"/>
      <c r="W59" s="14"/>
      <c r="X59" s="25"/>
      <c r="Y59" s="14"/>
      <c r="Z59" s="25"/>
      <c r="AB59" s="25"/>
      <c r="AC59" s="21">
        <f t="shared" si="1"/>
        <v>100</v>
      </c>
      <c r="AD59" s="25">
        <f t="shared" si="16"/>
        <v>18.1130657709793</v>
      </c>
      <c r="AE59" s="21">
        <f t="shared" si="2"/>
        <v>100</v>
      </c>
      <c r="AF59" s="25">
        <f t="shared" si="17"/>
        <v>18.120288139126046</v>
      </c>
      <c r="AG59" s="21">
        <f t="shared" si="3"/>
        <v>100</v>
      </c>
      <c r="AH59" s="25">
        <f t="shared" si="18"/>
        <v>18.60849241868359</v>
      </c>
      <c r="AI59" s="21">
        <f t="shared" si="4"/>
        <v>100</v>
      </c>
      <c r="AJ59" s="25">
        <f t="shared" si="19"/>
        <v>18.280615442929648</v>
      </c>
      <c r="BA59" s="21">
        <f t="shared" si="21"/>
        <v>100</v>
      </c>
      <c r="BB59" s="25">
        <f t="shared" si="22"/>
        <v>18.1130657709793</v>
      </c>
      <c r="BC59" s="21">
        <f t="shared" si="23"/>
        <v>100</v>
      </c>
      <c r="BD59" s="25">
        <f t="shared" si="24"/>
        <v>18.120288139126046</v>
      </c>
      <c r="BE59" s="21">
        <f t="shared" si="25"/>
        <v>100</v>
      </c>
      <c r="BF59" s="25">
        <f t="shared" si="26"/>
        <v>18.60849241868359</v>
      </c>
      <c r="BG59" s="21">
        <f t="shared" si="27"/>
        <v>100</v>
      </c>
      <c r="BH59" s="25">
        <f t="shared" si="28"/>
        <v>18.280615442929648</v>
      </c>
    </row>
    <row r="60" spans="2:60" ht="12.75">
      <c r="B60" s="13" t="s">
        <v>47</v>
      </c>
      <c r="D60" s="13" t="s">
        <v>115</v>
      </c>
      <c r="E60" s="14">
        <v>100</v>
      </c>
      <c r="F60" s="25">
        <f t="shared" si="5"/>
        <v>12.66867605947107</v>
      </c>
      <c r="G60" s="14">
        <v>100</v>
      </c>
      <c r="H60" s="25">
        <f t="shared" si="6"/>
        <v>12.778469092331664</v>
      </c>
      <c r="I60" s="14">
        <v>100</v>
      </c>
      <c r="J60" s="25">
        <f t="shared" si="7"/>
        <v>13.06897010907547</v>
      </c>
      <c r="K60" s="14">
        <v>100</v>
      </c>
      <c r="L60" s="25">
        <f t="shared" si="8"/>
        <v>12.8387050869594</v>
      </c>
      <c r="M60" s="14">
        <v>100</v>
      </c>
      <c r="N60" s="25">
        <f>N41*454/N$44/60/0.0283*1000000*(21-7)/(21-N$45)</f>
        <v>0.0848068397369551</v>
      </c>
      <c r="O60" s="14">
        <v>100</v>
      </c>
      <c r="P60" s="25">
        <f>P41*454/P$44/60/0.0283*1000000*(21-7)/(21-P$45)</f>
        <v>0.08641177869814444</v>
      </c>
      <c r="Q60" s="14">
        <v>100</v>
      </c>
      <c r="R60" s="25">
        <f>R41*454/R$44/60/0.0283*1000000*(21-7)/(21-R$45)</f>
        <v>0.09680718599315162</v>
      </c>
      <c r="S60" s="14">
        <v>100</v>
      </c>
      <c r="T60" s="25">
        <f t="shared" si="12"/>
        <v>0.08934193480941706</v>
      </c>
      <c r="U60" s="14">
        <v>100</v>
      </c>
      <c r="V60" s="25">
        <f>V41*454/V$44/60/0.0283*1000000*(21-7)/(21-V$45)</f>
        <v>1.4500922596997876</v>
      </c>
      <c r="W60" s="14">
        <v>100</v>
      </c>
      <c r="X60" s="25">
        <f>X41*454/X$44/60/0.0283*1000000*(21-7)/(21-X$45)</f>
        <v>1.450670466629455</v>
      </c>
      <c r="Y60" s="14">
        <v>100</v>
      </c>
      <c r="Z60" s="25">
        <f>Z41*454/Z$44/60/0.0283*1000000*(21-7)/(21-Z$45)</f>
        <v>1.489755028894611</v>
      </c>
      <c r="AB60" s="25">
        <f>AVERAGE(V60,X60,Z60)</f>
        <v>1.463505918407951</v>
      </c>
      <c r="AC60" s="21">
        <f t="shared" si="1"/>
        <v>100</v>
      </c>
      <c r="AD60" s="25">
        <f t="shared" si="16"/>
        <v>14.203575158907814</v>
      </c>
      <c r="AE60" s="21">
        <f t="shared" si="2"/>
        <v>100.00000000000001</v>
      </c>
      <c r="AF60" s="25">
        <f t="shared" si="17"/>
        <v>14.315551337659263</v>
      </c>
      <c r="AG60" s="21">
        <f t="shared" si="3"/>
        <v>100</v>
      </c>
      <c r="AH60" s="25">
        <f t="shared" si="18"/>
        <v>14.655532323963234</v>
      </c>
      <c r="AI60" s="21">
        <f t="shared" si="4"/>
        <v>89.83079918830514</v>
      </c>
      <c r="AJ60" s="25">
        <f t="shared" si="19"/>
        <v>14.391552940176771</v>
      </c>
      <c r="BA60" s="21">
        <f t="shared" si="21"/>
        <v>100</v>
      </c>
      <c r="BB60" s="25">
        <f t="shared" si="22"/>
        <v>14.203575158907814</v>
      </c>
      <c r="BC60" s="21">
        <f t="shared" si="23"/>
        <v>100.00000000000001</v>
      </c>
      <c r="BD60" s="25">
        <f t="shared" si="24"/>
        <v>14.315551337659263</v>
      </c>
      <c r="BE60" s="21">
        <f t="shared" si="25"/>
        <v>100</v>
      </c>
      <c r="BF60" s="25">
        <f t="shared" si="26"/>
        <v>14.655532323963234</v>
      </c>
      <c r="BG60" s="21">
        <f t="shared" si="27"/>
        <v>89.83079918830514</v>
      </c>
      <c r="BH60" s="25">
        <f t="shared" si="28"/>
        <v>14.391552940176771</v>
      </c>
    </row>
    <row r="61" spans="2:60" ht="12.75">
      <c r="B61" s="13" t="s">
        <v>48</v>
      </c>
      <c r="D61" s="13" t="s">
        <v>115</v>
      </c>
      <c r="E61" s="14">
        <v>100</v>
      </c>
      <c r="F61" s="25">
        <f t="shared" si="5"/>
        <v>22.458107559971445</v>
      </c>
      <c r="G61" s="14">
        <v>100</v>
      </c>
      <c r="H61" s="25">
        <f t="shared" si="6"/>
        <v>22.781287111328986</v>
      </c>
      <c r="I61" s="14">
        <v>100</v>
      </c>
      <c r="J61" s="25">
        <f t="shared" si="7"/>
        <v>23.233724638356392</v>
      </c>
      <c r="K61" s="14">
        <v>100</v>
      </c>
      <c r="L61" s="25">
        <f t="shared" si="8"/>
        <v>22.824373103218942</v>
      </c>
      <c r="M61" s="14">
        <v>100</v>
      </c>
      <c r="N61" s="25">
        <f>N42*454/N$44/60/0.0283*1000000*(21-7)/(21-N$45)</f>
        <v>0.2821659667791285</v>
      </c>
      <c r="O61" s="14">
        <v>100</v>
      </c>
      <c r="P61" s="25">
        <f>P42*454/P$44/60/0.0283*1000000*(21-7)/(21-P$45)</f>
        <v>0.2864681390780909</v>
      </c>
      <c r="Q61" s="14">
        <v>100</v>
      </c>
      <c r="R61" s="25">
        <f>R42*454/R$44/60/0.0283*1000000*(21-7)/(21-R$45)</f>
        <v>0.32161498457724824</v>
      </c>
      <c r="S61" s="14">
        <v>100</v>
      </c>
      <c r="T61" s="25">
        <f t="shared" si="12"/>
        <v>0.29674969681148916</v>
      </c>
      <c r="U61" s="14">
        <v>100</v>
      </c>
      <c r="V61" s="25">
        <f>V42*454/V$44/60/0.0283*1000000*(21-7)/(21-V$45)</f>
        <v>1.5495570717369578</v>
      </c>
      <c r="W61" s="14">
        <v>100</v>
      </c>
      <c r="X61" s="25">
        <f>X42*454/X$44/60/0.0283*1000000*(21-7)/(21-X$45)</f>
        <v>1.5501749390697428</v>
      </c>
      <c r="Y61" s="14">
        <v>100</v>
      </c>
      <c r="Z61" s="25">
        <f>Z42*454/Z$44/60/0.0283*1000000*(21-7)/(21-Z$45)</f>
        <v>1.5919403918873827</v>
      </c>
      <c r="AB61" s="25">
        <f>AVERAGE(V61,X61,Z61)</f>
        <v>1.5638908008980277</v>
      </c>
      <c r="AC61" s="21">
        <f t="shared" si="1"/>
        <v>100</v>
      </c>
      <c r="AD61" s="25">
        <f t="shared" si="16"/>
        <v>24.289830598487534</v>
      </c>
      <c r="AE61" s="21">
        <f t="shared" si="2"/>
        <v>100</v>
      </c>
      <c r="AF61" s="25">
        <f t="shared" si="17"/>
        <v>24.61793018947682</v>
      </c>
      <c r="AG61" s="21">
        <f t="shared" si="3"/>
        <v>100</v>
      </c>
      <c r="AH61" s="25">
        <f t="shared" si="18"/>
        <v>25.147280014821025</v>
      </c>
      <c r="AI61" s="21">
        <f t="shared" si="4"/>
        <v>93.66461438433558</v>
      </c>
      <c r="AJ61" s="25">
        <f t="shared" si="19"/>
        <v>24.685013600928457</v>
      </c>
      <c r="BA61" s="21">
        <f t="shared" si="21"/>
        <v>100</v>
      </c>
      <c r="BB61" s="25">
        <f t="shared" si="22"/>
        <v>24.289830598487534</v>
      </c>
      <c r="BC61" s="21">
        <f t="shared" si="23"/>
        <v>100</v>
      </c>
      <c r="BD61" s="25">
        <f t="shared" si="24"/>
        <v>24.61793018947682</v>
      </c>
      <c r="BE61" s="21">
        <f t="shared" si="25"/>
        <v>100</v>
      </c>
      <c r="BF61" s="25">
        <f t="shared" si="26"/>
        <v>25.147280014821025</v>
      </c>
      <c r="BG61" s="21">
        <f t="shared" si="27"/>
        <v>93.66461438433558</v>
      </c>
      <c r="BH61" s="25">
        <f t="shared" si="28"/>
        <v>24.685013600928457</v>
      </c>
    </row>
    <row r="62" spans="6:60" ht="12.75">
      <c r="F62" s="25"/>
      <c r="H62" s="25"/>
      <c r="J62" s="25"/>
      <c r="L62" s="25"/>
      <c r="M62" s="14"/>
      <c r="N62" s="25"/>
      <c r="O62" s="14"/>
      <c r="P62" s="25"/>
      <c r="Q62" s="14"/>
      <c r="R62" s="25"/>
      <c r="S62" s="25"/>
      <c r="T62" s="18"/>
      <c r="U62" s="14"/>
      <c r="V62" s="25"/>
      <c r="W62" s="14"/>
      <c r="X62" s="25"/>
      <c r="Y62" s="14"/>
      <c r="Z62" s="25"/>
      <c r="AB62" s="25"/>
      <c r="AD62" s="25"/>
      <c r="AF62" s="25"/>
      <c r="AH62" s="25"/>
      <c r="AJ62" s="25"/>
      <c r="BA62" s="21"/>
      <c r="BB62" s="25"/>
      <c r="BC62" s="21"/>
      <c r="BD62" s="25"/>
      <c r="BE62" s="21"/>
      <c r="BF62" s="25"/>
      <c r="BG62" s="21"/>
      <c r="BH62" s="25"/>
    </row>
    <row r="63" spans="2:60" ht="12.75">
      <c r="B63" s="13" t="s">
        <v>116</v>
      </c>
      <c r="D63" s="13" t="s">
        <v>115</v>
      </c>
      <c r="F63" s="25">
        <f>(F56+F54)</f>
        <v>30.467642424017207</v>
      </c>
      <c r="H63" s="25">
        <f>(H56+H54)</f>
        <v>30.74164490655199</v>
      </c>
      <c r="J63" s="25">
        <f>(J56+J54)</f>
        <v>31.408553677778084</v>
      </c>
      <c r="L63" s="25">
        <f>AVERAGE(F63,H63,J63)</f>
        <v>30.872613669449095</v>
      </c>
      <c r="M63" s="14"/>
      <c r="N63" s="25">
        <f>(N56+N54)</f>
        <v>0.31043491335811346</v>
      </c>
      <c r="O63" s="14"/>
      <c r="P63" s="25">
        <f>(P56+P54)</f>
        <v>0.3152720653108058</v>
      </c>
      <c r="Q63" s="14"/>
      <c r="R63" s="25">
        <f>(R56+R54)</f>
        <v>0.3296822500766775</v>
      </c>
      <c r="S63" s="25"/>
      <c r="T63" s="25">
        <f>AVERAGE(N63,P63,R63)</f>
        <v>0.31846307624853226</v>
      </c>
      <c r="U63" s="14"/>
      <c r="V63" s="25">
        <f>(V56+V54)</f>
        <v>1.0326017986490366</v>
      </c>
      <c r="W63" s="14"/>
      <c r="X63" s="25">
        <f>(X56+X54)</f>
        <v>1.0330135362550903</v>
      </c>
      <c r="Y63" s="14"/>
      <c r="Z63" s="25">
        <f>(Z56+Z54)</f>
        <v>1.0608454131749534</v>
      </c>
      <c r="AB63" s="25">
        <f>(AB56+AB54)/2</f>
        <v>0.5210767913465134</v>
      </c>
      <c r="AC63" s="21">
        <f>(AC56*AD56+AC54*AD54)/AD63</f>
        <v>100</v>
      </c>
      <c r="AD63" s="25">
        <f>(AD56+AD54)</f>
        <v>31.810679136024355</v>
      </c>
      <c r="AE63" s="21">
        <f>(AE56*AF56+AE54*AF54)/AF63</f>
        <v>100</v>
      </c>
      <c r="AF63" s="25">
        <f>(AF56+AF54)</f>
        <v>32.08993050811789</v>
      </c>
      <c r="AG63" s="21">
        <f>(AG56*AH56+AG54*AH54)/AH63</f>
        <v>99.99999999999999</v>
      </c>
      <c r="AH63" s="25">
        <f>(AH56+AH54)</f>
        <v>32.79908134102972</v>
      </c>
      <c r="AI63" s="21">
        <f>(AI56*AJ56+AI54*AJ54)/AJ63</f>
        <v>100.00000000000003</v>
      </c>
      <c r="AJ63" s="25">
        <f>(AJ56+AJ54)</f>
        <v>32.23323032839065</v>
      </c>
      <c r="BA63" s="21">
        <f t="shared" si="21"/>
        <v>100</v>
      </c>
      <c r="BB63" s="25">
        <f t="shared" si="22"/>
        <v>31.810679136024355</v>
      </c>
      <c r="BC63" s="21">
        <f aca="true" t="shared" si="29" ref="BC63:BH64">AE63</f>
        <v>100</v>
      </c>
      <c r="BD63" s="25">
        <f t="shared" si="29"/>
        <v>32.08993050811789</v>
      </c>
      <c r="BE63" s="21">
        <f t="shared" si="29"/>
        <v>99.99999999999999</v>
      </c>
      <c r="BF63" s="25">
        <f t="shared" si="29"/>
        <v>32.79908134102972</v>
      </c>
      <c r="BG63" s="21">
        <f t="shared" si="29"/>
        <v>100.00000000000003</v>
      </c>
      <c r="BH63" s="25">
        <f t="shared" si="29"/>
        <v>32.23323032839065</v>
      </c>
    </row>
    <row r="64" spans="2:60" ht="12.75">
      <c r="B64" s="13" t="s">
        <v>117</v>
      </c>
      <c r="D64" s="13" t="s">
        <v>115</v>
      </c>
      <c r="F64" s="25">
        <f>(F51+F53+F55)</f>
        <v>29.630044006862093</v>
      </c>
      <c r="H64" s="25">
        <f>(H51+H53+H55)</f>
        <v>30.113195606929125</v>
      </c>
      <c r="J64" s="25">
        <f>(J51+J53+J55)</f>
        <v>30.601827127835158</v>
      </c>
      <c r="L64" s="25">
        <f>AVERAGE(F64,H64,J64)</f>
        <v>30.11502224720879</v>
      </c>
      <c r="M64" s="14"/>
      <c r="N64" s="25">
        <f>(N51+N53+N55)</f>
        <v>0.48318958689635527</v>
      </c>
      <c r="O64" s="14"/>
      <c r="P64" s="25">
        <f>(P51+P53+P55)</f>
        <v>0.4901904537058376</v>
      </c>
      <c r="Q64" s="14"/>
      <c r="R64" s="25">
        <f>(R51+R53+R55)</f>
        <v>0.40196494895156404</v>
      </c>
      <c r="S64" s="25"/>
      <c r="T64" s="25">
        <f>AVERAGE(N64,P64,R64)</f>
        <v>0.4584483298512523</v>
      </c>
      <c r="U64" s="14"/>
      <c r="V64" s="25">
        <f>(V51+V53+V55)</f>
        <v>0.4603650300288784</v>
      </c>
      <c r="W64" s="14"/>
      <c r="X64" s="25">
        <f>(X51+X53+X55)</f>
        <v>0.46107230282331124</v>
      </c>
      <c r="Y64" s="14"/>
      <c r="Z64" s="25">
        <f>(Z51+Z53+Z55)</f>
        <v>0.47349470304650376</v>
      </c>
      <c r="AB64" s="25">
        <f>(AB51+AB53+AB55)/2</f>
        <v>0.23248867264978224</v>
      </c>
      <c r="AC64" s="21">
        <f>(AC51*AD51+AC53*AD53+AC55*AD55)/AD64</f>
        <v>100</v>
      </c>
      <c r="AD64" s="25">
        <f>(AD51+AD53+AD55)</f>
        <v>30.573598623787326</v>
      </c>
      <c r="AE64" s="21">
        <f>(AE51*AF51+AE53*AF53+AE55*AF55)/AF64</f>
        <v>100</v>
      </c>
      <c r="AF64" s="25">
        <f>(AF51+AF53+AF55)</f>
        <v>31.06445836345827</v>
      </c>
      <c r="AG64" s="21">
        <f>(AG51*AH51+AG53*AH53+AG55*AH55)/AH64</f>
        <v>100</v>
      </c>
      <c r="AH64" s="25">
        <f>(AH51+AH53+AH55)</f>
        <v>31.477286779833225</v>
      </c>
      <c r="AI64" s="21">
        <f>(AI51*AJ51+AI53*AJ53+AI55*AJ55)/AJ64</f>
        <v>100</v>
      </c>
      <c r="AJ64" s="25">
        <f>(AJ51+AJ53+AJ55)</f>
        <v>31.03844792235961</v>
      </c>
      <c r="BA64" s="21">
        <f t="shared" si="21"/>
        <v>100</v>
      </c>
      <c r="BB64" s="25">
        <f t="shared" si="22"/>
        <v>30.573598623787326</v>
      </c>
      <c r="BC64" s="21">
        <f t="shared" si="29"/>
        <v>100</v>
      </c>
      <c r="BD64" s="25">
        <f t="shared" si="29"/>
        <v>31.06445836345827</v>
      </c>
      <c r="BE64" s="21">
        <f t="shared" si="29"/>
        <v>100</v>
      </c>
      <c r="BF64" s="25">
        <f t="shared" si="29"/>
        <v>31.477286779833225</v>
      </c>
      <c r="BG64" s="21">
        <f t="shared" si="29"/>
        <v>100</v>
      </c>
      <c r="BH64" s="25">
        <f t="shared" si="29"/>
        <v>31.03844792235961</v>
      </c>
    </row>
    <row r="65" spans="6:19" ht="12.75">
      <c r="F65" s="23"/>
      <c r="H65" s="23"/>
      <c r="J65" s="23"/>
      <c r="L65" s="23"/>
      <c r="M65" s="23"/>
      <c r="N65" s="23"/>
      <c r="O65" s="23"/>
      <c r="P65" s="23"/>
      <c r="Q65" s="23"/>
      <c r="R65" s="23"/>
      <c r="S65" s="23"/>
    </row>
    <row r="66" spans="2:28" ht="12.75">
      <c r="B66" s="17"/>
      <c r="C66" s="17"/>
      <c r="F66" s="23"/>
      <c r="H66" s="23"/>
      <c r="J66" s="23"/>
      <c r="L66" s="23"/>
      <c r="M66" s="23"/>
      <c r="N66" s="23"/>
      <c r="O66" s="14"/>
      <c r="P66" s="23"/>
      <c r="Q66" s="14"/>
      <c r="R66" s="23"/>
      <c r="S66" s="14"/>
      <c r="T66" s="23"/>
      <c r="V66" s="23"/>
      <c r="W66" s="14"/>
      <c r="X66" s="23"/>
      <c r="Y66" s="14"/>
      <c r="Z66" s="23"/>
      <c r="AA66" s="14"/>
      <c r="AB66" s="23"/>
    </row>
    <row r="67" spans="6:19" ht="12.75">
      <c r="F67" s="23"/>
      <c r="H67" s="23"/>
      <c r="J67" s="23"/>
      <c r="L67" s="23"/>
      <c r="M67" s="23"/>
      <c r="N67" s="23"/>
      <c r="O67" s="23"/>
      <c r="P67" s="23"/>
      <c r="Q67" s="23"/>
      <c r="R67" s="23"/>
      <c r="S67" s="23"/>
    </row>
    <row r="68" spans="12:19" ht="12.75">
      <c r="L68" s="18"/>
      <c r="M68" s="18"/>
      <c r="N68" s="18"/>
      <c r="O68" s="18"/>
      <c r="P68" s="18"/>
      <c r="Q68" s="18"/>
      <c r="R68" s="18"/>
      <c r="S68" s="18"/>
    </row>
    <row r="69" spans="6:19" ht="12.75">
      <c r="F69" s="23"/>
      <c r="H69" s="23"/>
      <c r="J69" s="23"/>
      <c r="L69" s="34"/>
      <c r="M69" s="34"/>
      <c r="N69" s="34"/>
      <c r="O69" s="34"/>
      <c r="P69" s="34"/>
      <c r="Q69" s="34"/>
      <c r="R69" s="34"/>
      <c r="S69" s="34"/>
    </row>
    <row r="70" spans="6:19" ht="12.75">
      <c r="F70" s="23"/>
      <c r="H70" s="23"/>
      <c r="J70" s="23"/>
      <c r="L70" s="34"/>
      <c r="M70" s="34"/>
      <c r="N70" s="34"/>
      <c r="O70" s="34"/>
      <c r="P70" s="34"/>
      <c r="Q70" s="34"/>
      <c r="R70" s="34"/>
      <c r="S70" s="34"/>
    </row>
    <row r="71" spans="6:19" ht="12.75">
      <c r="F71" s="23"/>
      <c r="H71" s="23"/>
      <c r="J71" s="23"/>
      <c r="L71" s="34"/>
      <c r="M71" s="34"/>
      <c r="N71" s="34"/>
      <c r="O71" s="34"/>
      <c r="P71" s="34"/>
      <c r="Q71" s="34"/>
      <c r="R71" s="34"/>
      <c r="S71" s="34"/>
    </row>
    <row r="72" spans="6:19" ht="12.75">
      <c r="F72" s="23"/>
      <c r="H72" s="23"/>
      <c r="J72" s="23"/>
      <c r="L72" s="34"/>
      <c r="M72" s="34"/>
      <c r="N72" s="34"/>
      <c r="O72" s="34"/>
      <c r="P72" s="34"/>
      <c r="Q72" s="34"/>
      <c r="R72" s="34"/>
      <c r="S72" s="34"/>
    </row>
    <row r="73" spans="6:19" ht="12.75">
      <c r="F73" s="23"/>
      <c r="H73" s="23"/>
      <c r="J73" s="23"/>
      <c r="L73" s="34"/>
      <c r="M73" s="34"/>
      <c r="N73" s="34"/>
      <c r="O73" s="34"/>
      <c r="P73" s="34"/>
      <c r="Q73" s="34"/>
      <c r="R73" s="34"/>
      <c r="S73" s="34"/>
    </row>
    <row r="74" spans="6:19" ht="12.75">
      <c r="F74" s="23"/>
      <c r="H74" s="23"/>
      <c r="J74" s="23"/>
      <c r="L74" s="34"/>
      <c r="M74" s="34"/>
      <c r="N74" s="34"/>
      <c r="O74" s="34"/>
      <c r="P74" s="34"/>
      <c r="Q74" s="34"/>
      <c r="R74" s="34"/>
      <c r="S74" s="34"/>
    </row>
    <row r="75" spans="6:19" ht="12.75">
      <c r="F75" s="23"/>
      <c r="H75" s="23"/>
      <c r="J75" s="23"/>
      <c r="L75" s="34"/>
      <c r="M75" s="34"/>
      <c r="N75" s="34"/>
      <c r="O75" s="34"/>
      <c r="P75" s="34"/>
      <c r="Q75" s="34"/>
      <c r="R75" s="34"/>
      <c r="S75" s="34"/>
    </row>
    <row r="76" spans="6:19" ht="12.75">
      <c r="F76" s="23"/>
      <c r="H76" s="23"/>
      <c r="J76" s="23"/>
      <c r="L76" s="34"/>
      <c r="M76" s="34"/>
      <c r="N76" s="34"/>
      <c r="O76" s="34"/>
      <c r="P76" s="34"/>
      <c r="Q76" s="34"/>
      <c r="R76" s="34"/>
      <c r="S76" s="34"/>
    </row>
    <row r="77" spans="6:19" ht="12.75">
      <c r="F77" s="23"/>
      <c r="H77" s="23"/>
      <c r="J77" s="23"/>
      <c r="L77" s="34"/>
      <c r="M77" s="34"/>
      <c r="N77" s="34"/>
      <c r="O77" s="34"/>
      <c r="P77" s="34"/>
      <c r="Q77" s="34"/>
      <c r="R77" s="34"/>
      <c r="S77" s="34"/>
    </row>
    <row r="78" spans="6:19" ht="12.75">
      <c r="F78" s="23"/>
      <c r="H78" s="23"/>
      <c r="J78" s="23"/>
      <c r="L78" s="34"/>
      <c r="M78" s="34"/>
      <c r="N78" s="34"/>
      <c r="O78" s="34"/>
      <c r="P78" s="34"/>
      <c r="Q78" s="34"/>
      <c r="R78" s="34"/>
      <c r="S78" s="34"/>
    </row>
    <row r="79" spans="6:19" ht="12.75">
      <c r="F79" s="23"/>
      <c r="H79" s="23"/>
      <c r="J79" s="23"/>
      <c r="L79" s="34"/>
      <c r="M79" s="34"/>
      <c r="N79" s="34"/>
      <c r="O79" s="34"/>
      <c r="P79" s="34"/>
      <c r="Q79" s="34"/>
      <c r="R79" s="34"/>
      <c r="S79" s="34"/>
    </row>
    <row r="80" spans="6:19" ht="12.75">
      <c r="F80" s="23"/>
      <c r="H80" s="23"/>
      <c r="J80" s="23"/>
      <c r="L80" s="34"/>
      <c r="M80" s="34"/>
      <c r="N80" s="34"/>
      <c r="O80" s="34"/>
      <c r="P80" s="34"/>
      <c r="Q80" s="34"/>
      <c r="R80" s="34"/>
      <c r="S80" s="34"/>
    </row>
    <row r="81" spans="6:19" ht="12.75">
      <c r="F81" s="23"/>
      <c r="H81" s="23"/>
      <c r="J81" s="23"/>
      <c r="L81" s="34"/>
      <c r="M81" s="34"/>
      <c r="N81" s="34"/>
      <c r="O81" s="34"/>
      <c r="P81" s="34"/>
      <c r="Q81" s="34"/>
      <c r="R81" s="34"/>
      <c r="S81" s="34"/>
    </row>
    <row r="84" spans="8:19" ht="12.75">
      <c r="H84" s="18"/>
      <c r="I84" s="27"/>
      <c r="L84" s="25"/>
      <c r="M84" s="25"/>
      <c r="N84" s="25"/>
      <c r="O84" s="25"/>
      <c r="P84" s="25"/>
      <c r="Q84" s="25"/>
      <c r="R84" s="25"/>
      <c r="S84" s="25"/>
    </row>
    <row r="85" spans="8:19" ht="12.75">
      <c r="H85" s="18"/>
      <c r="I85" s="27"/>
      <c r="L85" s="18"/>
      <c r="M85" s="18"/>
      <c r="N85" s="18"/>
      <c r="O85" s="18"/>
      <c r="P85" s="18"/>
      <c r="Q85" s="18"/>
      <c r="R85" s="18"/>
      <c r="S85" s="18"/>
    </row>
    <row r="86" spans="2:19" ht="12.75">
      <c r="B86" s="37"/>
      <c r="C86" s="37"/>
      <c r="H86" s="18"/>
      <c r="I86" s="27"/>
      <c r="L86" s="18"/>
      <c r="M86" s="18"/>
      <c r="N86" s="18"/>
      <c r="O86" s="18"/>
      <c r="P86" s="18"/>
      <c r="Q86" s="18"/>
      <c r="R86" s="18"/>
      <c r="S86" s="18"/>
    </row>
    <row r="87" spans="6:52" ht="12.75">
      <c r="F87" s="25"/>
      <c r="G87" s="28"/>
      <c r="H87" s="25"/>
      <c r="I87" s="28"/>
      <c r="J87" s="25"/>
      <c r="K87" s="28"/>
      <c r="L87" s="25"/>
      <c r="M87" s="25"/>
      <c r="N87" s="25"/>
      <c r="O87" s="25"/>
      <c r="P87" s="25"/>
      <c r="Q87" s="25"/>
      <c r="R87" s="25"/>
      <c r="S87" s="25"/>
      <c r="AZ87" s="25"/>
    </row>
    <row r="88" spans="6:52" ht="12.75">
      <c r="F88" s="25"/>
      <c r="G88" s="28"/>
      <c r="H88" s="25"/>
      <c r="I88" s="28"/>
      <c r="J88" s="25"/>
      <c r="K88" s="28"/>
      <c r="L88" s="25"/>
      <c r="M88" s="25"/>
      <c r="N88" s="25"/>
      <c r="O88" s="25"/>
      <c r="P88" s="25"/>
      <c r="Q88" s="25"/>
      <c r="R88" s="25"/>
      <c r="S88" s="25"/>
      <c r="AZ88" s="25"/>
    </row>
    <row r="89" spans="6:52" ht="12.75">
      <c r="F89" s="25"/>
      <c r="G89" s="28"/>
      <c r="H89" s="25"/>
      <c r="I89" s="28"/>
      <c r="J89" s="25"/>
      <c r="K89" s="28"/>
      <c r="L89" s="25"/>
      <c r="M89" s="25"/>
      <c r="N89" s="25"/>
      <c r="O89" s="25"/>
      <c r="P89" s="25"/>
      <c r="Q89" s="25"/>
      <c r="R89" s="25"/>
      <c r="S89" s="25"/>
      <c r="AZ89" s="25"/>
    </row>
    <row r="90" spans="6:52" ht="12.75">
      <c r="F90" s="25"/>
      <c r="G90" s="28"/>
      <c r="H90" s="25"/>
      <c r="I90" s="28"/>
      <c r="J90" s="25"/>
      <c r="K90" s="28"/>
      <c r="L90" s="25"/>
      <c r="M90" s="25"/>
      <c r="N90" s="25"/>
      <c r="O90" s="25"/>
      <c r="P90" s="25"/>
      <c r="Q90" s="25"/>
      <c r="R90" s="25"/>
      <c r="S90" s="25"/>
      <c r="AZ90" s="25"/>
    </row>
    <row r="91" spans="6:52" ht="12.75">
      <c r="F91" s="25"/>
      <c r="G91" s="28"/>
      <c r="H91" s="25"/>
      <c r="I91" s="28"/>
      <c r="J91" s="25"/>
      <c r="K91" s="28"/>
      <c r="L91" s="25"/>
      <c r="M91" s="25"/>
      <c r="N91" s="25"/>
      <c r="O91" s="25"/>
      <c r="P91" s="25"/>
      <c r="Q91" s="25"/>
      <c r="R91" s="25"/>
      <c r="S91" s="25"/>
      <c r="AZ91" s="25"/>
    </row>
    <row r="92" spans="6:52" ht="12.75">
      <c r="F92" s="25"/>
      <c r="G92" s="28"/>
      <c r="H92" s="25"/>
      <c r="I92" s="28"/>
      <c r="J92" s="25"/>
      <c r="K92" s="28"/>
      <c r="L92" s="25"/>
      <c r="M92" s="25"/>
      <c r="N92" s="25"/>
      <c r="O92" s="25"/>
      <c r="P92" s="25"/>
      <c r="Q92" s="25"/>
      <c r="R92" s="25"/>
      <c r="S92" s="25"/>
      <c r="AZ92" s="25"/>
    </row>
    <row r="93" spans="6:52" ht="12.75">
      <c r="F93" s="25"/>
      <c r="G93" s="28"/>
      <c r="H93" s="25"/>
      <c r="I93" s="28"/>
      <c r="J93" s="25"/>
      <c r="K93" s="28"/>
      <c r="L93" s="25"/>
      <c r="M93" s="25"/>
      <c r="N93" s="25"/>
      <c r="O93" s="25"/>
      <c r="P93" s="25"/>
      <c r="Q93" s="25"/>
      <c r="R93" s="25"/>
      <c r="S93" s="25"/>
      <c r="AZ93" s="25"/>
    </row>
    <row r="94" spans="6:52" ht="12.75">
      <c r="F94" s="25"/>
      <c r="G94" s="28"/>
      <c r="H94" s="25"/>
      <c r="I94" s="28"/>
      <c r="J94" s="25"/>
      <c r="K94" s="28"/>
      <c r="L94" s="25"/>
      <c r="M94" s="25"/>
      <c r="N94" s="25"/>
      <c r="O94" s="25"/>
      <c r="P94" s="25"/>
      <c r="Q94" s="25"/>
      <c r="R94" s="25"/>
      <c r="S94" s="25"/>
      <c r="AZ94" s="25"/>
    </row>
    <row r="95" spans="6:52" ht="12.75">
      <c r="F95" s="25"/>
      <c r="G95" s="28"/>
      <c r="H95" s="25"/>
      <c r="I95" s="28"/>
      <c r="J95" s="25"/>
      <c r="K95" s="28"/>
      <c r="L95" s="25"/>
      <c r="M95" s="25"/>
      <c r="N95" s="25"/>
      <c r="O95" s="25"/>
      <c r="P95" s="25"/>
      <c r="Q95" s="25"/>
      <c r="R95" s="25"/>
      <c r="S95" s="25"/>
      <c r="AZ95" s="25"/>
    </row>
    <row r="96" spans="6:52" ht="12.75">
      <c r="F96" s="25"/>
      <c r="G96" s="28"/>
      <c r="H96" s="25"/>
      <c r="I96" s="28"/>
      <c r="J96" s="25"/>
      <c r="K96" s="28"/>
      <c r="L96" s="25"/>
      <c r="M96" s="25"/>
      <c r="N96" s="25"/>
      <c r="O96" s="25"/>
      <c r="P96" s="25"/>
      <c r="Q96" s="25"/>
      <c r="R96" s="25"/>
      <c r="S96" s="25"/>
      <c r="AZ96" s="25"/>
    </row>
    <row r="97" spans="6:52" ht="12.75">
      <c r="F97" s="25"/>
      <c r="G97" s="28"/>
      <c r="H97" s="25"/>
      <c r="I97" s="28"/>
      <c r="J97" s="25"/>
      <c r="K97" s="28"/>
      <c r="L97" s="25"/>
      <c r="M97" s="25"/>
      <c r="N97" s="25"/>
      <c r="O97" s="25"/>
      <c r="P97" s="25"/>
      <c r="Q97" s="25"/>
      <c r="R97" s="25"/>
      <c r="S97" s="25"/>
      <c r="AZ97" s="25"/>
    </row>
    <row r="98" spans="6:52" ht="12.75">
      <c r="F98" s="25"/>
      <c r="G98" s="28"/>
      <c r="H98" s="25"/>
      <c r="I98" s="28"/>
      <c r="J98" s="25"/>
      <c r="K98" s="28"/>
      <c r="L98" s="25"/>
      <c r="M98" s="25"/>
      <c r="N98" s="25"/>
      <c r="O98" s="25"/>
      <c r="P98" s="25"/>
      <c r="Q98" s="25"/>
      <c r="R98" s="25"/>
      <c r="S98" s="25"/>
      <c r="AZ98" s="25"/>
    </row>
    <row r="99" spans="6:52" ht="12.75">
      <c r="F99" s="25"/>
      <c r="G99" s="28"/>
      <c r="H99" s="25"/>
      <c r="I99" s="28"/>
      <c r="J99" s="25"/>
      <c r="K99" s="28"/>
      <c r="L99" s="25"/>
      <c r="M99" s="25"/>
      <c r="N99" s="25"/>
      <c r="O99" s="25"/>
      <c r="P99" s="25"/>
      <c r="Q99" s="25"/>
      <c r="R99" s="25"/>
      <c r="S99" s="25"/>
      <c r="AZ99" s="25"/>
    </row>
    <row r="100" spans="6:52" ht="12.75">
      <c r="F100" s="25"/>
      <c r="G100" s="28"/>
      <c r="H100" s="25"/>
      <c r="I100" s="28"/>
      <c r="J100" s="25"/>
      <c r="K100" s="28"/>
      <c r="L100" s="25"/>
      <c r="M100" s="25"/>
      <c r="N100" s="25"/>
      <c r="O100" s="25"/>
      <c r="P100" s="25"/>
      <c r="Q100" s="25"/>
      <c r="R100" s="25"/>
      <c r="S100" s="25"/>
      <c r="AZ100" s="25"/>
    </row>
    <row r="101" spans="6:52" ht="12.75">
      <c r="F101" s="25"/>
      <c r="G101" s="28"/>
      <c r="H101" s="25"/>
      <c r="I101" s="28"/>
      <c r="J101" s="25"/>
      <c r="K101" s="28"/>
      <c r="L101" s="25"/>
      <c r="M101" s="25"/>
      <c r="N101" s="25"/>
      <c r="O101" s="25"/>
      <c r="P101" s="25"/>
      <c r="Q101" s="25"/>
      <c r="R101" s="25"/>
      <c r="S101" s="25"/>
      <c r="AZ101" s="25"/>
    </row>
    <row r="102" spans="6:52" ht="12.75">
      <c r="F102" s="25"/>
      <c r="G102" s="28"/>
      <c r="H102" s="25"/>
      <c r="I102" s="28"/>
      <c r="J102" s="25"/>
      <c r="K102" s="28"/>
      <c r="L102" s="25"/>
      <c r="M102" s="25"/>
      <c r="N102" s="25"/>
      <c r="O102" s="25"/>
      <c r="P102" s="25"/>
      <c r="Q102" s="25"/>
      <c r="R102" s="25"/>
      <c r="S102" s="25"/>
      <c r="AZ102" s="2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21" sqref="B21"/>
    </sheetView>
  </sheetViews>
  <sheetFormatPr defaultColWidth="9.140625" defaultRowHeight="12.75"/>
  <cols>
    <col min="1" max="1" width="21.8515625" style="13" customWidth="1"/>
    <col min="2" max="3" width="8.140625" style="13" customWidth="1"/>
    <col min="4" max="4" width="7.421875" style="13" customWidth="1"/>
    <col min="5" max="5" width="7.8515625" style="13" customWidth="1"/>
    <col min="6" max="6" width="8.28125" style="13" customWidth="1"/>
    <col min="7" max="16384" width="11.421875" style="13" customWidth="1"/>
  </cols>
  <sheetData>
    <row r="1" ht="12.75">
      <c r="A1" s="17" t="s">
        <v>50</v>
      </c>
    </row>
    <row r="3" spans="2:6" ht="12.75">
      <c r="B3" s="13" t="s">
        <v>18</v>
      </c>
      <c r="C3" s="14" t="s">
        <v>19</v>
      </c>
      <c r="D3" s="14" t="s">
        <v>19</v>
      </c>
      <c r="E3" s="14" t="s">
        <v>19</v>
      </c>
      <c r="F3" s="14" t="s">
        <v>51</v>
      </c>
    </row>
    <row r="4" spans="3:6" ht="12.75">
      <c r="C4" s="14">
        <v>1</v>
      </c>
      <c r="D4" s="14">
        <v>2</v>
      </c>
      <c r="E4" s="14">
        <v>3</v>
      </c>
      <c r="F4" s="14"/>
    </row>
    <row r="5" ht="12.75">
      <c r="A5" s="17" t="s">
        <v>104</v>
      </c>
    </row>
    <row r="6" ht="12.75">
      <c r="A6" s="17"/>
    </row>
    <row r="7" spans="1:6" ht="12.75">
      <c r="A7" s="13" t="s">
        <v>83</v>
      </c>
      <c r="B7" s="13" t="s">
        <v>29</v>
      </c>
      <c r="C7" s="13">
        <v>1811</v>
      </c>
      <c r="D7" s="13">
        <v>1795</v>
      </c>
      <c r="E7" s="13">
        <v>1797</v>
      </c>
      <c r="F7" s="13">
        <f>AVERAGE(C7:E7)</f>
        <v>1801</v>
      </c>
    </row>
    <row r="8" spans="3:6" ht="12.75">
      <c r="C8" s="14"/>
      <c r="D8" s="14"/>
      <c r="E8" s="14"/>
      <c r="F8" s="14"/>
    </row>
    <row r="9" spans="1:6" ht="12.75">
      <c r="A9" s="17" t="s">
        <v>112</v>
      </c>
      <c r="C9" s="14"/>
      <c r="D9" s="14"/>
      <c r="E9" s="14"/>
      <c r="F9" s="14"/>
    </row>
    <row r="10" spans="1:6" ht="12.75">
      <c r="A10" s="17"/>
      <c r="C10" s="14"/>
      <c r="D10" s="14"/>
      <c r="E10" s="14"/>
      <c r="F10" s="14"/>
    </row>
    <row r="11" spans="1:6" ht="12.75">
      <c r="A11" s="13" t="s">
        <v>83</v>
      </c>
      <c r="B11" s="13" t="s">
        <v>29</v>
      </c>
      <c r="C11" s="13">
        <v>1945</v>
      </c>
      <c r="D11" s="13">
        <v>1945</v>
      </c>
      <c r="E11" s="13">
        <v>1945</v>
      </c>
      <c r="F11" s="13">
        <f>AVERAGE(C11:E11)</f>
        <v>1945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7" sqref="A7"/>
    </sheetView>
  </sheetViews>
  <sheetFormatPr defaultColWidth="9.140625" defaultRowHeight="12.75"/>
  <cols>
    <col min="1" max="1" width="1.421875" style="1" customWidth="1"/>
    <col min="2" max="2" width="25.8515625" style="1" customWidth="1"/>
    <col min="3" max="3" width="7.8515625" style="1" customWidth="1"/>
    <col min="4" max="4" width="4.57421875" style="2" bestFit="1" customWidth="1"/>
    <col min="5" max="5" width="8.140625" style="4" customWidth="1"/>
    <col min="7" max="7" width="9.57421875" style="3" customWidth="1"/>
    <col min="8" max="8" width="10.140625" style="3" customWidth="1"/>
    <col min="9" max="9" width="4.57421875" style="5" bestFit="1" customWidth="1"/>
    <col min="10" max="10" width="8.7109375" style="3" customWidth="1"/>
    <col min="12" max="12" width="9.421875" style="3" customWidth="1"/>
    <col min="13" max="13" width="9.28125" style="3" customWidth="1"/>
    <col min="14" max="14" width="4.57421875" style="5" bestFit="1" customWidth="1"/>
    <col min="15" max="15" width="8.8515625" style="3" customWidth="1"/>
    <col min="17" max="17" width="8.7109375" style="3" customWidth="1"/>
    <col min="18" max="18" width="9.421875" style="3" customWidth="1"/>
    <col min="19" max="19" width="7.7109375" style="1" customWidth="1"/>
    <col min="20" max="20" width="7.8515625" style="1" customWidth="1"/>
    <col min="21" max="21" width="7.7109375" style="1" customWidth="1"/>
    <col min="22" max="22" width="7.00390625" style="1" customWidth="1"/>
    <col min="23" max="23" width="7.421875" style="1" customWidth="1"/>
    <col min="24" max="16384" width="10.8515625" style="1" customWidth="1"/>
  </cols>
  <sheetData>
    <row r="1" ht="12.75">
      <c r="A1" s="35" t="s">
        <v>118</v>
      </c>
    </row>
    <row r="2" ht="12.75">
      <c r="A2" s="1" t="s">
        <v>208</v>
      </c>
    </row>
    <row r="3" spans="1:3" ht="12.75">
      <c r="A3" s="1" t="s">
        <v>201</v>
      </c>
      <c r="C3" s="43" t="s">
        <v>202</v>
      </c>
    </row>
    <row r="4" spans="1:18" ht="12.75">
      <c r="A4" s="1" t="s">
        <v>207</v>
      </c>
      <c r="C4" s="43" t="s">
        <v>150</v>
      </c>
      <c r="E4" s="7"/>
      <c r="G4" s="6"/>
      <c r="H4" s="6"/>
      <c r="J4" s="6"/>
      <c r="L4" s="6"/>
      <c r="M4" s="6"/>
      <c r="O4" s="6"/>
      <c r="Q4" s="6"/>
      <c r="R4" s="6"/>
    </row>
    <row r="5" spans="1:3" ht="12.75">
      <c r="A5" s="1" t="s">
        <v>203</v>
      </c>
      <c r="C5" s="43" t="s">
        <v>204</v>
      </c>
    </row>
    <row r="6" spans="3:18" ht="12.75">
      <c r="C6" s="2"/>
      <c r="G6" s="5"/>
      <c r="H6" s="5"/>
      <c r="L6" s="5"/>
      <c r="M6" s="5"/>
      <c r="Q6" s="5"/>
      <c r="R6" s="5"/>
    </row>
    <row r="7" spans="3:18" ht="12.75">
      <c r="C7" s="2" t="s">
        <v>52</v>
      </c>
      <c r="E7" s="46" t="s">
        <v>192</v>
      </c>
      <c r="F7" s="46"/>
      <c r="G7" s="46"/>
      <c r="H7" s="46"/>
      <c r="I7" s="8"/>
      <c r="J7" s="46" t="s">
        <v>193</v>
      </c>
      <c r="K7" s="46"/>
      <c r="L7" s="46"/>
      <c r="M7" s="46"/>
      <c r="N7" s="8"/>
      <c r="O7" s="46" t="s">
        <v>194</v>
      </c>
      <c r="P7" s="46"/>
      <c r="Q7" s="46"/>
      <c r="R7" s="46"/>
    </row>
    <row r="8" spans="3:18" ht="12.75">
      <c r="C8" s="2" t="s">
        <v>53</v>
      </c>
      <c r="E8" s="47" t="s">
        <v>54</v>
      </c>
      <c r="F8" s="47" t="s">
        <v>205</v>
      </c>
      <c r="G8" s="47" t="s">
        <v>54</v>
      </c>
      <c r="H8" s="48" t="s">
        <v>94</v>
      </c>
      <c r="J8" s="47" t="s">
        <v>54</v>
      </c>
      <c r="K8" s="47" t="s">
        <v>205</v>
      </c>
      <c r="L8" s="47" t="s">
        <v>54</v>
      </c>
      <c r="M8" s="47" t="s">
        <v>205</v>
      </c>
      <c r="O8" s="47" t="s">
        <v>54</v>
      </c>
      <c r="P8" s="47" t="s">
        <v>205</v>
      </c>
      <c r="Q8" s="47" t="s">
        <v>54</v>
      </c>
      <c r="R8" s="47" t="s">
        <v>205</v>
      </c>
    </row>
    <row r="9" spans="3:18" ht="12.75">
      <c r="C9" s="2"/>
      <c r="E9" s="47" t="s">
        <v>206</v>
      </c>
      <c r="F9" s="47" t="s">
        <v>206</v>
      </c>
      <c r="G9" s="47" t="s">
        <v>93</v>
      </c>
      <c r="H9" s="48" t="s">
        <v>93</v>
      </c>
      <c r="J9" s="47" t="s">
        <v>206</v>
      </c>
      <c r="K9" s="47" t="s">
        <v>206</v>
      </c>
      <c r="L9" s="47" t="s">
        <v>93</v>
      </c>
      <c r="M9" s="48" t="s">
        <v>93</v>
      </c>
      <c r="O9" s="47" t="s">
        <v>206</v>
      </c>
      <c r="P9" s="47" t="s">
        <v>206</v>
      </c>
      <c r="Q9" s="47" t="s">
        <v>93</v>
      </c>
      <c r="R9" s="48" t="s">
        <v>93</v>
      </c>
    </row>
    <row r="10" spans="1:18" ht="13.5" customHeight="1">
      <c r="A10" s="1" t="s">
        <v>95</v>
      </c>
      <c r="E10" s="9"/>
      <c r="H10" s="4"/>
      <c r="J10" s="9"/>
      <c r="M10" s="4"/>
      <c r="O10" s="9"/>
      <c r="R10" s="4"/>
    </row>
    <row r="11" spans="2:18" ht="12.75">
      <c r="B11" s="1" t="s">
        <v>55</v>
      </c>
      <c r="C11" s="2">
        <v>1</v>
      </c>
      <c r="D11" s="2" t="s">
        <v>30</v>
      </c>
      <c r="E11" s="10">
        <f>IF(D11="nd",G11*2,G11)</f>
        <v>0.00764</v>
      </c>
      <c r="F11" s="44">
        <f>E11*$C11</f>
        <v>0.00764</v>
      </c>
      <c r="G11" s="3">
        <f>H11/C11</f>
        <v>0.00382</v>
      </c>
      <c r="H11" s="3">
        <v>0.00382</v>
      </c>
      <c r="I11" s="7" t="s">
        <v>30</v>
      </c>
      <c r="J11" s="10">
        <f>IF(I11="nd",L11*2,L11)</f>
        <v>0.01562</v>
      </c>
      <c r="K11" s="44">
        <f>J11*$C11</f>
        <v>0.01562</v>
      </c>
      <c r="L11" s="3">
        <f>M11/$C11</f>
        <v>0.00781</v>
      </c>
      <c r="M11" s="3">
        <v>0.00781</v>
      </c>
      <c r="N11" s="7" t="s">
        <v>30</v>
      </c>
      <c r="O11" s="10">
        <f>IF(N11="nd",Q11*2,Q11)</f>
        <v>0.01082</v>
      </c>
      <c r="P11" s="44">
        <f>O11*$C11</f>
        <v>0.01082</v>
      </c>
      <c r="Q11" s="3">
        <f>R11/$C11</f>
        <v>0.00541</v>
      </c>
      <c r="R11" s="3">
        <v>0.00541</v>
      </c>
    </row>
    <row r="12" spans="2:15" ht="12.75">
      <c r="B12" s="1" t="s">
        <v>56</v>
      </c>
      <c r="C12" s="2">
        <v>0</v>
      </c>
      <c r="E12" s="10"/>
      <c r="I12" s="7"/>
      <c r="J12" s="10"/>
      <c r="N12" s="7"/>
      <c r="O12" s="10"/>
    </row>
    <row r="13" spans="2:18" ht="12.75">
      <c r="B13" s="1" t="s">
        <v>57</v>
      </c>
      <c r="C13" s="2">
        <v>0.5</v>
      </c>
      <c r="D13" s="2" t="s">
        <v>30</v>
      </c>
      <c r="E13" s="10">
        <f>IF(D13="nd",G13*2,G13)</f>
        <v>0.01272</v>
      </c>
      <c r="F13" s="44">
        <f>E13*$C13</f>
        <v>0.00636</v>
      </c>
      <c r="G13" s="3">
        <f>H13/C13</f>
        <v>0.00636</v>
      </c>
      <c r="H13" s="3">
        <v>0.00318</v>
      </c>
      <c r="I13" s="7" t="s">
        <v>30</v>
      </c>
      <c r="J13" s="10">
        <f>IF(I13="nd",L13*2,L13)</f>
        <v>0.0182</v>
      </c>
      <c r="K13" s="44">
        <f>J13*$C13</f>
        <v>0.0091</v>
      </c>
      <c r="L13" s="3">
        <f>M13/$C13</f>
        <v>0.0091</v>
      </c>
      <c r="M13" s="3">
        <v>0.00455</v>
      </c>
      <c r="N13" s="7" t="s">
        <v>30</v>
      </c>
      <c r="O13" s="10">
        <f>IF(N13="nd",Q13*2,Q13)</f>
        <v>0.01624</v>
      </c>
      <c r="P13" s="44">
        <f>O13*$C13</f>
        <v>0.00812</v>
      </c>
      <c r="Q13" s="3">
        <f>R13/$C13</f>
        <v>0.00812</v>
      </c>
      <c r="R13" s="3">
        <v>0.00406</v>
      </c>
    </row>
    <row r="14" spans="2:15" ht="12.75">
      <c r="B14" s="1" t="s">
        <v>58</v>
      </c>
      <c r="C14" s="2">
        <v>0</v>
      </c>
      <c r="E14" s="10"/>
      <c r="I14" s="7"/>
      <c r="J14" s="10"/>
      <c r="N14" s="7"/>
      <c r="O14" s="10"/>
    </row>
    <row r="15" spans="2:18" ht="12.75">
      <c r="B15" s="1" t="s">
        <v>59</v>
      </c>
      <c r="C15" s="2">
        <v>0.1</v>
      </c>
      <c r="D15" s="2" t="s">
        <v>30</v>
      </c>
      <c r="E15" s="10">
        <f>IF(D15="nd",G15*2,G15)</f>
        <v>0.012719999999999999</v>
      </c>
      <c r="F15" s="44">
        <f>E15*$C15</f>
        <v>0.001272</v>
      </c>
      <c r="G15" s="3">
        <f>H15/C15</f>
        <v>0.006359999999999999</v>
      </c>
      <c r="H15" s="3">
        <v>0.000636</v>
      </c>
      <c r="I15" s="7" t="s">
        <v>30</v>
      </c>
      <c r="J15" s="10">
        <f>IF(I15="nd",L15*2,L15)</f>
        <v>0.0234</v>
      </c>
      <c r="K15" s="44">
        <f>J15*$C15</f>
        <v>0.00234</v>
      </c>
      <c r="L15" s="3">
        <f>M15/$C15</f>
        <v>0.0117</v>
      </c>
      <c r="M15" s="3">
        <v>0.00117</v>
      </c>
      <c r="N15" s="7" t="s">
        <v>30</v>
      </c>
      <c r="O15" s="10">
        <f>IF(N15="nd",Q15*2,Q15)</f>
        <v>0.016239999999999997</v>
      </c>
      <c r="P15" s="44">
        <f>O15*$C15</f>
        <v>0.0016239999999999998</v>
      </c>
      <c r="Q15" s="3">
        <f>R15/$C15</f>
        <v>0.008119999999999999</v>
      </c>
      <c r="R15" s="3">
        <v>0.000812</v>
      </c>
    </row>
    <row r="16" spans="2:18" ht="12.75">
      <c r="B16" s="1" t="s">
        <v>60</v>
      </c>
      <c r="C16" s="2">
        <v>0.1</v>
      </c>
      <c r="D16" s="2" t="s">
        <v>30</v>
      </c>
      <c r="E16" s="10">
        <f>IF(D16="nd",G16*2,G16)</f>
        <v>0.01018</v>
      </c>
      <c r="F16" s="44">
        <f>E16*$C16</f>
        <v>0.001018</v>
      </c>
      <c r="G16" s="3">
        <f>H16/C16</f>
        <v>0.00509</v>
      </c>
      <c r="H16" s="3">
        <v>0.000509</v>
      </c>
      <c r="I16" s="7"/>
      <c r="J16" s="10">
        <f>IF(I16="nd",L16*2,L16)</f>
        <v>0.013</v>
      </c>
      <c r="K16" s="44">
        <f>J16*$C16</f>
        <v>0.0013</v>
      </c>
      <c r="L16" s="3">
        <f>M16/$C16</f>
        <v>0.013</v>
      </c>
      <c r="M16" s="3">
        <v>0.0013</v>
      </c>
      <c r="N16" s="7" t="s">
        <v>30</v>
      </c>
      <c r="O16" s="10">
        <f>IF(N16="nd",Q16*2,Q16)</f>
        <v>0.016239999999999997</v>
      </c>
      <c r="P16" s="44">
        <f>O16*$C16</f>
        <v>0.0016239999999999998</v>
      </c>
      <c r="Q16" s="3">
        <f>R16/$C16</f>
        <v>0.008119999999999999</v>
      </c>
      <c r="R16" s="3">
        <v>0.000812</v>
      </c>
    </row>
    <row r="17" spans="2:18" ht="12.75">
      <c r="B17" s="1" t="s">
        <v>61</v>
      </c>
      <c r="C17" s="2">
        <v>0.1</v>
      </c>
      <c r="D17" s="2" t="s">
        <v>30</v>
      </c>
      <c r="E17" s="10">
        <f>IF(D17="nd",G17*2,G17)</f>
        <v>0.01018</v>
      </c>
      <c r="F17" s="44">
        <f>E17*$C17</f>
        <v>0.001018</v>
      </c>
      <c r="G17" s="3">
        <f>H17/C17</f>
        <v>0.00509</v>
      </c>
      <c r="H17" s="3">
        <v>0.000509</v>
      </c>
      <c r="I17" s="7"/>
      <c r="J17" s="10">
        <f>IF(I17="nd",L17*2,L17)</f>
        <v>0.010399999999999998</v>
      </c>
      <c r="K17" s="44">
        <f>J17*$C17</f>
        <v>0.00104</v>
      </c>
      <c r="L17" s="3">
        <f>M17/$C17</f>
        <v>0.010399999999999998</v>
      </c>
      <c r="M17" s="3">
        <v>0.00104</v>
      </c>
      <c r="N17" s="7" t="s">
        <v>30</v>
      </c>
      <c r="O17" s="10">
        <f>IF(N17="nd",Q17*2,Q17)</f>
        <v>0.01894</v>
      </c>
      <c r="P17" s="44">
        <f>O17*$C17</f>
        <v>0.0018939999999999999</v>
      </c>
      <c r="Q17" s="3">
        <f>R17/$C17</f>
        <v>0.00947</v>
      </c>
      <c r="R17" s="3">
        <v>0.000947</v>
      </c>
    </row>
    <row r="18" spans="2:18" ht="12.75">
      <c r="B18" s="1" t="s">
        <v>62</v>
      </c>
      <c r="C18" s="2">
        <v>0</v>
      </c>
      <c r="E18" s="10"/>
      <c r="H18" s="4"/>
      <c r="I18" s="7"/>
      <c r="J18" s="10"/>
      <c r="M18" s="4"/>
      <c r="N18" s="7"/>
      <c r="O18" s="10"/>
      <c r="R18" s="4"/>
    </row>
    <row r="19" spans="2:18" ht="12.75">
      <c r="B19" s="1" t="s">
        <v>63</v>
      </c>
      <c r="C19" s="2">
        <v>0.01</v>
      </c>
      <c r="D19" s="2" t="s">
        <v>30</v>
      </c>
      <c r="E19" s="10">
        <f>IF(D19="nd",G19*2,G19)</f>
        <v>0.023</v>
      </c>
      <c r="F19" s="44">
        <f>E19*$C19</f>
        <v>0.00023</v>
      </c>
      <c r="G19" s="3">
        <f>H19/C19</f>
        <v>0.0115</v>
      </c>
      <c r="H19" s="3">
        <v>0.000115</v>
      </c>
      <c r="I19" s="7" t="s">
        <v>30</v>
      </c>
      <c r="J19" s="10">
        <f>IF(I19="nd",L19*2,L19)</f>
        <v>0.0494</v>
      </c>
      <c r="K19" s="44">
        <f>J19*$C19</f>
        <v>0.000494</v>
      </c>
      <c r="L19" s="3">
        <f>M19/$C19</f>
        <v>0.0247</v>
      </c>
      <c r="M19" s="3">
        <v>0.000247</v>
      </c>
      <c r="N19" s="7" t="s">
        <v>30</v>
      </c>
      <c r="O19" s="10">
        <f>IF(N19="nd",Q19*2,Q19)</f>
        <v>0.021599999999999998</v>
      </c>
      <c r="P19" s="44">
        <f>O19*$C19</f>
        <v>0.000216</v>
      </c>
      <c r="Q19" s="3">
        <f>R19/$C19</f>
        <v>0.010799999999999999</v>
      </c>
      <c r="R19" s="3">
        <v>0.000108</v>
      </c>
    </row>
    <row r="20" spans="2:15" ht="12.75">
      <c r="B20" s="1" t="s">
        <v>64</v>
      </c>
      <c r="C20" s="2">
        <v>0</v>
      </c>
      <c r="E20" s="10"/>
      <c r="I20" s="7"/>
      <c r="J20" s="10"/>
      <c r="N20" s="7"/>
      <c r="O20" s="10"/>
    </row>
    <row r="21" spans="2:18" ht="12.75">
      <c r="B21" s="1" t="s">
        <v>65</v>
      </c>
      <c r="C21" s="2">
        <v>0.001</v>
      </c>
      <c r="E21" s="10">
        <f>IF(D21="nd",G21*2,G21)</f>
        <v>0.0356</v>
      </c>
      <c r="F21" s="44">
        <f>E21*$C21</f>
        <v>3.56E-05</v>
      </c>
      <c r="G21" s="3">
        <f>H21/C21</f>
        <v>0.0356</v>
      </c>
      <c r="H21" s="3">
        <v>3.56E-05</v>
      </c>
      <c r="I21" s="7"/>
      <c r="J21" s="10">
        <f>IF(I21="nd",L21*2,L21)</f>
        <v>0.039</v>
      </c>
      <c r="K21" s="44">
        <f>J21*$C21</f>
        <v>3.9E-05</v>
      </c>
      <c r="L21" s="3">
        <f>M21/$C21</f>
        <v>0.039</v>
      </c>
      <c r="M21" s="3">
        <v>3.9E-05</v>
      </c>
      <c r="N21" s="7"/>
      <c r="O21" s="10">
        <f>IF(N21="nd",Q21*2,Q21)</f>
        <v>0.0541</v>
      </c>
      <c r="P21" s="44">
        <f>O21*$C21</f>
        <v>5.41E-05</v>
      </c>
      <c r="Q21" s="3">
        <f>R21/$C21</f>
        <v>0.0541</v>
      </c>
      <c r="R21" s="3">
        <v>5.41E-05</v>
      </c>
    </row>
    <row r="22" spans="2:18" ht="12.75">
      <c r="B22" s="1" t="s">
        <v>66</v>
      </c>
      <c r="C22" s="2">
        <v>0.1</v>
      </c>
      <c r="D22" s="2" t="s">
        <v>30</v>
      </c>
      <c r="E22" s="10">
        <f>IF(D22="nd",G22*2,G22)</f>
        <v>0.00764</v>
      </c>
      <c r="F22" s="44">
        <f>E22*$C22</f>
        <v>0.000764</v>
      </c>
      <c r="G22" s="3">
        <f>H22/C22</f>
        <v>0.00382</v>
      </c>
      <c r="H22" s="3">
        <v>0.000382</v>
      </c>
      <c r="I22" s="7" t="s">
        <v>30</v>
      </c>
      <c r="J22" s="10">
        <f>IF(I22="nd",L22*2,L22)</f>
        <v>0.020799999999999996</v>
      </c>
      <c r="K22" s="44">
        <f>J22*$C22</f>
        <v>0.00208</v>
      </c>
      <c r="L22" s="3">
        <f>M22/$C22</f>
        <v>0.010399999999999998</v>
      </c>
      <c r="M22" s="3">
        <v>0.00104</v>
      </c>
      <c r="N22" s="7" t="s">
        <v>30</v>
      </c>
      <c r="O22" s="10">
        <f>IF(N22="nd",Q22*2,Q22)</f>
        <v>0.027</v>
      </c>
      <c r="P22" s="44">
        <f>O22*$C22</f>
        <v>0.0027</v>
      </c>
      <c r="Q22" s="3">
        <f>R22/$C22</f>
        <v>0.0135</v>
      </c>
      <c r="R22" s="3">
        <v>0.00135</v>
      </c>
    </row>
    <row r="23" spans="2:15" ht="12.75">
      <c r="B23" s="1" t="s">
        <v>67</v>
      </c>
      <c r="C23" s="2">
        <v>0</v>
      </c>
      <c r="E23" s="10"/>
      <c r="I23" s="7"/>
      <c r="J23" s="10"/>
      <c r="N23" s="7"/>
      <c r="O23" s="10"/>
    </row>
    <row r="24" spans="2:18" ht="12.75">
      <c r="B24" s="1" t="s">
        <v>68</v>
      </c>
      <c r="C24" s="2">
        <v>0.05</v>
      </c>
      <c r="D24" s="2" t="s">
        <v>30</v>
      </c>
      <c r="E24" s="10">
        <f>IF(D24="nd",G24*2,G24)</f>
        <v>0.007359999999999999</v>
      </c>
      <c r="F24" s="44">
        <f>E24*$C24</f>
        <v>0.000368</v>
      </c>
      <c r="G24" s="3">
        <f>H24/C24</f>
        <v>0.0036799999999999997</v>
      </c>
      <c r="H24" s="3">
        <v>0.000184</v>
      </c>
      <c r="I24" s="7" t="s">
        <v>30</v>
      </c>
      <c r="J24" s="10">
        <f>IF(I24="nd",L24*2,L24)</f>
        <v>0.0156</v>
      </c>
      <c r="K24" s="44">
        <f>J24*$C24</f>
        <v>0.00078</v>
      </c>
      <c r="L24" s="3">
        <f>M24/$C24</f>
        <v>0.0078</v>
      </c>
      <c r="M24" s="3">
        <v>0.00039</v>
      </c>
      <c r="N24" s="7" t="s">
        <v>30</v>
      </c>
      <c r="O24" s="10">
        <f>IF(N24="nd",Q24*2,Q24)</f>
        <v>0.010839999999999999</v>
      </c>
      <c r="P24" s="44">
        <f>O24*$C24</f>
        <v>0.000542</v>
      </c>
      <c r="Q24" s="3">
        <f>R24/$C24</f>
        <v>0.0054199999999999995</v>
      </c>
      <c r="R24" s="3">
        <v>0.000271</v>
      </c>
    </row>
    <row r="25" spans="2:18" ht="12.75">
      <c r="B25" s="1" t="s">
        <v>69</v>
      </c>
      <c r="C25" s="2">
        <v>0.5</v>
      </c>
      <c r="D25" s="2" t="s">
        <v>30</v>
      </c>
      <c r="E25" s="10">
        <f>IF(D25="nd",G25*2,G25)</f>
        <v>0.03564</v>
      </c>
      <c r="F25" s="44">
        <f>E25*$C25</f>
        <v>0.01782</v>
      </c>
      <c r="G25" s="3">
        <f>H25/C25</f>
        <v>0.01782</v>
      </c>
      <c r="H25" s="3">
        <v>0.00891</v>
      </c>
      <c r="I25" s="7" t="s">
        <v>30</v>
      </c>
      <c r="J25" s="10">
        <f>IF(I25="nd",L25*2,L25)</f>
        <v>0.0104</v>
      </c>
      <c r="K25" s="44">
        <f>J25*$C25</f>
        <v>0.0052</v>
      </c>
      <c r="L25" s="3">
        <f>M25/$C25</f>
        <v>0.0052</v>
      </c>
      <c r="M25" s="3">
        <v>0.0026</v>
      </c>
      <c r="N25" s="7" t="s">
        <v>30</v>
      </c>
      <c r="O25" s="10">
        <f>IF(N25="nd",Q25*2,Q25)</f>
        <v>0.01624</v>
      </c>
      <c r="P25" s="44">
        <f>O25*$C25</f>
        <v>0.00812</v>
      </c>
      <c r="Q25" s="3">
        <f>R25/$C25</f>
        <v>0.00812</v>
      </c>
      <c r="R25" s="3">
        <v>0.00406</v>
      </c>
    </row>
    <row r="26" spans="2:18" ht="12.75">
      <c r="B26" s="1" t="s">
        <v>70</v>
      </c>
      <c r="C26" s="2">
        <v>0</v>
      </c>
      <c r="E26" s="10"/>
      <c r="H26" s="4"/>
      <c r="I26" s="7"/>
      <c r="J26" s="10"/>
      <c r="M26" s="4"/>
      <c r="N26" s="7"/>
      <c r="O26" s="10"/>
      <c r="R26" s="4"/>
    </row>
    <row r="27" spans="2:18" ht="12.75">
      <c r="B27" s="1" t="s">
        <v>71</v>
      </c>
      <c r="C27" s="2">
        <v>0.1</v>
      </c>
      <c r="D27" s="2" t="s">
        <v>30</v>
      </c>
      <c r="E27" s="10">
        <f>IF(D27="nd",G27*2,G27)</f>
        <v>0.01782</v>
      </c>
      <c r="F27" s="44">
        <f>E27*$C27</f>
        <v>0.001782</v>
      </c>
      <c r="G27" s="3">
        <f>H27/C27</f>
        <v>0.00891</v>
      </c>
      <c r="H27" s="3">
        <v>0.000891</v>
      </c>
      <c r="I27" s="7" t="s">
        <v>30</v>
      </c>
      <c r="J27" s="10">
        <f>IF(I27="nd",L27*2,L27)</f>
        <v>0.015619999999999998</v>
      </c>
      <c r="K27" s="44">
        <f>J27*$C27</f>
        <v>0.001562</v>
      </c>
      <c r="L27" s="3">
        <f>M27/$C27</f>
        <v>0.007809999999999999</v>
      </c>
      <c r="M27" s="3">
        <v>0.000781</v>
      </c>
      <c r="N27" s="7" t="s">
        <v>30</v>
      </c>
      <c r="O27" s="10">
        <f>IF(N27="nd",Q27*2,Q27)</f>
        <v>0.013519999999999999</v>
      </c>
      <c r="P27" s="44">
        <f>O27*$C27</f>
        <v>0.001352</v>
      </c>
      <c r="Q27" s="3">
        <f>R27/$C27</f>
        <v>0.0067599999999999995</v>
      </c>
      <c r="R27" s="3">
        <v>0.000676</v>
      </c>
    </row>
    <row r="28" spans="2:18" ht="12.75">
      <c r="B28" s="1" t="s">
        <v>72</v>
      </c>
      <c r="C28" s="2">
        <v>0.1</v>
      </c>
      <c r="D28" s="2" t="s">
        <v>30</v>
      </c>
      <c r="E28" s="10">
        <f>IF(D28="nd",G28*2,G28)</f>
        <v>0.01018</v>
      </c>
      <c r="F28" s="44">
        <f>E28*$C28</f>
        <v>0.001018</v>
      </c>
      <c r="G28" s="3">
        <f>H28/C28</f>
        <v>0.00509</v>
      </c>
      <c r="H28" s="3">
        <v>0.000509</v>
      </c>
      <c r="I28" s="7" t="s">
        <v>30</v>
      </c>
      <c r="J28" s="10">
        <f>IF(I28="nd",L28*2,L28)</f>
        <v>0.015619999999999998</v>
      </c>
      <c r="K28" s="44">
        <f>J28*$C28</f>
        <v>0.001562</v>
      </c>
      <c r="L28" s="3">
        <f>M28/$C28</f>
        <v>0.007809999999999999</v>
      </c>
      <c r="M28" s="3">
        <v>0.000781</v>
      </c>
      <c r="N28" s="7" t="s">
        <v>30</v>
      </c>
      <c r="O28" s="10">
        <f>IF(N28="nd",Q28*2,Q28)</f>
        <v>0.013519999999999999</v>
      </c>
      <c r="P28" s="44">
        <f>O28*$C28</f>
        <v>0.001352</v>
      </c>
      <c r="Q28" s="3">
        <f>R28/$C28</f>
        <v>0.0067599999999999995</v>
      </c>
      <c r="R28" s="3">
        <v>0.000676</v>
      </c>
    </row>
    <row r="29" spans="2:18" ht="12.75">
      <c r="B29" s="1" t="s">
        <v>73</v>
      </c>
      <c r="C29" s="2">
        <v>0.1</v>
      </c>
      <c r="D29" s="2" t="s">
        <v>30</v>
      </c>
      <c r="E29" s="10">
        <f>IF(D29="nd",G29*2,G29)</f>
        <v>0.01782</v>
      </c>
      <c r="F29" s="44">
        <f>E29*$C29</f>
        <v>0.001782</v>
      </c>
      <c r="G29" s="3">
        <f>H29/C29</f>
        <v>0.00891</v>
      </c>
      <c r="H29" s="3">
        <v>0.000891</v>
      </c>
      <c r="I29" s="7" t="s">
        <v>30</v>
      </c>
      <c r="J29" s="10">
        <f>IF(I29="nd",L29*2,L29)</f>
        <v>0.015619999999999998</v>
      </c>
      <c r="K29" s="44">
        <f>J29*$C29</f>
        <v>0.001562</v>
      </c>
      <c r="L29" s="3">
        <f>M29/$C29</f>
        <v>0.007809999999999999</v>
      </c>
      <c r="M29" s="3">
        <v>0.000781</v>
      </c>
      <c r="N29" s="7" t="s">
        <v>30</v>
      </c>
      <c r="O29" s="10">
        <f>IF(N29="nd",Q29*2,Q29)</f>
        <v>0.013519999999999999</v>
      </c>
      <c r="P29" s="44">
        <f>O29*$C29</f>
        <v>0.001352</v>
      </c>
      <c r="Q29" s="3">
        <f>R29/$C29</f>
        <v>0.0067599999999999995</v>
      </c>
      <c r="R29" s="3">
        <v>0.000676</v>
      </c>
    </row>
    <row r="30" spans="2:18" ht="12.75">
      <c r="B30" s="1" t="s">
        <v>74</v>
      </c>
      <c r="C30" s="2">
        <v>0.1</v>
      </c>
      <c r="D30" s="2" t="s">
        <v>30</v>
      </c>
      <c r="E30" s="10">
        <f>IF(D30="nd",G30*2,G30)</f>
        <v>0.01018</v>
      </c>
      <c r="F30" s="44">
        <f>E30*$C30</f>
        <v>0.001018</v>
      </c>
      <c r="G30" s="3">
        <f>H30/C30</f>
        <v>0.00509</v>
      </c>
      <c r="H30" s="3">
        <v>0.000509</v>
      </c>
      <c r="I30" s="7" t="s">
        <v>30</v>
      </c>
      <c r="J30" s="10">
        <f>IF(I30="nd",L30*2,L30)</f>
        <v>0.01822</v>
      </c>
      <c r="K30" s="44">
        <f>J30*$C30</f>
        <v>0.001822</v>
      </c>
      <c r="L30" s="3">
        <f>M30/$C30</f>
        <v>0.00911</v>
      </c>
      <c r="M30" s="3">
        <v>0.000911</v>
      </c>
      <c r="N30" s="7" t="s">
        <v>30</v>
      </c>
      <c r="O30" s="10">
        <f>IF(N30="nd",Q30*2,Q30)</f>
        <v>0.01894</v>
      </c>
      <c r="P30" s="44">
        <f>O30*$C30</f>
        <v>0.0018939999999999999</v>
      </c>
      <c r="Q30" s="3">
        <f>R30/$C30</f>
        <v>0.00947</v>
      </c>
      <c r="R30" s="3">
        <v>0.000947</v>
      </c>
    </row>
    <row r="31" spans="2:15" ht="12.75">
      <c r="B31" s="1" t="s">
        <v>75</v>
      </c>
      <c r="C31" s="2">
        <v>0</v>
      </c>
      <c r="E31" s="10"/>
      <c r="I31" s="7"/>
      <c r="J31" s="10"/>
      <c r="N31" s="7"/>
      <c r="O31" s="10"/>
    </row>
    <row r="32" spans="2:18" ht="12.75">
      <c r="B32" s="1" t="s">
        <v>76</v>
      </c>
      <c r="C32" s="2">
        <v>0.01</v>
      </c>
      <c r="E32" s="10">
        <f>IF(D32="nd",G32*2,G32)</f>
        <v>0.0229</v>
      </c>
      <c r="F32" s="44">
        <f>E32*$C32</f>
        <v>0.000229</v>
      </c>
      <c r="G32" s="3">
        <f>H32/C32</f>
        <v>0.0229</v>
      </c>
      <c r="H32" s="3">
        <v>0.000229</v>
      </c>
      <c r="I32" s="7"/>
      <c r="J32" s="10">
        <f>IF(I32="nd",L32*2,L32)</f>
        <v>0</v>
      </c>
      <c r="K32" s="44">
        <f>J32*$C32</f>
        <v>0</v>
      </c>
      <c r="L32" s="3">
        <f>M32/$C32</f>
        <v>0</v>
      </c>
      <c r="M32" s="3">
        <v>0</v>
      </c>
      <c r="N32" s="7" t="s">
        <v>30</v>
      </c>
      <c r="O32" s="10">
        <f>IF(N32="nd",Q32*2,Q32)</f>
        <v>0</v>
      </c>
      <c r="P32" s="44">
        <f>O32*$C32</f>
        <v>0</v>
      </c>
      <c r="Q32" s="3">
        <f>R32/$C32</f>
        <v>0</v>
      </c>
      <c r="R32" s="3">
        <v>0</v>
      </c>
    </row>
    <row r="33" spans="2:18" ht="12.75">
      <c r="B33" s="1" t="s">
        <v>77</v>
      </c>
      <c r="C33" s="2">
        <v>0.01</v>
      </c>
      <c r="D33" s="2" t="s">
        <v>30</v>
      </c>
      <c r="E33" s="10">
        <f>IF(D33="nd",G33*2,G33)</f>
        <v>0.01782</v>
      </c>
      <c r="F33" s="44">
        <f>E33*$C33</f>
        <v>0.0001782</v>
      </c>
      <c r="G33" s="3">
        <f>H33/C33</f>
        <v>0.00891</v>
      </c>
      <c r="H33" s="3">
        <v>8.91E-05</v>
      </c>
      <c r="I33" s="7" t="s">
        <v>30</v>
      </c>
      <c r="J33" s="10">
        <f>IF(I33="nd",L33*2,L33)</f>
        <v>0.01562</v>
      </c>
      <c r="K33" s="44">
        <f>J33*$C33</f>
        <v>0.0001562</v>
      </c>
      <c r="L33" s="3">
        <f>M33/$C33</f>
        <v>0.00781</v>
      </c>
      <c r="M33" s="3">
        <v>7.81E-05</v>
      </c>
      <c r="N33" s="7" t="s">
        <v>30</v>
      </c>
      <c r="O33" s="10">
        <f>IF(N33="nd",Q33*2,Q33)</f>
        <v>0.01894</v>
      </c>
      <c r="P33" s="44">
        <f>O33*$C33</f>
        <v>0.0001894</v>
      </c>
      <c r="Q33" s="3">
        <f>R33/$C33</f>
        <v>0.00947</v>
      </c>
      <c r="R33" s="3">
        <v>9.47E-05</v>
      </c>
    </row>
    <row r="34" spans="2:16" ht="12.75">
      <c r="B34" s="1" t="s">
        <v>78</v>
      </c>
      <c r="C34" s="2">
        <v>0</v>
      </c>
      <c r="E34" s="10"/>
      <c r="F34" s="44"/>
      <c r="I34" s="7"/>
      <c r="J34" s="10"/>
      <c r="K34" s="44"/>
      <c r="N34" s="7"/>
      <c r="O34" s="10"/>
      <c r="P34" s="44"/>
    </row>
    <row r="35" spans="2:18" ht="12.75">
      <c r="B35" s="1" t="s">
        <v>79</v>
      </c>
      <c r="C35" s="2">
        <v>0.001</v>
      </c>
      <c r="D35" s="2" t="s">
        <v>30</v>
      </c>
      <c r="E35" s="10">
        <f>IF(D35="nd",G35*2,G35)</f>
        <v>0.728</v>
      </c>
      <c r="F35" s="44">
        <f>E35*$C35</f>
        <v>0.000728</v>
      </c>
      <c r="G35" s="3">
        <f>H35/C35</f>
        <v>0.364</v>
      </c>
      <c r="H35" s="3">
        <v>0.000364</v>
      </c>
      <c r="I35" s="7"/>
      <c r="J35" s="10">
        <f>IF(I35="nd",L35*2,L35)</f>
        <v>0.193</v>
      </c>
      <c r="K35" s="44">
        <f>J35*$C35</f>
        <v>0.000193</v>
      </c>
      <c r="L35" s="3">
        <f>M35/$C35</f>
        <v>0.193</v>
      </c>
      <c r="M35" s="3">
        <v>0.000193</v>
      </c>
      <c r="N35" s="7" t="s">
        <v>30</v>
      </c>
      <c r="O35" s="10">
        <f>IF(N35="nd",Q35*2,Q35)</f>
        <v>0.048799999999999996</v>
      </c>
      <c r="P35" s="44">
        <f>O35*$C35</f>
        <v>4.88E-05</v>
      </c>
      <c r="Q35" s="3">
        <f>R35/$C35</f>
        <v>0.024399999999999998</v>
      </c>
      <c r="R35" s="3">
        <v>2.44E-05</v>
      </c>
    </row>
    <row r="36" spans="5:18" ht="12.75">
      <c r="E36" s="9"/>
      <c r="G36" s="11"/>
      <c r="H36" s="4"/>
      <c r="I36" s="12"/>
      <c r="J36" s="9"/>
      <c r="L36" s="11"/>
      <c r="M36" s="4"/>
      <c r="N36" s="12"/>
      <c r="O36" s="9"/>
      <c r="Q36" s="11"/>
      <c r="R36" s="4"/>
    </row>
    <row r="37" spans="2:18" ht="12.75">
      <c r="B37" s="1" t="s">
        <v>84</v>
      </c>
      <c r="E37" s="9"/>
      <c r="F37" s="11">
        <v>3.93</v>
      </c>
      <c r="G37" s="11"/>
      <c r="H37" s="11">
        <v>3.93</v>
      </c>
      <c r="I37" s="12"/>
      <c r="J37" s="9"/>
      <c r="K37" s="11">
        <v>3.84</v>
      </c>
      <c r="L37" s="11"/>
      <c r="M37" s="11">
        <v>3.84</v>
      </c>
      <c r="N37" s="12"/>
      <c r="O37" s="9"/>
      <c r="P37" s="11">
        <v>3.7</v>
      </c>
      <c r="Q37" s="11"/>
      <c r="R37" s="11">
        <v>3.7</v>
      </c>
    </row>
    <row r="38" spans="2:21" ht="12.75">
      <c r="B38" s="1" t="s">
        <v>80</v>
      </c>
      <c r="E38" s="9"/>
      <c r="F38" s="11">
        <v>6.9</v>
      </c>
      <c r="G38" s="11"/>
      <c r="H38" s="11">
        <v>6.9</v>
      </c>
      <c r="I38" s="12"/>
      <c r="J38" s="9"/>
      <c r="K38" s="11">
        <v>5</v>
      </c>
      <c r="L38" s="11"/>
      <c r="M38" s="11">
        <v>5</v>
      </c>
      <c r="N38" s="12"/>
      <c r="O38" s="9"/>
      <c r="P38" s="11">
        <v>5.4</v>
      </c>
      <c r="Q38" s="11"/>
      <c r="R38" s="11">
        <v>5.4</v>
      </c>
      <c r="U38" s="11"/>
    </row>
    <row r="39" spans="5:18" ht="12.75">
      <c r="E39" s="9"/>
      <c r="F39" s="13"/>
      <c r="G39" s="11"/>
      <c r="H39" s="13"/>
      <c r="I39" s="14"/>
      <c r="J39" s="9"/>
      <c r="K39" s="13"/>
      <c r="L39" s="11"/>
      <c r="M39" s="13"/>
      <c r="N39" s="12"/>
      <c r="O39" s="9"/>
      <c r="P39" s="13"/>
      <c r="Q39" s="11"/>
      <c r="R39" s="13"/>
    </row>
    <row r="40" spans="2:18" ht="13.5" customHeight="1">
      <c r="B40" s="1" t="s">
        <v>81</v>
      </c>
      <c r="C40" s="4"/>
      <c r="D40" s="7"/>
      <c r="E40" s="9"/>
      <c r="F40" s="4">
        <f>(SUM(F11:F35))*F37</f>
        <v>0.170014944</v>
      </c>
      <c r="G40" s="4"/>
      <c r="H40" s="4">
        <f>(SUM(H11:H35))*H37</f>
        <v>0.085527411</v>
      </c>
      <c r="I40" s="7"/>
      <c r="J40" s="9"/>
      <c r="K40" s="4">
        <f>(SUM(K11:K35))*K37</f>
        <v>0.172224768</v>
      </c>
      <c r="L40" s="4"/>
      <c r="M40" s="4">
        <f>(SUM(M11:M35))*M37</f>
        <v>0.09105062400000001</v>
      </c>
      <c r="N40" s="7"/>
      <c r="O40" s="9"/>
      <c r="P40" s="4">
        <f>(SUM(P11:P35))*P37</f>
        <v>0.15503851000000002</v>
      </c>
      <c r="Q40" s="4"/>
      <c r="R40" s="4">
        <f>(SUM(R11:R35))*R37</f>
        <v>0.07761934</v>
      </c>
    </row>
    <row r="41" spans="2:18" ht="12.75">
      <c r="B41" s="1" t="s">
        <v>82</v>
      </c>
      <c r="C41" s="4"/>
      <c r="D41" s="45">
        <f>(F41-H41)*2/F41*100</f>
        <v>99.38836082550483</v>
      </c>
      <c r="E41" s="9"/>
      <c r="F41" s="4">
        <f>(F40/F37)*(21-7)/(21-F38)</f>
        <v>0.042953985815602835</v>
      </c>
      <c r="G41" s="4"/>
      <c r="H41" s="4">
        <f>(H40/H37)*(21-7)/(21-H38)</f>
        <v>0.02160835460992908</v>
      </c>
      <c r="I41" s="45">
        <f>(K41-M41)*2/K41*100</f>
        <v>94.26535444657993</v>
      </c>
      <c r="J41" s="9"/>
      <c r="K41" s="4">
        <f>(K40/K37)*(21-7)/(21-K38)</f>
        <v>0.039243925</v>
      </c>
      <c r="L41" s="4"/>
      <c r="M41" s="4">
        <f>(M40/M37)*(21-7)/(21-M38)</f>
        <v>0.0207472125</v>
      </c>
      <c r="N41" s="45">
        <f>(P41-R41)*2/P41*100</f>
        <v>99.87089014206857</v>
      </c>
      <c r="O41" s="9"/>
      <c r="P41" s="4">
        <f>(P40/P37)*(21-7)/(21-P38)</f>
        <v>0.03760462820512821</v>
      </c>
      <c r="Q41" s="4"/>
      <c r="R41" s="4">
        <f>(R40/R37)*(21-7)/(21-R38)</f>
        <v>0.018826589743589743</v>
      </c>
    </row>
    <row r="42" spans="7:18" ht="12.75">
      <c r="G42" s="15"/>
      <c r="H42" s="15"/>
      <c r="I42" s="16"/>
      <c r="J42" s="15"/>
      <c r="L42" s="15"/>
      <c r="M42" s="15"/>
      <c r="N42" s="16"/>
      <c r="Q42" s="15"/>
      <c r="R42" s="15"/>
    </row>
    <row r="43" spans="2:23" s="11" customFormat="1" ht="12.75">
      <c r="B43" s="11" t="s">
        <v>110</v>
      </c>
      <c r="C43" s="4">
        <f>AVERAGE(H41,M41,R41)</f>
        <v>0.020394052284506272</v>
      </c>
      <c r="D43" s="12"/>
      <c r="E43" s="4"/>
      <c r="I43" s="12"/>
      <c r="N43" s="12"/>
      <c r="O43" s="3"/>
      <c r="S43" s="1"/>
      <c r="T43" s="1"/>
      <c r="U43" s="1"/>
      <c r="V43" s="1"/>
      <c r="W43" s="1"/>
    </row>
    <row r="45" spans="7:18" ht="12.75">
      <c r="G45" s="1"/>
      <c r="H45" s="1"/>
      <c r="I45" s="2"/>
      <c r="J45" s="1"/>
      <c r="L45" s="1"/>
      <c r="M45" s="1"/>
      <c r="N45" s="2"/>
      <c r="O45" s="1"/>
      <c r="Q45" s="1"/>
      <c r="R45" s="1"/>
    </row>
    <row r="46" spans="7:18" ht="12.75">
      <c r="G46" s="1"/>
      <c r="H46" s="1"/>
      <c r="I46" s="2"/>
      <c r="J46" s="1"/>
      <c r="L46" s="1"/>
      <c r="M46" s="1"/>
      <c r="N46" s="2"/>
      <c r="O46" s="1"/>
      <c r="Q46" s="1"/>
      <c r="R46" s="1"/>
    </row>
    <row r="47" spans="7:18" ht="12.75">
      <c r="G47" s="1"/>
      <c r="H47" s="1"/>
      <c r="I47" s="2"/>
      <c r="J47" s="1"/>
      <c r="L47" s="1"/>
      <c r="M47" s="1"/>
      <c r="N47" s="2"/>
      <c r="O47" s="1"/>
      <c r="Q47" s="1"/>
      <c r="R47" s="1"/>
    </row>
    <row r="48" spans="7:18" ht="12.75">
      <c r="G48" s="1"/>
      <c r="H48" s="1"/>
      <c r="I48" s="2"/>
      <c r="J48" s="1"/>
      <c r="L48" s="1"/>
      <c r="M48" s="1"/>
      <c r="N48" s="2"/>
      <c r="O48" s="1"/>
      <c r="Q48" s="1"/>
      <c r="R48" s="1"/>
    </row>
    <row r="49" spans="7:18" ht="12.75">
      <c r="G49" s="1"/>
      <c r="H49" s="1"/>
      <c r="I49" s="2"/>
      <c r="J49" s="1"/>
      <c r="L49" s="1"/>
      <c r="M49" s="1"/>
      <c r="N49" s="2"/>
      <c r="O49" s="1"/>
      <c r="Q49" s="1"/>
      <c r="R49" s="1"/>
    </row>
    <row r="50" spans="7:18" ht="12.75">
      <c r="G50" s="1"/>
      <c r="H50" s="1"/>
      <c r="I50" s="2"/>
      <c r="J50" s="1"/>
      <c r="L50" s="1"/>
      <c r="M50" s="1"/>
      <c r="N50" s="2"/>
      <c r="O50" s="1"/>
      <c r="Q50" s="1"/>
      <c r="R50" s="1"/>
    </row>
    <row r="51" spans="7:18" ht="12.75">
      <c r="G51" s="1"/>
      <c r="H51" s="1"/>
      <c r="I51" s="2"/>
      <c r="J51" s="1"/>
      <c r="L51" s="1"/>
      <c r="M51" s="1"/>
      <c r="N51" s="2"/>
      <c r="O51" s="1"/>
      <c r="Q51" s="1"/>
      <c r="R51" s="1"/>
    </row>
    <row r="52" spans="7:18" ht="12.75">
      <c r="G52" s="1"/>
      <c r="H52" s="1"/>
      <c r="I52" s="2"/>
      <c r="J52" s="1"/>
      <c r="L52" s="1"/>
      <c r="M52" s="1"/>
      <c r="N52" s="2"/>
      <c r="O52" s="1"/>
      <c r="Q52" s="1"/>
      <c r="R52" s="1"/>
    </row>
    <row r="53" spans="7:18" ht="12.75">
      <c r="G53" s="1"/>
      <c r="H53" s="1"/>
      <c r="I53" s="2"/>
      <c r="J53" s="1"/>
      <c r="L53" s="1"/>
      <c r="M53" s="1"/>
      <c r="N53" s="2"/>
      <c r="O53" s="1"/>
      <c r="Q53" s="1"/>
      <c r="R53" s="1"/>
    </row>
    <row r="54" spans="7:18" ht="12.75">
      <c r="G54" s="1"/>
      <c r="H54" s="1"/>
      <c r="I54" s="2"/>
      <c r="J54" s="1"/>
      <c r="L54" s="1"/>
      <c r="M54" s="1"/>
      <c r="N54" s="2"/>
      <c r="O54" s="1"/>
      <c r="Q54" s="1"/>
      <c r="R54" s="1"/>
    </row>
    <row r="55" spans="7:18" ht="12.75">
      <c r="G55" s="1"/>
      <c r="H55" s="1"/>
      <c r="I55" s="2"/>
      <c r="J55" s="1"/>
      <c r="L55" s="1"/>
      <c r="M55" s="1"/>
      <c r="N55" s="2"/>
      <c r="O55" s="1"/>
      <c r="Q55" s="1"/>
      <c r="R55" s="1"/>
    </row>
    <row r="56" spans="7:18" ht="12.75">
      <c r="G56" s="1"/>
      <c r="H56" s="1"/>
      <c r="I56" s="2"/>
      <c r="J56" s="1"/>
      <c r="L56" s="1"/>
      <c r="M56" s="1"/>
      <c r="N56" s="2"/>
      <c r="O56" s="1"/>
      <c r="Q56" s="1"/>
      <c r="R56" s="1"/>
    </row>
    <row r="57" spans="7:18" ht="12.75">
      <c r="G57" s="1"/>
      <c r="H57" s="1"/>
      <c r="I57" s="2"/>
      <c r="J57" s="1"/>
      <c r="L57" s="1"/>
      <c r="M57" s="1"/>
      <c r="N57" s="2"/>
      <c r="O57" s="1"/>
      <c r="Q57" s="1"/>
      <c r="R57" s="1"/>
    </row>
    <row r="58" spans="7:18" ht="12.75">
      <c r="G58" s="1"/>
      <c r="H58" s="1"/>
      <c r="I58" s="2"/>
      <c r="J58" s="1"/>
      <c r="L58" s="1"/>
      <c r="M58" s="1"/>
      <c r="N58" s="2"/>
      <c r="O58" s="1"/>
      <c r="Q58" s="1"/>
      <c r="R58" s="1"/>
    </row>
    <row r="59" spans="7:18" ht="12.75">
      <c r="G59" s="1"/>
      <c r="H59" s="1"/>
      <c r="I59" s="2"/>
      <c r="J59" s="1"/>
      <c r="L59" s="1"/>
      <c r="M59" s="1"/>
      <c r="N59" s="2"/>
      <c r="O59" s="1"/>
      <c r="Q59" s="1"/>
      <c r="R59" s="1"/>
    </row>
    <row r="60" spans="7:18" ht="12.75">
      <c r="G60" s="1"/>
      <c r="H60" s="1"/>
      <c r="I60" s="2"/>
      <c r="J60" s="1"/>
      <c r="L60" s="1"/>
      <c r="M60" s="1"/>
      <c r="N60" s="2"/>
      <c r="O60" s="1"/>
      <c r="Q60" s="1"/>
      <c r="R60" s="1"/>
    </row>
    <row r="61" spans="7:18" ht="12.75">
      <c r="G61" s="1"/>
      <c r="H61" s="1"/>
      <c r="I61" s="2"/>
      <c r="J61" s="1"/>
      <c r="L61" s="1"/>
      <c r="M61" s="1"/>
      <c r="N61" s="2"/>
      <c r="O61" s="1"/>
      <c r="Q61" s="1"/>
      <c r="R61" s="1"/>
    </row>
    <row r="62" spans="7:18" ht="12.75">
      <c r="G62" s="1"/>
      <c r="H62" s="1"/>
      <c r="I62" s="2"/>
      <c r="J62" s="1"/>
      <c r="L62" s="1"/>
      <c r="M62" s="1"/>
      <c r="N62" s="2"/>
      <c r="O62" s="1"/>
      <c r="Q62" s="1"/>
      <c r="R62" s="1"/>
    </row>
    <row r="63" spans="7:18" ht="12.75">
      <c r="G63" s="1"/>
      <c r="H63" s="1"/>
      <c r="I63" s="2"/>
      <c r="J63" s="1"/>
      <c r="L63" s="1"/>
      <c r="M63" s="1"/>
      <c r="N63" s="2"/>
      <c r="O63" s="1"/>
      <c r="Q63" s="1"/>
      <c r="R63" s="1"/>
    </row>
    <row r="64" spans="7:18" ht="12.75">
      <c r="G64" s="1"/>
      <c r="H64" s="1"/>
      <c r="I64" s="2"/>
      <c r="J64" s="1"/>
      <c r="L64" s="1"/>
      <c r="M64" s="1"/>
      <c r="N64" s="2"/>
      <c r="O64" s="1"/>
      <c r="Q64" s="1"/>
      <c r="R64" s="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POWER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 wu</dc:creator>
  <cp:keywords/>
  <dc:description/>
  <cp:lastModifiedBy>Alan Nguyen</cp:lastModifiedBy>
  <cp:lastPrinted>2004-02-19T22:05:11Z</cp:lastPrinted>
  <dcterms:created xsi:type="dcterms:W3CDTF">2000-01-11T22:54:01Z</dcterms:created>
  <dcterms:modified xsi:type="dcterms:W3CDTF">2005-03-14T18:13:10Z</dcterms:modified>
  <cp:category/>
  <cp:version/>
  <cp:contentType/>
  <cp:contentStatus/>
</cp:coreProperties>
</file>