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15" yWindow="577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<sst xmlns="http://schemas.openxmlformats.org/spreadsheetml/2006/main" count="519" uniqueCount="155">
  <si>
    <t>Stack Gas Emissions</t>
  </si>
  <si>
    <t>HW</t>
  </si>
  <si>
    <t>PM</t>
  </si>
  <si>
    <t>HCl</t>
  </si>
  <si>
    <t>Cl2</t>
  </si>
  <si>
    <t>SVM</t>
  </si>
  <si>
    <t>LVM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</si>
  <si>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</si>
  <si>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</si>
  <si>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</si>
  <si>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</si>
  <si>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</si>
  <si>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</si>
  <si>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</si>
  <si>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</si>
  <si>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</si>
  <si>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</si>
  <si>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</si>
  <si>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</si>
  <si>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</si>
  <si>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</si>
  <si>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</si>
  <si>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</si>
  <si>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</si>
  <si>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Natural gas</t>
  </si>
  <si>
    <t>Stack Characteristics</t>
  </si>
  <si>
    <t>Permitting Status</t>
  </si>
  <si>
    <t xml:space="preserve">     Report Name/Date</t>
  </si>
  <si>
    <t xml:space="preserve">     Report Prepar</t>
  </si>
  <si>
    <t xml:space="preserve">     Testing Firm</t>
  </si>
  <si>
    <t>METCO</t>
  </si>
  <si>
    <t xml:space="preserve">     Testing Dates</t>
  </si>
  <si>
    <t xml:space="preserve">     Content</t>
  </si>
  <si>
    <t>Units</t>
  </si>
  <si>
    <t>Cond Avg</t>
  </si>
  <si>
    <t>y</t>
  </si>
  <si>
    <t>n</t>
  </si>
  <si>
    <t>nd</t>
  </si>
  <si>
    <t xml:space="preserve">   Stack Gas Flowrate</t>
  </si>
  <si>
    <t xml:space="preserve">   Temperature</t>
  </si>
  <si>
    <t>lb/hr</t>
  </si>
  <si>
    <t>Feedstreams</t>
  </si>
  <si>
    <t>g/hr</t>
  </si>
  <si>
    <t>Btu/lb</t>
  </si>
  <si>
    <t>Chlorine</t>
  </si>
  <si>
    <t>Stack Gas Flowrate</t>
  </si>
  <si>
    <t>Process Information</t>
  </si>
  <si>
    <t>TXD086981172</t>
  </si>
  <si>
    <t>Fina Oil &amp; Chemical Co.</t>
  </si>
  <si>
    <t>La Porte</t>
  </si>
  <si>
    <t>TX</t>
  </si>
  <si>
    <t>Venturi scrubber</t>
  </si>
  <si>
    <t>in. H2O</t>
  </si>
  <si>
    <t>Liq</t>
  </si>
  <si>
    <t>soot blow</t>
  </si>
  <si>
    <t>Train A Waste Heat Boiler</t>
  </si>
  <si>
    <t>Train B Waste Heat Boiler</t>
  </si>
  <si>
    <t>Soot Blowing</t>
  </si>
  <si>
    <t>30 minutes/day</t>
  </si>
  <si>
    <t>VS</t>
  </si>
  <si>
    <t>Venturi scrubber, variable pressure drop</t>
  </si>
  <si>
    <t>Supplemental Fuel</t>
  </si>
  <si>
    <t>Hazardous Wastes</t>
  </si>
  <si>
    <t>Haz Waste Description</t>
  </si>
  <si>
    <t>PM, HCl/Cl2, CO; metals, chlorine, and ash in feeds</t>
  </si>
  <si>
    <t xml:space="preserve">PM, HCl/Cl2, CO; metals, chlorine, and ash in feeds </t>
  </si>
  <si>
    <t>CoC; max feedrate</t>
  </si>
  <si>
    <t>CoC; min venturi dP</t>
  </si>
  <si>
    <t>811C10</t>
  </si>
  <si>
    <t>811C11</t>
  </si>
  <si>
    <t>gal H2O hr/lb HW hr</t>
  </si>
  <si>
    <t>Source Emission Survey, Fina Oil, Laporte, TX, File No. 98-203, December 1998</t>
  </si>
  <si>
    <t>APS liq waste</t>
  </si>
  <si>
    <t>Capacity (MMBtu/hr)</t>
  </si>
  <si>
    <t>MMBtu/hr</t>
  </si>
  <si>
    <t>Feedrate MTEC Calculations</t>
  </si>
  <si>
    <t>(Heating Value)</t>
  </si>
  <si>
    <t>Phase II ID No.</t>
  </si>
  <si>
    <t>7% O2</t>
  </si>
  <si>
    <t>Combustion Chamber Temp</t>
  </si>
  <si>
    <t>Steam Production Rate</t>
  </si>
  <si>
    <t xml:space="preserve">    Inlet temp</t>
  </si>
  <si>
    <t xml:space="preserve">    Pressure drop</t>
  </si>
  <si>
    <t xml:space="preserve">    pH</t>
  </si>
  <si>
    <t xml:space="preserve">    L/G ratio </t>
  </si>
  <si>
    <t>Venturi Scrubber</t>
  </si>
  <si>
    <t xml:space="preserve">    L/G ratio</t>
  </si>
  <si>
    <t>2 liquid ignitable wastes: atactic, meeting Tier IA for metals, ash, Cl; and catalyst residue for Tier III; also process vent gases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</si>
  <si>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</si>
  <si>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</si>
  <si>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</si>
  <si>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</si>
  <si>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</si>
  <si>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</si>
  <si>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</si>
  <si>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</si>
  <si>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</si>
  <si>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</si>
  <si>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BIF Tier IA Feedrate Limits</t>
  </si>
  <si>
    <t>Source Description</t>
  </si>
  <si>
    <t xml:space="preserve">     Cond Description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</si>
  <si>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</si>
  <si>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</si>
  <si>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</si>
  <si>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</si>
  <si>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</si>
  <si>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</si>
  <si>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</si>
  <si>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max feedrates</t>
  </si>
  <si>
    <t>PM, HCl/Cl2</t>
  </si>
  <si>
    <t>min venturi dP</t>
  </si>
  <si>
    <t xml:space="preserve">   O2</t>
  </si>
  <si>
    <t xml:space="preserve">   Moisture</t>
  </si>
  <si>
    <t>Total Chlorine</t>
  </si>
  <si>
    <t>CO (RA)</t>
  </si>
  <si>
    <t>CO (MHRA)</t>
  </si>
  <si>
    <t>Sampling Train</t>
  </si>
  <si>
    <t>*</t>
  </si>
  <si>
    <t>Thermal Feedrate</t>
  </si>
  <si>
    <t>Feed Rate</t>
  </si>
  <si>
    <t>Feedstream Description</t>
  </si>
  <si>
    <t>HWC Burn Status (Date if Terminated)</t>
  </si>
  <si>
    <t>R1</t>
  </si>
  <si>
    <t>R2</t>
  </si>
  <si>
    <t>R3</t>
  </si>
  <si>
    <t xml:space="preserve">     Cond Dates</t>
  </si>
  <si>
    <t>Total</t>
  </si>
  <si>
    <t>Watertube boiler made by John Zink</t>
  </si>
  <si>
    <t>Liquid-fired boiler</t>
  </si>
  <si>
    <t>Cond Description</t>
  </si>
  <si>
    <t>Number of Sister Facilities</t>
  </si>
  <si>
    <t>APCS Detailed Acronym</t>
  </si>
  <si>
    <t>APCS General Class</t>
  </si>
  <si>
    <t>Liquid-fired</t>
  </si>
  <si>
    <t>HEWS</t>
  </si>
  <si>
    <t>E1</t>
  </si>
  <si>
    <t>Combustor Class</t>
  </si>
  <si>
    <t>Combustor Type</t>
  </si>
  <si>
    <t>source</t>
  </si>
  <si>
    <t>cond</t>
  </si>
  <si>
    <t>emiss</t>
  </si>
  <si>
    <t>feed</t>
  </si>
  <si>
    <t>process</t>
  </si>
  <si>
    <t>Feed Class</t>
  </si>
  <si>
    <t>Feedstream Number</t>
  </si>
  <si>
    <t>F1</t>
  </si>
  <si>
    <t>Liq HW</t>
  </si>
  <si>
    <t>F2</t>
  </si>
  <si>
    <t>F3</t>
  </si>
  <si>
    <t>Heating Value</t>
  </si>
  <si>
    <t>Feed Class 2</t>
  </si>
  <si>
    <t>Estimated Firing Rate</t>
  </si>
  <si>
    <t>Adjusted Tier I for atactic waste, Tier III for catalyst residue waste; comp fuels for main waste; LRWE for other waste</t>
  </si>
  <si>
    <t>Max feedrates</t>
  </si>
  <si>
    <t>Min Venturi dP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</si>
</sst>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  <numFmt numFmtId="170" formatCode="mmmm\ d\,\ yyyy"/>
    <numFmt numFmtId="171" formatCode="mmmm\-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7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7" fontId="5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D25" sqref="D25"/>
    </sheetView>
  </sheetViews>
  <sheetFormatPr defaultColWidth="9.140625" defaultRowHeight="12.75"/>
  <sheetData>
    <row r="1" ht="12.75">
      <c r="A1" t="s">
        <v>138</v>
      </c>
    </row>
    <row r="2" ht="12.75">
      <c r="A2" t="s">
        <v>139</v>
      </c>
    </row>
    <row r="3" ht="12.75">
      <c r="A3" t="s">
        <v>140</v>
      </c>
    </row>
    <row r="4" ht="12.75">
      <c r="A4" t="s">
        <v>141</v>
      </c>
    </row>
    <row r="5" ht="12.75">
      <c r="A5" t="s">
        <v>142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8" sqref="C18"/>
    </sheetView>
  </sheetViews>
  <sheetFormatPr defaultColWidth="9.140625" defaultRowHeight="12.75"/>
  <cols>
    <col min="1" max="1" width="5.57421875" style="2" hidden="1" customWidth="1"/>
    <col min="2" max="2" width="24.28125" style="2" customWidth="1"/>
    <col min="3" max="3" width="55.7109375" style="2" customWidth="1"/>
    <col min="4" max="4" width="9.00390625" style="2" customWidth="1"/>
    <col min="5" max="16384" width="11.421875" style="2" customWidth="1"/>
  </cols>
  <sheetData>
    <row r="1" ht="12.75">
      <c r="B1" s="1" t="s">
        <v>99</v>
      </c>
    </row>
    <row r="3" spans="2:3" ht="12.75">
      <c r="B3" s="2" t="s">
        <v>77</v>
      </c>
      <c r="C3" s="3">
        <v>811</v>
      </c>
    </row>
    <row r="4" spans="2:3" ht="12.75">
      <c r="B4" s="2" t="s">
        <v>17</v>
      </c>
      <c r="C4" s="2" t="s">
        <v>47</v>
      </c>
    </row>
    <row r="5" spans="2:3" ht="12.75">
      <c r="B5" s="2" t="s">
        <v>18</v>
      </c>
      <c r="C5" s="2" t="s">
        <v>48</v>
      </c>
    </row>
    <row r="6" ht="12.75">
      <c r="B6" s="2" t="s">
        <v>19</v>
      </c>
    </row>
    <row r="7" spans="2:3" ht="12.75">
      <c r="B7" s="2" t="s">
        <v>101</v>
      </c>
      <c r="C7" s="2" t="s">
        <v>49</v>
      </c>
    </row>
    <row r="8" spans="2:3" ht="12.75">
      <c r="B8" s="2" t="s">
        <v>102</v>
      </c>
      <c r="C8" s="2" t="s">
        <v>50</v>
      </c>
    </row>
    <row r="9" spans="2:3" ht="12.75">
      <c r="B9" s="2" t="s">
        <v>20</v>
      </c>
      <c r="C9" s="2" t="s">
        <v>55</v>
      </c>
    </row>
    <row r="10" spans="2:3" ht="12.75">
      <c r="B10" s="2" t="s">
        <v>21</v>
      </c>
      <c r="C10" s="2" t="s">
        <v>56</v>
      </c>
    </row>
    <row r="11" spans="2:3" ht="12.75">
      <c r="B11" s="2" t="s">
        <v>130</v>
      </c>
      <c r="C11" s="3">
        <v>1</v>
      </c>
    </row>
    <row r="12" spans="2:3" ht="12.75">
      <c r="B12" s="2" t="s">
        <v>136</v>
      </c>
      <c r="C12" s="2" t="s">
        <v>128</v>
      </c>
    </row>
    <row r="13" spans="2:3" ht="12.75">
      <c r="B13" s="2" t="s">
        <v>137</v>
      </c>
      <c r="C13" s="2" t="s">
        <v>133</v>
      </c>
    </row>
    <row r="14" spans="2:3" ht="12.75">
      <c r="B14" s="2" t="s">
        <v>22</v>
      </c>
      <c r="C14" s="2" t="s">
        <v>127</v>
      </c>
    </row>
    <row r="15" spans="2:3" ht="12.75">
      <c r="B15" s="2" t="s">
        <v>73</v>
      </c>
      <c r="C15" s="3">
        <v>70</v>
      </c>
    </row>
    <row r="16" spans="2:3" ht="12.75">
      <c r="B16" s="2" t="s">
        <v>57</v>
      </c>
      <c r="C16" s="2" t="s">
        <v>58</v>
      </c>
    </row>
    <row r="17" spans="2:3" ht="12.75">
      <c r="B17" s="2" t="s">
        <v>131</v>
      </c>
      <c r="C17" s="2" t="s">
        <v>59</v>
      </c>
    </row>
    <row r="18" spans="2:3" ht="12.75">
      <c r="B18" s="2" t="s">
        <v>132</v>
      </c>
      <c r="C18" s="2" t="s">
        <v>134</v>
      </c>
    </row>
    <row r="19" spans="2:3" ht="12.75">
      <c r="B19" s="2" t="s">
        <v>23</v>
      </c>
      <c r="C19" s="2" t="s">
        <v>60</v>
      </c>
    </row>
    <row r="20" spans="2:3" ht="12.75">
      <c r="B20" s="2" t="s">
        <v>62</v>
      </c>
      <c r="C20" s="2" t="s">
        <v>53</v>
      </c>
    </row>
    <row r="21" spans="2:3" s="4" customFormat="1" ht="25.5">
      <c r="B21" s="4" t="s">
        <v>63</v>
      </c>
      <c r="C21" s="4" t="s">
        <v>87</v>
      </c>
    </row>
    <row r="22" spans="2:3" ht="12.75" customHeight="1">
      <c r="B22" s="2" t="s">
        <v>61</v>
      </c>
      <c r="C22" s="2" t="s">
        <v>24</v>
      </c>
    </row>
    <row r="24" ht="12.75">
      <c r="B24" s="2" t="s">
        <v>25</v>
      </c>
    </row>
    <row r="25" spans="2:3" ht="12.75">
      <c r="B25" s="2" t="s">
        <v>103</v>
      </c>
      <c r="C25" s="3">
        <v>4.93</v>
      </c>
    </row>
    <row r="26" spans="2:3" ht="12.75">
      <c r="B26" s="2" t="s">
        <v>104</v>
      </c>
      <c r="C26" s="5">
        <v>100.4</v>
      </c>
    </row>
    <row r="27" spans="2:3" ht="12.75">
      <c r="B27" s="2" t="s">
        <v>105</v>
      </c>
      <c r="C27" s="6">
        <f>1567/60</f>
        <v>26.116666666666667</v>
      </c>
    </row>
    <row r="28" spans="2:3" ht="12.75" customHeight="1">
      <c r="B28" s="2" t="s">
        <v>106</v>
      </c>
      <c r="C28" s="3">
        <v>128</v>
      </c>
    </row>
    <row r="30" spans="2:3" ht="25.5">
      <c r="B30" s="4" t="s">
        <v>26</v>
      </c>
      <c r="C30" s="4" t="s">
        <v>152</v>
      </c>
    </row>
    <row r="31" s="20" customFormat="1" ht="25.5">
      <c r="B31" s="20" t="s">
        <v>121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C18" sqref="C18"/>
    </sheetView>
  </sheetViews>
  <sheetFormatPr defaultColWidth="9.140625" defaultRowHeight="12.75"/>
  <cols>
    <col min="1" max="1" width="9.140625" style="2" hidden="1" customWidth="1"/>
    <col min="2" max="2" width="20.57421875" style="2" customWidth="1"/>
    <col min="3" max="3" width="52.00390625" style="2" customWidth="1"/>
    <col min="4" max="16384" width="9.140625" style="2" customWidth="1"/>
  </cols>
  <sheetData>
    <row r="1" ht="12.75">
      <c r="B1" s="1" t="s">
        <v>129</v>
      </c>
    </row>
    <row r="3" ht="12.75">
      <c r="B3" s="19" t="s">
        <v>68</v>
      </c>
    </row>
    <row r="4" ht="12.75">
      <c r="B4" s="19"/>
    </row>
    <row r="5" spans="2:3" s="4" customFormat="1" ht="25.5">
      <c r="B5" s="4" t="s">
        <v>27</v>
      </c>
      <c r="C5" s="4" t="s">
        <v>71</v>
      </c>
    </row>
    <row r="6" spans="2:3" ht="12.75">
      <c r="B6" s="2" t="s">
        <v>28</v>
      </c>
      <c r="C6" s="2" t="s">
        <v>30</v>
      </c>
    </row>
    <row r="7" spans="2:3" ht="12.75">
      <c r="B7" s="2" t="s">
        <v>29</v>
      </c>
      <c r="C7" s="2" t="s">
        <v>30</v>
      </c>
    </row>
    <row r="8" spans="2:3" ht="12.75">
      <c r="B8" s="2" t="s">
        <v>31</v>
      </c>
      <c r="C8" s="7">
        <v>34682</v>
      </c>
    </row>
    <row r="9" spans="2:3" ht="12.75">
      <c r="B9" s="2" t="s">
        <v>125</v>
      </c>
      <c r="C9" s="21">
        <v>34668</v>
      </c>
    </row>
    <row r="10" spans="2:3" ht="12.75">
      <c r="B10" s="2" t="s">
        <v>100</v>
      </c>
      <c r="C10" s="2" t="s">
        <v>66</v>
      </c>
    </row>
    <row r="11" spans="2:3" ht="12.75" customHeight="1">
      <c r="B11" s="2" t="s">
        <v>32</v>
      </c>
      <c r="C11" s="2" t="s">
        <v>65</v>
      </c>
    </row>
    <row r="12" ht="12.75" customHeight="1"/>
    <row r="13" ht="12.75">
      <c r="B13" s="19" t="s">
        <v>69</v>
      </c>
    </row>
    <row r="14" ht="12.75">
      <c r="B14" s="19"/>
    </row>
    <row r="15" spans="2:3" s="4" customFormat="1" ht="25.5">
      <c r="B15" s="4" t="s">
        <v>27</v>
      </c>
      <c r="C15" s="4" t="s">
        <v>71</v>
      </c>
    </row>
    <row r="16" spans="2:3" ht="12.75">
      <c r="B16" s="2" t="s">
        <v>28</v>
      </c>
      <c r="C16" s="2" t="s">
        <v>30</v>
      </c>
    </row>
    <row r="17" spans="2:3" ht="12.75">
      <c r="B17" s="2" t="s">
        <v>29</v>
      </c>
      <c r="C17" s="2" t="s">
        <v>30</v>
      </c>
    </row>
    <row r="18" spans="2:3" ht="12.75">
      <c r="B18" s="2" t="s">
        <v>31</v>
      </c>
      <c r="C18" s="7">
        <v>34683</v>
      </c>
    </row>
    <row r="19" spans="2:3" ht="12.75">
      <c r="B19" s="2" t="s">
        <v>125</v>
      </c>
      <c r="C19" s="21">
        <v>34668</v>
      </c>
    </row>
    <row r="20" spans="2:3" ht="12.75">
      <c r="B20" s="2" t="s">
        <v>100</v>
      </c>
      <c r="C20" s="2" t="s">
        <v>67</v>
      </c>
    </row>
    <row r="21" spans="2:3" ht="12.75">
      <c r="B21" s="2" t="s">
        <v>32</v>
      </c>
      <c r="C21" s="2" t="s">
        <v>64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75" zoomScaleNormal="75" workbookViewId="0" topLeftCell="B4">
      <selection activeCell="C18" sqref="C18"/>
    </sheetView>
  </sheetViews>
  <sheetFormatPr defaultColWidth="9.140625" defaultRowHeight="12.75"/>
  <cols>
    <col min="1" max="1" width="9.140625" style="2" hidden="1" customWidth="1"/>
    <col min="2" max="2" width="27.57421875" style="2" bestFit="1" customWidth="1"/>
    <col min="3" max="3" width="17.140625" style="2" customWidth="1"/>
    <col min="4" max="4" width="6.8515625" style="2" bestFit="1" customWidth="1"/>
    <col min="5" max="5" width="5.28125" style="2" customWidth="1"/>
    <col min="6" max="6" width="2.421875" style="2" customWidth="1"/>
    <col min="7" max="7" width="10.140625" style="2" customWidth="1"/>
    <col min="8" max="8" width="2.28125" style="2" customWidth="1"/>
    <col min="9" max="9" width="9.00390625" style="2" customWidth="1"/>
    <col min="10" max="10" width="2.7109375" style="2" customWidth="1"/>
    <col min="11" max="11" width="9.57421875" style="2" customWidth="1"/>
    <col min="12" max="12" width="2.57421875" style="2" customWidth="1"/>
    <col min="13" max="13" width="9.8515625" style="2" customWidth="1"/>
    <col min="14" max="14" width="10.421875" style="2" customWidth="1"/>
    <col min="15" max="15" width="9.8515625" style="2" customWidth="1"/>
    <col min="16" max="16384" width="11.421875" style="2" customWidth="1"/>
  </cols>
  <sheetData>
    <row r="1" spans="2:3" ht="12.75">
      <c r="B1" s="1" t="s">
        <v>0</v>
      </c>
      <c r="C1" s="1"/>
    </row>
    <row r="2" ht="12" customHeight="1"/>
    <row r="3" spans="3:15" ht="12.75">
      <c r="C3" s="2" t="s">
        <v>107</v>
      </c>
      <c r="D3" s="2" t="s">
        <v>33</v>
      </c>
      <c r="E3" s="2" t="s">
        <v>78</v>
      </c>
      <c r="O3" s="8"/>
    </row>
    <row r="4" spans="7:12" ht="12.75">
      <c r="G4" s="8"/>
      <c r="H4" s="8"/>
      <c r="I4" s="8"/>
      <c r="J4" s="8"/>
      <c r="K4" s="8" t="s">
        <v>54</v>
      </c>
      <c r="L4" s="8"/>
    </row>
    <row r="5" spans="7:12" ht="12.75">
      <c r="G5" s="8"/>
      <c r="H5" s="8"/>
      <c r="I5" s="8"/>
      <c r="J5" s="8"/>
      <c r="K5" s="8"/>
      <c r="L5" s="8"/>
    </row>
    <row r="6" spans="1:13" ht="12.75">
      <c r="A6" s="2">
        <v>10</v>
      </c>
      <c r="B6" s="1" t="s">
        <v>68</v>
      </c>
      <c r="C6" s="1" t="s">
        <v>108</v>
      </c>
      <c r="G6" s="8" t="s">
        <v>122</v>
      </c>
      <c r="H6" s="8"/>
      <c r="I6" s="8" t="s">
        <v>123</v>
      </c>
      <c r="J6" s="8"/>
      <c r="K6" s="8" t="s">
        <v>124</v>
      </c>
      <c r="L6" s="9"/>
      <c r="M6" s="8" t="s">
        <v>34</v>
      </c>
    </row>
    <row r="7" spans="2:12" ht="12.75" customHeight="1">
      <c r="B7" s="1"/>
      <c r="C7" s="1"/>
      <c r="G7" s="8"/>
      <c r="H7" s="8"/>
      <c r="I7" s="8"/>
      <c r="J7" s="8"/>
      <c r="K7" s="8"/>
      <c r="L7" s="8"/>
    </row>
    <row r="8" spans="2:13" ht="12.75">
      <c r="B8" s="2" t="s">
        <v>2</v>
      </c>
      <c r="C8" s="2" t="s">
        <v>135</v>
      </c>
      <c r="D8" s="2" t="s">
        <v>9</v>
      </c>
      <c r="E8" s="2" t="s">
        <v>35</v>
      </c>
      <c r="G8" s="2">
        <v>0.0146</v>
      </c>
      <c r="I8" s="2">
        <v>0.0129</v>
      </c>
      <c r="K8" s="2">
        <v>0.0139</v>
      </c>
      <c r="M8" s="2">
        <v>0.0138</v>
      </c>
    </row>
    <row r="9" spans="2:13" ht="12.75">
      <c r="B9" s="2" t="s">
        <v>115</v>
      </c>
      <c r="C9" s="2" t="s">
        <v>135</v>
      </c>
      <c r="D9" s="2" t="s">
        <v>10</v>
      </c>
      <c r="E9" s="2" t="s">
        <v>35</v>
      </c>
      <c r="G9" s="2">
        <v>0.1</v>
      </c>
      <c r="I9" s="2">
        <v>0.1</v>
      </c>
      <c r="K9" s="2">
        <v>0.1</v>
      </c>
      <c r="M9" s="2">
        <v>0.1</v>
      </c>
    </row>
    <row r="10" spans="2:13" ht="12.75">
      <c r="B10" s="2" t="s">
        <v>114</v>
      </c>
      <c r="C10" s="2" t="s">
        <v>135</v>
      </c>
      <c r="D10" s="2" t="s">
        <v>10</v>
      </c>
      <c r="E10" s="2" t="s">
        <v>35</v>
      </c>
      <c r="G10" s="2">
        <v>0.1</v>
      </c>
      <c r="I10" s="2">
        <v>0.1</v>
      </c>
      <c r="K10" s="2">
        <v>0.1</v>
      </c>
      <c r="M10" s="2">
        <v>0.1</v>
      </c>
    </row>
    <row r="11" spans="2:13" ht="12.75">
      <c r="B11" s="2" t="s">
        <v>3</v>
      </c>
      <c r="D11" s="2" t="s">
        <v>10</v>
      </c>
      <c r="E11" s="2" t="s">
        <v>36</v>
      </c>
      <c r="G11" s="2">
        <v>1.69</v>
      </c>
      <c r="I11" s="2">
        <v>1.64</v>
      </c>
      <c r="K11" s="2">
        <v>2.07</v>
      </c>
      <c r="M11" s="10">
        <f>AVERAGE(K11,I11,G11)</f>
        <v>1.8</v>
      </c>
    </row>
    <row r="12" spans="2:13" ht="12.75">
      <c r="B12" s="2" t="s">
        <v>4</v>
      </c>
      <c r="D12" s="2" t="s">
        <v>10</v>
      </c>
      <c r="E12" s="2" t="s">
        <v>36</v>
      </c>
      <c r="G12" s="11">
        <v>0.17</v>
      </c>
      <c r="I12" s="11">
        <v>0.2</v>
      </c>
      <c r="K12" s="11">
        <v>0.06</v>
      </c>
      <c r="M12" s="10">
        <f>AVERAGE(K12,I12,G12)</f>
        <v>0.14333333333333334</v>
      </c>
    </row>
    <row r="13" spans="2:13" ht="12.75">
      <c r="B13" s="2" t="s">
        <v>113</v>
      </c>
      <c r="D13" s="2" t="s">
        <v>10</v>
      </c>
      <c r="E13" s="2" t="s">
        <v>36</v>
      </c>
      <c r="G13" s="11">
        <f>G11+2*(G12)</f>
        <v>2.03</v>
      </c>
      <c r="I13" s="11">
        <f>I11+2*(I12)</f>
        <v>2.04</v>
      </c>
      <c r="K13" s="11">
        <f>K11+2*(K12)</f>
        <v>2.19</v>
      </c>
      <c r="M13" s="12">
        <f>M11+2*(M12)</f>
        <v>2.086666666666667</v>
      </c>
    </row>
    <row r="14" ht="12.75" customHeight="1">
      <c r="M14" s="10"/>
    </row>
    <row r="15" spans="2:13" ht="12" customHeight="1">
      <c r="B15" s="2" t="s">
        <v>116</v>
      </c>
      <c r="C15" s="2" t="s">
        <v>109</v>
      </c>
      <c r="D15" s="2" t="s">
        <v>135</v>
      </c>
      <c r="M15" s="10"/>
    </row>
    <row r="16" spans="2:13" ht="12.75">
      <c r="B16" s="2" t="s">
        <v>38</v>
      </c>
      <c r="D16" s="2" t="s">
        <v>14</v>
      </c>
      <c r="G16" s="13">
        <v>22386</v>
      </c>
      <c r="I16" s="2">
        <v>21879</v>
      </c>
      <c r="K16" s="2">
        <v>22499</v>
      </c>
      <c r="M16" s="13">
        <f>AVERAGE(K16,I16,G16)</f>
        <v>22254.666666666668</v>
      </c>
    </row>
    <row r="17" spans="2:13" ht="12.75">
      <c r="B17" s="2" t="s">
        <v>111</v>
      </c>
      <c r="D17" s="2" t="s">
        <v>15</v>
      </c>
      <c r="G17" s="2">
        <v>11.2</v>
      </c>
      <c r="I17" s="2">
        <v>11.5</v>
      </c>
      <c r="K17" s="2">
        <v>11.6</v>
      </c>
      <c r="M17" s="14">
        <f>AVERAGE(K17,I17,G17)</f>
        <v>11.433333333333332</v>
      </c>
    </row>
    <row r="18" spans="2:13" ht="12.75">
      <c r="B18" s="2" t="s">
        <v>112</v>
      </c>
      <c r="D18" s="2" t="s">
        <v>15</v>
      </c>
      <c r="G18" s="2">
        <v>16.97</v>
      </c>
      <c r="I18" s="2">
        <v>17.13</v>
      </c>
      <c r="K18" s="2">
        <v>17.65</v>
      </c>
      <c r="M18" s="14">
        <f>AVERAGE(K18,I18,G18)</f>
        <v>17.25</v>
      </c>
    </row>
    <row r="19" spans="2:13" ht="12.75">
      <c r="B19" s="2" t="s">
        <v>39</v>
      </c>
      <c r="D19" s="2" t="s">
        <v>16</v>
      </c>
      <c r="G19" s="2">
        <v>135</v>
      </c>
      <c r="I19" s="2">
        <v>135</v>
      </c>
      <c r="K19" s="2">
        <v>137</v>
      </c>
      <c r="M19" s="13">
        <f>AVERAGE(K19,I19,G19)</f>
        <v>135.66666666666666</v>
      </c>
    </row>
    <row r="21" spans="2:13" ht="12.75">
      <c r="B21" s="2" t="s">
        <v>3</v>
      </c>
      <c r="C21" s="2" t="s">
        <v>135</v>
      </c>
      <c r="D21" s="2" t="s">
        <v>10</v>
      </c>
      <c r="E21" s="2" t="s">
        <v>35</v>
      </c>
      <c r="G21" s="10">
        <f>G11*(21-7)/(21-G17)</f>
        <v>2.414285714285714</v>
      </c>
      <c r="H21" s="10"/>
      <c r="I21" s="10">
        <f>I11*(21-7)/(21-I17)</f>
        <v>2.4168421052631577</v>
      </c>
      <c r="J21" s="10"/>
      <c r="K21" s="10">
        <f>K11*(21-7)/(21-K17)</f>
        <v>3.082978723404255</v>
      </c>
      <c r="M21" s="10">
        <f>AVERAGE(K21,I21,G21)</f>
        <v>2.6380355143177088</v>
      </c>
    </row>
    <row r="22" spans="2:13" ht="12.75">
      <c r="B22" s="2" t="s">
        <v>4</v>
      </c>
      <c r="C22" s="2" t="s">
        <v>135</v>
      </c>
      <c r="D22" s="2" t="s">
        <v>10</v>
      </c>
      <c r="E22" s="2" t="s">
        <v>35</v>
      </c>
      <c r="G22" s="10">
        <f>G12*(21-7)/(21-G18)</f>
        <v>0.5905707196029776</v>
      </c>
      <c r="I22" s="10">
        <f>I12*(21-7)/(21-I18)</f>
        <v>0.7235142118863048</v>
      </c>
      <c r="K22" s="10">
        <f>K12*(21-7)/(21-K18)</f>
        <v>0.2507462686567163</v>
      </c>
      <c r="M22" s="10">
        <f>AVERAGE(K22,I22,G22)</f>
        <v>0.5216104000486662</v>
      </c>
    </row>
    <row r="23" spans="2:13" ht="12.75">
      <c r="B23" s="2" t="s">
        <v>113</v>
      </c>
      <c r="C23" s="2" t="s">
        <v>135</v>
      </c>
      <c r="D23" s="2" t="s">
        <v>10</v>
      </c>
      <c r="E23" s="2" t="s">
        <v>35</v>
      </c>
      <c r="G23" s="10">
        <f>G21+(2*G22)</f>
        <v>3.595427153491669</v>
      </c>
      <c r="H23" s="10"/>
      <c r="I23" s="10">
        <f>I21+(2*I22)</f>
        <v>3.8638705290357676</v>
      </c>
      <c r="J23" s="10"/>
      <c r="K23" s="10">
        <f>K21+(2*K22)</f>
        <v>3.5844712607176876</v>
      </c>
      <c r="M23" s="10">
        <f>AVERAGE(K23,I23,G23)</f>
        <v>3.681256314415041</v>
      </c>
    </row>
    <row r="25" ht="12.75">
      <c r="K25" s="8" t="s">
        <v>54</v>
      </c>
    </row>
    <row r="26" spans="1:13" ht="12.75">
      <c r="A26" s="2">
        <v>11</v>
      </c>
      <c r="B26" s="1" t="s">
        <v>69</v>
      </c>
      <c r="C26" s="1" t="s">
        <v>110</v>
      </c>
      <c r="G26" s="8" t="s">
        <v>122</v>
      </c>
      <c r="H26" s="8"/>
      <c r="I26" s="8" t="s">
        <v>123</v>
      </c>
      <c r="J26" s="8"/>
      <c r="K26" s="8" t="s">
        <v>124</v>
      </c>
      <c r="L26" s="9"/>
      <c r="M26" s="8" t="s">
        <v>34</v>
      </c>
    </row>
    <row r="27" spans="2:12" ht="12.75">
      <c r="B27" s="1"/>
      <c r="C27" s="1"/>
      <c r="G27" s="8"/>
      <c r="H27" s="8"/>
      <c r="I27" s="8"/>
      <c r="J27" s="8"/>
      <c r="K27" s="8"/>
      <c r="L27" s="8"/>
    </row>
    <row r="28" spans="2:13" ht="12.75">
      <c r="B28" s="2" t="s">
        <v>2</v>
      </c>
      <c r="C28" s="2" t="s">
        <v>135</v>
      </c>
      <c r="D28" s="2" t="s">
        <v>9</v>
      </c>
      <c r="E28" s="2" t="s">
        <v>35</v>
      </c>
      <c r="G28" s="2">
        <v>0.0268</v>
      </c>
      <c r="I28" s="2">
        <v>0.0294</v>
      </c>
      <c r="K28" s="2">
        <v>0.0494</v>
      </c>
      <c r="M28" s="15">
        <v>0.0325</v>
      </c>
    </row>
    <row r="29" spans="2:13" ht="12.75">
      <c r="B29" s="2" t="s">
        <v>115</v>
      </c>
      <c r="C29" s="2" t="s">
        <v>135</v>
      </c>
      <c r="D29" s="2" t="s">
        <v>10</v>
      </c>
      <c r="E29" s="2" t="s">
        <v>35</v>
      </c>
      <c r="G29" s="2">
        <v>0.2</v>
      </c>
      <c r="I29" s="2">
        <v>0.2</v>
      </c>
      <c r="K29" s="2">
        <v>0.2</v>
      </c>
      <c r="M29" s="2">
        <v>0.2</v>
      </c>
    </row>
    <row r="30" spans="2:13" ht="12.75">
      <c r="B30" s="2" t="s">
        <v>114</v>
      </c>
      <c r="C30" s="2" t="s">
        <v>135</v>
      </c>
      <c r="D30" s="2" t="s">
        <v>10</v>
      </c>
      <c r="E30" s="2" t="s">
        <v>35</v>
      </c>
      <c r="G30" s="2">
        <v>0.2</v>
      </c>
      <c r="I30" s="2">
        <v>0.2</v>
      </c>
      <c r="K30" s="2">
        <v>0.2</v>
      </c>
      <c r="M30" s="2">
        <v>0.2</v>
      </c>
    </row>
    <row r="31" spans="2:13" ht="12.75">
      <c r="B31" s="2" t="s">
        <v>3</v>
      </c>
      <c r="D31" s="2" t="s">
        <v>10</v>
      </c>
      <c r="E31" s="2" t="s">
        <v>36</v>
      </c>
      <c r="G31" s="2">
        <v>1.78</v>
      </c>
      <c r="I31" s="2">
        <v>1.86</v>
      </c>
      <c r="K31" s="2">
        <v>2.17</v>
      </c>
      <c r="M31" s="10">
        <f>AVERAGE(K31,I31,G31)</f>
        <v>1.9366666666666668</v>
      </c>
    </row>
    <row r="32" spans="2:13" ht="12.75" customHeight="1">
      <c r="B32" s="2" t="s">
        <v>4</v>
      </c>
      <c r="D32" s="2" t="s">
        <v>10</v>
      </c>
      <c r="E32" s="2" t="s">
        <v>36</v>
      </c>
      <c r="G32" s="11">
        <v>0.08</v>
      </c>
      <c r="I32" s="11">
        <v>0.06</v>
      </c>
      <c r="K32" s="11">
        <v>0.07</v>
      </c>
      <c r="M32" s="10">
        <f>AVERAGE(K32,I32,G32)</f>
        <v>0.07</v>
      </c>
    </row>
    <row r="33" spans="2:13" ht="12.75">
      <c r="B33" s="2" t="s">
        <v>113</v>
      </c>
      <c r="D33" s="2" t="s">
        <v>10</v>
      </c>
      <c r="E33" s="2" t="s">
        <v>36</v>
      </c>
      <c r="G33" s="10">
        <f>G31+(2*G32)</f>
        <v>1.94</v>
      </c>
      <c r="H33" s="10"/>
      <c r="I33" s="10">
        <f>I31+(2*I32)</f>
        <v>1.98</v>
      </c>
      <c r="J33" s="10"/>
      <c r="K33" s="10">
        <f>K31+(2*K32)</f>
        <v>2.31</v>
      </c>
      <c r="M33" s="10">
        <f>AVERAGE(K33,I33,G33)</f>
        <v>2.0766666666666667</v>
      </c>
    </row>
    <row r="35" spans="2:4" ht="12.75">
      <c r="B35" s="2" t="s">
        <v>116</v>
      </c>
      <c r="C35" s="2" t="s">
        <v>109</v>
      </c>
      <c r="D35" s="2" t="s">
        <v>135</v>
      </c>
    </row>
    <row r="36" spans="2:13" ht="12.75">
      <c r="B36" s="2" t="s">
        <v>38</v>
      </c>
      <c r="D36" s="2" t="s">
        <v>14</v>
      </c>
      <c r="G36" s="2">
        <v>14027</v>
      </c>
      <c r="I36" s="2">
        <v>13822</v>
      </c>
      <c r="K36" s="2">
        <v>14258</v>
      </c>
      <c r="M36" s="13">
        <f>AVERAGE(K36,I36,G36)</f>
        <v>14035.666666666666</v>
      </c>
    </row>
    <row r="37" spans="2:13" ht="12.75">
      <c r="B37" s="2" t="s">
        <v>111</v>
      </c>
      <c r="D37" s="2" t="s">
        <v>15</v>
      </c>
      <c r="G37" s="2">
        <v>14.1</v>
      </c>
      <c r="I37" s="2">
        <v>13.6</v>
      </c>
      <c r="K37" s="2">
        <v>14</v>
      </c>
      <c r="M37" s="14">
        <f>AVERAGE(K37,I37,G37)</f>
        <v>13.9</v>
      </c>
    </row>
    <row r="38" spans="2:13" ht="12.75" customHeight="1">
      <c r="B38" s="2" t="s">
        <v>112</v>
      </c>
      <c r="D38" s="2" t="s">
        <v>15</v>
      </c>
      <c r="G38" s="2">
        <v>7.83</v>
      </c>
      <c r="I38" s="2">
        <v>8.16</v>
      </c>
      <c r="K38" s="2">
        <v>8.26</v>
      </c>
      <c r="M38" s="14">
        <f>AVERAGE(K38,I38,G38)</f>
        <v>8.083333333333334</v>
      </c>
    </row>
    <row r="39" spans="2:13" ht="12" customHeight="1">
      <c r="B39" s="2" t="s">
        <v>39</v>
      </c>
      <c r="D39" s="2" t="s">
        <v>16</v>
      </c>
      <c r="G39" s="2">
        <v>107</v>
      </c>
      <c r="I39" s="2">
        <v>109</v>
      </c>
      <c r="K39" s="2">
        <v>108</v>
      </c>
      <c r="M39" s="14">
        <f>AVERAGE(K39,I39,G39)</f>
        <v>108</v>
      </c>
    </row>
    <row r="41" spans="2:13" ht="12.75">
      <c r="B41" s="2" t="s">
        <v>3</v>
      </c>
      <c r="C41" s="2" t="s">
        <v>135</v>
      </c>
      <c r="D41" s="2" t="s">
        <v>10</v>
      </c>
      <c r="E41" s="2" t="s">
        <v>35</v>
      </c>
      <c r="G41" s="10">
        <f>G31*(21-7)/(21-G37)</f>
        <v>3.6115942028985506</v>
      </c>
      <c r="H41" s="10"/>
      <c r="I41" s="10">
        <f>I31*(21-7)/(21-I37)</f>
        <v>3.518918918918919</v>
      </c>
      <c r="J41" s="10"/>
      <c r="K41" s="10">
        <f>K31*(21-7)/(21-K37)</f>
        <v>4.34</v>
      </c>
      <c r="M41" s="10">
        <f>AVERAGE(K41,I41,G41)</f>
        <v>3.8235043739391563</v>
      </c>
    </row>
    <row r="42" spans="2:13" ht="12.75">
      <c r="B42" s="2" t="s">
        <v>4</v>
      </c>
      <c r="C42" s="2" t="s">
        <v>135</v>
      </c>
      <c r="D42" s="2" t="s">
        <v>10</v>
      </c>
      <c r="E42" s="2" t="s">
        <v>35</v>
      </c>
      <c r="G42" s="10">
        <f>G32*(21-7)/(21-G38)</f>
        <v>0.08504176157934701</v>
      </c>
      <c r="I42" s="10">
        <f>I32*(21-7)/(21-I38)</f>
        <v>0.06542056074766354</v>
      </c>
      <c r="K42" s="10">
        <f>K32*(21-7)/(21-K38)</f>
        <v>0.07692307692307693</v>
      </c>
      <c r="M42" s="10">
        <f>AVERAGE(K42,I42,G42)</f>
        <v>0.0757951330833625</v>
      </c>
    </row>
    <row r="43" spans="2:13" ht="12.75">
      <c r="B43" s="2" t="s">
        <v>113</v>
      </c>
      <c r="C43" s="2" t="s">
        <v>135</v>
      </c>
      <c r="D43" s="2" t="s">
        <v>10</v>
      </c>
      <c r="E43" s="2" t="s">
        <v>35</v>
      </c>
      <c r="G43" s="10">
        <f>G41+(2*G42)</f>
        <v>3.7816777260572447</v>
      </c>
      <c r="I43" s="10">
        <f>I41+(2*I42)</f>
        <v>3.649760040414246</v>
      </c>
      <c r="K43" s="10">
        <f>K41+(2*K42)</f>
        <v>4.493846153846154</v>
      </c>
      <c r="M43" s="10">
        <f>AVERAGE(K43,I43,G43)</f>
        <v>3.9750946401058815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8"/>
  <sheetViews>
    <sheetView zoomScale="75" zoomScaleNormal="75" workbookViewId="0" topLeftCell="G1">
      <selection activeCell="C18" sqref="C18"/>
    </sheetView>
  </sheetViews>
  <sheetFormatPr defaultColWidth="9.140625" defaultRowHeight="12.75"/>
  <cols>
    <col min="1" max="1" width="0.13671875" style="2" customWidth="1"/>
    <col min="2" max="2" width="25.7109375" style="2" customWidth="1"/>
    <col min="3" max="3" width="1.421875" style="2" customWidth="1"/>
    <col min="4" max="4" width="10.28125" style="2" customWidth="1"/>
    <col min="5" max="5" width="4.7109375" style="2" customWidth="1"/>
    <col min="6" max="6" width="14.140625" style="2" customWidth="1"/>
    <col min="7" max="7" width="4.57421875" style="2" customWidth="1"/>
    <col min="8" max="8" width="12.421875" style="2" customWidth="1"/>
    <col min="9" max="9" width="4.140625" style="2" customWidth="1"/>
    <col min="10" max="10" width="13.57421875" style="2" customWidth="1"/>
    <col min="11" max="11" width="4.00390625" style="2" customWidth="1"/>
    <col min="12" max="12" width="14.00390625" style="2" customWidth="1"/>
    <col min="13" max="13" width="4.140625" style="2" customWidth="1"/>
    <col min="14" max="14" width="13.28125" style="2" customWidth="1"/>
    <col min="15" max="15" width="3.140625" style="2" customWidth="1"/>
    <col min="16" max="16" width="13.00390625" style="2" customWidth="1"/>
    <col min="17" max="17" width="3.00390625" style="2" customWidth="1"/>
    <col min="18" max="18" width="13.7109375" style="2" customWidth="1"/>
    <col min="19" max="19" width="2.8515625" style="2" customWidth="1"/>
    <col min="20" max="20" width="12.140625" style="2" bestFit="1" customWidth="1"/>
    <col min="21" max="21" width="4.421875" style="2" customWidth="1"/>
    <col min="22" max="22" width="9.7109375" style="2" bestFit="1" customWidth="1"/>
    <col min="23" max="23" width="4.7109375" style="2" customWidth="1"/>
    <col min="24" max="24" width="12.00390625" style="2" customWidth="1"/>
    <col min="25" max="25" width="4.421875" style="2" customWidth="1"/>
    <col min="26" max="26" width="11.421875" style="2" customWidth="1"/>
    <col min="27" max="27" width="4.421875" style="2" customWidth="1"/>
    <col min="28" max="28" width="13.00390625" style="2" customWidth="1"/>
    <col min="29" max="16384" width="11.421875" style="2" customWidth="1"/>
  </cols>
  <sheetData>
    <row r="1" spans="2:3" ht="12.75">
      <c r="B1" s="1" t="s">
        <v>41</v>
      </c>
      <c r="C1" s="1"/>
    </row>
    <row r="2" ht="12.75" customHeight="1"/>
    <row r="3" ht="12.75" customHeight="1">
      <c r="U3" s="8"/>
    </row>
    <row r="4" spans="1:28" ht="12.75">
      <c r="A4" s="2" t="s">
        <v>117</v>
      </c>
      <c r="B4" s="1" t="s">
        <v>68</v>
      </c>
      <c r="C4" s="1"/>
      <c r="F4" s="2" t="s">
        <v>122</v>
      </c>
      <c r="H4" s="2" t="s">
        <v>123</v>
      </c>
      <c r="J4" s="2" t="s">
        <v>124</v>
      </c>
      <c r="L4" s="2" t="s">
        <v>34</v>
      </c>
      <c r="N4" s="2" t="s">
        <v>122</v>
      </c>
      <c r="P4" s="2" t="s">
        <v>123</v>
      </c>
      <c r="R4" s="2" t="s">
        <v>124</v>
      </c>
      <c r="T4" s="2" t="s">
        <v>34</v>
      </c>
      <c r="U4" s="8"/>
      <c r="V4" s="2" t="s">
        <v>122</v>
      </c>
      <c r="X4" s="2" t="s">
        <v>123</v>
      </c>
      <c r="Z4" s="2" t="s">
        <v>124</v>
      </c>
      <c r="AB4" s="2" t="s">
        <v>34</v>
      </c>
    </row>
    <row r="5" ht="12.75" customHeight="1"/>
    <row r="6" spans="2:28" ht="12.75" customHeight="1">
      <c r="B6" s="2" t="s">
        <v>144</v>
      </c>
      <c r="F6" s="2" t="s">
        <v>145</v>
      </c>
      <c r="H6" s="2" t="s">
        <v>145</v>
      </c>
      <c r="J6" s="2" t="s">
        <v>145</v>
      </c>
      <c r="L6" s="2" t="s">
        <v>145</v>
      </c>
      <c r="N6" s="2" t="s">
        <v>147</v>
      </c>
      <c r="P6" s="2" t="s">
        <v>147</v>
      </c>
      <c r="R6" s="2" t="s">
        <v>147</v>
      </c>
      <c r="T6" s="2" t="s">
        <v>147</v>
      </c>
      <c r="V6" s="2" t="s">
        <v>148</v>
      </c>
      <c r="X6" s="2" t="s">
        <v>148</v>
      </c>
      <c r="Z6" s="2" t="s">
        <v>148</v>
      </c>
      <c r="AB6" s="2" t="s">
        <v>148</v>
      </c>
    </row>
    <row r="7" spans="2:28" ht="12.75" customHeight="1">
      <c r="B7" s="2" t="s">
        <v>143</v>
      </c>
      <c r="F7" s="2" t="s">
        <v>146</v>
      </c>
      <c r="H7" s="2" t="s">
        <v>146</v>
      </c>
      <c r="J7" s="2" t="s">
        <v>146</v>
      </c>
      <c r="L7" s="2" t="s">
        <v>146</v>
      </c>
      <c r="N7" s="2" t="s">
        <v>12</v>
      </c>
      <c r="P7" s="2" t="s">
        <v>12</v>
      </c>
      <c r="R7" s="2" t="s">
        <v>12</v>
      </c>
      <c r="T7" s="2" t="s">
        <v>12</v>
      </c>
      <c r="V7" s="2" t="s">
        <v>126</v>
      </c>
      <c r="X7" s="2" t="s">
        <v>126</v>
      </c>
      <c r="Z7" s="2" t="s">
        <v>126</v>
      </c>
      <c r="AB7" s="2" t="s">
        <v>126</v>
      </c>
    </row>
    <row r="8" spans="2:28" ht="12.75" customHeight="1">
      <c r="B8" s="2" t="s">
        <v>150</v>
      </c>
      <c r="F8" s="2" t="s">
        <v>1</v>
      </c>
      <c r="H8" s="2" t="s">
        <v>1</v>
      </c>
      <c r="J8" s="2" t="s">
        <v>1</v>
      </c>
      <c r="L8" s="2" t="s">
        <v>1</v>
      </c>
      <c r="N8" s="2" t="s">
        <v>12</v>
      </c>
      <c r="P8" s="2" t="s">
        <v>12</v>
      </c>
      <c r="R8" s="2" t="s">
        <v>12</v>
      </c>
      <c r="T8" s="2" t="s">
        <v>12</v>
      </c>
      <c r="V8" s="2" t="s">
        <v>126</v>
      </c>
      <c r="X8" s="2" t="s">
        <v>126</v>
      </c>
      <c r="Z8" s="2" t="s">
        <v>126</v>
      </c>
      <c r="AB8" s="2" t="s">
        <v>126</v>
      </c>
    </row>
    <row r="9" spans="2:28" ht="12.75">
      <c r="B9" s="2" t="s">
        <v>120</v>
      </c>
      <c r="F9" s="11" t="s">
        <v>72</v>
      </c>
      <c r="H9" s="11" t="s">
        <v>72</v>
      </c>
      <c r="J9" s="11" t="s">
        <v>72</v>
      </c>
      <c r="L9" s="11" t="s">
        <v>72</v>
      </c>
      <c r="M9" s="11"/>
      <c r="N9" s="11" t="s">
        <v>12</v>
      </c>
      <c r="O9" s="11"/>
      <c r="P9" s="11" t="s">
        <v>12</v>
      </c>
      <c r="Q9" s="11"/>
      <c r="R9" s="11" t="s">
        <v>12</v>
      </c>
      <c r="S9" s="11"/>
      <c r="T9" s="11" t="s">
        <v>12</v>
      </c>
      <c r="V9" s="2" t="s">
        <v>126</v>
      </c>
      <c r="X9" s="2" t="s">
        <v>126</v>
      </c>
      <c r="Z9" s="2" t="s">
        <v>126</v>
      </c>
      <c r="AB9" s="2" t="s">
        <v>126</v>
      </c>
    </row>
    <row r="10" spans="2:28" ht="12.75">
      <c r="B10" s="2" t="s">
        <v>119</v>
      </c>
      <c r="D10" s="2" t="s">
        <v>42</v>
      </c>
      <c r="F10" s="13">
        <v>877100</v>
      </c>
      <c r="G10" s="13"/>
      <c r="H10" s="13">
        <v>897900</v>
      </c>
      <c r="I10" s="13"/>
      <c r="J10" s="13">
        <v>873300</v>
      </c>
      <c r="L10" s="16">
        <v>882800</v>
      </c>
      <c r="M10" s="16"/>
      <c r="N10" s="16">
        <v>93900</v>
      </c>
      <c r="O10" s="16"/>
      <c r="P10" s="16">
        <v>93880</v>
      </c>
      <c r="Q10" s="16"/>
      <c r="R10" s="16">
        <v>93880</v>
      </c>
      <c r="S10" s="16"/>
      <c r="T10" s="13">
        <f>AVERAGE(R10,P10,N10)</f>
        <v>93886.66666666667</v>
      </c>
      <c r="V10" s="14">
        <f>SUM(N10,F10)</f>
        <v>971000</v>
      </c>
      <c r="X10" s="14">
        <f>SUM(P10,H10)</f>
        <v>991780</v>
      </c>
      <c r="Z10" s="14">
        <f>SUM(R10,J10)</f>
        <v>967180</v>
      </c>
      <c r="AB10" s="14">
        <f>AVERAGE(V10,X10,Z10)</f>
        <v>976653.3333333334</v>
      </c>
    </row>
    <row r="11" spans="2:28" ht="12.75">
      <c r="B11" s="2" t="s">
        <v>118</v>
      </c>
      <c r="D11" s="2" t="s">
        <v>74</v>
      </c>
      <c r="F11" s="2">
        <v>37.7</v>
      </c>
      <c r="H11" s="2">
        <v>38.6</v>
      </c>
      <c r="J11" s="2">
        <v>37.5</v>
      </c>
      <c r="L11" s="14">
        <v>40.7</v>
      </c>
      <c r="M11" s="14"/>
      <c r="N11" s="14">
        <v>2.08</v>
      </c>
      <c r="O11" s="14"/>
      <c r="P11" s="14">
        <v>2.08</v>
      </c>
      <c r="Q11" s="14"/>
      <c r="R11" s="14">
        <v>2.08</v>
      </c>
      <c r="S11" s="14"/>
      <c r="T11" s="14">
        <f>AVERAGE(N11,P11,R11)</f>
        <v>2.08</v>
      </c>
      <c r="V11" s="14">
        <f>SUM(N11,F11)</f>
        <v>39.78</v>
      </c>
      <c r="X11" s="14">
        <f>SUM(P11,H11)</f>
        <v>40.68</v>
      </c>
      <c r="Z11" s="14">
        <f>SUM(R11,J11)</f>
        <v>39.58</v>
      </c>
      <c r="AB11" s="14">
        <f>AVERAGE(V11,X11,Z11)</f>
        <v>40.013333333333335</v>
      </c>
    </row>
    <row r="12" spans="2:20" ht="12.75">
      <c r="B12" s="2" t="s">
        <v>149</v>
      </c>
      <c r="D12" s="2" t="s">
        <v>43</v>
      </c>
      <c r="F12" s="13">
        <f>F11*1000000/F10*454</f>
        <v>19514.080492532208</v>
      </c>
      <c r="H12" s="13">
        <f>H11*1000000/H10*454</f>
        <v>19517.09544492705</v>
      </c>
      <c r="J12" s="13">
        <f>J11*1000000/J10*454</f>
        <v>19495.01889385091</v>
      </c>
      <c r="L12" s="13">
        <f>L11*1000000/L10*454</f>
        <v>20930.901676483914</v>
      </c>
      <c r="M12" s="13"/>
      <c r="N12" s="13">
        <f>N11*1000000/N10*454</f>
        <v>10056.656017039402</v>
      </c>
      <c r="P12" s="13">
        <f>P11*1000000/P10*454</f>
        <v>10058.798466126971</v>
      </c>
      <c r="R12" s="13">
        <f>R11*1000000/R10*454</f>
        <v>10058.798466126971</v>
      </c>
      <c r="T12" s="13">
        <f>T11*1000000/T10*454</f>
        <v>10058.084215011006</v>
      </c>
    </row>
    <row r="13" spans="2:20" ht="12.75">
      <c r="B13" s="2" t="s">
        <v>7</v>
      </c>
      <c r="D13" s="2" t="s">
        <v>42</v>
      </c>
      <c r="F13" s="2">
        <v>11753</v>
      </c>
      <c r="H13" s="2">
        <v>9967</v>
      </c>
      <c r="J13" s="2">
        <v>5939</v>
      </c>
      <c r="L13" s="13">
        <f>38660-T13</f>
        <v>9260</v>
      </c>
      <c r="M13" s="13"/>
      <c r="N13" s="13">
        <v>29443</v>
      </c>
      <c r="O13" s="13"/>
      <c r="P13" s="13">
        <v>29439</v>
      </c>
      <c r="Q13" s="13"/>
      <c r="R13" s="13">
        <v>29439</v>
      </c>
      <c r="S13" s="13"/>
      <c r="T13" s="2">
        <v>29400</v>
      </c>
    </row>
    <row r="14" spans="2:20" ht="12.75">
      <c r="B14" s="2" t="s">
        <v>44</v>
      </c>
      <c r="D14" s="2" t="s">
        <v>42</v>
      </c>
      <c r="F14" s="2">
        <v>26</v>
      </c>
      <c r="H14" s="2">
        <v>50</v>
      </c>
      <c r="J14" s="2">
        <v>30</v>
      </c>
      <c r="L14" s="2">
        <f>15932-T14</f>
        <v>32</v>
      </c>
      <c r="N14" s="2">
        <v>15903</v>
      </c>
      <c r="P14" s="2">
        <v>15894</v>
      </c>
      <c r="R14" s="2">
        <v>15894</v>
      </c>
      <c r="T14" s="2">
        <v>15900</v>
      </c>
    </row>
    <row r="15" spans="2:12" ht="12.75">
      <c r="B15" s="2" t="s">
        <v>88</v>
      </c>
      <c r="D15" s="2" t="s">
        <v>42</v>
      </c>
      <c r="F15" s="2">
        <v>2.693</v>
      </c>
      <c r="H15" s="2">
        <v>1.688</v>
      </c>
      <c r="J15" s="2">
        <v>1.31</v>
      </c>
      <c r="L15" s="2">
        <v>1.897</v>
      </c>
    </row>
    <row r="16" spans="2:12" ht="12.75">
      <c r="B16" s="2" t="s">
        <v>89</v>
      </c>
      <c r="D16" s="2" t="s">
        <v>42</v>
      </c>
      <c r="F16" s="2">
        <v>0.088</v>
      </c>
      <c r="G16" s="2" t="s">
        <v>37</v>
      </c>
      <c r="H16" s="2">
        <v>0.09</v>
      </c>
      <c r="I16" s="2" t="s">
        <v>37</v>
      </c>
      <c r="J16" s="2">
        <v>0.087</v>
      </c>
      <c r="K16" s="2" t="s">
        <v>37</v>
      </c>
      <c r="L16" s="2">
        <v>0.088</v>
      </c>
    </row>
    <row r="17" spans="2:12" ht="12.75">
      <c r="B17" s="2" t="s">
        <v>90</v>
      </c>
      <c r="D17" s="2" t="s">
        <v>42</v>
      </c>
      <c r="F17" s="2">
        <v>0.746</v>
      </c>
      <c r="H17" s="2">
        <v>0.216</v>
      </c>
      <c r="J17" s="2">
        <v>0.157</v>
      </c>
      <c r="L17" s="18">
        <f>AVERAGE(J17,H17,F17)</f>
        <v>0.373</v>
      </c>
    </row>
    <row r="18" spans="2:12" ht="12.75">
      <c r="B18" s="2" t="s">
        <v>91</v>
      </c>
      <c r="D18" s="2" t="s">
        <v>42</v>
      </c>
      <c r="F18" s="2">
        <v>1.237</v>
      </c>
      <c r="H18" s="2">
        <v>0.988</v>
      </c>
      <c r="J18" s="2">
        <v>0.707</v>
      </c>
      <c r="L18" s="18">
        <f aca="true" t="shared" si="0" ref="L18:L24">AVERAGE(J18,H18,F18)</f>
        <v>0.9773333333333333</v>
      </c>
    </row>
    <row r="19" spans="2:12" ht="12.75">
      <c r="B19" s="2" t="s">
        <v>92</v>
      </c>
      <c r="D19" s="2" t="s">
        <v>42</v>
      </c>
      <c r="F19" s="2">
        <v>0.132</v>
      </c>
      <c r="H19" s="2">
        <v>0.09</v>
      </c>
      <c r="J19" s="2">
        <v>0.087</v>
      </c>
      <c r="K19" s="2" t="s">
        <v>37</v>
      </c>
      <c r="L19" s="18">
        <f t="shared" si="0"/>
        <v>0.103</v>
      </c>
    </row>
    <row r="20" spans="2:12" ht="12.75">
      <c r="B20" s="2" t="s">
        <v>93</v>
      </c>
      <c r="D20" s="2" t="s">
        <v>42</v>
      </c>
      <c r="F20" s="2">
        <v>0.465</v>
      </c>
      <c r="H20" s="2">
        <v>0.242</v>
      </c>
      <c r="J20" s="2">
        <v>0.218</v>
      </c>
      <c r="L20" s="18">
        <f t="shared" si="0"/>
        <v>0.30833333333333335</v>
      </c>
    </row>
    <row r="21" spans="2:12" ht="12.75">
      <c r="B21" s="2" t="s">
        <v>94</v>
      </c>
      <c r="D21" s="2" t="s">
        <v>42</v>
      </c>
      <c r="E21" s="2" t="s">
        <v>37</v>
      </c>
      <c r="F21" s="2">
        <v>0.088</v>
      </c>
      <c r="G21" s="2" t="s">
        <v>37</v>
      </c>
      <c r="H21" s="2">
        <v>0.09</v>
      </c>
      <c r="I21" s="2" t="s">
        <v>37</v>
      </c>
      <c r="J21" s="2">
        <v>0.087</v>
      </c>
      <c r="K21" s="2" t="s">
        <v>37</v>
      </c>
      <c r="L21" s="18">
        <f t="shared" si="0"/>
        <v>0.08833333333333333</v>
      </c>
    </row>
    <row r="22" spans="2:12" ht="12.75">
      <c r="B22" s="2" t="s">
        <v>95</v>
      </c>
      <c r="D22" s="2" t="s">
        <v>42</v>
      </c>
      <c r="F22" s="2">
        <v>0.061</v>
      </c>
      <c r="H22" s="2">
        <v>0.045</v>
      </c>
      <c r="J22" s="2">
        <v>0.007</v>
      </c>
      <c r="L22" s="18">
        <f t="shared" si="0"/>
        <v>0.03766666666666666</v>
      </c>
    </row>
    <row r="23" spans="2:12" ht="12.75">
      <c r="B23" s="2" t="s">
        <v>96</v>
      </c>
      <c r="D23" s="2" t="s">
        <v>42</v>
      </c>
      <c r="F23" s="2">
        <v>0.474</v>
      </c>
      <c r="H23" s="2">
        <v>0.368</v>
      </c>
      <c r="J23" s="2">
        <v>0.271</v>
      </c>
      <c r="L23" s="18">
        <f t="shared" si="0"/>
        <v>0.371</v>
      </c>
    </row>
    <row r="24" spans="2:12" ht="12.75">
      <c r="B24" s="2" t="s">
        <v>97</v>
      </c>
      <c r="D24" s="2" t="s">
        <v>42</v>
      </c>
      <c r="F24" s="2">
        <v>1</v>
      </c>
      <c r="H24" s="2">
        <v>0.638</v>
      </c>
      <c r="J24" s="2">
        <v>0.48</v>
      </c>
      <c r="L24" s="18">
        <f t="shared" si="0"/>
        <v>0.706</v>
      </c>
    </row>
    <row r="26" spans="2:28" ht="12.75">
      <c r="B26" s="2" t="s">
        <v>45</v>
      </c>
      <c r="D26" s="2" t="s">
        <v>14</v>
      </c>
      <c r="F26" s="14">
        <f>emiss!$G$16</f>
        <v>22386</v>
      </c>
      <c r="H26" s="14">
        <f>emiss!$I$16</f>
        <v>21879</v>
      </c>
      <c r="J26" s="14">
        <f>emiss!$K$16</f>
        <v>22499</v>
      </c>
      <c r="L26" s="14">
        <f>emiss!$M$16</f>
        <v>22254.666666666668</v>
      </c>
      <c r="M26" s="14"/>
      <c r="N26" s="14">
        <f>emiss!$G$16</f>
        <v>22386</v>
      </c>
      <c r="P26" s="14">
        <f>emiss!$I$16</f>
        <v>21879</v>
      </c>
      <c r="R26" s="14">
        <f>emiss!$K$16</f>
        <v>22499</v>
      </c>
      <c r="T26" s="14">
        <f>emiss!$M$16</f>
        <v>22254.666666666668</v>
      </c>
      <c r="V26" s="14">
        <f>F26</f>
        <v>22386</v>
      </c>
      <c r="X26" s="14">
        <f>H26</f>
        <v>21879</v>
      </c>
      <c r="Z26" s="14">
        <f>J26</f>
        <v>22499</v>
      </c>
      <c r="AB26" s="14">
        <f>L26</f>
        <v>22254.666666666668</v>
      </c>
    </row>
    <row r="27" spans="2:28" ht="12.75">
      <c r="B27" s="2" t="s">
        <v>8</v>
      </c>
      <c r="D27" s="2" t="s">
        <v>15</v>
      </c>
      <c r="F27" s="14">
        <f>emiss!$G$17</f>
        <v>11.2</v>
      </c>
      <c r="H27" s="14">
        <f>emiss!$I$17</f>
        <v>11.5</v>
      </c>
      <c r="J27" s="14">
        <f>emiss!$K$17</f>
        <v>11.6</v>
      </c>
      <c r="L27" s="14">
        <f>emiss!$M$17</f>
        <v>11.433333333333332</v>
      </c>
      <c r="M27" s="14"/>
      <c r="N27" s="14">
        <f>emiss!$G$17</f>
        <v>11.2</v>
      </c>
      <c r="P27" s="14">
        <f>emiss!$I$17</f>
        <v>11.5</v>
      </c>
      <c r="R27" s="14">
        <f>emiss!$K$17</f>
        <v>11.6</v>
      </c>
      <c r="T27" s="14">
        <f>emiss!$M$17</f>
        <v>11.433333333333332</v>
      </c>
      <c r="V27" s="14">
        <f>F27</f>
        <v>11.2</v>
      </c>
      <c r="X27" s="14">
        <f>H27</f>
        <v>11.5</v>
      </c>
      <c r="Z27" s="14">
        <f>J27</f>
        <v>11.6</v>
      </c>
      <c r="AB27" s="14">
        <f>L27</f>
        <v>11.433333333333332</v>
      </c>
    </row>
    <row r="28" ht="12.75" customHeight="1"/>
    <row r="29" spans="2:28" ht="12.75">
      <c r="B29" s="2" t="s">
        <v>151</v>
      </c>
      <c r="D29" s="2" t="s">
        <v>74</v>
      </c>
      <c r="F29" s="14"/>
      <c r="H29" s="14"/>
      <c r="J29" s="14"/>
      <c r="L29" s="14"/>
      <c r="M29" s="14"/>
      <c r="N29" s="14"/>
      <c r="O29" s="14"/>
      <c r="P29" s="14"/>
      <c r="Q29" s="14"/>
      <c r="R29" s="14"/>
      <c r="S29" s="14"/>
      <c r="V29" s="13"/>
      <c r="AB29" s="14">
        <f>AB26/9000*(21-AB27)/21*60</f>
        <v>67.58824691358025</v>
      </c>
    </row>
    <row r="30" spans="6:22" ht="12.75">
      <c r="F30" s="14"/>
      <c r="H30" s="14"/>
      <c r="J30" s="14"/>
      <c r="L30" s="14"/>
      <c r="M30" s="14"/>
      <c r="N30" s="14"/>
      <c r="O30" s="14"/>
      <c r="P30" s="14"/>
      <c r="Q30" s="14"/>
      <c r="R30" s="14"/>
      <c r="S30" s="14"/>
      <c r="V30" s="13"/>
    </row>
    <row r="31" spans="2:22" ht="12.75">
      <c r="B31" s="17" t="s">
        <v>75</v>
      </c>
      <c r="F31" s="14"/>
      <c r="H31" s="14"/>
      <c r="J31" s="14"/>
      <c r="L31" s="14"/>
      <c r="M31" s="14"/>
      <c r="N31" s="14"/>
      <c r="O31" s="14"/>
      <c r="P31" s="14"/>
      <c r="Q31" s="14"/>
      <c r="R31" s="14"/>
      <c r="S31" s="14"/>
      <c r="V31" s="13"/>
    </row>
    <row r="32" spans="2:28" ht="12.75">
      <c r="B32" s="2" t="s">
        <v>7</v>
      </c>
      <c r="D32" s="2" t="s">
        <v>13</v>
      </c>
      <c r="F32" s="13">
        <f>F13*1000/60/(F26/35.31)*14/(21-F$27)</f>
        <v>441.3881443759493</v>
      </c>
      <c r="H32" s="13">
        <f>H13*1000/60/(H26/35.31)*14/(21-H$27)</f>
        <v>395.0825858008521</v>
      </c>
      <c r="J32" s="13">
        <f>J13*1000/60/(J26/35.31)*14/(21-J$27)</f>
        <v>231.36451927414268</v>
      </c>
      <c r="K32" s="2">
        <f aca="true" t="shared" si="1" ref="K32:K43">AVERAGE(E32*F32,G32*H32,I32*J32)/L32</f>
        <v>0</v>
      </c>
      <c r="L32" s="13">
        <f>AVERAGE(F32,H32,J32)</f>
        <v>355.9450831503147</v>
      </c>
      <c r="M32" s="13"/>
      <c r="N32" s="13">
        <f>N13*1000/60/(N26/35.31)*14/(21-N$27)</f>
        <v>1105.7424602111014</v>
      </c>
      <c r="P32" s="13">
        <f>P13*1000/60/(P26/35.31)*14/(21-P$27)</f>
        <v>1166.934508216242</v>
      </c>
      <c r="R32" s="13">
        <f>R13*1000/60/(R26/35.31)*14/(21-R$27)</f>
        <v>1146.849651946706</v>
      </c>
      <c r="T32" s="13">
        <f>T13*1000/60/(T26/35.31)*14/(21-T$27)</f>
        <v>1137.7323254390053</v>
      </c>
      <c r="V32" s="14">
        <f>SUM(N32,F32)</f>
        <v>1547.1306045870506</v>
      </c>
      <c r="W32" s="14"/>
      <c r="X32" s="14">
        <f>SUM(P32,H32)</f>
        <v>1562.017094017094</v>
      </c>
      <c r="Y32" s="14"/>
      <c r="Z32" s="14">
        <f>SUM(R32,J32)</f>
        <v>1378.2141712208486</v>
      </c>
      <c r="AA32" s="14"/>
      <c r="AB32" s="14">
        <f>AVERAGE(Z32,X32,V32)</f>
        <v>1495.7872899416643</v>
      </c>
    </row>
    <row r="33" spans="2:28" ht="12.75">
      <c r="B33" s="2" t="s">
        <v>44</v>
      </c>
      <c r="D33" s="2" t="s">
        <v>11</v>
      </c>
      <c r="F33" s="13">
        <f aca="true" t="shared" si="2" ref="F33:F43">F14*1000000/60/F$26/0.0283*14/(21-F$27)</f>
        <v>977.1497440942534</v>
      </c>
      <c r="H33" s="13">
        <f aca="true" t="shared" si="3" ref="H33:H43">H14*1000000/60/H$26/0.0283*14/(21-H$27)</f>
        <v>1983.3953035278944</v>
      </c>
      <c r="J33" s="13">
        <f aca="true" t="shared" si="4" ref="J33:J43">J14*1000000/60/J$26/0.0283*14/(21-J$27)</f>
        <v>1169.5546909486984</v>
      </c>
      <c r="K33" s="2">
        <f t="shared" si="1"/>
        <v>0</v>
      </c>
      <c r="L33" s="13">
        <f aca="true" t="shared" si="5" ref="L33:L46">AVERAGE(F33,H33,J33)</f>
        <v>1376.6999128569487</v>
      </c>
      <c r="M33" s="13"/>
      <c r="N33" s="13">
        <f>N14*1000000/60/N$26/0.0283*14/(21-N$27)</f>
        <v>597677.3992434967</v>
      </c>
      <c r="P33" s="13">
        <f>P14*1000000/60/P$26/0.0283*14/(21-P$27)</f>
        <v>630481.6990854471</v>
      </c>
      <c r="R33" s="13">
        <f>R14*1000000/60/R$26/0.0283*14/(21-R$27)</f>
        <v>619630.0752646205</v>
      </c>
      <c r="T33" s="14">
        <f>AVERAGE(R33,P33,N33)</f>
        <v>615929.7245311881</v>
      </c>
      <c r="U33" s="13"/>
      <c r="V33" s="14">
        <f>SUM(N33,F33)</f>
        <v>598654.5489875909</v>
      </c>
      <c r="W33" s="14"/>
      <c r="X33" s="14">
        <f>SUM(P33,H33)</f>
        <v>632465.0943889751</v>
      </c>
      <c r="Y33" s="14"/>
      <c r="Z33" s="14">
        <f>SUM(R33,J33)</f>
        <v>620799.6299555692</v>
      </c>
      <c r="AA33" s="14"/>
      <c r="AB33" s="14">
        <f>AVERAGE(Z33,X33,V33)</f>
        <v>617306.424444045</v>
      </c>
    </row>
    <row r="34" spans="2:28" ht="12.75">
      <c r="B34" s="2" t="s">
        <v>88</v>
      </c>
      <c r="D34" s="2" t="s">
        <v>11</v>
      </c>
      <c r="F34" s="13">
        <f t="shared" si="2"/>
        <v>101.21016387868556</v>
      </c>
      <c r="H34" s="13">
        <f t="shared" si="3"/>
        <v>66.95942544710171</v>
      </c>
      <c r="J34" s="13">
        <f t="shared" si="4"/>
        <v>51.07055483809315</v>
      </c>
      <c r="K34" s="2">
        <f t="shared" si="1"/>
        <v>0</v>
      </c>
      <c r="L34" s="13">
        <f t="shared" si="5"/>
        <v>73.08004805462681</v>
      </c>
      <c r="M34" s="14"/>
      <c r="N34" s="14"/>
      <c r="O34" s="14"/>
      <c r="P34" s="14"/>
      <c r="Q34" s="14"/>
      <c r="R34" s="14"/>
      <c r="S34" s="14"/>
      <c r="U34" s="2">
        <f>E34</f>
        <v>0</v>
      </c>
      <c r="V34" s="14">
        <f>SUM(N34,F34)</f>
        <v>101.21016387868556</v>
      </c>
      <c r="W34" s="2">
        <f>G34</f>
        <v>0</v>
      </c>
      <c r="X34" s="14">
        <f>SUM(P34,H34)</f>
        <v>66.95942544710171</v>
      </c>
      <c r="Y34" s="2">
        <f>I34</f>
        <v>0</v>
      </c>
      <c r="Z34" s="14">
        <f>SUM(R34,J34)</f>
        <v>51.07055483809315</v>
      </c>
      <c r="AA34" s="2">
        <f>K34</f>
        <v>0</v>
      </c>
      <c r="AB34" s="14">
        <f aca="true" t="shared" si="6" ref="AB34:AB43">AVERAGE(Z34,X34,V34)</f>
        <v>73.0800480546268</v>
      </c>
    </row>
    <row r="35" spans="2:28" ht="12.75">
      <c r="B35" s="2" t="s">
        <v>89</v>
      </c>
      <c r="D35" s="2" t="s">
        <v>11</v>
      </c>
      <c r="F35" s="13">
        <f t="shared" si="2"/>
        <v>3.3072760569343966</v>
      </c>
      <c r="G35" s="2">
        <v>100</v>
      </c>
      <c r="H35" s="13">
        <f t="shared" si="3"/>
        <v>3.57011154635021</v>
      </c>
      <c r="I35" s="2">
        <v>100</v>
      </c>
      <c r="J35" s="13">
        <f t="shared" si="4"/>
        <v>3.391708603751225</v>
      </c>
      <c r="K35" s="2">
        <f t="shared" si="1"/>
        <v>67.79389353983821</v>
      </c>
      <c r="L35" s="13">
        <f t="shared" si="5"/>
        <v>3.423032069011944</v>
      </c>
      <c r="M35" s="14"/>
      <c r="N35" s="14"/>
      <c r="O35" s="14"/>
      <c r="P35" s="14"/>
      <c r="Q35" s="14"/>
      <c r="R35" s="14"/>
      <c r="S35" s="14"/>
      <c r="U35" s="2">
        <f aca="true" t="shared" si="7" ref="U35:AA43">E35</f>
        <v>0</v>
      </c>
      <c r="V35" s="14">
        <f aca="true" t="shared" si="8" ref="V35:V43">SUM(N35,F35)</f>
        <v>3.3072760569343966</v>
      </c>
      <c r="W35" s="2">
        <f t="shared" si="7"/>
        <v>100</v>
      </c>
      <c r="X35" s="14">
        <f aca="true" t="shared" si="9" ref="X35:X43">SUM(P35,H35)</f>
        <v>3.57011154635021</v>
      </c>
      <c r="Y35" s="2">
        <f t="shared" si="7"/>
        <v>100</v>
      </c>
      <c r="Z35" s="14">
        <f aca="true" t="shared" si="10" ref="Z35:Z43">SUM(R35,J35)</f>
        <v>3.391708603751225</v>
      </c>
      <c r="AA35" s="2">
        <f t="shared" si="7"/>
        <v>67.79389353983821</v>
      </c>
      <c r="AB35" s="14">
        <f t="shared" si="6"/>
        <v>3.423032069011944</v>
      </c>
    </row>
    <row r="36" spans="2:28" ht="12.75">
      <c r="B36" s="2" t="s">
        <v>90</v>
      </c>
      <c r="D36" s="2" t="s">
        <v>11</v>
      </c>
      <c r="F36" s="13">
        <f t="shared" si="2"/>
        <v>28.036681119012044</v>
      </c>
      <c r="H36" s="13">
        <f t="shared" si="3"/>
        <v>8.568267711240503</v>
      </c>
      <c r="J36" s="13">
        <f t="shared" si="4"/>
        <v>6.120669549298188</v>
      </c>
      <c r="K36" s="2">
        <f t="shared" si="1"/>
        <v>0</v>
      </c>
      <c r="L36" s="13">
        <f t="shared" si="5"/>
        <v>14.241872793183576</v>
      </c>
      <c r="M36" s="14"/>
      <c r="N36" s="14"/>
      <c r="O36" s="14"/>
      <c r="P36" s="14"/>
      <c r="Q36" s="14"/>
      <c r="R36" s="14"/>
      <c r="S36" s="14"/>
      <c r="U36" s="2">
        <f t="shared" si="7"/>
        <v>0</v>
      </c>
      <c r="V36" s="14">
        <f t="shared" si="8"/>
        <v>28.036681119012044</v>
      </c>
      <c r="W36" s="2">
        <f t="shared" si="7"/>
        <v>0</v>
      </c>
      <c r="X36" s="14">
        <f t="shared" si="9"/>
        <v>8.568267711240503</v>
      </c>
      <c r="Y36" s="2">
        <f t="shared" si="7"/>
        <v>0</v>
      </c>
      <c r="Z36" s="14">
        <f t="shared" si="10"/>
        <v>6.120669549298188</v>
      </c>
      <c r="AA36" s="2">
        <f t="shared" si="7"/>
        <v>0</v>
      </c>
      <c r="AB36" s="14">
        <f t="shared" si="6"/>
        <v>14.24187279318358</v>
      </c>
    </row>
    <row r="37" spans="2:28" ht="12.75">
      <c r="B37" s="2" t="s">
        <v>91</v>
      </c>
      <c r="D37" s="2" t="s">
        <v>11</v>
      </c>
      <c r="F37" s="13">
        <f t="shared" si="2"/>
        <v>46.48977820940737</v>
      </c>
      <c r="H37" s="13">
        <f t="shared" si="3"/>
        <v>39.1918911977112</v>
      </c>
      <c r="J37" s="13">
        <f t="shared" si="4"/>
        <v>27.562505550024326</v>
      </c>
      <c r="K37" s="2">
        <f t="shared" si="1"/>
        <v>0</v>
      </c>
      <c r="L37" s="13">
        <f t="shared" si="5"/>
        <v>37.74805831904763</v>
      </c>
      <c r="M37" s="14"/>
      <c r="N37" s="14"/>
      <c r="O37" s="14"/>
      <c r="P37" s="14"/>
      <c r="Q37" s="14"/>
      <c r="R37" s="14"/>
      <c r="S37" s="14"/>
      <c r="U37" s="2">
        <f t="shared" si="7"/>
        <v>0</v>
      </c>
      <c r="V37" s="14">
        <f t="shared" si="8"/>
        <v>46.48977820940737</v>
      </c>
      <c r="W37" s="2">
        <f t="shared" si="7"/>
        <v>0</v>
      </c>
      <c r="X37" s="14">
        <f t="shared" si="9"/>
        <v>39.1918911977112</v>
      </c>
      <c r="Y37" s="2">
        <f t="shared" si="7"/>
        <v>0</v>
      </c>
      <c r="Z37" s="14">
        <f t="shared" si="10"/>
        <v>27.562505550024326</v>
      </c>
      <c r="AA37" s="2">
        <f t="shared" si="7"/>
        <v>0</v>
      </c>
      <c r="AB37" s="14">
        <f t="shared" si="6"/>
        <v>37.74805831904763</v>
      </c>
    </row>
    <row r="38" spans="2:28" ht="12.75">
      <c r="B38" s="2" t="s">
        <v>92</v>
      </c>
      <c r="D38" s="2" t="s">
        <v>11</v>
      </c>
      <c r="F38" s="13">
        <f t="shared" si="2"/>
        <v>4.960914085401594</v>
      </c>
      <c r="H38" s="13">
        <f t="shared" si="3"/>
        <v>3.57011154635021</v>
      </c>
      <c r="J38" s="13">
        <f t="shared" si="4"/>
        <v>3.391708603751225</v>
      </c>
      <c r="K38" s="2">
        <f t="shared" si="1"/>
        <v>0</v>
      </c>
      <c r="L38" s="13">
        <f t="shared" si="5"/>
        <v>3.974244745167676</v>
      </c>
      <c r="M38" s="14"/>
      <c r="N38" s="14"/>
      <c r="O38" s="14"/>
      <c r="P38" s="14"/>
      <c r="Q38" s="14"/>
      <c r="R38" s="14"/>
      <c r="S38" s="14"/>
      <c r="U38" s="2">
        <f t="shared" si="7"/>
        <v>0</v>
      </c>
      <c r="V38" s="14">
        <f t="shared" si="8"/>
        <v>4.960914085401594</v>
      </c>
      <c r="W38" s="2">
        <f t="shared" si="7"/>
        <v>0</v>
      </c>
      <c r="X38" s="14">
        <f t="shared" si="9"/>
        <v>3.57011154635021</v>
      </c>
      <c r="Y38" s="2">
        <f t="shared" si="7"/>
        <v>0</v>
      </c>
      <c r="Z38" s="14">
        <f t="shared" si="10"/>
        <v>3.391708603751225</v>
      </c>
      <c r="AA38" s="2">
        <f t="shared" si="7"/>
        <v>0</v>
      </c>
      <c r="AB38" s="14">
        <f t="shared" si="6"/>
        <v>3.974244745167676</v>
      </c>
    </row>
    <row r="39" spans="2:28" ht="12.75">
      <c r="B39" s="2" t="s">
        <v>93</v>
      </c>
      <c r="D39" s="2" t="s">
        <v>11</v>
      </c>
      <c r="F39" s="13">
        <f t="shared" si="2"/>
        <v>17.475947346301073</v>
      </c>
      <c r="H39" s="13">
        <f t="shared" si="3"/>
        <v>9.599633269075008</v>
      </c>
      <c r="J39" s="13">
        <f t="shared" si="4"/>
        <v>8.498764087560541</v>
      </c>
      <c r="K39" s="2">
        <f t="shared" si="1"/>
        <v>0</v>
      </c>
      <c r="L39" s="13">
        <f t="shared" si="5"/>
        <v>11.858114900978876</v>
      </c>
      <c r="M39" s="14"/>
      <c r="N39" s="14"/>
      <c r="O39" s="14"/>
      <c r="P39" s="14"/>
      <c r="Q39" s="14"/>
      <c r="R39" s="14"/>
      <c r="S39" s="14"/>
      <c r="U39" s="2">
        <f t="shared" si="7"/>
        <v>0</v>
      </c>
      <c r="V39" s="14">
        <f t="shared" si="8"/>
        <v>17.475947346301073</v>
      </c>
      <c r="W39" s="2">
        <f t="shared" si="7"/>
        <v>0</v>
      </c>
      <c r="X39" s="14">
        <f t="shared" si="9"/>
        <v>9.599633269075008</v>
      </c>
      <c r="Y39" s="2">
        <f t="shared" si="7"/>
        <v>0</v>
      </c>
      <c r="Z39" s="14">
        <f t="shared" si="10"/>
        <v>8.498764087560541</v>
      </c>
      <c r="AA39" s="2">
        <f t="shared" si="7"/>
        <v>0</v>
      </c>
      <c r="AB39" s="14">
        <f t="shared" si="6"/>
        <v>11.858114900978876</v>
      </c>
    </row>
    <row r="40" spans="2:28" ht="12.75">
      <c r="B40" s="2" t="s">
        <v>94</v>
      </c>
      <c r="D40" s="2" t="s">
        <v>11</v>
      </c>
      <c r="E40" s="2">
        <v>100</v>
      </c>
      <c r="F40" s="13">
        <f t="shared" si="2"/>
        <v>3.3072760569343966</v>
      </c>
      <c r="G40" s="2">
        <v>100</v>
      </c>
      <c r="H40" s="13">
        <f t="shared" si="3"/>
        <v>3.57011154635021</v>
      </c>
      <c r="I40" s="2">
        <v>100</v>
      </c>
      <c r="J40" s="13">
        <f t="shared" si="4"/>
        <v>3.391708603751225</v>
      </c>
      <c r="K40" s="2">
        <f t="shared" si="1"/>
        <v>100.00000000000001</v>
      </c>
      <c r="L40" s="13">
        <f t="shared" si="5"/>
        <v>3.423032069011944</v>
      </c>
      <c r="M40" s="14"/>
      <c r="N40" s="14"/>
      <c r="O40" s="14"/>
      <c r="P40" s="14"/>
      <c r="Q40" s="14"/>
      <c r="R40" s="14"/>
      <c r="S40" s="14"/>
      <c r="U40" s="2">
        <f t="shared" si="7"/>
        <v>100</v>
      </c>
      <c r="V40" s="14">
        <f t="shared" si="8"/>
        <v>3.3072760569343966</v>
      </c>
      <c r="W40" s="2">
        <f t="shared" si="7"/>
        <v>100</v>
      </c>
      <c r="X40" s="14">
        <f t="shared" si="9"/>
        <v>3.57011154635021</v>
      </c>
      <c r="Y40" s="2">
        <f t="shared" si="7"/>
        <v>100</v>
      </c>
      <c r="Z40" s="14">
        <f t="shared" si="10"/>
        <v>3.391708603751225</v>
      </c>
      <c r="AA40" s="2">
        <f t="shared" si="7"/>
        <v>100.00000000000001</v>
      </c>
      <c r="AB40" s="14">
        <f t="shared" si="6"/>
        <v>3.423032069011944</v>
      </c>
    </row>
    <row r="41" spans="2:28" ht="12.75">
      <c r="B41" s="2" t="s">
        <v>95</v>
      </c>
      <c r="D41" s="2" t="s">
        <v>11</v>
      </c>
      <c r="F41" s="13">
        <f t="shared" si="2"/>
        <v>2.292543630374979</v>
      </c>
      <c r="H41" s="13">
        <f t="shared" si="3"/>
        <v>1.785055773175105</v>
      </c>
      <c r="J41" s="10">
        <f t="shared" si="4"/>
        <v>0.27289609455469627</v>
      </c>
      <c r="K41" s="2">
        <f t="shared" si="1"/>
        <v>0</v>
      </c>
      <c r="L41" s="13">
        <f t="shared" si="5"/>
        <v>1.4501651660349266</v>
      </c>
      <c r="M41" s="14"/>
      <c r="N41" s="14"/>
      <c r="O41" s="14"/>
      <c r="P41" s="14"/>
      <c r="Q41" s="14"/>
      <c r="R41" s="14"/>
      <c r="S41" s="14"/>
      <c r="U41" s="2">
        <f t="shared" si="7"/>
        <v>0</v>
      </c>
      <c r="V41" s="14">
        <f t="shared" si="8"/>
        <v>2.292543630374979</v>
      </c>
      <c r="W41" s="2">
        <f t="shared" si="7"/>
        <v>0</v>
      </c>
      <c r="X41" s="14">
        <f t="shared" si="9"/>
        <v>1.785055773175105</v>
      </c>
      <c r="Y41" s="2">
        <f t="shared" si="7"/>
        <v>0</v>
      </c>
      <c r="Z41" s="14">
        <f t="shared" si="10"/>
        <v>0.27289609455469627</v>
      </c>
      <c r="AA41" s="2">
        <f t="shared" si="7"/>
        <v>0</v>
      </c>
      <c r="AB41" s="14">
        <f t="shared" si="6"/>
        <v>1.450165166034927</v>
      </c>
    </row>
    <row r="42" spans="2:28" ht="12.75">
      <c r="B42" s="2" t="s">
        <v>96</v>
      </c>
      <c r="D42" s="2" t="s">
        <v>11</v>
      </c>
      <c r="F42" s="13">
        <f t="shared" si="2"/>
        <v>17.814191488487545</v>
      </c>
      <c r="H42" s="13">
        <f t="shared" si="3"/>
        <v>14.597789433965303</v>
      </c>
      <c r="J42" s="13">
        <f t="shared" si="4"/>
        <v>10.564977374903243</v>
      </c>
      <c r="K42" s="2">
        <f t="shared" si="1"/>
        <v>0</v>
      </c>
      <c r="L42" s="13">
        <f t="shared" si="5"/>
        <v>14.325652765785364</v>
      </c>
      <c r="M42" s="14"/>
      <c r="N42" s="14"/>
      <c r="O42" s="14"/>
      <c r="P42" s="14"/>
      <c r="Q42" s="14"/>
      <c r="R42" s="14"/>
      <c r="S42" s="14"/>
      <c r="U42" s="2">
        <f t="shared" si="7"/>
        <v>0</v>
      </c>
      <c r="V42" s="14">
        <f t="shared" si="8"/>
        <v>17.814191488487545</v>
      </c>
      <c r="W42" s="2">
        <f t="shared" si="7"/>
        <v>0</v>
      </c>
      <c r="X42" s="14">
        <f t="shared" si="9"/>
        <v>14.597789433965303</v>
      </c>
      <c r="Y42" s="2">
        <f t="shared" si="7"/>
        <v>0</v>
      </c>
      <c r="Z42" s="14">
        <f t="shared" si="10"/>
        <v>10.564977374903243</v>
      </c>
      <c r="AA42" s="2">
        <f t="shared" si="7"/>
        <v>0</v>
      </c>
      <c r="AB42" s="14">
        <f t="shared" si="6"/>
        <v>14.325652765785364</v>
      </c>
    </row>
    <row r="43" spans="2:28" ht="12.75">
      <c r="B43" s="2" t="s">
        <v>97</v>
      </c>
      <c r="D43" s="2" t="s">
        <v>11</v>
      </c>
      <c r="F43" s="13">
        <f t="shared" si="2"/>
        <v>37.58268246516359</v>
      </c>
      <c r="H43" s="13">
        <f t="shared" si="3"/>
        <v>25.308124073015932</v>
      </c>
      <c r="J43" s="13">
        <f t="shared" si="4"/>
        <v>18.712875055179172</v>
      </c>
      <c r="K43" s="2">
        <f t="shared" si="1"/>
        <v>0</v>
      </c>
      <c r="L43" s="13">
        <f t="shared" si="5"/>
        <v>27.201227197786235</v>
      </c>
      <c r="M43" s="14"/>
      <c r="N43" s="14"/>
      <c r="O43" s="14"/>
      <c r="P43" s="14"/>
      <c r="Q43" s="14"/>
      <c r="R43" s="14"/>
      <c r="S43" s="14"/>
      <c r="U43" s="2">
        <f t="shared" si="7"/>
        <v>0</v>
      </c>
      <c r="V43" s="14">
        <f t="shared" si="8"/>
        <v>37.58268246516359</v>
      </c>
      <c r="W43" s="2">
        <f t="shared" si="7"/>
        <v>0</v>
      </c>
      <c r="X43" s="14">
        <f t="shared" si="9"/>
        <v>25.308124073015932</v>
      </c>
      <c r="Y43" s="2">
        <f t="shared" si="7"/>
        <v>0</v>
      </c>
      <c r="Z43" s="14">
        <f t="shared" si="10"/>
        <v>18.712875055179172</v>
      </c>
      <c r="AA43" s="2">
        <f t="shared" si="7"/>
        <v>0</v>
      </c>
      <c r="AB43" s="14">
        <f t="shared" si="6"/>
        <v>27.201227197786228</v>
      </c>
    </row>
    <row r="44" spans="6:28" ht="12.75">
      <c r="F44" s="13"/>
      <c r="H44" s="13"/>
      <c r="J44" s="13"/>
      <c r="L44" s="13"/>
      <c r="M44" s="14"/>
      <c r="N44" s="14"/>
      <c r="O44" s="14"/>
      <c r="P44" s="14"/>
      <c r="Q44" s="14"/>
      <c r="R44" s="14"/>
      <c r="S44" s="14"/>
      <c r="V44" s="14"/>
      <c r="W44" s="14"/>
      <c r="X44" s="14"/>
      <c r="Y44" s="14"/>
      <c r="Z44" s="14"/>
      <c r="AA44" s="14"/>
      <c r="AB44" s="14"/>
    </row>
    <row r="45" spans="2:28" ht="12.75">
      <c r="B45" s="2" t="s">
        <v>5</v>
      </c>
      <c r="D45" s="2" t="s">
        <v>11</v>
      </c>
      <c r="E45" s="13">
        <f>SUM(E40*F40,E38*F38)/F45</f>
        <v>40.00000000000001</v>
      </c>
      <c r="F45" s="14">
        <f>SUM(F40,F38)</f>
        <v>8.26819014233599</v>
      </c>
      <c r="G45" s="13">
        <f>SUM(G40*H40,G38*H38)/H45</f>
        <v>50</v>
      </c>
      <c r="H45" s="14">
        <f>SUM(H40,H38)</f>
        <v>7.14022309270042</v>
      </c>
      <c r="I45" s="13">
        <f>SUM(I40*J40,I38*J38)/J45</f>
        <v>50</v>
      </c>
      <c r="J45" s="14">
        <f>SUM(J40,J38)</f>
        <v>6.78341720750245</v>
      </c>
      <c r="K45" s="13">
        <f>SUM(K40*L40,K38*L38)/L45</f>
        <v>46.27421894568601</v>
      </c>
      <c r="L45" s="13">
        <f t="shared" si="5"/>
        <v>7.39727681417962</v>
      </c>
      <c r="M45" s="14"/>
      <c r="N45" s="14"/>
      <c r="O45" s="14"/>
      <c r="P45" s="14"/>
      <c r="Q45" s="14"/>
      <c r="R45" s="14"/>
      <c r="S45" s="14"/>
      <c r="U45" s="13">
        <f>SUM(U40*V40,U38*V38)/V45</f>
        <v>40.00000000000001</v>
      </c>
      <c r="V45" s="14">
        <f>SUM(V40,V38)</f>
        <v>8.26819014233599</v>
      </c>
      <c r="W45" s="13">
        <f>SUM(W40*X40,W38*X38)/X45</f>
        <v>50</v>
      </c>
      <c r="X45" s="14">
        <f>SUM(X40,X38)</f>
        <v>7.14022309270042</v>
      </c>
      <c r="Y45" s="13">
        <f>SUM(Y40*Z40,Y38*Z38)/Z45</f>
        <v>50</v>
      </c>
      <c r="Z45" s="14">
        <f>SUM(Z40,Z38)</f>
        <v>6.78341720750245</v>
      </c>
      <c r="AA45" s="13">
        <f>SUM(AA40*AB40,AA38*AB38)/AB45</f>
        <v>46.27421894568601</v>
      </c>
      <c r="AB45" s="14">
        <f>SUM(AB40,AB38)</f>
        <v>7.3972768141796195</v>
      </c>
    </row>
    <row r="46" spans="2:28" ht="12.75">
      <c r="B46" s="2" t="s">
        <v>6</v>
      </c>
      <c r="D46" s="2" t="s">
        <v>11</v>
      </c>
      <c r="E46" s="13">
        <f>SUM(E39*F39,E37*F37,E35*F35)/F46</f>
        <v>0</v>
      </c>
      <c r="F46" s="13">
        <f>SUM(F39,F37,F35)</f>
        <v>67.27300161264284</v>
      </c>
      <c r="G46" s="13">
        <f>SUM(G39*H39,G37*H37,G35*H35)/H46</f>
        <v>6.8181818181818175</v>
      </c>
      <c r="H46" s="13">
        <f>SUM(H39,H37,H35)</f>
        <v>52.36163601313642</v>
      </c>
      <c r="I46" s="13">
        <f>SUM(I39*J39,I37*J37,I35*J35)/J46</f>
        <v>8.59683794466403</v>
      </c>
      <c r="J46" s="13">
        <f>SUM(J39,J37,J35)</f>
        <v>39.4529782413361</v>
      </c>
      <c r="K46" s="13">
        <f>SUM(K39*L39,K37*L37,K35*L35)/L46</f>
        <v>4.376091823461978</v>
      </c>
      <c r="L46" s="13">
        <f t="shared" si="5"/>
        <v>53.02920528903845</v>
      </c>
      <c r="M46" s="14"/>
      <c r="N46" s="14"/>
      <c r="O46" s="14"/>
      <c r="P46" s="14"/>
      <c r="Q46" s="14"/>
      <c r="R46" s="14"/>
      <c r="S46" s="14"/>
      <c r="U46" s="13">
        <f>SUM(U39*V39,U37*V37,U35*V35)/V46</f>
        <v>0</v>
      </c>
      <c r="V46" s="13">
        <f>SUM(V39,V37,V35)</f>
        <v>67.27300161264284</v>
      </c>
      <c r="W46" s="13">
        <f>SUM(W39*X39,W37*X37,W35*X35)/X46</f>
        <v>6.8181818181818175</v>
      </c>
      <c r="X46" s="13">
        <f>SUM(X39,X37,X35)</f>
        <v>52.36163601313642</v>
      </c>
      <c r="Y46" s="13">
        <f>SUM(Y39*Z39,Y37*Z37,Y35*Z35)/Z46</f>
        <v>8.59683794466403</v>
      </c>
      <c r="Z46" s="13">
        <f>SUM(Z39,Z37,Z35)</f>
        <v>39.4529782413361</v>
      </c>
      <c r="AA46" s="13">
        <f>SUM(AA39*AB39,AA37*AB37,AA35*AB35)/AB46</f>
        <v>4.376091823461978</v>
      </c>
      <c r="AB46" s="13">
        <f>SUM(AB39,AB37,AB35)</f>
        <v>53.02920528903845</v>
      </c>
    </row>
    <row r="49" spans="1:28" ht="12.75">
      <c r="A49" s="2" t="s">
        <v>117</v>
      </c>
      <c r="B49" s="1" t="s">
        <v>69</v>
      </c>
      <c r="C49" s="1"/>
      <c r="F49" s="2" t="s">
        <v>122</v>
      </c>
      <c r="H49" s="2" t="s">
        <v>123</v>
      </c>
      <c r="J49" s="2" t="s">
        <v>124</v>
      </c>
      <c r="L49" s="2" t="s">
        <v>34</v>
      </c>
      <c r="N49" s="2" t="s">
        <v>122</v>
      </c>
      <c r="P49" s="2" t="s">
        <v>123</v>
      </c>
      <c r="R49" s="2" t="s">
        <v>124</v>
      </c>
      <c r="T49" s="2" t="s">
        <v>34</v>
      </c>
      <c r="V49" s="2" t="s">
        <v>122</v>
      </c>
      <c r="X49" s="2" t="s">
        <v>123</v>
      </c>
      <c r="Z49" s="2" t="s">
        <v>124</v>
      </c>
      <c r="AB49" s="2" t="s">
        <v>34</v>
      </c>
    </row>
    <row r="50" spans="2:3" ht="12.75">
      <c r="B50" s="1"/>
      <c r="C50" s="1"/>
    </row>
    <row r="51" spans="2:28" ht="12.75">
      <c r="B51" s="2" t="s">
        <v>144</v>
      </c>
      <c r="F51" s="2" t="s">
        <v>145</v>
      </c>
      <c r="H51" s="2" t="s">
        <v>145</v>
      </c>
      <c r="J51" s="2" t="s">
        <v>145</v>
      </c>
      <c r="L51" s="2" t="s">
        <v>145</v>
      </c>
      <c r="N51" s="2" t="s">
        <v>147</v>
      </c>
      <c r="P51" s="2" t="s">
        <v>147</v>
      </c>
      <c r="R51" s="2" t="s">
        <v>147</v>
      </c>
      <c r="T51" s="2" t="s">
        <v>147</v>
      </c>
      <c r="V51" s="2" t="s">
        <v>148</v>
      </c>
      <c r="X51" s="2" t="s">
        <v>148</v>
      </c>
      <c r="Z51" s="2" t="s">
        <v>148</v>
      </c>
      <c r="AB51" s="2" t="s">
        <v>148</v>
      </c>
    </row>
    <row r="52" spans="2:28" ht="12.75" customHeight="1">
      <c r="B52" s="2" t="s">
        <v>143</v>
      </c>
      <c r="F52" s="2" t="s">
        <v>146</v>
      </c>
      <c r="H52" s="2" t="s">
        <v>146</v>
      </c>
      <c r="J52" s="2" t="s">
        <v>146</v>
      </c>
      <c r="L52" s="2" t="s">
        <v>146</v>
      </c>
      <c r="N52" s="2" t="s">
        <v>12</v>
      </c>
      <c r="P52" s="2" t="s">
        <v>12</v>
      </c>
      <c r="R52" s="2" t="s">
        <v>12</v>
      </c>
      <c r="T52" s="2" t="s">
        <v>12</v>
      </c>
      <c r="V52" s="2" t="s">
        <v>126</v>
      </c>
      <c r="X52" s="2" t="s">
        <v>126</v>
      </c>
      <c r="Z52" s="2" t="s">
        <v>126</v>
      </c>
      <c r="AB52" s="2" t="s">
        <v>126</v>
      </c>
    </row>
    <row r="53" spans="2:28" ht="12.75" customHeight="1">
      <c r="B53" s="2" t="s">
        <v>150</v>
      </c>
      <c r="F53" s="2" t="s">
        <v>1</v>
      </c>
      <c r="H53" s="2" t="s">
        <v>1</v>
      </c>
      <c r="J53" s="2" t="s">
        <v>1</v>
      </c>
      <c r="L53" s="2" t="s">
        <v>1</v>
      </c>
      <c r="N53" s="2" t="s">
        <v>12</v>
      </c>
      <c r="P53" s="2" t="s">
        <v>12</v>
      </c>
      <c r="R53" s="2" t="s">
        <v>12</v>
      </c>
      <c r="T53" s="2" t="s">
        <v>12</v>
      </c>
      <c r="V53" s="2" t="s">
        <v>126</v>
      </c>
      <c r="X53" s="2" t="s">
        <v>126</v>
      </c>
      <c r="Z53" s="2" t="s">
        <v>126</v>
      </c>
      <c r="AB53" s="2" t="s">
        <v>126</v>
      </c>
    </row>
    <row r="54" spans="2:28" ht="12.75">
      <c r="B54" s="2" t="s">
        <v>120</v>
      </c>
      <c r="F54" s="11" t="s">
        <v>72</v>
      </c>
      <c r="H54" s="11" t="s">
        <v>72</v>
      </c>
      <c r="J54" s="11" t="s">
        <v>72</v>
      </c>
      <c r="L54" s="11" t="s">
        <v>72</v>
      </c>
      <c r="M54" s="11"/>
      <c r="N54" s="11" t="s">
        <v>12</v>
      </c>
      <c r="O54" s="11"/>
      <c r="P54" s="11" t="s">
        <v>12</v>
      </c>
      <c r="Q54" s="11"/>
      <c r="R54" s="11" t="s">
        <v>12</v>
      </c>
      <c r="S54" s="11"/>
      <c r="T54" s="11" t="s">
        <v>12</v>
      </c>
      <c r="V54" s="2" t="s">
        <v>126</v>
      </c>
      <c r="X54" s="2" t="s">
        <v>126</v>
      </c>
      <c r="Z54" s="2" t="s">
        <v>126</v>
      </c>
      <c r="AB54" s="2" t="s">
        <v>126</v>
      </c>
    </row>
    <row r="55" spans="2:28" ht="12.75">
      <c r="B55" s="2" t="s">
        <v>119</v>
      </c>
      <c r="D55" s="2" t="s">
        <v>42</v>
      </c>
      <c r="F55" s="13">
        <v>462700</v>
      </c>
      <c r="G55" s="13"/>
      <c r="H55" s="13">
        <v>492200</v>
      </c>
      <c r="I55" s="13"/>
      <c r="J55" s="13">
        <v>480700</v>
      </c>
      <c r="L55" s="13">
        <v>478500</v>
      </c>
      <c r="M55" s="13"/>
      <c r="N55" s="13">
        <v>111400</v>
      </c>
      <c r="O55" s="13"/>
      <c r="P55" s="13">
        <v>110000</v>
      </c>
      <c r="Q55" s="13"/>
      <c r="R55" s="13">
        <v>110300</v>
      </c>
      <c r="S55" s="13"/>
      <c r="T55" s="14">
        <f>AVERAGE(R55,P55,N55)</f>
        <v>110566.66666666667</v>
      </c>
      <c r="V55" s="14">
        <f>SUM(N55,F55)</f>
        <v>574100</v>
      </c>
      <c r="X55" s="14">
        <f>SUM(P55,H55)</f>
        <v>602200</v>
      </c>
      <c r="Z55" s="14">
        <f>SUM(R55,J55)</f>
        <v>591000</v>
      </c>
      <c r="AB55" s="14">
        <f>AVERAGE(V55,X55,Z55)</f>
        <v>589100</v>
      </c>
    </row>
    <row r="56" spans="2:28" ht="12.75">
      <c r="B56" s="2" t="s">
        <v>118</v>
      </c>
      <c r="D56" s="2" t="s">
        <v>74</v>
      </c>
      <c r="F56" s="2">
        <v>19.9</v>
      </c>
      <c r="H56" s="2">
        <v>21.1</v>
      </c>
      <c r="J56" s="2">
        <v>20.7</v>
      </c>
      <c r="L56" s="14">
        <v>23.1</v>
      </c>
      <c r="M56" s="14"/>
      <c r="N56" s="14">
        <v>2.54</v>
      </c>
      <c r="O56" s="14"/>
      <c r="P56" s="14">
        <v>2.51</v>
      </c>
      <c r="Q56" s="14"/>
      <c r="R56" s="14">
        <v>2.51</v>
      </c>
      <c r="S56" s="14"/>
      <c r="T56" s="14">
        <f>AVERAGE(R56,P56,N56)</f>
        <v>2.52</v>
      </c>
      <c r="V56" s="14">
        <f>SUM(N56,F56)</f>
        <v>22.439999999999998</v>
      </c>
      <c r="X56" s="14">
        <f>SUM(P56,H56)</f>
        <v>23.61</v>
      </c>
      <c r="Z56" s="14">
        <f>SUM(R56,J56)</f>
        <v>23.21</v>
      </c>
      <c r="AB56" s="14">
        <f>AVERAGE(V56,X56,Z56)</f>
        <v>23.086666666666662</v>
      </c>
    </row>
    <row r="57" spans="2:20" ht="12.75">
      <c r="B57" s="2" t="s">
        <v>76</v>
      </c>
      <c r="D57" s="2" t="s">
        <v>43</v>
      </c>
      <c r="F57" s="13">
        <f>F56*1000000/F55*454</f>
        <v>19525.826669548303</v>
      </c>
      <c r="H57" s="13">
        <f>H56*1000000/H55*454</f>
        <v>19462.41365298659</v>
      </c>
      <c r="J57" s="13">
        <f>J56*1000000/J55*454</f>
        <v>19550.23923444976</v>
      </c>
      <c r="L57" s="13">
        <f>L56*1000000/L55*454</f>
        <v>21917.241379310344</v>
      </c>
      <c r="M57" s="13"/>
      <c r="N57" s="13">
        <f>N56*1000000/N55*454</f>
        <v>10351.526032315978</v>
      </c>
      <c r="P57" s="13">
        <f>P56*1000000/P55*454</f>
        <v>10359.454545454544</v>
      </c>
      <c r="R57" s="13">
        <f>R56*1000000/R55*454</f>
        <v>10331.278331822303</v>
      </c>
      <c r="T57" s="13">
        <f>T56*1000000/T55*454</f>
        <v>10347.422369611093</v>
      </c>
    </row>
    <row r="58" spans="2:20" ht="12.75">
      <c r="B58" s="2" t="s">
        <v>7</v>
      </c>
      <c r="D58" s="2" t="s">
        <v>42</v>
      </c>
      <c r="F58" s="2">
        <v>3563</v>
      </c>
      <c r="H58" s="2">
        <v>3987</v>
      </c>
      <c r="J58" s="2">
        <v>4423</v>
      </c>
      <c r="L58" s="13">
        <f aca="true" t="shared" si="11" ref="L58:L69">AVERAGE(J58,H58,F58)</f>
        <v>3991</v>
      </c>
      <c r="N58" s="2">
        <v>36288</v>
      </c>
      <c r="P58" s="2">
        <v>36288</v>
      </c>
      <c r="R58" s="2">
        <v>36324</v>
      </c>
      <c r="T58" s="2">
        <v>36300</v>
      </c>
    </row>
    <row r="59" spans="2:20" ht="12.75">
      <c r="B59" s="2" t="s">
        <v>44</v>
      </c>
      <c r="D59" s="2" t="s">
        <v>42</v>
      </c>
      <c r="F59" s="2">
        <v>19</v>
      </c>
      <c r="H59" s="2">
        <v>19</v>
      </c>
      <c r="J59" s="2">
        <v>17</v>
      </c>
      <c r="L59" s="18">
        <f t="shared" si="11"/>
        <v>18.333333333333332</v>
      </c>
      <c r="N59" s="2">
        <v>15903</v>
      </c>
      <c r="P59" s="2">
        <v>15899</v>
      </c>
      <c r="R59" s="2">
        <v>16035</v>
      </c>
      <c r="T59" s="13">
        <f>15964-L59</f>
        <v>15945.666666666666</v>
      </c>
    </row>
    <row r="60" spans="2:12" ht="12.75">
      <c r="B60" s="2" t="s">
        <v>88</v>
      </c>
      <c r="D60" s="2" t="s">
        <v>42</v>
      </c>
      <c r="F60" s="2">
        <v>1.42</v>
      </c>
      <c r="H60" s="2">
        <v>1.679</v>
      </c>
      <c r="J60" s="2">
        <v>1.61</v>
      </c>
      <c r="L60" s="18">
        <f t="shared" si="11"/>
        <v>1.5696666666666665</v>
      </c>
    </row>
    <row r="61" spans="2:12" ht="12.75">
      <c r="B61" s="2" t="s">
        <v>89</v>
      </c>
      <c r="D61" s="2" t="s">
        <v>42</v>
      </c>
      <c r="E61" s="2" t="s">
        <v>37</v>
      </c>
      <c r="F61" s="2">
        <v>0.046</v>
      </c>
      <c r="G61" s="2" t="s">
        <v>37</v>
      </c>
      <c r="H61" s="2">
        <v>0.49</v>
      </c>
      <c r="I61" s="2" t="s">
        <v>37</v>
      </c>
      <c r="J61" s="2">
        <v>0.048</v>
      </c>
      <c r="K61" s="2" t="s">
        <v>37</v>
      </c>
      <c r="L61" s="18">
        <f t="shared" si="11"/>
        <v>0.19466666666666668</v>
      </c>
    </row>
    <row r="62" spans="2:12" ht="12.75">
      <c r="B62" s="2" t="s">
        <v>90</v>
      </c>
      <c r="D62" s="2" t="s">
        <v>42</v>
      </c>
      <c r="F62" s="2">
        <v>0.102</v>
      </c>
      <c r="G62" s="2" t="s">
        <v>37</v>
      </c>
      <c r="H62" s="2">
        <v>0.49</v>
      </c>
      <c r="J62" s="2">
        <v>0.173</v>
      </c>
      <c r="L62" s="18">
        <f t="shared" si="11"/>
        <v>0.255</v>
      </c>
    </row>
    <row r="63" spans="2:12" ht="12.75">
      <c r="B63" s="2" t="s">
        <v>91</v>
      </c>
      <c r="D63" s="2" t="s">
        <v>42</v>
      </c>
      <c r="F63" s="2">
        <v>0.851</v>
      </c>
      <c r="H63" s="2">
        <v>0.999</v>
      </c>
      <c r="J63" s="2">
        <v>0.99</v>
      </c>
      <c r="K63" s="2" t="s">
        <v>37</v>
      </c>
      <c r="L63" s="18">
        <f t="shared" si="11"/>
        <v>0.9466666666666667</v>
      </c>
    </row>
    <row r="64" spans="2:12" ht="12.75">
      <c r="B64" s="2" t="s">
        <v>92</v>
      </c>
      <c r="D64" s="2" t="s">
        <v>42</v>
      </c>
      <c r="F64" s="2">
        <v>0.167</v>
      </c>
      <c r="H64" s="2">
        <v>0.172</v>
      </c>
      <c r="J64" s="2">
        <v>0.173</v>
      </c>
      <c r="L64" s="18">
        <f t="shared" si="11"/>
        <v>0.17066666666666666</v>
      </c>
    </row>
    <row r="65" spans="2:12" ht="12.75">
      <c r="B65" s="2" t="s">
        <v>93</v>
      </c>
      <c r="D65" s="2" t="s">
        <v>42</v>
      </c>
      <c r="F65" s="2">
        <v>0.259</v>
      </c>
      <c r="H65" s="2">
        <v>0.266</v>
      </c>
      <c r="J65" s="2">
        <v>0.255</v>
      </c>
      <c r="L65" s="18">
        <f t="shared" si="11"/>
        <v>0.26</v>
      </c>
    </row>
    <row r="66" spans="2:12" ht="12.75">
      <c r="B66" s="2" t="s">
        <v>94</v>
      </c>
      <c r="D66" s="2" t="s">
        <v>42</v>
      </c>
      <c r="E66" s="2" t="s">
        <v>37</v>
      </c>
      <c r="F66" s="2">
        <v>0.046</v>
      </c>
      <c r="G66" s="2" t="s">
        <v>37</v>
      </c>
      <c r="H66" s="2">
        <v>0.049</v>
      </c>
      <c r="I66" s="2" t="s">
        <v>37</v>
      </c>
      <c r="J66" s="2">
        <v>0.048</v>
      </c>
      <c r="L66" s="18">
        <f t="shared" si="11"/>
        <v>0.04766666666666667</v>
      </c>
    </row>
    <row r="67" spans="2:12" ht="12.75">
      <c r="B67" s="2" t="s">
        <v>95</v>
      </c>
      <c r="D67" s="2" t="s">
        <v>42</v>
      </c>
      <c r="F67" s="2">
        <v>0.028</v>
      </c>
      <c r="H67" s="2">
        <v>0.025</v>
      </c>
      <c r="J67" s="2">
        <v>0.082</v>
      </c>
      <c r="L67" s="18">
        <f t="shared" si="11"/>
        <v>0.045000000000000005</v>
      </c>
    </row>
    <row r="68" spans="2:12" ht="12.75">
      <c r="B68" s="2" t="s">
        <v>96</v>
      </c>
      <c r="D68" s="2" t="s">
        <v>42</v>
      </c>
      <c r="F68" s="2">
        <v>0.509</v>
      </c>
      <c r="H68" s="2">
        <v>0.384</v>
      </c>
      <c r="J68" s="2">
        <v>0.361</v>
      </c>
      <c r="L68" s="18">
        <f t="shared" si="11"/>
        <v>0.418</v>
      </c>
    </row>
    <row r="69" spans="2:12" ht="12.75">
      <c r="B69" s="2" t="s">
        <v>97</v>
      </c>
      <c r="D69" s="2" t="s">
        <v>42</v>
      </c>
      <c r="E69" s="2" t="s">
        <v>37</v>
      </c>
      <c r="F69" s="2">
        <v>0.046</v>
      </c>
      <c r="H69" s="2">
        <v>0.266</v>
      </c>
      <c r="J69" s="2">
        <v>0.457</v>
      </c>
      <c r="L69" s="18">
        <f t="shared" si="11"/>
        <v>0.25633333333333336</v>
      </c>
    </row>
    <row r="71" spans="2:28" ht="12.75">
      <c r="B71" s="2" t="s">
        <v>45</v>
      </c>
      <c r="D71" s="2" t="s">
        <v>14</v>
      </c>
      <c r="F71" s="2">
        <f>emiss!$G$36</f>
        <v>14027</v>
      </c>
      <c r="H71" s="2">
        <f>emiss!$I$36</f>
        <v>13822</v>
      </c>
      <c r="J71" s="2">
        <f>emiss!$K$36</f>
        <v>14258</v>
      </c>
      <c r="L71" s="14">
        <f>emiss!$M$36</f>
        <v>14035.666666666666</v>
      </c>
      <c r="N71" s="2">
        <f>emiss!$G$36</f>
        <v>14027</v>
      </c>
      <c r="P71" s="2">
        <f>emiss!$I$36</f>
        <v>13822</v>
      </c>
      <c r="R71" s="2">
        <f>emiss!$K$36</f>
        <v>14258</v>
      </c>
      <c r="T71" s="14">
        <f>emiss!$M$36</f>
        <v>14035.666666666666</v>
      </c>
      <c r="AB71" s="14">
        <f>L71</f>
        <v>14035.666666666666</v>
      </c>
    </row>
    <row r="72" spans="2:28" ht="12.75">
      <c r="B72" s="2" t="s">
        <v>8</v>
      </c>
      <c r="D72" s="2" t="s">
        <v>15</v>
      </c>
      <c r="F72" s="2">
        <f>emiss!$G$37</f>
        <v>14.1</v>
      </c>
      <c r="H72" s="2">
        <f>emiss!$I$37</f>
        <v>13.6</v>
      </c>
      <c r="J72" s="2">
        <f>emiss!$K$37</f>
        <v>14</v>
      </c>
      <c r="L72" s="14">
        <f>emiss!$M$37</f>
        <v>13.9</v>
      </c>
      <c r="N72" s="2">
        <f>emiss!$G$37</f>
        <v>14.1</v>
      </c>
      <c r="P72" s="2">
        <f>emiss!$I$37</f>
        <v>13.6</v>
      </c>
      <c r="R72" s="2">
        <f>emiss!$K$37</f>
        <v>14</v>
      </c>
      <c r="T72" s="14">
        <f>emiss!$M$37</f>
        <v>13.9</v>
      </c>
      <c r="AB72" s="14">
        <f>L72</f>
        <v>13.9</v>
      </c>
    </row>
    <row r="73" ht="12.75" customHeight="1"/>
    <row r="74" spans="2:28" ht="12.75">
      <c r="B74" s="2" t="s">
        <v>151</v>
      </c>
      <c r="D74" s="2" t="s">
        <v>74</v>
      </c>
      <c r="F74" s="14"/>
      <c r="H74" s="14"/>
      <c r="J74" s="14"/>
      <c r="L74" s="14"/>
      <c r="M74" s="14"/>
      <c r="N74" s="14"/>
      <c r="O74" s="14"/>
      <c r="P74" s="14"/>
      <c r="Q74" s="14"/>
      <c r="R74" s="14"/>
      <c r="S74" s="14"/>
      <c r="AB74" s="14">
        <f>AB71/9000*(21-AB72)/21*60</f>
        <v>31.635947089947095</v>
      </c>
    </row>
    <row r="75" spans="6:19" ht="12.75">
      <c r="F75" s="14"/>
      <c r="H75" s="14"/>
      <c r="J75" s="14"/>
      <c r="L75" s="14"/>
      <c r="M75" s="14"/>
      <c r="N75" s="14"/>
      <c r="O75" s="14"/>
      <c r="P75" s="14"/>
      <c r="Q75" s="14"/>
      <c r="R75" s="14"/>
      <c r="S75" s="14"/>
    </row>
    <row r="76" spans="2:19" ht="12.75">
      <c r="B76" s="17" t="s">
        <v>75</v>
      </c>
      <c r="C76" s="17"/>
      <c r="F76" s="14"/>
      <c r="H76" s="14"/>
      <c r="J76" s="14"/>
      <c r="L76" s="14"/>
      <c r="M76" s="14"/>
      <c r="N76" s="14"/>
      <c r="O76" s="14"/>
      <c r="P76" s="14"/>
      <c r="Q76" s="14"/>
      <c r="R76" s="14"/>
      <c r="S76" s="14"/>
    </row>
    <row r="77" spans="2:28" ht="12.75">
      <c r="B77" s="2" t="s">
        <v>7</v>
      </c>
      <c r="D77" s="2" t="s">
        <v>13</v>
      </c>
      <c r="F77" s="13">
        <f>F58*1000/60/F$71/0.0283*14/(21-F$72)</f>
        <v>303.5234740504596</v>
      </c>
      <c r="H77" s="13">
        <f>H58*1000/60/H$71/0.0283*14/(21-H$72)</f>
        <v>321.3911969503634</v>
      </c>
      <c r="J77" s="13">
        <f>J58*1000/60/J$71/0.0283*14/(21-J$72)</f>
        <v>365.38493629348835</v>
      </c>
      <c r="K77" s="2">
        <f aca="true" t="shared" si="12" ref="K77:K88">AVERAGE(E77*F77,G77*H77,I77*J77)/L77</f>
        <v>0</v>
      </c>
      <c r="L77" s="14">
        <f aca="true" t="shared" si="13" ref="L77:L91">AVERAGE(J77,H77,F77)</f>
        <v>330.09986909810374</v>
      </c>
      <c r="M77" s="13"/>
      <c r="N77" s="13">
        <f>N58*1000/60/N$71/0.0283*14/(21-N$72)</f>
        <v>3091.2881915080197</v>
      </c>
      <c r="P77" s="13">
        <f>P58*1000/60/P$71/0.0283*14/(21-P$72)</f>
        <v>2925.16773386877</v>
      </c>
      <c r="R77" s="13">
        <f>R58*1000/60/R$71/0.0283*14/(21-R$72)</f>
        <v>3000.7330829583248</v>
      </c>
      <c r="T77" s="14">
        <f>AVERAGE(R77,P77,N77)</f>
        <v>3005.729669445038</v>
      </c>
      <c r="V77" s="14">
        <f>SUM(N77,F77)</f>
        <v>3394.8116655584795</v>
      </c>
      <c r="W77" s="14"/>
      <c r="X77" s="14">
        <f>SUM(P77,H77)</f>
        <v>3246.5589308191334</v>
      </c>
      <c r="Y77" s="14"/>
      <c r="Z77" s="14">
        <f>SUM(R77,J77)</f>
        <v>3366.118019251813</v>
      </c>
      <c r="AA77" s="14"/>
      <c r="AB77" s="14">
        <f>AVERAGE(Z77,X77,V77)</f>
        <v>3335.8295385431425</v>
      </c>
    </row>
    <row r="78" spans="2:28" ht="12.75">
      <c r="B78" s="2" t="s">
        <v>44</v>
      </c>
      <c r="D78" s="2" t="s">
        <v>11</v>
      </c>
      <c r="F78" s="13">
        <f>F59*1000000/60/F$71/0.0283*14/(21-F$72)</f>
        <v>1618.5646946277661</v>
      </c>
      <c r="H78" s="13">
        <f>H59*1000000/60/H$71/0.0283*14/(21-H$72)</f>
        <v>1531.585839492577</v>
      </c>
      <c r="J78" s="13">
        <f aca="true" t="shared" si="14" ref="J78:J88">J59*1000000/60/J$71/0.0283*14/(21-J$72)</f>
        <v>1404.3734833799006</v>
      </c>
      <c r="K78" s="2">
        <f t="shared" si="12"/>
        <v>0</v>
      </c>
      <c r="L78" s="14">
        <f t="shared" si="13"/>
        <v>1518.1746725000812</v>
      </c>
      <c r="M78" s="13"/>
      <c r="N78" s="13">
        <f>N59*1000000/60/N$71/0.0283*14/(21-N$72)</f>
        <v>1354738.64940344</v>
      </c>
      <c r="P78" s="13">
        <f>P59*1000000/60/P$71/0.0283*14/(21-P$72)</f>
        <v>1281614.9085311834</v>
      </c>
      <c r="R78" s="13">
        <f>R59*1000000/60/R$71/0.0283*14/(21-R$72)</f>
        <v>1324654.6356468652</v>
      </c>
      <c r="T78" s="14">
        <f>AVERAGE(R78,P78,N78)</f>
        <v>1320336.064527163</v>
      </c>
      <c r="V78" s="14">
        <f>SUM(N78,F78)</f>
        <v>1356357.2140980677</v>
      </c>
      <c r="W78" s="14"/>
      <c r="X78" s="14">
        <f>SUM(P78,H78)</f>
        <v>1283146.4943706759</v>
      </c>
      <c r="Y78" s="14"/>
      <c r="Z78" s="14">
        <f>SUM(R78,J78)</f>
        <v>1326059.009130245</v>
      </c>
      <c r="AA78" s="14"/>
      <c r="AB78" s="14">
        <f>AVERAGE(Z78,X78,V78)</f>
        <v>1321854.2391996628</v>
      </c>
    </row>
    <row r="79" spans="2:28" ht="12.75">
      <c r="B79" s="2" t="s">
        <v>88</v>
      </c>
      <c r="D79" s="2" t="s">
        <v>11</v>
      </c>
      <c r="F79" s="13">
        <f aca="true" t="shared" si="15" ref="F79:H88">F60*1000000/60/F$71/0.0283*14/(21-F$72)</f>
        <v>120.96641401954884</v>
      </c>
      <c r="H79" s="13">
        <f t="shared" si="15"/>
        <v>135.34382234252823</v>
      </c>
      <c r="J79" s="13">
        <f t="shared" si="14"/>
        <v>133.00242989656707</v>
      </c>
      <c r="K79" s="2">
        <f t="shared" si="12"/>
        <v>0</v>
      </c>
      <c r="L79" s="14">
        <f t="shared" si="13"/>
        <v>129.77088875288138</v>
      </c>
      <c r="M79" s="10"/>
      <c r="N79" s="10"/>
      <c r="O79" s="10"/>
      <c r="P79" s="10"/>
      <c r="Q79" s="10"/>
      <c r="R79" s="10"/>
      <c r="S79" s="10"/>
      <c r="U79" s="2">
        <f>E79</f>
        <v>0</v>
      </c>
      <c r="V79" s="14">
        <f>SUM(N79,F79)</f>
        <v>120.96641401954884</v>
      </c>
      <c r="W79" s="2">
        <f>G79</f>
        <v>0</v>
      </c>
      <c r="X79" s="14">
        <f>SUM(P79,H79)</f>
        <v>135.34382234252823</v>
      </c>
      <c r="Y79" s="2">
        <f>I79</f>
        <v>0</v>
      </c>
      <c r="Z79" s="14">
        <f>SUM(R79,J79)</f>
        <v>133.00242989656707</v>
      </c>
      <c r="AA79" s="2">
        <f>K79</f>
        <v>0</v>
      </c>
      <c r="AB79" s="14">
        <f aca="true" t="shared" si="16" ref="AB79:AB88">AVERAGE(Z79,X79,V79)</f>
        <v>129.77088875288138</v>
      </c>
    </row>
    <row r="80" spans="2:28" ht="12.75">
      <c r="B80" s="2" t="s">
        <v>89</v>
      </c>
      <c r="D80" s="2" t="s">
        <v>11</v>
      </c>
      <c r="E80" s="2">
        <v>100</v>
      </c>
      <c r="F80" s="13">
        <f t="shared" si="15"/>
        <v>3.918630313309328</v>
      </c>
      <c r="G80" s="2">
        <v>100</v>
      </c>
      <c r="H80" s="13">
        <f t="shared" si="15"/>
        <v>39.4987927027033</v>
      </c>
      <c r="I80" s="2">
        <v>100</v>
      </c>
      <c r="J80" s="13">
        <f t="shared" si="14"/>
        <v>3.9652898354256023</v>
      </c>
      <c r="K80" s="2">
        <f t="shared" si="12"/>
        <v>100</v>
      </c>
      <c r="L80" s="14">
        <f t="shared" si="13"/>
        <v>15.794237617146075</v>
      </c>
      <c r="M80" s="10"/>
      <c r="N80" s="10"/>
      <c r="O80" s="10"/>
      <c r="P80" s="10"/>
      <c r="Q80" s="10"/>
      <c r="R80" s="10"/>
      <c r="S80" s="10"/>
      <c r="U80" s="2">
        <f aca="true" t="shared" si="17" ref="U80:AA88">E80</f>
        <v>100</v>
      </c>
      <c r="V80" s="14">
        <f aca="true" t="shared" si="18" ref="V80:Z88">SUM(N80,F80)</f>
        <v>3.918630313309328</v>
      </c>
      <c r="W80" s="2">
        <f t="shared" si="17"/>
        <v>100</v>
      </c>
      <c r="X80" s="14">
        <f t="shared" si="18"/>
        <v>39.4987927027033</v>
      </c>
      <c r="Y80" s="2">
        <f t="shared" si="17"/>
        <v>100</v>
      </c>
      <c r="Z80" s="14">
        <f t="shared" si="18"/>
        <v>3.9652898354256023</v>
      </c>
      <c r="AA80" s="2">
        <f t="shared" si="17"/>
        <v>100</v>
      </c>
      <c r="AB80" s="14">
        <f t="shared" si="16"/>
        <v>15.794237617146075</v>
      </c>
    </row>
    <row r="81" spans="2:28" ht="12.75">
      <c r="B81" s="2" t="s">
        <v>90</v>
      </c>
      <c r="D81" s="2" t="s">
        <v>11</v>
      </c>
      <c r="F81" s="13">
        <f t="shared" si="15"/>
        <v>8.689136781685901</v>
      </c>
      <c r="G81" s="2">
        <v>100</v>
      </c>
      <c r="H81" s="13">
        <f t="shared" si="15"/>
        <v>39.4987927027033</v>
      </c>
      <c r="J81" s="13">
        <f t="shared" si="14"/>
        <v>14.29156544851311</v>
      </c>
      <c r="K81" s="2">
        <f t="shared" si="12"/>
        <v>63.218809219123266</v>
      </c>
      <c r="L81" s="14">
        <f t="shared" si="13"/>
        <v>20.826498310967438</v>
      </c>
      <c r="M81" s="10"/>
      <c r="N81" s="10"/>
      <c r="O81" s="10"/>
      <c r="P81" s="10"/>
      <c r="Q81" s="10"/>
      <c r="R81" s="10"/>
      <c r="S81" s="10"/>
      <c r="U81" s="2">
        <f t="shared" si="17"/>
        <v>0</v>
      </c>
      <c r="V81" s="14">
        <f t="shared" si="18"/>
        <v>8.689136781685901</v>
      </c>
      <c r="W81" s="2">
        <f t="shared" si="17"/>
        <v>100</v>
      </c>
      <c r="X81" s="14">
        <f t="shared" si="18"/>
        <v>39.4987927027033</v>
      </c>
      <c r="Y81" s="2">
        <f t="shared" si="17"/>
        <v>0</v>
      </c>
      <c r="Z81" s="14">
        <f t="shared" si="18"/>
        <v>14.29156544851311</v>
      </c>
      <c r="AA81" s="2">
        <f t="shared" si="17"/>
        <v>63.218809219123266</v>
      </c>
      <c r="AB81" s="14">
        <f t="shared" si="16"/>
        <v>20.826498310967438</v>
      </c>
    </row>
    <row r="82" spans="2:28" ht="12.75">
      <c r="B82" s="2" t="s">
        <v>91</v>
      </c>
      <c r="D82" s="2" t="s">
        <v>11</v>
      </c>
      <c r="F82" s="13">
        <f t="shared" si="15"/>
        <v>72.49466079622258</v>
      </c>
      <c r="H82" s="13">
        <f t="shared" si="15"/>
        <v>80.52917124489917</v>
      </c>
      <c r="J82" s="13">
        <f t="shared" si="14"/>
        <v>81.78410285565305</v>
      </c>
      <c r="K82" s="2">
        <f t="shared" si="12"/>
        <v>0</v>
      </c>
      <c r="L82" s="14">
        <f t="shared" si="13"/>
        <v>78.26931163225827</v>
      </c>
      <c r="M82" s="10"/>
      <c r="N82" s="10"/>
      <c r="O82" s="10"/>
      <c r="P82" s="10"/>
      <c r="Q82" s="10"/>
      <c r="R82" s="10"/>
      <c r="S82" s="10"/>
      <c r="U82" s="2">
        <f t="shared" si="17"/>
        <v>0</v>
      </c>
      <c r="V82" s="14">
        <f t="shared" si="18"/>
        <v>72.49466079622258</v>
      </c>
      <c r="W82" s="2">
        <f t="shared" si="17"/>
        <v>0</v>
      </c>
      <c r="X82" s="14">
        <f t="shared" si="18"/>
        <v>80.52917124489917</v>
      </c>
      <c r="Y82" s="2">
        <f t="shared" si="17"/>
        <v>0</v>
      </c>
      <c r="Z82" s="14">
        <f t="shared" si="18"/>
        <v>81.78410285565305</v>
      </c>
      <c r="AA82" s="2">
        <f t="shared" si="17"/>
        <v>0</v>
      </c>
      <c r="AB82" s="14">
        <f t="shared" si="16"/>
        <v>78.26931163225827</v>
      </c>
    </row>
    <row r="83" spans="2:28" ht="12.75">
      <c r="B83" s="2" t="s">
        <v>92</v>
      </c>
      <c r="D83" s="2" t="s">
        <v>11</v>
      </c>
      <c r="F83" s="13">
        <f t="shared" si="15"/>
        <v>14.226331789622996</v>
      </c>
      <c r="H83" s="13">
        <f t="shared" si="15"/>
        <v>13.864882336459118</v>
      </c>
      <c r="J83" s="13">
        <f t="shared" si="14"/>
        <v>14.29156544851311</v>
      </c>
      <c r="K83" s="2">
        <f t="shared" si="12"/>
        <v>0</v>
      </c>
      <c r="L83" s="14">
        <f t="shared" si="13"/>
        <v>14.127593191531743</v>
      </c>
      <c r="M83" s="10"/>
      <c r="N83" s="10"/>
      <c r="O83" s="10"/>
      <c r="P83" s="10"/>
      <c r="Q83" s="10"/>
      <c r="R83" s="10"/>
      <c r="S83" s="10"/>
      <c r="U83" s="2">
        <f t="shared" si="17"/>
        <v>0</v>
      </c>
      <c r="V83" s="14">
        <f t="shared" si="18"/>
        <v>14.226331789622996</v>
      </c>
      <c r="W83" s="2">
        <f t="shared" si="17"/>
        <v>0</v>
      </c>
      <c r="X83" s="14">
        <f t="shared" si="18"/>
        <v>13.864882336459118</v>
      </c>
      <c r="Y83" s="2">
        <f t="shared" si="17"/>
        <v>0</v>
      </c>
      <c r="Z83" s="14">
        <f t="shared" si="18"/>
        <v>14.29156544851311</v>
      </c>
      <c r="AA83" s="2">
        <f t="shared" si="17"/>
        <v>0</v>
      </c>
      <c r="AB83" s="14">
        <f t="shared" si="16"/>
        <v>14.127593191531743</v>
      </c>
    </row>
    <row r="84" spans="2:28" ht="12.75">
      <c r="B84" s="2" t="s">
        <v>93</v>
      </c>
      <c r="D84" s="2" t="s">
        <v>11</v>
      </c>
      <c r="F84" s="13">
        <f t="shared" si="15"/>
        <v>22.063592416241654</v>
      </c>
      <c r="H84" s="13">
        <f t="shared" si="15"/>
        <v>21.44220175289608</v>
      </c>
      <c r="J84" s="13">
        <f t="shared" si="14"/>
        <v>21.065602250698515</v>
      </c>
      <c r="K84" s="2">
        <f t="shared" si="12"/>
        <v>0</v>
      </c>
      <c r="L84" s="14">
        <f t="shared" si="13"/>
        <v>21.52379880661208</v>
      </c>
      <c r="M84" s="10"/>
      <c r="N84" s="10"/>
      <c r="O84" s="10"/>
      <c r="P84" s="10"/>
      <c r="Q84" s="10"/>
      <c r="R84" s="10"/>
      <c r="S84" s="10"/>
      <c r="U84" s="2">
        <f t="shared" si="17"/>
        <v>0</v>
      </c>
      <c r="V84" s="14">
        <f t="shared" si="18"/>
        <v>22.063592416241654</v>
      </c>
      <c r="W84" s="2">
        <f t="shared" si="17"/>
        <v>0</v>
      </c>
      <c r="X84" s="14">
        <f t="shared" si="18"/>
        <v>21.44220175289608</v>
      </c>
      <c r="Y84" s="2">
        <f t="shared" si="17"/>
        <v>0</v>
      </c>
      <c r="Z84" s="14">
        <f t="shared" si="18"/>
        <v>21.065602250698515</v>
      </c>
      <c r="AA84" s="2">
        <f t="shared" si="17"/>
        <v>0</v>
      </c>
      <c r="AB84" s="14">
        <f t="shared" si="16"/>
        <v>21.52379880661208</v>
      </c>
    </row>
    <row r="85" spans="2:28" ht="12.75">
      <c r="B85" s="2" t="s">
        <v>94</v>
      </c>
      <c r="D85" s="2" t="s">
        <v>11</v>
      </c>
      <c r="E85" s="2">
        <v>100</v>
      </c>
      <c r="F85" s="13">
        <f t="shared" si="15"/>
        <v>3.918630313309328</v>
      </c>
      <c r="G85" s="2">
        <v>100</v>
      </c>
      <c r="H85" s="13">
        <f t="shared" si="15"/>
        <v>3.94987927027033</v>
      </c>
      <c r="I85" s="2">
        <v>100</v>
      </c>
      <c r="J85" s="13">
        <f t="shared" si="14"/>
        <v>3.9652898354256023</v>
      </c>
      <c r="K85" s="2">
        <f t="shared" si="12"/>
        <v>100</v>
      </c>
      <c r="L85" s="14">
        <f t="shared" si="13"/>
        <v>3.9445998063350864</v>
      </c>
      <c r="M85" s="10"/>
      <c r="N85" s="10"/>
      <c r="O85" s="10"/>
      <c r="P85" s="10"/>
      <c r="Q85" s="10"/>
      <c r="R85" s="10"/>
      <c r="S85" s="10"/>
      <c r="U85" s="2">
        <f t="shared" si="17"/>
        <v>100</v>
      </c>
      <c r="V85" s="14">
        <f t="shared" si="18"/>
        <v>3.918630313309328</v>
      </c>
      <c r="W85" s="2">
        <f t="shared" si="17"/>
        <v>100</v>
      </c>
      <c r="X85" s="14">
        <f t="shared" si="18"/>
        <v>3.94987927027033</v>
      </c>
      <c r="Y85" s="2">
        <f t="shared" si="17"/>
        <v>100</v>
      </c>
      <c r="Z85" s="14">
        <f t="shared" si="18"/>
        <v>3.9652898354256023</v>
      </c>
      <c r="AA85" s="2">
        <f t="shared" si="17"/>
        <v>100</v>
      </c>
      <c r="AB85" s="14">
        <f t="shared" si="16"/>
        <v>3.9445998063350864</v>
      </c>
    </row>
    <row r="86" spans="2:28" ht="12.75">
      <c r="B86" s="2" t="s">
        <v>95</v>
      </c>
      <c r="D86" s="2" t="s">
        <v>11</v>
      </c>
      <c r="F86" s="13">
        <f t="shared" si="15"/>
        <v>2.385253234188287</v>
      </c>
      <c r="H86" s="13">
        <f t="shared" si="15"/>
        <v>2.015244525648128</v>
      </c>
      <c r="J86" s="13">
        <f t="shared" si="14"/>
        <v>6.774036802185404</v>
      </c>
      <c r="K86" s="2">
        <f t="shared" si="12"/>
        <v>0</v>
      </c>
      <c r="L86" s="14">
        <f t="shared" si="13"/>
        <v>3.724844854007273</v>
      </c>
      <c r="M86" s="14"/>
      <c r="N86" s="14"/>
      <c r="O86" s="14"/>
      <c r="P86" s="14"/>
      <c r="Q86" s="14"/>
      <c r="R86" s="14"/>
      <c r="S86" s="14"/>
      <c r="U86" s="2">
        <f t="shared" si="17"/>
        <v>0</v>
      </c>
      <c r="V86" s="14">
        <f t="shared" si="18"/>
        <v>2.385253234188287</v>
      </c>
      <c r="W86" s="2">
        <f t="shared" si="17"/>
        <v>0</v>
      </c>
      <c r="X86" s="14">
        <f t="shared" si="18"/>
        <v>2.015244525648128</v>
      </c>
      <c r="Y86" s="2">
        <f t="shared" si="17"/>
        <v>0</v>
      </c>
      <c r="Z86" s="14">
        <f t="shared" si="18"/>
        <v>6.774036802185404</v>
      </c>
      <c r="AA86" s="2">
        <f t="shared" si="17"/>
        <v>0</v>
      </c>
      <c r="AB86" s="14">
        <f t="shared" si="16"/>
        <v>3.724844854007273</v>
      </c>
    </row>
    <row r="87" spans="2:28" ht="12.75">
      <c r="B87" s="2" t="s">
        <v>96</v>
      </c>
      <c r="D87" s="2" t="s">
        <v>11</v>
      </c>
      <c r="F87" s="13">
        <f t="shared" si="15"/>
        <v>43.3604962929228</v>
      </c>
      <c r="H87" s="13">
        <f t="shared" si="15"/>
        <v>30.95415591395524</v>
      </c>
      <c r="J87" s="13">
        <f t="shared" si="14"/>
        <v>29.822283970596718</v>
      </c>
      <c r="K87" s="2">
        <f t="shared" si="12"/>
        <v>0</v>
      </c>
      <c r="L87" s="14">
        <f t="shared" si="13"/>
        <v>34.71231205915825</v>
      </c>
      <c r="M87" s="14"/>
      <c r="N87" s="14"/>
      <c r="O87" s="14"/>
      <c r="P87" s="14"/>
      <c r="Q87" s="14"/>
      <c r="R87" s="14"/>
      <c r="S87" s="14"/>
      <c r="U87" s="2">
        <f t="shared" si="17"/>
        <v>0</v>
      </c>
      <c r="V87" s="14">
        <f t="shared" si="18"/>
        <v>43.3604962929228</v>
      </c>
      <c r="W87" s="2">
        <f t="shared" si="17"/>
        <v>0</v>
      </c>
      <c r="X87" s="14">
        <f t="shared" si="18"/>
        <v>30.95415591395524</v>
      </c>
      <c r="Y87" s="2">
        <f t="shared" si="17"/>
        <v>0</v>
      </c>
      <c r="Z87" s="14">
        <f t="shared" si="18"/>
        <v>29.822283970596718</v>
      </c>
      <c r="AA87" s="2">
        <f t="shared" si="17"/>
        <v>0</v>
      </c>
      <c r="AB87" s="14">
        <f t="shared" si="16"/>
        <v>34.71231205915825</v>
      </c>
    </row>
    <row r="88" spans="2:28" ht="12.75">
      <c r="B88" s="2" t="s">
        <v>97</v>
      </c>
      <c r="D88" s="2" t="s">
        <v>11</v>
      </c>
      <c r="E88" s="2">
        <v>100</v>
      </c>
      <c r="F88" s="13">
        <f t="shared" si="15"/>
        <v>3.918630313309328</v>
      </c>
      <c r="H88" s="13">
        <f t="shared" si="15"/>
        <v>21.44220175289608</v>
      </c>
      <c r="J88" s="13">
        <f t="shared" si="14"/>
        <v>37.752863641447924</v>
      </c>
      <c r="K88" s="13">
        <f t="shared" si="12"/>
        <v>6.208843055967875</v>
      </c>
      <c r="L88" s="14">
        <f t="shared" si="13"/>
        <v>21.037898569217777</v>
      </c>
      <c r="M88" s="14"/>
      <c r="N88" s="14"/>
      <c r="O88" s="14"/>
      <c r="P88" s="14"/>
      <c r="Q88" s="14"/>
      <c r="R88" s="14"/>
      <c r="S88" s="14"/>
      <c r="U88" s="2">
        <f t="shared" si="17"/>
        <v>100</v>
      </c>
      <c r="V88" s="14">
        <f t="shared" si="18"/>
        <v>3.918630313309328</v>
      </c>
      <c r="W88" s="2">
        <f t="shared" si="17"/>
        <v>0</v>
      </c>
      <c r="X88" s="14">
        <f t="shared" si="18"/>
        <v>21.44220175289608</v>
      </c>
      <c r="Y88" s="2">
        <f t="shared" si="17"/>
        <v>0</v>
      </c>
      <c r="Z88" s="14">
        <f t="shared" si="18"/>
        <v>37.752863641447924</v>
      </c>
      <c r="AA88" s="2">
        <f t="shared" si="17"/>
        <v>6.208843055967875</v>
      </c>
      <c r="AB88" s="14">
        <f t="shared" si="16"/>
        <v>21.037898569217777</v>
      </c>
    </row>
    <row r="89" spans="6:28" ht="12.75">
      <c r="F89" s="13"/>
      <c r="H89" s="13"/>
      <c r="J89" s="13"/>
      <c r="L89" s="14"/>
      <c r="M89" s="14"/>
      <c r="N89" s="14"/>
      <c r="O89" s="14"/>
      <c r="P89" s="14"/>
      <c r="Q89" s="14"/>
      <c r="R89" s="14"/>
      <c r="S89" s="14"/>
      <c r="V89" s="14"/>
      <c r="W89" s="14"/>
      <c r="X89" s="14"/>
      <c r="Y89" s="14"/>
      <c r="Z89" s="14"/>
      <c r="AA89" s="14"/>
      <c r="AB89" s="14"/>
    </row>
    <row r="90" spans="2:28" ht="12.75">
      <c r="B90" s="2" t="s">
        <v>5</v>
      </c>
      <c r="D90" s="2" t="s">
        <v>11</v>
      </c>
      <c r="E90" s="13">
        <f>SUM(E85*F85,E83*F83)/F90</f>
        <v>21.596244131455396</v>
      </c>
      <c r="F90" s="14">
        <f>SUM(F85,F83)</f>
        <v>18.144962102932325</v>
      </c>
      <c r="G90" s="13">
        <f>SUM(G85*H85,G83*H83)/H90</f>
        <v>22.171945701357465</v>
      </c>
      <c r="H90" s="14">
        <f>SUM(H85,H83)</f>
        <v>17.814761606729448</v>
      </c>
      <c r="I90" s="13">
        <f>SUM(I85*J85,I83*J83)/J90</f>
        <v>21.719457013574658</v>
      </c>
      <c r="J90" s="14">
        <f>SUM(J85,J83)</f>
        <v>18.256855283938712</v>
      </c>
      <c r="K90" s="13">
        <f>SUM(K85*L85,K83*L83)/L90</f>
        <v>21.82690173129897</v>
      </c>
      <c r="L90" s="14">
        <f t="shared" si="13"/>
        <v>18.07219299786683</v>
      </c>
      <c r="M90" s="14"/>
      <c r="N90" s="14"/>
      <c r="O90" s="14"/>
      <c r="P90" s="14"/>
      <c r="Q90" s="14"/>
      <c r="R90" s="14"/>
      <c r="S90" s="14"/>
      <c r="U90" s="13">
        <f>SUM(U85*V85,U83*V83)/V90</f>
        <v>21.596244131455396</v>
      </c>
      <c r="V90" s="14">
        <f>SUM(V85,V83)</f>
        <v>18.144962102932325</v>
      </c>
      <c r="W90" s="13">
        <f>SUM(W85*X85,W83*X83)/X90</f>
        <v>22.171945701357465</v>
      </c>
      <c r="X90" s="14">
        <f>SUM(X85,X83)</f>
        <v>17.814761606729448</v>
      </c>
      <c r="Y90" s="13">
        <f>SUM(Y85*Z85,Y83*Z83)/Z90</f>
        <v>21.719457013574658</v>
      </c>
      <c r="Z90" s="14">
        <f>SUM(Z85,Z83)</f>
        <v>18.256855283938712</v>
      </c>
      <c r="AA90" s="13">
        <f>SUM(AA85*AB85,AA83*AB83)/AB90</f>
        <v>21.82690173129897</v>
      </c>
      <c r="AB90" s="14">
        <f>AVERAGE(Z90,X90,V90)</f>
        <v>18.07219299786683</v>
      </c>
    </row>
    <row r="91" spans="2:28" ht="12.75">
      <c r="B91" s="2" t="s">
        <v>6</v>
      </c>
      <c r="D91" s="2" t="s">
        <v>11</v>
      </c>
      <c r="E91" s="13">
        <f>SUM(E84*F84,E82*F82,E80*F80)/F91</f>
        <v>3.979238754325259</v>
      </c>
      <c r="F91" s="14">
        <f>SUM(F80,F82,F84)</f>
        <v>98.47688352577356</v>
      </c>
      <c r="G91" s="13">
        <f>SUM(G84*H84,G82*H82,G80*H80)/H91</f>
        <v>27.920227920227923</v>
      </c>
      <c r="H91" s="14">
        <f>SUM(H80,H82,H84)</f>
        <v>141.47016570049854</v>
      </c>
      <c r="I91" s="13">
        <f>SUM(I84*J84,I82*J82,I80*J80)/J91</f>
        <v>3.7122969837587005</v>
      </c>
      <c r="J91" s="14">
        <f>SUM(J80,J82,J84)</f>
        <v>106.81499494177717</v>
      </c>
      <c r="K91" s="13">
        <f>SUM(K84*L84,K82*L82,K80*L80)/L91</f>
        <v>13.664330813690617</v>
      </c>
      <c r="L91" s="14">
        <f t="shared" si="13"/>
        <v>115.58734805601642</v>
      </c>
      <c r="M91" s="14"/>
      <c r="N91" s="14"/>
      <c r="O91" s="14"/>
      <c r="P91" s="14"/>
      <c r="Q91" s="14"/>
      <c r="R91" s="14"/>
      <c r="S91" s="14"/>
      <c r="U91" s="13">
        <f>SUM(U84*V84,U82*V82,U80*V80)/V91</f>
        <v>3.979238754325259</v>
      </c>
      <c r="V91" s="14">
        <f>SUM(V80,V82,V84)</f>
        <v>98.47688352577356</v>
      </c>
      <c r="W91" s="13">
        <f>SUM(W84*X84,W82*X82,W80*X80)/X91</f>
        <v>27.920227920227923</v>
      </c>
      <c r="X91" s="14">
        <f>SUM(X80,X82,X84)</f>
        <v>141.47016570049854</v>
      </c>
      <c r="Y91" s="13">
        <f>SUM(Y84*Z84,Y82*Z82,Y80*Z80)/Z91</f>
        <v>3.7122969837587005</v>
      </c>
      <c r="Z91" s="14">
        <f>SUM(Z80,Z82,Z84)</f>
        <v>106.81499494177717</v>
      </c>
      <c r="AA91" s="13">
        <f>SUM(AA84*AB84,AA82*AB82,AA80*AB80)/AB91</f>
        <v>13.664330813690617</v>
      </c>
      <c r="AB91" s="14">
        <f>AVERAGE(Z91,X91,V91)</f>
        <v>115.58734805601642</v>
      </c>
    </row>
    <row r="92" spans="12:19" ht="12.75">
      <c r="L92" s="14"/>
      <c r="M92" s="14"/>
      <c r="N92" s="14"/>
      <c r="O92" s="14"/>
      <c r="P92" s="14"/>
      <c r="Q92" s="14"/>
      <c r="R92" s="14"/>
      <c r="S92" s="14"/>
    </row>
    <row r="93" spans="12:19" ht="12.75">
      <c r="L93" s="14"/>
      <c r="M93" s="14"/>
      <c r="N93" s="14"/>
      <c r="O93" s="14"/>
      <c r="P93" s="14"/>
      <c r="Q93" s="14"/>
      <c r="R93" s="14"/>
      <c r="S93" s="14"/>
    </row>
    <row r="95" spans="2:3" ht="12.75">
      <c r="B95" s="1"/>
      <c r="C95" s="1"/>
    </row>
    <row r="96" spans="2:3" ht="12.75" customHeight="1">
      <c r="B96" s="1" t="s">
        <v>98</v>
      </c>
      <c r="C96" s="1"/>
    </row>
    <row r="98" spans="2:19" ht="12.75">
      <c r="B98" s="2" t="s">
        <v>88</v>
      </c>
      <c r="D98" s="2" t="s">
        <v>42</v>
      </c>
      <c r="L98" s="14">
        <v>1895</v>
      </c>
      <c r="M98" s="14"/>
      <c r="N98" s="14"/>
      <c r="O98" s="14"/>
      <c r="P98" s="14"/>
      <c r="Q98" s="14"/>
      <c r="R98" s="14"/>
      <c r="S98" s="14"/>
    </row>
    <row r="99" spans="2:19" ht="12.75">
      <c r="B99" s="2" t="s">
        <v>89</v>
      </c>
      <c r="D99" s="2" t="s">
        <v>42</v>
      </c>
      <c r="L99" s="14">
        <v>14.5</v>
      </c>
      <c r="M99" s="14"/>
      <c r="N99" s="14"/>
      <c r="O99" s="14"/>
      <c r="P99" s="14"/>
      <c r="Q99" s="14"/>
      <c r="R99" s="14"/>
      <c r="S99" s="14"/>
    </row>
    <row r="100" spans="2:19" ht="12.75">
      <c r="B100" s="2" t="s">
        <v>90</v>
      </c>
      <c r="D100" s="2" t="s">
        <v>42</v>
      </c>
      <c r="L100" s="14">
        <v>316000</v>
      </c>
      <c r="M100" s="14"/>
      <c r="N100" s="14"/>
      <c r="O100" s="14"/>
      <c r="P100" s="14"/>
      <c r="Q100" s="14"/>
      <c r="R100" s="14"/>
      <c r="S100" s="14"/>
    </row>
    <row r="101" spans="2:19" ht="12.75">
      <c r="B101" s="2" t="s">
        <v>91</v>
      </c>
      <c r="D101" s="2" t="s">
        <v>42</v>
      </c>
      <c r="L101" s="14">
        <v>26.5</v>
      </c>
      <c r="M101" s="14"/>
      <c r="N101" s="14"/>
      <c r="O101" s="14"/>
      <c r="P101" s="14"/>
      <c r="Q101" s="14"/>
      <c r="R101" s="14"/>
      <c r="S101" s="14"/>
    </row>
    <row r="102" spans="2:19" ht="12.75">
      <c r="B102" s="2" t="s">
        <v>92</v>
      </c>
      <c r="D102" s="2" t="s">
        <v>42</v>
      </c>
      <c r="L102" s="14">
        <v>35.4</v>
      </c>
      <c r="M102" s="14"/>
      <c r="N102" s="14"/>
      <c r="O102" s="14"/>
      <c r="P102" s="14"/>
      <c r="Q102" s="14"/>
      <c r="R102" s="14"/>
      <c r="S102" s="14"/>
    </row>
    <row r="103" spans="2:19" ht="12.75">
      <c r="B103" s="2" t="s">
        <v>93</v>
      </c>
      <c r="D103" s="2" t="s">
        <v>42</v>
      </c>
      <c r="L103" s="14">
        <v>5.24</v>
      </c>
      <c r="M103" s="14"/>
      <c r="N103" s="14"/>
      <c r="O103" s="14"/>
      <c r="P103" s="14"/>
      <c r="Q103" s="14"/>
      <c r="R103" s="14"/>
      <c r="S103" s="14"/>
    </row>
    <row r="104" spans="2:19" ht="12.75">
      <c r="B104" s="2" t="s">
        <v>94</v>
      </c>
      <c r="D104" s="2" t="s">
        <v>42</v>
      </c>
      <c r="L104" s="14">
        <v>568</v>
      </c>
      <c r="M104" s="14"/>
      <c r="N104" s="14"/>
      <c r="O104" s="14"/>
      <c r="P104" s="14"/>
      <c r="Q104" s="14"/>
      <c r="R104" s="14"/>
      <c r="S104" s="14"/>
    </row>
    <row r="105" spans="2:19" ht="12.75">
      <c r="B105" s="2" t="s">
        <v>95</v>
      </c>
      <c r="D105" s="2" t="s">
        <v>42</v>
      </c>
      <c r="L105" s="14">
        <v>1895</v>
      </c>
      <c r="M105" s="14"/>
      <c r="N105" s="14"/>
      <c r="O105" s="14"/>
      <c r="P105" s="14"/>
      <c r="Q105" s="14"/>
      <c r="R105" s="14"/>
      <c r="S105" s="14"/>
    </row>
    <row r="106" spans="2:19" ht="12.75">
      <c r="B106" s="2" t="s">
        <v>96</v>
      </c>
      <c r="D106" s="2" t="s">
        <v>42</v>
      </c>
      <c r="L106" s="14">
        <v>18950</v>
      </c>
      <c r="M106" s="14"/>
      <c r="N106" s="14"/>
      <c r="O106" s="14"/>
      <c r="P106" s="14"/>
      <c r="Q106" s="14"/>
      <c r="R106" s="14"/>
      <c r="S106" s="14"/>
    </row>
    <row r="107" spans="2:19" ht="12.75">
      <c r="B107" s="2" t="s">
        <v>97</v>
      </c>
      <c r="D107" s="2" t="s">
        <v>42</v>
      </c>
      <c r="L107" s="14">
        <v>3158</v>
      </c>
      <c r="M107" s="14"/>
      <c r="N107" s="14"/>
      <c r="O107" s="14"/>
      <c r="P107" s="14"/>
      <c r="Q107" s="14"/>
      <c r="R107" s="14"/>
      <c r="S107" s="14"/>
    </row>
    <row r="108" spans="2:19" ht="12.75">
      <c r="B108" s="2" t="s">
        <v>44</v>
      </c>
      <c r="D108" s="2" t="s">
        <v>42</v>
      </c>
      <c r="L108" s="14">
        <v>46736</v>
      </c>
      <c r="M108" s="14"/>
      <c r="N108" s="14"/>
      <c r="O108" s="14"/>
      <c r="P108" s="14"/>
      <c r="Q108" s="14"/>
      <c r="R108" s="14"/>
      <c r="S108" s="1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18" sqref="C18"/>
    </sheetView>
  </sheetViews>
  <sheetFormatPr defaultColWidth="9.140625" defaultRowHeight="12.75"/>
  <cols>
    <col min="1" max="1" width="30.421875" style="2" customWidth="1"/>
    <col min="2" max="2" width="18.421875" style="2" customWidth="1"/>
    <col min="3" max="3" width="11.00390625" style="2" customWidth="1"/>
    <col min="4" max="4" width="7.8515625" style="2" customWidth="1"/>
    <col min="5" max="5" width="11.28125" style="2" customWidth="1"/>
    <col min="6" max="16384" width="11.421875" style="2" customWidth="1"/>
  </cols>
  <sheetData>
    <row r="1" ht="12.75">
      <c r="A1" s="1" t="s">
        <v>46</v>
      </c>
    </row>
    <row r="2" spans="2:3" ht="12.75">
      <c r="B2" s="2" t="s">
        <v>33</v>
      </c>
      <c r="C2" s="8" t="s">
        <v>34</v>
      </c>
    </row>
    <row r="3" ht="12.75">
      <c r="C3" s="8"/>
    </row>
    <row r="4" spans="1:3" ht="12.75">
      <c r="A4" s="1" t="s">
        <v>68</v>
      </c>
      <c r="B4" s="2" t="s">
        <v>153</v>
      </c>
      <c r="C4" s="8"/>
    </row>
    <row r="5" spans="1:3" ht="12.75">
      <c r="A5" s="1"/>
      <c r="C5" s="8"/>
    </row>
    <row r="6" spans="1:4" ht="12.75">
      <c r="A6" s="2" t="s">
        <v>79</v>
      </c>
      <c r="B6" s="2" t="s">
        <v>16</v>
      </c>
      <c r="C6" s="2">
        <v>1996</v>
      </c>
      <c r="D6" s="8"/>
    </row>
    <row r="7" spans="1:4" ht="12.75">
      <c r="A7" s="2" t="s">
        <v>80</v>
      </c>
      <c r="B7" s="2" t="s">
        <v>40</v>
      </c>
      <c r="C7" s="2">
        <v>49424</v>
      </c>
      <c r="D7" s="8"/>
    </row>
    <row r="8" spans="1:4" ht="12.75">
      <c r="A8" s="2" t="s">
        <v>51</v>
      </c>
      <c r="D8" s="8"/>
    </row>
    <row r="9" spans="1:4" ht="12.75">
      <c r="A9" s="2" t="s">
        <v>81</v>
      </c>
      <c r="B9" s="2" t="s">
        <v>16</v>
      </c>
      <c r="C9" s="2">
        <v>130</v>
      </c>
      <c r="D9" s="8"/>
    </row>
    <row r="10" spans="1:4" ht="12.75">
      <c r="A10" s="2" t="s">
        <v>82</v>
      </c>
      <c r="B10" s="2" t="s">
        <v>52</v>
      </c>
      <c r="C10" s="2">
        <v>33.1</v>
      </c>
      <c r="D10" s="8"/>
    </row>
    <row r="11" spans="1:4" ht="12.75">
      <c r="A11" s="2" t="s">
        <v>83</v>
      </c>
      <c r="C11" s="2">
        <v>5.2</v>
      </c>
      <c r="D11" s="8"/>
    </row>
    <row r="12" spans="1:4" ht="12.75">
      <c r="A12" s="2" t="s">
        <v>84</v>
      </c>
      <c r="B12" s="2" t="s">
        <v>70</v>
      </c>
      <c r="C12" s="2">
        <v>10</v>
      </c>
      <c r="D12" s="8"/>
    </row>
    <row r="14" spans="1:3" ht="12.75">
      <c r="A14" s="1" t="s">
        <v>69</v>
      </c>
      <c r="B14" s="2" t="s">
        <v>154</v>
      </c>
      <c r="C14" s="8" t="s">
        <v>34</v>
      </c>
    </row>
    <row r="15" ht="12.75">
      <c r="A15" s="1"/>
    </row>
    <row r="16" spans="1:3" ht="12.75">
      <c r="A16" s="2" t="s">
        <v>79</v>
      </c>
      <c r="B16" s="2" t="s">
        <v>16</v>
      </c>
      <c r="C16" s="2">
        <v>1531</v>
      </c>
    </row>
    <row r="17" spans="1:3" ht="12.75">
      <c r="A17" s="2" t="s">
        <v>80</v>
      </c>
      <c r="B17" s="2" t="s">
        <v>40</v>
      </c>
      <c r="C17" s="2">
        <v>18673</v>
      </c>
    </row>
    <row r="18" ht="12.75">
      <c r="A18" s="2" t="s">
        <v>85</v>
      </c>
    </row>
    <row r="19" spans="1:3" ht="12.75">
      <c r="A19" s="2" t="s">
        <v>81</v>
      </c>
      <c r="B19" s="2" t="s">
        <v>16</v>
      </c>
      <c r="C19" s="2">
        <v>94</v>
      </c>
    </row>
    <row r="20" spans="1:3" ht="12.75">
      <c r="A20" s="2" t="s">
        <v>82</v>
      </c>
      <c r="B20" s="2" t="s">
        <v>52</v>
      </c>
      <c r="C20" s="2">
        <v>15</v>
      </c>
    </row>
    <row r="21" spans="1:3" ht="12.75">
      <c r="A21" s="2" t="s">
        <v>83</v>
      </c>
      <c r="C21" s="2">
        <v>5</v>
      </c>
    </row>
    <row r="22" spans="1:3" ht="12.75">
      <c r="A22" s="2" t="s">
        <v>86</v>
      </c>
      <c r="B22" s="2" t="s">
        <v>70</v>
      </c>
      <c r="C22" s="2">
        <v>17.8</v>
      </c>
    </row>
    <row r="26" ht="12.75">
      <c r="D26" s="8"/>
    </row>
    <row r="27" ht="12.75">
      <c r="D27" s="8"/>
    </row>
    <row r="28" ht="12.75">
      <c r="D28" s="8"/>
    </row>
    <row r="29" ht="12.75">
      <c r="D29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2004-02-25T18:58:43Z</cp:lastPrinted>
  <dcterms:created xsi:type="dcterms:W3CDTF">2000-01-06T13:25:08Z</dcterms:created>
  <dcterms:modified xsi:type="dcterms:W3CDTF">2004-02-25T18:58:52Z</dcterms:modified>
  <cp:category/>
  <cp:version/>
  <cp:contentType/>
  <cp:contentStatus/>
</cp:coreProperties>
</file>