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837" activeTab="1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1" sheetId="11" r:id="rId11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<sst xmlns="http://schemas.openxmlformats.org/spreadsheetml/2006/main" count="1502" uniqueCount="277">
  <si>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</si>
  <si>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</si>
  <si>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</si>
  <si>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</si>
  <si>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</si>
  <si>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</si>
  <si>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</si>
  <si>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</si>
  <si>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</si>
  <si>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</si>
  <si>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</si>
  <si>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</si>
  <si>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</si>
  <si>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</si>
  <si>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</si>
  <si>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</si>
  <si>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</si>
  <si>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</si>
  <si>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</si>
  <si>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</si>
  <si>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</si>
  <si>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Feedrate Calculations</t>
  </si>
  <si>
    <t>Feedstream Description</t>
  </si>
  <si>
    <t>Ash</t>
  </si>
  <si>
    <t>HCl</t>
  </si>
  <si>
    <t>Cl2</t>
  </si>
  <si>
    <t>DRE</t>
  </si>
  <si>
    <t>lb/hr</t>
  </si>
  <si>
    <t>Spike</t>
  </si>
  <si>
    <t>ug/dscm</t>
  </si>
  <si>
    <t>SVM</t>
  </si>
  <si>
    <t>LVM</t>
  </si>
  <si>
    <t>mg/dscm</t>
  </si>
  <si>
    <t>HW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</si>
  <si>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</si>
  <si>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</si>
  <si>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</si>
  <si>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</si>
  <si>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</si>
  <si>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</si>
  <si>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</si>
  <si>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</si>
  <si>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</si>
  <si>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</si>
  <si>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</si>
  <si>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</si>
  <si>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</si>
  <si>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</si>
  <si>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Comments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</si>
  <si>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</si>
  <si>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</si>
  <si>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</si>
  <si>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</si>
  <si>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</si>
  <si>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</si>
  <si>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Feed Rate</t>
  </si>
  <si>
    <t>HWC Burn Status (Date if Terminated)</t>
  </si>
  <si>
    <t>Phase I ID No.</t>
  </si>
  <si>
    <t>CO (RA)</t>
  </si>
  <si>
    <t>Stack Gas Flowrate</t>
  </si>
  <si>
    <t>Oxygen</t>
  </si>
  <si>
    <t>Feedrate MTEC Calculations</t>
  </si>
  <si>
    <t>PM, HCl/Cl2</t>
  </si>
  <si>
    <t>Chlorine</t>
  </si>
  <si>
    <t>Thermal Feedrate</t>
  </si>
  <si>
    <t>MMBtu/hr</t>
  </si>
  <si>
    <t>F</t>
  </si>
  <si>
    <t>Metals</t>
  </si>
  <si>
    <t>PCDD/F</t>
  </si>
  <si>
    <t>pH</t>
  </si>
  <si>
    <t>PCDD/PCDF</t>
  </si>
  <si>
    <t>Facility Name and ID:</t>
  </si>
  <si>
    <t>Condition ID:</t>
  </si>
  <si>
    <t>Condition/Test Date:</t>
  </si>
  <si>
    <t>I-TEF</t>
  </si>
  <si>
    <t>Run 1</t>
  </si>
  <si>
    <t>Run 3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</si>
  <si>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</si>
  <si>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</si>
  <si>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</si>
  <si>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</si>
  <si>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</si>
  <si>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</si>
  <si>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</si>
  <si>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</si>
  <si>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</si>
  <si>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</si>
  <si>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</si>
  <si>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</si>
  <si>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</si>
  <si>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</si>
  <si>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</si>
  <si>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</si>
  <si>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</si>
  <si>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</si>
  <si>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</si>
  <si>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</si>
  <si>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</si>
  <si>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</si>
  <si>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</si>
  <si>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</si>
  <si>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</si>
  <si>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</si>
  <si>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</si>
  <si>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Run 2</t>
  </si>
  <si>
    <t>Eastman Chemical Company</t>
  </si>
  <si>
    <t>Kingsport</t>
  </si>
  <si>
    <t>Tennessee</t>
  </si>
  <si>
    <t>nd</t>
  </si>
  <si>
    <t>Perchloroethylene</t>
  </si>
  <si>
    <t>Rod Scrubber Recycle pH</t>
  </si>
  <si>
    <t>Q/SC/GS/WESP</t>
  </si>
  <si>
    <t>Rotary Kiln No. 1</t>
  </si>
  <si>
    <t>Franklin Engineering Group, Inc</t>
  </si>
  <si>
    <t>809C1</t>
  </si>
  <si>
    <t>809C10</t>
  </si>
  <si>
    <t>Mini-Trial Burn Report for Rotary Kiln Incinerator No. 1, March 2002</t>
  </si>
  <si>
    <t>Rotary Kiln No. 2</t>
  </si>
  <si>
    <t>Trial burn, max metals, ash, chlorine, min temp</t>
  </si>
  <si>
    <t>PM, HCl/Cl2, metals, PCDD/F, DRE, CO/HC</t>
  </si>
  <si>
    <t>DRE, PCDD/F, HC/CO</t>
  </si>
  <si>
    <t>Trial burn, organics testing, min combustion temp, SCC not operated</t>
  </si>
  <si>
    <t>HC (RA)</t>
  </si>
  <si>
    <t>Cond Avg</t>
  </si>
  <si>
    <t>Kiln Exit Temperature</t>
  </si>
  <si>
    <t>Afterburner Exit Temperature</t>
  </si>
  <si>
    <t>Rod Scrubber Liquid/Gas Ratio</t>
  </si>
  <si>
    <t>WESP Power-to-Gas Ratio</t>
  </si>
  <si>
    <t>WESP Liquid/Gas Ratio</t>
  </si>
  <si>
    <t>WESP Liquid pH</t>
  </si>
  <si>
    <t>gpm/1000 acfm</t>
  </si>
  <si>
    <t>W/1000 acfm</t>
  </si>
  <si>
    <t>Liquid Blowdown Solids Content</t>
  </si>
  <si>
    <t xml:space="preserve">POHC </t>
  </si>
  <si>
    <t>POHC Feedrate</t>
  </si>
  <si>
    <t>Emission Rate</t>
  </si>
  <si>
    <t>Monochlorobenzene</t>
  </si>
  <si>
    <t>&gt;</t>
  </si>
  <si>
    <t>809C11</t>
  </si>
  <si>
    <t>Gas Concentration (ng/dscm @ 7% O2)</t>
  </si>
  <si>
    <t>Other TCDD</t>
  </si>
  <si>
    <t>Other PCDD</t>
  </si>
  <si>
    <t>Other HxCDD</t>
  </si>
  <si>
    <t>Other HpCDD</t>
  </si>
  <si>
    <t>Other TCDF</t>
  </si>
  <si>
    <t>Other PCDF</t>
  </si>
  <si>
    <t>Other HxCDF</t>
  </si>
  <si>
    <t>Other HpCDF</t>
  </si>
  <si>
    <t>Liq waste kiln</t>
  </si>
  <si>
    <t>Solid waste kiln</t>
  </si>
  <si>
    <t>SCC waste</t>
  </si>
  <si>
    <t>CO (MHRA)</t>
  </si>
  <si>
    <t>HC (MHRA)</t>
  </si>
  <si>
    <t>Nov 15-16, 2001</t>
  </si>
  <si>
    <t>809C2</t>
  </si>
  <si>
    <t>Spiked and measured Pb and Cr to fully represent all SVM and LVM</t>
  </si>
  <si>
    <t>Report Name/Date</t>
  </si>
  <si>
    <t>Report Prepare</t>
  </si>
  <si>
    <t>Testing Firm</t>
  </si>
  <si>
    <t>Testing Dates</t>
  </si>
  <si>
    <t>Condition Descr</t>
  </si>
  <si>
    <t>Content</t>
  </si>
  <si>
    <t>Metals Trial Burn, Tennessee Eastman's No. 1 Rotary Kiln, Tennessee Eastman Company, August 30, 1991</t>
  </si>
  <si>
    <t>Tennessee Eastman</t>
  </si>
  <si>
    <t>Cond Descr</t>
  </si>
  <si>
    <t>June 13-14, 1991</t>
  </si>
  <si>
    <t>R1</t>
  </si>
  <si>
    <t>R2</t>
  </si>
  <si>
    <t>R3</t>
  </si>
  <si>
    <t/>
  </si>
  <si>
    <t>Antimony</t>
  </si>
  <si>
    <t>Arsenic</t>
  </si>
  <si>
    <t>Cadmium</t>
  </si>
  <si>
    <t>Chromium (Hex)</t>
  </si>
  <si>
    <t>As, Cr only</t>
  </si>
  <si>
    <t>Spike A</t>
  </si>
  <si>
    <t>Spike B</t>
  </si>
  <si>
    <t>Soln C</t>
  </si>
  <si>
    <t>Liquid waste</t>
  </si>
  <si>
    <t>River water</t>
  </si>
  <si>
    <t>Heating value</t>
  </si>
  <si>
    <t>ppmw</t>
  </si>
  <si>
    <t>Feedrate MTEC Calculation</t>
  </si>
  <si>
    <t>Combustor Class</t>
  </si>
  <si>
    <t>Combustor Type</t>
  </si>
  <si>
    <t>Rotary kiln</t>
  </si>
  <si>
    <t>TND003376928</t>
  </si>
  <si>
    <t>with afterburner, 8' diameter</t>
  </si>
  <si>
    <t>Trial burn, LOW METALS FEED</t>
  </si>
  <si>
    <t>Trial burn, HIGH METALS FEED</t>
  </si>
  <si>
    <t>Eastman?</t>
  </si>
  <si>
    <t>Btu/lb</t>
  </si>
  <si>
    <t>wt %</t>
  </si>
  <si>
    <t>Stack Gas Emissions 2</t>
  </si>
  <si>
    <t>Stack Gas Emissions 1</t>
  </si>
  <si>
    <t>Cr+6</t>
  </si>
  <si>
    <t>Feedstream 2</t>
  </si>
  <si>
    <t>Onsite incinerator</t>
  </si>
  <si>
    <t>80910</t>
  </si>
  <si>
    <t>Combustion Temperature</t>
  </si>
  <si>
    <t>in H2O</t>
  </si>
  <si>
    <t>WS pH</t>
  </si>
  <si>
    <t>WS Pressure Drop</t>
  </si>
  <si>
    <t>Process Information 2</t>
  </si>
  <si>
    <t>Number of Sister Facilities</t>
  </si>
  <si>
    <t>APCS Detailed Acronym</t>
  </si>
  <si>
    <t>APCS General Class</t>
  </si>
  <si>
    <t>oil</t>
  </si>
  <si>
    <t>liq,solid</t>
  </si>
  <si>
    <t>Cond Dates</t>
  </si>
  <si>
    <t>E1</t>
  </si>
  <si>
    <t>E2</t>
  </si>
  <si>
    <t>E3</t>
  </si>
  <si>
    <t>fuel oil</t>
  </si>
  <si>
    <t xml:space="preserve">LVM </t>
  </si>
  <si>
    <t>(no Be)</t>
  </si>
  <si>
    <t>source</t>
  </si>
  <si>
    <t>cond</t>
  </si>
  <si>
    <t>emiss 2</t>
  </si>
  <si>
    <t>emiss 1</t>
  </si>
  <si>
    <t>feed 1</t>
  </si>
  <si>
    <t>feed 2</t>
  </si>
  <si>
    <t>process 1</t>
  </si>
  <si>
    <t>process 2</t>
  </si>
  <si>
    <t>df c10</t>
  </si>
  <si>
    <t>df c11</t>
  </si>
  <si>
    <t>Quench for gas cooling, rod scrubber for hydrogen chloride absorption, gas subcooling, and two wet electrostatic precipitators.  New APCS for new most recent data.  Old APCD used with old data.</t>
  </si>
  <si>
    <t>Feedstream Number</t>
  </si>
  <si>
    <t>Feed Class</t>
  </si>
  <si>
    <t>Liq HW</t>
  </si>
  <si>
    <t>F1</t>
  </si>
  <si>
    <t>F2</t>
  </si>
  <si>
    <t>Solid HW</t>
  </si>
  <si>
    <t>F3</t>
  </si>
  <si>
    <t>F4</t>
  </si>
  <si>
    <t>F5</t>
  </si>
  <si>
    <t>Liq non-HW</t>
  </si>
  <si>
    <t>F6</t>
  </si>
  <si>
    <t>Feed Class 2</t>
  </si>
  <si>
    <t>Non-HW</t>
  </si>
  <si>
    <t>Estimated Firing Rate</t>
  </si>
  <si>
    <t>Total Chlorine</t>
  </si>
  <si>
    <t>Pb only</t>
  </si>
  <si>
    <t>Cd only</t>
  </si>
  <si>
    <t>No Be</t>
  </si>
  <si>
    <t>809C3</t>
  </si>
  <si>
    <t xml:space="preserve">     Report Name/Date</t>
  </si>
  <si>
    <t>Trial Burn Report for Tennessee Eastman Company B-248 Incineration Facility, Tennessee Eastman Company, Eastman Road, P.O. Box 511, Kingsport TN 37662, Submitted to Tennessee Division of Solid Waste Management, April 1989</t>
  </si>
  <si>
    <t xml:space="preserve">     Report Prepar</t>
  </si>
  <si>
    <t xml:space="preserve">     Testing Firm</t>
  </si>
  <si>
    <t xml:space="preserve">     Testing Dates</t>
  </si>
  <si>
    <t xml:space="preserve">     Cond Dates</t>
  </si>
  <si>
    <t xml:space="preserve">     Cond Description</t>
  </si>
  <si>
    <t>Trial burn, max feedrates, all permit conditions set during testing</t>
  </si>
  <si>
    <t xml:space="preserve">     Content</t>
  </si>
  <si>
    <t>PM, DRE, CO, HCl</t>
  </si>
  <si>
    <t>809C4</t>
  </si>
  <si>
    <t>General trash feed, no permit limits set</t>
  </si>
  <si>
    <t>809C5</t>
  </si>
  <si>
    <t>Hexachlorobenzene POHC DRE trial burn</t>
  </si>
  <si>
    <t>POHC DRE</t>
  </si>
  <si>
    <t>POHC Emissions</t>
  </si>
  <si>
    <t>Hexachlorobenzene</t>
  </si>
  <si>
    <t>Toluene</t>
  </si>
  <si>
    <t>1,2-Dichoroethane</t>
  </si>
  <si>
    <t>Carbon Tetrachloride</t>
  </si>
  <si>
    <t>no chlorine</t>
  </si>
  <si>
    <t>PM, HCl</t>
  </si>
  <si>
    <t>Heating Value</t>
  </si>
  <si>
    <t>Liquid Waste</t>
  </si>
  <si>
    <t>Solid Waste</t>
  </si>
  <si>
    <t>Full ND</t>
  </si>
  <si>
    <t>Trial burn, max feerate, min temp. November 15-16, 2001</t>
  </si>
  <si>
    <t xml:space="preserve"> Max feerate, min temp. November 13, 2001</t>
  </si>
  <si>
    <t>WQ, LEWS, HE, WESP</t>
  </si>
  <si>
    <t>N</t>
  </si>
  <si>
    <t>Condition Description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</si>
</sst>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00"/>
    <numFmt numFmtId="178" formatCode="0.000000000"/>
    <numFmt numFmtId="179" formatCode="mm/dd/yy"/>
    <numFmt numFmtId="180" formatCode="mmmm\-yy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Alignment="1">
      <alignment vertical="top"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5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17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B15" sqref="B15"/>
    </sheetView>
  </sheetViews>
  <sheetFormatPr defaultColWidth="9.140625" defaultRowHeight="12.75"/>
  <sheetData>
    <row r="1" ht="12.75">
      <c r="A1" t="s">
        <v>216</v>
      </c>
    </row>
    <row r="2" ht="12.75">
      <c r="A2" t="s">
        <v>217</v>
      </c>
    </row>
    <row r="3" ht="12.75">
      <c r="A3" t="s">
        <v>219</v>
      </c>
    </row>
    <row r="4" ht="12.75">
      <c r="A4" t="s">
        <v>218</v>
      </c>
    </row>
    <row r="5" ht="12.75">
      <c r="A5" t="s">
        <v>220</v>
      </c>
    </row>
    <row r="6" ht="12.75">
      <c r="A6" t="s">
        <v>221</v>
      </c>
    </row>
    <row r="7" ht="12.75">
      <c r="A7" t="s">
        <v>222</v>
      </c>
    </row>
    <row r="8" ht="12.75">
      <c r="A8" t="s">
        <v>223</v>
      </c>
    </row>
    <row r="9" ht="12.75">
      <c r="A9" t="s">
        <v>224</v>
      </c>
    </row>
    <row r="10" ht="12.75">
      <c r="A10" t="s">
        <v>225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workbookViewId="0" topLeftCell="A12">
      <selection activeCell="F37" sqref="F37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57421875" style="0" bestFit="1" customWidth="1"/>
    <col min="5" max="5" width="9.421875" style="0" customWidth="1"/>
    <col min="6" max="6" width="9.8515625" style="0" customWidth="1"/>
    <col min="8" max="8" width="9.8515625" style="0" customWidth="1"/>
    <col min="9" max="9" width="4.57421875" style="0" bestFit="1" customWidth="1"/>
    <col min="11" max="11" width="9.28125" style="0" customWidth="1"/>
    <col min="13" max="13" width="9.28125" style="0" customWidth="1"/>
    <col min="14" max="14" width="4.57421875" style="0" bestFit="1" customWidth="1"/>
    <col min="16" max="16" width="9.00390625" style="0" customWidth="1"/>
    <col min="18" max="18" width="9.00390625" style="0" customWidth="1"/>
  </cols>
  <sheetData>
    <row r="1" spans="1:18" ht="12.75">
      <c r="A1" s="41" t="s">
        <v>70</v>
      </c>
      <c r="B1" s="21"/>
      <c r="C1" s="21"/>
      <c r="D1" s="21"/>
      <c r="E1" s="42"/>
      <c r="F1" s="43"/>
      <c r="G1" s="42"/>
      <c r="H1" s="43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.75">
      <c r="A2" s="21" t="s">
        <v>275</v>
      </c>
      <c r="B2" s="21"/>
      <c r="C2" s="21"/>
      <c r="D2" s="21"/>
      <c r="E2" s="42"/>
      <c r="F2" s="43"/>
      <c r="G2" s="42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>
      <c r="A3" s="21" t="s">
        <v>71</v>
      </c>
      <c r="B3" s="21"/>
      <c r="C3" s="7" t="str">
        <f>source!C5</f>
        <v>Eastman Chemical Company</v>
      </c>
      <c r="D3" s="7"/>
      <c r="E3" s="42"/>
      <c r="F3" s="43"/>
      <c r="G3" s="42"/>
      <c r="H3" s="43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2.75">
      <c r="A4" s="21" t="s">
        <v>72</v>
      </c>
      <c r="B4" s="21"/>
      <c r="C4" s="7" t="s">
        <v>115</v>
      </c>
      <c r="D4" s="7"/>
      <c r="E4" s="58"/>
      <c r="F4" s="46"/>
      <c r="G4" s="45"/>
      <c r="H4" s="46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2.75">
      <c r="A5" s="21" t="s">
        <v>73</v>
      </c>
      <c r="B5" s="21"/>
      <c r="C5" s="9" t="s">
        <v>272</v>
      </c>
      <c r="D5" s="9"/>
      <c r="E5" s="9"/>
      <c r="F5" s="9"/>
      <c r="G5" s="9"/>
      <c r="H5" s="9"/>
      <c r="I5" s="9"/>
      <c r="J5" s="9"/>
      <c r="K5" s="42"/>
      <c r="L5" s="9"/>
      <c r="M5" s="42"/>
      <c r="N5" s="42"/>
      <c r="O5" s="42"/>
      <c r="P5" s="42"/>
      <c r="Q5" s="42"/>
      <c r="R5" s="42"/>
    </row>
    <row r="6" spans="1:18" ht="12.75">
      <c r="A6" s="21"/>
      <c r="B6" s="21"/>
      <c r="C6" s="23"/>
      <c r="D6" s="23"/>
      <c r="E6" s="44"/>
      <c r="F6" s="43"/>
      <c r="G6" s="44"/>
      <c r="H6" s="43"/>
      <c r="I6" s="42"/>
      <c r="J6" s="44"/>
      <c r="K6" s="42"/>
      <c r="L6" s="44"/>
      <c r="M6" s="42"/>
      <c r="N6" s="42"/>
      <c r="O6" s="44"/>
      <c r="P6" s="42"/>
      <c r="Q6" s="44"/>
      <c r="R6" s="42"/>
    </row>
    <row r="7" spans="1:18" ht="12.75">
      <c r="A7" s="21"/>
      <c r="B7" s="21"/>
      <c r="C7" s="23" t="s">
        <v>74</v>
      </c>
      <c r="D7" s="23"/>
      <c r="E7" s="47" t="s">
        <v>75</v>
      </c>
      <c r="F7" s="47"/>
      <c r="G7" s="47"/>
      <c r="H7" s="47"/>
      <c r="I7" s="48"/>
      <c r="J7" s="47" t="s">
        <v>104</v>
      </c>
      <c r="K7" s="47"/>
      <c r="L7" s="47"/>
      <c r="M7" s="47"/>
      <c r="N7" s="48"/>
      <c r="O7" s="47" t="s">
        <v>76</v>
      </c>
      <c r="P7" s="47"/>
      <c r="Q7" s="47"/>
      <c r="R7" s="47"/>
    </row>
    <row r="8" spans="1:18" ht="12.75">
      <c r="A8" s="21"/>
      <c r="B8" s="21"/>
      <c r="C8" s="23" t="s">
        <v>77</v>
      </c>
      <c r="D8" s="21"/>
      <c r="E8" s="44" t="s">
        <v>20</v>
      </c>
      <c r="F8" s="46" t="s">
        <v>78</v>
      </c>
      <c r="G8" s="44" t="s">
        <v>20</v>
      </c>
      <c r="H8" s="46" t="s">
        <v>78</v>
      </c>
      <c r="I8" s="42"/>
      <c r="J8" s="44" t="s">
        <v>20</v>
      </c>
      <c r="K8" s="44" t="s">
        <v>79</v>
      </c>
      <c r="L8" s="44" t="s">
        <v>20</v>
      </c>
      <c r="M8" s="44" t="s">
        <v>79</v>
      </c>
      <c r="N8" s="42"/>
      <c r="O8" s="44" t="s">
        <v>20</v>
      </c>
      <c r="P8" s="44" t="s">
        <v>79</v>
      </c>
      <c r="Q8" s="44" t="s">
        <v>20</v>
      </c>
      <c r="R8" s="44" t="s">
        <v>79</v>
      </c>
    </row>
    <row r="9" spans="1:18" s="62" customFormat="1" ht="12.75">
      <c r="A9" s="21"/>
      <c r="B9" s="21"/>
      <c r="C9" s="23"/>
      <c r="D9" s="21"/>
      <c r="E9" s="44" t="s">
        <v>271</v>
      </c>
      <c r="F9" s="44" t="s">
        <v>271</v>
      </c>
      <c r="G9" s="44" t="s">
        <v>80</v>
      </c>
      <c r="H9" s="46" t="s">
        <v>80</v>
      </c>
      <c r="I9" s="42"/>
      <c r="J9" s="44" t="s">
        <v>271</v>
      </c>
      <c r="K9" s="44" t="s">
        <v>271</v>
      </c>
      <c r="L9" s="44" t="s">
        <v>80</v>
      </c>
      <c r="M9" s="46" t="s">
        <v>80</v>
      </c>
      <c r="N9" s="42"/>
      <c r="O9" s="44" t="s">
        <v>271</v>
      </c>
      <c r="P9" s="44" t="s">
        <v>271</v>
      </c>
      <c r="Q9" s="44" t="s">
        <v>80</v>
      </c>
      <c r="R9" s="46" t="s">
        <v>80</v>
      </c>
    </row>
    <row r="10" spans="1:18" ht="12.75">
      <c r="A10" s="21" t="s">
        <v>139</v>
      </c>
      <c r="B10" s="21"/>
      <c r="C10" s="21"/>
      <c r="D10" s="21"/>
      <c r="E10" s="42"/>
      <c r="F10" s="43"/>
      <c r="G10" s="42"/>
      <c r="H10" s="43"/>
      <c r="I10" s="42"/>
      <c r="J10" s="42"/>
      <c r="K10" s="42"/>
      <c r="L10" s="42"/>
      <c r="M10" s="42"/>
      <c r="N10" s="42"/>
      <c r="O10" s="24"/>
      <c r="P10" s="42"/>
      <c r="Q10" s="42"/>
      <c r="R10" s="42"/>
    </row>
    <row r="11" spans="1:18" ht="12.75">
      <c r="A11" s="21"/>
      <c r="B11" s="21" t="s">
        <v>81</v>
      </c>
      <c r="C11" s="23">
        <v>1</v>
      </c>
      <c r="E11" s="40">
        <v>0.00203</v>
      </c>
      <c r="F11" s="42">
        <f aca="true" t="shared" si="0" ref="F11:F35">IF(E11="","",E11*$C11)</f>
        <v>0.00203</v>
      </c>
      <c r="G11" s="42">
        <f aca="true" t="shared" si="1" ref="G11:G35">IF(E11=0,"",IF(D11="nd",E11/2,E11))</f>
        <v>0.00203</v>
      </c>
      <c r="H11" s="42">
        <f aca="true" t="shared" si="2" ref="H11:H35">IF(G11="","",G11*$C11)</f>
        <v>0.00203</v>
      </c>
      <c r="J11" s="40">
        <v>0.00159</v>
      </c>
      <c r="K11" s="42">
        <f aca="true" t="shared" si="3" ref="K11:K35">IF(J11="","",J11*$C11)</f>
        <v>0.00159</v>
      </c>
      <c r="L11" s="42">
        <f>IF(J11=0,"",IF(I11="nd",J11/2,J11))</f>
        <v>0.00159</v>
      </c>
      <c r="M11" s="42">
        <f aca="true" t="shared" si="4" ref="M11:M35">IF(L11="","",L11*$C11)</f>
        <v>0.00159</v>
      </c>
      <c r="N11" s="40"/>
      <c r="O11" s="40">
        <v>0.00195</v>
      </c>
      <c r="P11" s="42">
        <f aca="true" t="shared" si="5" ref="P11:P35">IF(O11="","",O11*$C11)</f>
        <v>0.00195</v>
      </c>
      <c r="Q11" s="42">
        <f>IF(O11=0,"",IF(N11="nd",O11/2,O11))</f>
        <v>0.00195</v>
      </c>
      <c r="R11" s="42">
        <f aca="true" t="shared" si="6" ref="R11:R35">IF(Q11="","",Q11*$C11)</f>
        <v>0.00195</v>
      </c>
    </row>
    <row r="12" spans="1:18" ht="12.75">
      <c r="A12" s="21"/>
      <c r="B12" s="21" t="s">
        <v>140</v>
      </c>
      <c r="C12" s="23">
        <v>0</v>
      </c>
      <c r="E12">
        <v>0.022</v>
      </c>
      <c r="F12" s="42">
        <f t="shared" si="0"/>
        <v>0</v>
      </c>
      <c r="G12" s="42">
        <f>IF(E12=0,"",IF(D12="nd",E12/2,E12))</f>
        <v>0.022</v>
      </c>
      <c r="H12" s="42">
        <f t="shared" si="2"/>
        <v>0</v>
      </c>
      <c r="J12">
        <v>0.018</v>
      </c>
      <c r="K12" s="42">
        <f t="shared" si="3"/>
        <v>0</v>
      </c>
      <c r="L12" s="42">
        <f>IF(J12=0,"",IF(I12="nd",J12/2,J12))</f>
        <v>0.018</v>
      </c>
      <c r="M12" s="42">
        <f t="shared" si="4"/>
        <v>0</v>
      </c>
      <c r="N12" s="40"/>
      <c r="O12" s="40">
        <v>0.012</v>
      </c>
      <c r="P12" s="42">
        <f t="shared" si="5"/>
        <v>0</v>
      </c>
      <c r="Q12" s="42">
        <f>IF(O12=0,"",IF(N12="nd",O12/2,O12))</f>
        <v>0.012</v>
      </c>
      <c r="R12" s="42">
        <f t="shared" si="6"/>
        <v>0</v>
      </c>
    </row>
    <row r="13" spans="1:18" ht="12.75">
      <c r="A13" s="21"/>
      <c r="B13" s="21" t="s">
        <v>82</v>
      </c>
      <c r="C13" s="23">
        <v>0.5</v>
      </c>
      <c r="D13" t="s">
        <v>108</v>
      </c>
      <c r="E13" s="40">
        <v>0.00448</v>
      </c>
      <c r="F13" s="42">
        <f t="shared" si="0"/>
        <v>0.00224</v>
      </c>
      <c r="G13" s="42">
        <f t="shared" si="1"/>
        <v>0.00224</v>
      </c>
      <c r="H13" s="42">
        <f t="shared" si="2"/>
        <v>0.00112</v>
      </c>
      <c r="I13" t="s">
        <v>108</v>
      </c>
      <c r="J13" s="40">
        <v>0.00288</v>
      </c>
      <c r="K13" s="42">
        <f t="shared" si="3"/>
        <v>0.00144</v>
      </c>
      <c r="L13" s="42">
        <f aca="true" t="shared" si="7" ref="L13:L35">IF(J13=0,"",IF(I13="nd",J13/2,J13))</f>
        <v>0.00144</v>
      </c>
      <c r="M13" s="42">
        <f t="shared" si="4"/>
        <v>0.00072</v>
      </c>
      <c r="N13" s="40" t="s">
        <v>108</v>
      </c>
      <c r="O13" s="40">
        <v>0.00304</v>
      </c>
      <c r="P13" s="42">
        <f t="shared" si="5"/>
        <v>0.00152</v>
      </c>
      <c r="Q13" s="42">
        <f aca="true" t="shared" si="8" ref="Q13:Q35">IF(O13=0,"",IF(N13="nd",O13/2,O13))</f>
        <v>0.00152</v>
      </c>
      <c r="R13" s="42">
        <f t="shared" si="6"/>
        <v>0.00076</v>
      </c>
    </row>
    <row r="14" spans="1:18" ht="12.75">
      <c r="A14" s="21"/>
      <c r="B14" s="21" t="s">
        <v>141</v>
      </c>
      <c r="C14" s="23">
        <v>0</v>
      </c>
      <c r="E14">
        <v>0.038</v>
      </c>
      <c r="F14" s="42">
        <f t="shared" si="0"/>
        <v>0</v>
      </c>
      <c r="G14" s="42">
        <f>IF(E14=0,"",IF(D14="nd",E14/2,E14))</f>
        <v>0.038</v>
      </c>
      <c r="H14" s="42">
        <f t="shared" si="2"/>
        <v>0</v>
      </c>
      <c r="J14">
        <v>0.012</v>
      </c>
      <c r="K14" s="42">
        <f t="shared" si="3"/>
        <v>0</v>
      </c>
      <c r="L14" s="42">
        <f>IF(J14=0,"",IF(I14="nd",J14/2,J14))</f>
        <v>0.012</v>
      </c>
      <c r="M14" s="42">
        <f t="shared" si="4"/>
        <v>0</v>
      </c>
      <c r="N14" s="40"/>
      <c r="O14" s="40">
        <v>0.01</v>
      </c>
      <c r="P14" s="42">
        <f t="shared" si="5"/>
        <v>0</v>
      </c>
      <c r="Q14" s="42">
        <f>IF(O14=0,"",IF(N14="nd",O14/2,O14))</f>
        <v>0.01</v>
      </c>
      <c r="R14" s="42">
        <f t="shared" si="6"/>
        <v>0</v>
      </c>
    </row>
    <row r="15" spans="1:18" ht="12.75">
      <c r="A15" s="21"/>
      <c r="B15" s="21" t="s">
        <v>83</v>
      </c>
      <c r="C15" s="23">
        <v>0.1</v>
      </c>
      <c r="D15" t="s">
        <v>108</v>
      </c>
      <c r="E15" s="40">
        <v>0.00448</v>
      </c>
      <c r="F15" s="42">
        <f t="shared" si="0"/>
        <v>0.000448</v>
      </c>
      <c r="G15" s="42">
        <f t="shared" si="1"/>
        <v>0.00224</v>
      </c>
      <c r="H15" s="42">
        <f t="shared" si="2"/>
        <v>0.000224</v>
      </c>
      <c r="I15" t="s">
        <v>108</v>
      </c>
      <c r="J15" s="40">
        <v>0.00311</v>
      </c>
      <c r="K15" s="42">
        <f t="shared" si="3"/>
        <v>0.000311</v>
      </c>
      <c r="L15" s="42">
        <f t="shared" si="7"/>
        <v>0.001555</v>
      </c>
      <c r="M15" s="42">
        <f t="shared" si="4"/>
        <v>0.0001555</v>
      </c>
      <c r="N15" s="40" t="s">
        <v>108</v>
      </c>
      <c r="O15" s="40">
        <v>0.00266</v>
      </c>
      <c r="P15" s="42">
        <f t="shared" si="5"/>
        <v>0.000266</v>
      </c>
      <c r="Q15" s="42">
        <f t="shared" si="8"/>
        <v>0.00133</v>
      </c>
      <c r="R15" s="42">
        <f t="shared" si="6"/>
        <v>0.000133</v>
      </c>
    </row>
    <row r="16" spans="1:18" ht="12.75">
      <c r="A16" s="21"/>
      <c r="B16" s="21" t="s">
        <v>84</v>
      </c>
      <c r="C16" s="23">
        <v>0.1</v>
      </c>
      <c r="E16" s="40">
        <v>0.0049</v>
      </c>
      <c r="F16" s="42">
        <f t="shared" si="0"/>
        <v>0.00049</v>
      </c>
      <c r="G16" s="42">
        <f t="shared" si="1"/>
        <v>0.0049</v>
      </c>
      <c r="H16" s="42">
        <f t="shared" si="2"/>
        <v>0.00049</v>
      </c>
      <c r="I16" t="s">
        <v>108</v>
      </c>
      <c r="J16" s="40">
        <v>0.00312</v>
      </c>
      <c r="K16" s="42">
        <f t="shared" si="3"/>
        <v>0.000312</v>
      </c>
      <c r="L16" s="42">
        <f t="shared" si="7"/>
        <v>0.00156</v>
      </c>
      <c r="M16" s="42">
        <f t="shared" si="4"/>
        <v>0.000156</v>
      </c>
      <c r="N16" s="40" t="s">
        <v>108</v>
      </c>
      <c r="O16" s="40">
        <v>0.00266</v>
      </c>
      <c r="P16" s="42">
        <f t="shared" si="5"/>
        <v>0.000266</v>
      </c>
      <c r="Q16" s="42">
        <f t="shared" si="8"/>
        <v>0.00133</v>
      </c>
      <c r="R16" s="42">
        <f t="shared" si="6"/>
        <v>0.000133</v>
      </c>
    </row>
    <row r="17" spans="1:18" ht="12.75">
      <c r="A17" s="21"/>
      <c r="B17" s="21" t="s">
        <v>85</v>
      </c>
      <c r="C17" s="23">
        <v>0.1</v>
      </c>
      <c r="E17" s="40">
        <v>0.00542</v>
      </c>
      <c r="F17" s="42">
        <f t="shared" si="0"/>
        <v>0.0005420000000000001</v>
      </c>
      <c r="G17" s="42">
        <f t="shared" si="1"/>
        <v>0.00542</v>
      </c>
      <c r="H17" s="42">
        <f t="shared" si="2"/>
        <v>0.0005420000000000001</v>
      </c>
      <c r="I17" t="s">
        <v>108</v>
      </c>
      <c r="J17" s="40">
        <v>0.00306</v>
      </c>
      <c r="K17" s="42">
        <f t="shared" si="3"/>
        <v>0.000306</v>
      </c>
      <c r="L17" s="42">
        <f t="shared" si="7"/>
        <v>0.00153</v>
      </c>
      <c r="M17" s="42">
        <f t="shared" si="4"/>
        <v>0.000153</v>
      </c>
      <c r="N17" s="40" t="s">
        <v>108</v>
      </c>
      <c r="O17" s="40">
        <v>0.00264</v>
      </c>
      <c r="P17" s="42">
        <f t="shared" si="5"/>
        <v>0.000264</v>
      </c>
      <c r="Q17" s="42">
        <f t="shared" si="8"/>
        <v>0.00132</v>
      </c>
      <c r="R17" s="42">
        <f t="shared" si="6"/>
        <v>0.000132</v>
      </c>
    </row>
    <row r="18" spans="1:18" ht="12.75">
      <c r="A18" s="21"/>
      <c r="B18" s="21" t="s">
        <v>142</v>
      </c>
      <c r="C18" s="23">
        <v>0</v>
      </c>
      <c r="E18">
        <v>0.051</v>
      </c>
      <c r="F18" s="42">
        <f t="shared" si="0"/>
        <v>0</v>
      </c>
      <c r="G18" s="42">
        <f>IF(E18=0,"",IF(D18="nd",E18/2,E18))</f>
        <v>0.051</v>
      </c>
      <c r="H18" s="42">
        <f t="shared" si="2"/>
        <v>0</v>
      </c>
      <c r="J18">
        <v>0.017</v>
      </c>
      <c r="K18" s="42">
        <f t="shared" si="3"/>
        <v>0</v>
      </c>
      <c r="L18" s="42">
        <f>IF(J18=0,"",IF(I18="nd",J18/2,J18))</f>
        <v>0.017</v>
      </c>
      <c r="M18" s="42">
        <f t="shared" si="4"/>
        <v>0</v>
      </c>
      <c r="N18" s="40"/>
      <c r="O18" s="40">
        <v>0.02</v>
      </c>
      <c r="P18" s="42">
        <f t="shared" si="5"/>
        <v>0</v>
      </c>
      <c r="Q18" s="42">
        <f>IF(O18=0,"",IF(N18="nd",O18/2,O18))</f>
        <v>0.02</v>
      </c>
      <c r="R18" s="42">
        <f t="shared" si="6"/>
        <v>0</v>
      </c>
    </row>
    <row r="19" spans="1:18" ht="12.75">
      <c r="A19" s="21"/>
      <c r="B19" s="21" t="s">
        <v>86</v>
      </c>
      <c r="C19" s="23">
        <v>0.01</v>
      </c>
      <c r="E19">
        <v>0.027</v>
      </c>
      <c r="F19" s="42">
        <f t="shared" si="0"/>
        <v>0.00027</v>
      </c>
      <c r="G19" s="42">
        <f t="shared" si="1"/>
        <v>0.027</v>
      </c>
      <c r="H19" s="42">
        <f t="shared" si="2"/>
        <v>0.00027</v>
      </c>
      <c r="J19" s="40">
        <v>0.00972</v>
      </c>
      <c r="K19" s="42">
        <f t="shared" si="3"/>
        <v>9.719999999999999E-05</v>
      </c>
      <c r="L19" s="42">
        <f t="shared" si="7"/>
        <v>0.00972</v>
      </c>
      <c r="M19" s="42">
        <f t="shared" si="4"/>
        <v>9.719999999999999E-05</v>
      </c>
      <c r="N19" s="40"/>
      <c r="O19" s="40">
        <v>0.012</v>
      </c>
      <c r="P19" s="42">
        <f t="shared" si="5"/>
        <v>0.00012</v>
      </c>
      <c r="Q19" s="42">
        <f t="shared" si="8"/>
        <v>0.012</v>
      </c>
      <c r="R19" s="42">
        <f t="shared" si="6"/>
        <v>0.00012</v>
      </c>
    </row>
    <row r="20" spans="1:18" ht="12.75">
      <c r="A20" s="21"/>
      <c r="B20" s="21" t="s">
        <v>143</v>
      </c>
      <c r="C20" s="23">
        <v>0</v>
      </c>
      <c r="E20">
        <v>0.024</v>
      </c>
      <c r="F20" s="42">
        <f t="shared" si="0"/>
        <v>0</v>
      </c>
      <c r="G20" s="42">
        <f>IF(E20=0,"",IF(D20="nd",E20/2,E20))</f>
        <v>0.024</v>
      </c>
      <c r="H20" s="42">
        <f t="shared" si="2"/>
        <v>0</v>
      </c>
      <c r="J20">
        <v>0.011</v>
      </c>
      <c r="K20" s="42">
        <f t="shared" si="3"/>
        <v>0</v>
      </c>
      <c r="L20" s="42">
        <f>IF(J20=0,"",IF(I20="nd",J20/2,J20))</f>
        <v>0.011</v>
      </c>
      <c r="M20" s="42">
        <f t="shared" si="4"/>
        <v>0</v>
      </c>
      <c r="N20" s="40"/>
      <c r="O20" s="40">
        <v>0.012</v>
      </c>
      <c r="P20" s="42">
        <f t="shared" si="5"/>
        <v>0</v>
      </c>
      <c r="Q20" s="42">
        <f>IF(O20=0,"",IF(N20="nd",O20/2,O20))</f>
        <v>0.012</v>
      </c>
      <c r="R20" s="42">
        <f t="shared" si="6"/>
        <v>0</v>
      </c>
    </row>
    <row r="21" spans="1:18" ht="12.75">
      <c r="A21" s="21"/>
      <c r="B21" s="21" t="s">
        <v>87</v>
      </c>
      <c r="C21" s="23">
        <v>0.001</v>
      </c>
      <c r="E21">
        <v>0.039</v>
      </c>
      <c r="F21" s="42">
        <f t="shared" si="0"/>
        <v>3.9E-05</v>
      </c>
      <c r="G21" s="42">
        <f t="shared" si="1"/>
        <v>0.039</v>
      </c>
      <c r="H21" s="42">
        <f t="shared" si="2"/>
        <v>3.9E-05</v>
      </c>
      <c r="J21">
        <v>0.017</v>
      </c>
      <c r="K21" s="42">
        <f t="shared" si="3"/>
        <v>1.7000000000000003E-05</v>
      </c>
      <c r="L21" s="42">
        <f t="shared" si="7"/>
        <v>0.017</v>
      </c>
      <c r="M21" s="42">
        <f t="shared" si="4"/>
        <v>1.7000000000000003E-05</v>
      </c>
      <c r="N21" s="40"/>
      <c r="O21" s="40">
        <v>0.022</v>
      </c>
      <c r="P21" s="42">
        <f t="shared" si="5"/>
        <v>2.2E-05</v>
      </c>
      <c r="Q21" s="42">
        <f t="shared" si="8"/>
        <v>0.022</v>
      </c>
      <c r="R21" s="42">
        <f t="shared" si="6"/>
        <v>2.2E-05</v>
      </c>
    </row>
    <row r="22" spans="1:18" ht="12.75">
      <c r="A22" s="21"/>
      <c r="B22" s="21" t="s">
        <v>88</v>
      </c>
      <c r="C22" s="23">
        <v>0.1</v>
      </c>
      <c r="E22" s="40">
        <v>0.0062</v>
      </c>
      <c r="F22" s="42">
        <f t="shared" si="0"/>
        <v>0.00062</v>
      </c>
      <c r="G22" s="42">
        <f t="shared" si="1"/>
        <v>0.0062</v>
      </c>
      <c r="H22" s="42">
        <f t="shared" si="2"/>
        <v>0.00062</v>
      </c>
      <c r="J22" s="40">
        <v>0.00242</v>
      </c>
      <c r="K22" s="42">
        <f t="shared" si="3"/>
        <v>0.000242</v>
      </c>
      <c r="L22" s="42">
        <f t="shared" si="7"/>
        <v>0.00242</v>
      </c>
      <c r="M22" s="42">
        <f t="shared" si="4"/>
        <v>0.000242</v>
      </c>
      <c r="N22" s="40"/>
      <c r="O22" s="40">
        <v>0.00278</v>
      </c>
      <c r="P22" s="42">
        <f t="shared" si="5"/>
        <v>0.000278</v>
      </c>
      <c r="Q22" s="42">
        <f t="shared" si="8"/>
        <v>0.00278</v>
      </c>
      <c r="R22" s="42">
        <f t="shared" si="6"/>
        <v>0.000278</v>
      </c>
    </row>
    <row r="23" spans="1:18" ht="12.75">
      <c r="A23" s="21"/>
      <c r="B23" s="21" t="s">
        <v>144</v>
      </c>
      <c r="C23" s="23">
        <v>0</v>
      </c>
      <c r="E23">
        <v>0.135</v>
      </c>
      <c r="F23" s="42">
        <f t="shared" si="0"/>
        <v>0</v>
      </c>
      <c r="G23" s="42">
        <f>IF(E23=0,"",IF(D23="nd",E23/2,E23))</f>
        <v>0.135</v>
      </c>
      <c r="H23" s="42">
        <f t="shared" si="2"/>
        <v>0</v>
      </c>
      <c r="J23">
        <v>0.06</v>
      </c>
      <c r="K23" s="42">
        <f t="shared" si="3"/>
        <v>0</v>
      </c>
      <c r="L23" s="42">
        <f>IF(J23=0,"",IF(I23="nd",J23/2,J23))</f>
        <v>0.06</v>
      </c>
      <c r="M23" s="42">
        <f t="shared" si="4"/>
        <v>0</v>
      </c>
      <c r="N23" s="40"/>
      <c r="O23" s="40">
        <v>0.071</v>
      </c>
      <c r="P23" s="42">
        <f t="shared" si="5"/>
        <v>0</v>
      </c>
      <c r="Q23" s="42">
        <f>IF(O23=0,"",IF(N23="nd",O23/2,O23))</f>
        <v>0.071</v>
      </c>
      <c r="R23" s="42">
        <f t="shared" si="6"/>
        <v>0</v>
      </c>
    </row>
    <row r="24" spans="1:18" ht="12.75">
      <c r="A24" s="21"/>
      <c r="B24" s="21" t="s">
        <v>89</v>
      </c>
      <c r="C24" s="23">
        <v>0.05</v>
      </c>
      <c r="E24">
        <v>0.011</v>
      </c>
      <c r="F24" s="42">
        <f t="shared" si="0"/>
        <v>0.00055</v>
      </c>
      <c r="G24" s="42">
        <f t="shared" si="1"/>
        <v>0.011</v>
      </c>
      <c r="H24" s="42">
        <f t="shared" si="2"/>
        <v>0.00055</v>
      </c>
      <c r="J24" s="40">
        <v>0.00346</v>
      </c>
      <c r="K24" s="42">
        <f t="shared" si="3"/>
        <v>0.000173</v>
      </c>
      <c r="L24" s="42">
        <f t="shared" si="7"/>
        <v>0.00346</v>
      </c>
      <c r="M24" s="42">
        <f t="shared" si="4"/>
        <v>0.000173</v>
      </c>
      <c r="N24" s="40"/>
      <c r="O24" s="40">
        <v>0.00466</v>
      </c>
      <c r="P24" s="42">
        <f t="shared" si="5"/>
        <v>0.00023300000000000003</v>
      </c>
      <c r="Q24" s="42">
        <f t="shared" si="8"/>
        <v>0.00466</v>
      </c>
      <c r="R24" s="42">
        <f t="shared" si="6"/>
        <v>0.00023300000000000003</v>
      </c>
    </row>
    <row r="25" spans="1:18" ht="12.75">
      <c r="A25" s="21"/>
      <c r="B25" s="21" t="s">
        <v>90</v>
      </c>
      <c r="C25" s="23">
        <v>0.5</v>
      </c>
      <c r="E25">
        <v>0.012</v>
      </c>
      <c r="F25" s="42">
        <f t="shared" si="0"/>
        <v>0.006</v>
      </c>
      <c r="G25" s="42">
        <f t="shared" si="1"/>
        <v>0.012</v>
      </c>
      <c r="H25" s="42">
        <f t="shared" si="2"/>
        <v>0.006</v>
      </c>
      <c r="J25" s="40">
        <v>0.00556</v>
      </c>
      <c r="K25" s="42">
        <f t="shared" si="3"/>
        <v>0.00278</v>
      </c>
      <c r="L25" s="42">
        <f t="shared" si="7"/>
        <v>0.00556</v>
      </c>
      <c r="M25" s="42">
        <f t="shared" si="4"/>
        <v>0.00278</v>
      </c>
      <c r="N25" s="40"/>
      <c r="O25" s="40">
        <v>0.00735</v>
      </c>
      <c r="P25" s="42">
        <f t="shared" si="5"/>
        <v>0.003675</v>
      </c>
      <c r="Q25" s="42">
        <f t="shared" si="8"/>
        <v>0.00735</v>
      </c>
      <c r="R25" s="42">
        <f t="shared" si="6"/>
        <v>0.003675</v>
      </c>
    </row>
    <row r="26" spans="1:18" ht="12.75">
      <c r="A26" s="21"/>
      <c r="B26" s="21" t="s">
        <v>145</v>
      </c>
      <c r="C26" s="23">
        <v>0</v>
      </c>
      <c r="E26">
        <v>0.13</v>
      </c>
      <c r="F26" s="42">
        <f t="shared" si="0"/>
        <v>0</v>
      </c>
      <c r="G26" s="42">
        <f>IF(E26=0,"",IF(D26="nd",E26/2,E26))</f>
        <v>0.13</v>
      </c>
      <c r="H26" s="42">
        <f t="shared" si="2"/>
        <v>0</v>
      </c>
      <c r="J26">
        <v>0.054</v>
      </c>
      <c r="K26" s="42">
        <f t="shared" si="3"/>
        <v>0</v>
      </c>
      <c r="L26" s="42">
        <f>IF(J26=0,"",IF(I26="nd",J26/2,J26))</f>
        <v>0.054</v>
      </c>
      <c r="M26" s="42">
        <f t="shared" si="4"/>
        <v>0</v>
      </c>
      <c r="N26" s="40"/>
      <c r="O26" s="40">
        <v>0.056</v>
      </c>
      <c r="P26" s="42">
        <f t="shared" si="5"/>
        <v>0</v>
      </c>
      <c r="Q26" s="42">
        <f>IF(O26=0,"",IF(N26="nd",O26/2,O26))</f>
        <v>0.056</v>
      </c>
      <c r="R26" s="42">
        <f t="shared" si="6"/>
        <v>0</v>
      </c>
    </row>
    <row r="27" spans="1:18" ht="12.75">
      <c r="A27" s="21"/>
      <c r="B27" s="21" t="s">
        <v>91</v>
      </c>
      <c r="C27" s="23">
        <v>0.1</v>
      </c>
      <c r="E27">
        <v>0.018</v>
      </c>
      <c r="F27" s="42">
        <f t="shared" si="0"/>
        <v>0.0018</v>
      </c>
      <c r="G27" s="42">
        <f t="shared" si="1"/>
        <v>0.018</v>
      </c>
      <c r="H27" s="42">
        <f t="shared" si="2"/>
        <v>0.0018</v>
      </c>
      <c r="J27">
        <v>0.013</v>
      </c>
      <c r="K27" s="42">
        <f t="shared" si="3"/>
        <v>0.0013</v>
      </c>
      <c r="L27" s="42">
        <f t="shared" si="7"/>
        <v>0.013</v>
      </c>
      <c r="M27" s="42">
        <f t="shared" si="4"/>
        <v>0.0013</v>
      </c>
      <c r="N27" s="40"/>
      <c r="O27" s="40">
        <v>0.012</v>
      </c>
      <c r="P27" s="42">
        <f t="shared" si="5"/>
        <v>0.0012000000000000001</v>
      </c>
      <c r="Q27" s="42">
        <f t="shared" si="8"/>
        <v>0.012</v>
      </c>
      <c r="R27" s="42">
        <f t="shared" si="6"/>
        <v>0.0012000000000000001</v>
      </c>
    </row>
    <row r="28" spans="1:18" ht="12.75">
      <c r="A28" s="21"/>
      <c r="B28" s="21" t="s">
        <v>92</v>
      </c>
      <c r="C28" s="23">
        <v>0.1</v>
      </c>
      <c r="E28">
        <v>0.015</v>
      </c>
      <c r="F28" s="42">
        <f t="shared" si="0"/>
        <v>0.0015</v>
      </c>
      <c r="G28" s="42">
        <f t="shared" si="1"/>
        <v>0.015</v>
      </c>
      <c r="H28" s="42">
        <f t="shared" si="2"/>
        <v>0.0015</v>
      </c>
      <c r="J28" s="40">
        <v>0.00958</v>
      </c>
      <c r="K28" s="42">
        <f t="shared" si="3"/>
        <v>0.0009580000000000001</v>
      </c>
      <c r="L28" s="42">
        <f t="shared" si="7"/>
        <v>0.00958</v>
      </c>
      <c r="M28" s="42">
        <f t="shared" si="4"/>
        <v>0.0009580000000000001</v>
      </c>
      <c r="N28" s="40"/>
      <c r="O28" s="40">
        <v>0.0091</v>
      </c>
      <c r="P28" s="42">
        <f t="shared" si="5"/>
        <v>0.0009100000000000001</v>
      </c>
      <c r="Q28" s="42">
        <f t="shared" si="8"/>
        <v>0.0091</v>
      </c>
      <c r="R28" s="42">
        <f t="shared" si="6"/>
        <v>0.0009100000000000001</v>
      </c>
    </row>
    <row r="29" spans="1:18" ht="12.75">
      <c r="A29" s="21"/>
      <c r="B29" s="21" t="s">
        <v>93</v>
      </c>
      <c r="C29" s="23">
        <v>0.1</v>
      </c>
      <c r="E29">
        <v>0.016</v>
      </c>
      <c r="F29" s="42">
        <f t="shared" si="0"/>
        <v>0.0016</v>
      </c>
      <c r="G29" s="42">
        <f t="shared" si="1"/>
        <v>0.016</v>
      </c>
      <c r="H29" s="42">
        <f t="shared" si="2"/>
        <v>0.0016</v>
      </c>
      <c r="J29">
        <v>0.011</v>
      </c>
      <c r="K29" s="42">
        <f t="shared" si="3"/>
        <v>0.0011</v>
      </c>
      <c r="L29" s="42">
        <f t="shared" si="7"/>
        <v>0.011</v>
      </c>
      <c r="M29" s="42">
        <f t="shared" si="4"/>
        <v>0.0011</v>
      </c>
      <c r="N29" s="40"/>
      <c r="O29" s="40">
        <v>0.011</v>
      </c>
      <c r="P29" s="42">
        <f t="shared" si="5"/>
        <v>0.0011</v>
      </c>
      <c r="Q29" s="42">
        <f t="shared" si="8"/>
        <v>0.011</v>
      </c>
      <c r="R29" s="42">
        <f t="shared" si="6"/>
        <v>0.0011</v>
      </c>
    </row>
    <row r="30" spans="1:18" ht="12.75">
      <c r="A30" s="21"/>
      <c r="B30" s="21" t="s">
        <v>94</v>
      </c>
      <c r="C30" s="23">
        <v>0.1</v>
      </c>
      <c r="E30" s="40">
        <v>0.00486</v>
      </c>
      <c r="F30" s="42">
        <f t="shared" si="0"/>
        <v>0.000486</v>
      </c>
      <c r="G30" s="42">
        <f t="shared" si="1"/>
        <v>0.00486</v>
      </c>
      <c r="H30" s="42">
        <f t="shared" si="2"/>
        <v>0.000486</v>
      </c>
      <c r="J30" s="40">
        <v>0.00294</v>
      </c>
      <c r="K30" s="42">
        <f t="shared" si="3"/>
        <v>0.000294</v>
      </c>
      <c r="L30" s="42">
        <f t="shared" si="7"/>
        <v>0.00294</v>
      </c>
      <c r="M30" s="42">
        <f t="shared" si="4"/>
        <v>0.000294</v>
      </c>
      <c r="N30" s="40"/>
      <c r="O30" s="40">
        <v>0.00253</v>
      </c>
      <c r="P30" s="42">
        <f t="shared" si="5"/>
        <v>0.000253</v>
      </c>
      <c r="Q30" s="42">
        <f t="shared" si="8"/>
        <v>0.00253</v>
      </c>
      <c r="R30" s="42">
        <f t="shared" si="6"/>
        <v>0.000253</v>
      </c>
    </row>
    <row r="31" spans="1:18" ht="12.75">
      <c r="A31" s="21"/>
      <c r="B31" s="21" t="s">
        <v>146</v>
      </c>
      <c r="C31" s="23">
        <v>0</v>
      </c>
      <c r="E31">
        <v>0.088</v>
      </c>
      <c r="F31" s="42">
        <f t="shared" si="0"/>
        <v>0</v>
      </c>
      <c r="G31" s="42">
        <f>IF(E31=0,"",IF(D31="nd",E31/2,E31))</f>
        <v>0.088</v>
      </c>
      <c r="H31" s="42">
        <f t="shared" si="2"/>
        <v>0</v>
      </c>
      <c r="J31">
        <v>0.052</v>
      </c>
      <c r="K31" s="42">
        <f t="shared" si="3"/>
        <v>0</v>
      </c>
      <c r="L31" s="42">
        <f>IF(J31=0,"",IF(I31="nd",J31/2,J31))</f>
        <v>0.052</v>
      </c>
      <c r="M31" s="42">
        <f t="shared" si="4"/>
        <v>0</v>
      </c>
      <c r="N31" s="40"/>
      <c r="O31" s="40">
        <v>0.044</v>
      </c>
      <c r="P31" s="42">
        <f t="shared" si="5"/>
        <v>0</v>
      </c>
      <c r="Q31" s="42">
        <f>IF(O31=0,"",IF(N31="nd",O31/2,O31))</f>
        <v>0.044</v>
      </c>
      <c r="R31" s="42">
        <f t="shared" si="6"/>
        <v>0</v>
      </c>
    </row>
    <row r="32" spans="1:18" ht="12.75">
      <c r="A32" s="21"/>
      <c r="B32" s="21" t="s">
        <v>95</v>
      </c>
      <c r="C32" s="23">
        <v>0.01</v>
      </c>
      <c r="E32">
        <v>0.052</v>
      </c>
      <c r="F32" s="42">
        <f t="shared" si="0"/>
        <v>0.00052</v>
      </c>
      <c r="G32" s="42">
        <f t="shared" si="1"/>
        <v>0.052</v>
      </c>
      <c r="H32" s="42">
        <f t="shared" si="2"/>
        <v>0.00052</v>
      </c>
      <c r="J32">
        <v>0.041</v>
      </c>
      <c r="K32" s="42">
        <f t="shared" si="3"/>
        <v>0.00041000000000000005</v>
      </c>
      <c r="L32" s="42">
        <f t="shared" si="7"/>
        <v>0.041</v>
      </c>
      <c r="M32" s="42">
        <f t="shared" si="4"/>
        <v>0.00041000000000000005</v>
      </c>
      <c r="N32" s="40"/>
      <c r="O32" s="40">
        <v>0.039</v>
      </c>
      <c r="P32" s="42">
        <f t="shared" si="5"/>
        <v>0.00039</v>
      </c>
      <c r="Q32" s="42">
        <f t="shared" si="8"/>
        <v>0.039</v>
      </c>
      <c r="R32" s="42">
        <f t="shared" si="6"/>
        <v>0.00039</v>
      </c>
    </row>
    <row r="33" spans="1:18" ht="12.75">
      <c r="A33" s="21"/>
      <c r="B33" s="21" t="s">
        <v>96</v>
      </c>
      <c r="C33" s="23">
        <v>0.01</v>
      </c>
      <c r="E33" s="40">
        <v>0.00735</v>
      </c>
      <c r="F33" s="42">
        <f t="shared" si="0"/>
        <v>7.35E-05</v>
      </c>
      <c r="G33" s="42">
        <f t="shared" si="1"/>
        <v>0.00735</v>
      </c>
      <c r="H33" s="42">
        <f t="shared" si="2"/>
        <v>7.35E-05</v>
      </c>
      <c r="J33" s="40">
        <v>0.00734</v>
      </c>
      <c r="K33" s="42">
        <f t="shared" si="3"/>
        <v>7.340000000000001E-05</v>
      </c>
      <c r="L33" s="42">
        <f t="shared" si="7"/>
        <v>0.00734</v>
      </c>
      <c r="M33" s="42">
        <f t="shared" si="4"/>
        <v>7.340000000000001E-05</v>
      </c>
      <c r="N33" s="40"/>
      <c r="O33" s="40">
        <v>0.00458</v>
      </c>
      <c r="P33" s="42">
        <f t="shared" si="5"/>
        <v>4.58E-05</v>
      </c>
      <c r="Q33" s="42">
        <f t="shared" si="8"/>
        <v>0.00458</v>
      </c>
      <c r="R33" s="42">
        <f t="shared" si="6"/>
        <v>4.58E-05</v>
      </c>
    </row>
    <row r="34" spans="1:18" ht="12.75">
      <c r="A34" s="21"/>
      <c r="B34" s="21" t="s">
        <v>147</v>
      </c>
      <c r="C34" s="23">
        <v>0</v>
      </c>
      <c r="E34">
        <v>0.028</v>
      </c>
      <c r="F34" s="42">
        <f t="shared" si="0"/>
        <v>0</v>
      </c>
      <c r="G34" s="42">
        <f>IF(E34=0,"",IF(D34="nd",E34/2,E34))</f>
        <v>0.028</v>
      </c>
      <c r="H34" s="42">
        <f t="shared" si="2"/>
        <v>0</v>
      </c>
      <c r="J34">
        <v>0.03</v>
      </c>
      <c r="K34" s="42">
        <f t="shared" si="3"/>
        <v>0</v>
      </c>
      <c r="L34" s="42">
        <f>IF(J34=0,"",IF(I34="nd",J34/2,J34))</f>
        <v>0.03</v>
      </c>
      <c r="M34" s="42">
        <f t="shared" si="4"/>
        <v>0</v>
      </c>
      <c r="N34" s="40"/>
      <c r="O34" s="40">
        <v>0.024</v>
      </c>
      <c r="P34" s="42">
        <f t="shared" si="5"/>
        <v>0</v>
      </c>
      <c r="Q34" s="42">
        <f>IF(O34=0,"",IF(N34="nd",O34/2,O34))</f>
        <v>0.024</v>
      </c>
      <c r="R34" s="42">
        <f t="shared" si="6"/>
        <v>0</v>
      </c>
    </row>
    <row r="35" spans="1:18" ht="12.75">
      <c r="A35" s="21"/>
      <c r="B35" s="21" t="s">
        <v>97</v>
      </c>
      <c r="C35" s="23">
        <v>0.001</v>
      </c>
      <c r="E35">
        <v>0.026</v>
      </c>
      <c r="F35" s="42">
        <f t="shared" si="0"/>
        <v>2.6E-05</v>
      </c>
      <c r="G35" s="42">
        <f t="shared" si="1"/>
        <v>0.026</v>
      </c>
      <c r="H35" s="42">
        <f t="shared" si="2"/>
        <v>2.6E-05</v>
      </c>
      <c r="J35">
        <v>0.029</v>
      </c>
      <c r="K35" s="42">
        <f t="shared" si="3"/>
        <v>2.9000000000000004E-05</v>
      </c>
      <c r="L35" s="42">
        <f t="shared" si="7"/>
        <v>0.029</v>
      </c>
      <c r="M35" s="42">
        <f t="shared" si="4"/>
        <v>2.9000000000000004E-05</v>
      </c>
      <c r="N35" s="40"/>
      <c r="O35" s="40">
        <v>0.032</v>
      </c>
      <c r="P35" s="42">
        <f t="shared" si="5"/>
        <v>3.2E-05</v>
      </c>
      <c r="Q35" s="42">
        <f t="shared" si="8"/>
        <v>0.032</v>
      </c>
      <c r="R35" s="42">
        <f t="shared" si="6"/>
        <v>3.2E-05</v>
      </c>
    </row>
    <row r="36" spans="1:18" ht="12.75">
      <c r="A36" s="21"/>
      <c r="B36" s="21"/>
      <c r="C36" s="21"/>
      <c r="D36" s="21"/>
      <c r="E36" s="25"/>
      <c r="F36" s="43"/>
      <c r="G36" s="25"/>
      <c r="H36" s="43"/>
      <c r="I36" s="25"/>
      <c r="J36" s="9"/>
      <c r="K36" s="24"/>
      <c r="L36" s="24"/>
      <c r="M36" s="24"/>
      <c r="N36" s="25"/>
      <c r="O36" s="9"/>
      <c r="P36" s="42"/>
      <c r="Q36" s="25"/>
      <c r="R36" s="42"/>
    </row>
    <row r="37" spans="1:5" ht="12.75">
      <c r="A37" s="21"/>
      <c r="B37" s="21" t="s">
        <v>98</v>
      </c>
      <c r="C37" s="21"/>
      <c r="D37" s="21"/>
      <c r="E37" s="25"/>
    </row>
    <row r="38" spans="1:5" ht="12.75">
      <c r="A38" s="21"/>
      <c r="B38" s="21" t="s">
        <v>99</v>
      </c>
      <c r="C38" s="21"/>
      <c r="D38" s="21"/>
      <c r="E38" s="25"/>
    </row>
    <row r="39" spans="1:18" ht="12.75">
      <c r="A39" s="21"/>
      <c r="B39" s="21"/>
      <c r="C39" s="21"/>
      <c r="D39" s="21"/>
      <c r="E39" s="25"/>
      <c r="F39" s="9"/>
      <c r="G39" s="25"/>
      <c r="H39" s="9"/>
      <c r="I39" s="9"/>
      <c r="J39" s="25"/>
      <c r="K39" s="26"/>
      <c r="L39" s="24"/>
      <c r="M39" s="26"/>
      <c r="N39" s="25"/>
      <c r="O39" s="25"/>
      <c r="P39" s="25"/>
      <c r="Q39" s="25"/>
      <c r="R39" s="25"/>
    </row>
    <row r="40" spans="1:18" ht="12.75">
      <c r="A40" s="21"/>
      <c r="B40" s="21" t="s">
        <v>100</v>
      </c>
      <c r="C40" s="43"/>
      <c r="D40" s="43"/>
      <c r="E40" s="24"/>
      <c r="F40" s="25"/>
      <c r="G40" s="24"/>
      <c r="H40" s="25"/>
      <c r="I40" s="43"/>
      <c r="J40" s="24"/>
      <c r="K40" s="49"/>
      <c r="L40" s="24"/>
      <c r="M40" s="49"/>
      <c r="N40" s="43"/>
      <c r="O40" s="25"/>
      <c r="P40" s="25"/>
      <c r="Q40" s="24"/>
      <c r="R40" s="25"/>
    </row>
    <row r="41" spans="1:18" ht="12.75">
      <c r="A41" s="21"/>
      <c r="B41" s="21" t="s">
        <v>101</v>
      </c>
      <c r="C41" s="43"/>
      <c r="D41" s="24">
        <f>(F41-H41)*2/F41*100</f>
        <v>13.974888871558932</v>
      </c>
      <c r="E41" s="25"/>
      <c r="F41" s="49">
        <f>SUM(F11:F35)</f>
        <v>0.0192345</v>
      </c>
      <c r="G41" s="49">
        <f>SUM(G11:G35)</f>
        <v>0.76724</v>
      </c>
      <c r="H41" s="49">
        <f>SUM(H11:H35)</f>
        <v>0.0178905</v>
      </c>
      <c r="I41" s="24">
        <f>(K41-M41)*2/K41*100</f>
        <v>20.721445690394162</v>
      </c>
      <c r="J41" s="25"/>
      <c r="K41" s="43">
        <f>SUM(K11:K35)</f>
        <v>0.011432600000000001</v>
      </c>
      <c r="L41" s="49">
        <f>SUM(L11:L35)</f>
        <v>0.41369500000000003</v>
      </c>
      <c r="M41" s="43">
        <f>SUM(M11:M35)</f>
        <v>0.0102481</v>
      </c>
      <c r="N41" s="24">
        <f>(P41-R41)*2/P41*100</f>
        <v>18.491313234542684</v>
      </c>
      <c r="O41" s="25"/>
      <c r="P41" s="43">
        <f>SUM(P11:P35)</f>
        <v>0.0125248</v>
      </c>
      <c r="Q41" s="49">
        <f>SUM(Q11:Q35)</f>
        <v>0.41545</v>
      </c>
      <c r="R41" s="43">
        <f>SUM(R11:R35)</f>
        <v>0.0113668</v>
      </c>
    </row>
    <row r="42" spans="1:18" ht="12.75">
      <c r="A42" s="21"/>
      <c r="B42" s="21"/>
      <c r="C42" s="21"/>
      <c r="D42" s="21"/>
      <c r="E42" s="49"/>
      <c r="F42" s="43"/>
      <c r="G42" s="49"/>
      <c r="H42" s="43"/>
      <c r="I42" s="49"/>
      <c r="J42" s="49"/>
      <c r="K42" s="49"/>
      <c r="L42" s="49"/>
      <c r="M42" s="49"/>
      <c r="N42" s="49"/>
      <c r="O42" s="49"/>
      <c r="P42" s="42"/>
      <c r="Q42" s="49"/>
      <c r="R42" s="42"/>
    </row>
    <row r="43" spans="1:18" ht="12.75">
      <c r="A43" s="25"/>
      <c r="B43" s="21" t="s">
        <v>102</v>
      </c>
      <c r="C43" s="49">
        <f>AVERAGE(H41,M41,R41)</f>
        <v>0.013168466666666665</v>
      </c>
      <c r="D43" s="25"/>
      <c r="E43" s="25"/>
      <c r="F43" s="43"/>
      <c r="G43" s="25"/>
      <c r="H43" s="43"/>
      <c r="I43" s="25"/>
      <c r="J43" s="25"/>
      <c r="K43" s="25"/>
      <c r="L43" s="25"/>
      <c r="M43" s="25"/>
      <c r="N43" s="25"/>
      <c r="O43" s="25"/>
      <c r="P43" s="42"/>
      <c r="Q43" s="25"/>
      <c r="R43" s="42"/>
    </row>
    <row r="44" spans="1:18" ht="12.75">
      <c r="A44" s="21"/>
      <c r="B44" s="21" t="s">
        <v>103</v>
      </c>
      <c r="C44" s="49">
        <f>AVERAGE(G41,L41,Q41)</f>
        <v>0.5321283333333334</v>
      </c>
      <c r="D44" s="21"/>
      <c r="E44" s="42"/>
      <c r="F44" s="43"/>
      <c r="G44" s="42"/>
      <c r="H44" s="43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85" spans="1:18" ht="12.75">
      <c r="A85" s="2"/>
      <c r="B85" s="2"/>
      <c r="C85" s="2"/>
      <c r="D85" s="2"/>
      <c r="E85" s="50"/>
      <c r="G85" s="50"/>
      <c r="J85" s="50"/>
      <c r="K85" s="4"/>
      <c r="L85" s="3"/>
      <c r="M85" s="4"/>
      <c r="N85" s="50"/>
      <c r="O85" s="50"/>
      <c r="P85" s="50"/>
      <c r="Q85" s="50"/>
      <c r="R85" s="50"/>
    </row>
    <row r="86" spans="1:18" ht="12.75">
      <c r="A86" s="2"/>
      <c r="B86" s="2"/>
      <c r="C86" s="51"/>
      <c r="D86" s="51"/>
      <c r="E86" s="3"/>
      <c r="F86" s="50"/>
      <c r="G86" s="3"/>
      <c r="H86" s="50"/>
      <c r="I86" s="51"/>
      <c r="J86" s="3"/>
      <c r="K86" s="3"/>
      <c r="L86" s="3"/>
      <c r="M86" s="3"/>
      <c r="N86" s="51"/>
      <c r="O86" s="50"/>
      <c r="P86" s="51"/>
      <c r="Q86" s="51"/>
      <c r="R86" s="51"/>
    </row>
    <row r="87" spans="1:18" ht="12.75">
      <c r="A87" s="2"/>
      <c r="B87" s="2"/>
      <c r="C87" s="51"/>
      <c r="D87" s="51"/>
      <c r="E87" s="50"/>
      <c r="F87" s="51"/>
      <c r="G87" s="52"/>
      <c r="H87" s="51"/>
      <c r="I87" s="51"/>
      <c r="J87" s="50"/>
      <c r="K87" s="51"/>
      <c r="L87" s="3"/>
      <c r="M87" s="51"/>
      <c r="N87" s="51"/>
      <c r="O87" s="50"/>
      <c r="P87" s="52"/>
      <c r="Q87" s="52"/>
      <c r="R87" s="5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workbookViewId="0" topLeftCell="A10">
      <selection activeCell="C39" sqref="C39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57421875" style="0" bestFit="1" customWidth="1"/>
    <col min="5" max="5" width="9.421875" style="0" customWidth="1"/>
    <col min="6" max="6" width="9.8515625" style="0" customWidth="1"/>
    <col min="8" max="8" width="9.8515625" style="0" customWidth="1"/>
    <col min="9" max="9" width="4.57421875" style="0" bestFit="1" customWidth="1"/>
    <col min="11" max="11" width="9.28125" style="0" customWidth="1"/>
    <col min="13" max="13" width="9.28125" style="0" customWidth="1"/>
    <col min="14" max="14" width="4.57421875" style="0" bestFit="1" customWidth="1"/>
    <col min="16" max="16" width="9.00390625" style="0" customWidth="1"/>
    <col min="18" max="18" width="9.00390625" style="0" customWidth="1"/>
  </cols>
  <sheetData>
    <row r="1" spans="1:18" ht="12.75">
      <c r="A1" s="41" t="s">
        <v>70</v>
      </c>
      <c r="B1" s="21"/>
      <c r="C1" s="21"/>
      <c r="D1" s="21"/>
      <c r="E1" s="42"/>
      <c r="F1" s="43"/>
      <c r="G1" s="42"/>
      <c r="H1" s="43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.75">
      <c r="A2" s="21" t="s">
        <v>275</v>
      </c>
      <c r="B2" s="21"/>
      <c r="C2" s="21"/>
      <c r="D2" s="21"/>
      <c r="E2" s="42"/>
      <c r="F2" s="43"/>
      <c r="G2" s="42"/>
      <c r="H2" s="43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>
      <c r="A3" s="21" t="s">
        <v>71</v>
      </c>
      <c r="B3" s="21"/>
      <c r="C3" s="7" t="str">
        <f>source!C5</f>
        <v>Eastman Chemical Company</v>
      </c>
      <c r="D3" s="7"/>
      <c r="E3" s="42"/>
      <c r="F3" s="43"/>
      <c r="G3" s="42"/>
      <c r="H3" s="43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2.75">
      <c r="A4" s="21" t="s">
        <v>72</v>
      </c>
      <c r="B4" s="21"/>
      <c r="C4" s="7" t="s">
        <v>138</v>
      </c>
      <c r="D4" s="7"/>
      <c r="E4" s="58"/>
      <c r="F4" s="46"/>
      <c r="G4" s="45"/>
      <c r="H4" s="46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2.75">
      <c r="A5" s="21" t="s">
        <v>73</v>
      </c>
      <c r="B5" s="21"/>
      <c r="C5" s="9" t="s">
        <v>273</v>
      </c>
      <c r="D5" s="9"/>
      <c r="E5" s="9"/>
      <c r="F5" s="9"/>
      <c r="G5" s="9"/>
      <c r="H5" s="9"/>
      <c r="I5" s="9"/>
      <c r="J5" s="9"/>
      <c r="K5" s="42"/>
      <c r="L5" s="9"/>
      <c r="M5" s="42"/>
      <c r="N5" s="42"/>
      <c r="O5" s="42"/>
      <c r="P5" s="42"/>
      <c r="Q5" s="42"/>
      <c r="R5" s="42"/>
    </row>
    <row r="6" spans="1:18" ht="12.75">
      <c r="A6" s="21"/>
      <c r="B6" s="21"/>
      <c r="C6" s="23"/>
      <c r="D6" s="23"/>
      <c r="E6" s="44"/>
      <c r="F6" s="43"/>
      <c r="G6" s="44"/>
      <c r="H6" s="43"/>
      <c r="I6" s="42"/>
      <c r="J6" s="44"/>
      <c r="K6" s="42"/>
      <c r="L6" s="44"/>
      <c r="M6" s="42"/>
      <c r="N6" s="42"/>
      <c r="O6" s="44"/>
      <c r="P6" s="42"/>
      <c r="Q6" s="44"/>
      <c r="R6" s="42"/>
    </row>
    <row r="7" spans="1:18" ht="12.75">
      <c r="A7" s="21"/>
      <c r="B7" s="21"/>
      <c r="C7" s="23" t="s">
        <v>74</v>
      </c>
      <c r="D7" s="23"/>
      <c r="E7" s="47" t="s">
        <v>75</v>
      </c>
      <c r="F7" s="47"/>
      <c r="G7" s="47"/>
      <c r="H7" s="47"/>
      <c r="I7" s="48"/>
      <c r="J7" s="47" t="s">
        <v>104</v>
      </c>
      <c r="K7" s="47"/>
      <c r="L7" s="47"/>
      <c r="M7" s="47"/>
      <c r="N7" s="48"/>
      <c r="O7" s="47" t="s">
        <v>76</v>
      </c>
      <c r="P7" s="47"/>
      <c r="Q7" s="47"/>
      <c r="R7" s="47"/>
    </row>
    <row r="8" spans="1:18" ht="12.75">
      <c r="A8" s="21"/>
      <c r="B8" s="21"/>
      <c r="C8" s="23" t="s">
        <v>77</v>
      </c>
      <c r="D8" s="21"/>
      <c r="E8" s="44" t="s">
        <v>20</v>
      </c>
      <c r="F8" s="46" t="s">
        <v>78</v>
      </c>
      <c r="G8" s="44" t="s">
        <v>20</v>
      </c>
      <c r="H8" s="46" t="s">
        <v>78</v>
      </c>
      <c r="I8" s="42"/>
      <c r="J8" s="44" t="s">
        <v>20</v>
      </c>
      <c r="K8" s="44" t="s">
        <v>79</v>
      </c>
      <c r="L8" s="44" t="s">
        <v>20</v>
      </c>
      <c r="M8" s="44" t="s">
        <v>79</v>
      </c>
      <c r="N8" s="42"/>
      <c r="O8" s="44" t="s">
        <v>20</v>
      </c>
      <c r="P8" s="44" t="s">
        <v>79</v>
      </c>
      <c r="Q8" s="44" t="s">
        <v>20</v>
      </c>
      <c r="R8" s="44" t="s">
        <v>79</v>
      </c>
    </row>
    <row r="9" spans="1:18" s="62" customFormat="1" ht="12.75">
      <c r="A9" s="21"/>
      <c r="B9" s="21"/>
      <c r="C9" s="23"/>
      <c r="D9" s="21"/>
      <c r="E9" s="44" t="s">
        <v>271</v>
      </c>
      <c r="F9" s="44" t="s">
        <v>271</v>
      </c>
      <c r="G9" s="44" t="s">
        <v>80</v>
      </c>
      <c r="H9" s="46" t="s">
        <v>80</v>
      </c>
      <c r="I9" s="42"/>
      <c r="J9" s="44" t="s">
        <v>271</v>
      </c>
      <c r="K9" s="44" t="s">
        <v>271</v>
      </c>
      <c r="L9" s="44" t="s">
        <v>80</v>
      </c>
      <c r="M9" s="46" t="s">
        <v>80</v>
      </c>
      <c r="N9" s="42"/>
      <c r="O9" s="44" t="s">
        <v>271</v>
      </c>
      <c r="P9" s="44" t="s">
        <v>271</v>
      </c>
      <c r="Q9" s="44" t="s">
        <v>80</v>
      </c>
      <c r="R9" s="46" t="s">
        <v>80</v>
      </c>
    </row>
    <row r="10" spans="1:18" ht="12.75">
      <c r="A10" s="21" t="s">
        <v>139</v>
      </c>
      <c r="B10" s="21"/>
      <c r="C10" s="21"/>
      <c r="D10" s="21"/>
      <c r="E10" s="42"/>
      <c r="F10" s="43"/>
      <c r="G10" s="42"/>
      <c r="H10" s="43"/>
      <c r="I10" s="42"/>
      <c r="J10" s="42"/>
      <c r="K10" s="42"/>
      <c r="L10" s="42"/>
      <c r="M10" s="42"/>
      <c r="N10" s="42"/>
      <c r="O10" s="24"/>
      <c r="P10" s="42"/>
      <c r="Q10" s="42"/>
      <c r="R10" s="42"/>
    </row>
    <row r="11" spans="1:18" ht="12.75">
      <c r="A11" s="21"/>
      <c r="B11" s="21" t="s">
        <v>81</v>
      </c>
      <c r="C11" s="23">
        <v>1</v>
      </c>
      <c r="E11" s="40">
        <v>0.000931</v>
      </c>
      <c r="F11" s="42">
        <f aca="true" t="shared" si="0" ref="F11:F35">IF(E11="","",E11*$C11)</f>
        <v>0.000931</v>
      </c>
      <c r="G11" s="42">
        <f aca="true" t="shared" si="1" ref="G11:G35">IF(E11=0,"",IF(D11="nd",E11/2,E11))</f>
        <v>0.000931</v>
      </c>
      <c r="H11" s="42">
        <f aca="true" t="shared" si="2" ref="H11:H35">IF(G11="","",G11*$C11)</f>
        <v>0.000931</v>
      </c>
      <c r="J11" s="40">
        <v>0.00119</v>
      </c>
      <c r="K11" s="42">
        <f aca="true" t="shared" si="3" ref="K11:K35">IF(J11="","",J11*$C11)</f>
        <v>0.00119</v>
      </c>
      <c r="L11" s="42">
        <f>IF(J11=0,"",IF(I11="nd",J11/2,J11))</f>
        <v>0.00119</v>
      </c>
      <c r="M11" s="42">
        <f aca="true" t="shared" si="4" ref="M11:M35">IF(L11="","",L11*$C11)</f>
        <v>0.00119</v>
      </c>
      <c r="O11" s="40">
        <v>0.0015</v>
      </c>
      <c r="P11" s="42">
        <f aca="true" t="shared" si="5" ref="P11:P35">IF(O11="","",O11*$C11)</f>
        <v>0.0015</v>
      </c>
      <c r="Q11" s="42">
        <f>IF(O11=0,"",IF(N11="nd",O11/2,O11))</f>
        <v>0.0015</v>
      </c>
      <c r="R11" s="42">
        <f aca="true" t="shared" si="6" ref="R11:R35">IF(Q11="","",Q11*$C11)</f>
        <v>0.0015</v>
      </c>
    </row>
    <row r="12" spans="1:18" ht="12.75">
      <c r="A12" s="21"/>
      <c r="B12" s="21" t="s">
        <v>140</v>
      </c>
      <c r="C12" s="23">
        <v>0</v>
      </c>
      <c r="E12">
        <v>0.016</v>
      </c>
      <c r="F12" s="42">
        <f t="shared" si="0"/>
        <v>0</v>
      </c>
      <c r="G12" s="42">
        <f>IF(E12=0,"",IF(D12="nd",E12/2,E12))</f>
        <v>0.016</v>
      </c>
      <c r="H12" s="42">
        <f t="shared" si="2"/>
        <v>0</v>
      </c>
      <c r="J12">
        <v>0.011</v>
      </c>
      <c r="K12" s="42">
        <f t="shared" si="3"/>
        <v>0</v>
      </c>
      <c r="L12" s="42">
        <f>IF(J12=0,"",IF(I12="nd",J12/2,J12))</f>
        <v>0.011</v>
      </c>
      <c r="M12" s="42">
        <f t="shared" si="4"/>
        <v>0</v>
      </c>
      <c r="O12">
        <v>0.017</v>
      </c>
      <c r="P12" s="42">
        <f t="shared" si="5"/>
        <v>0</v>
      </c>
      <c r="Q12" s="42">
        <f>IF(O12=0,"",IF(N12="nd",O12/2,O12))</f>
        <v>0.017</v>
      </c>
      <c r="R12" s="42">
        <f t="shared" si="6"/>
        <v>0</v>
      </c>
    </row>
    <row r="13" spans="1:18" ht="12.75">
      <c r="A13" s="21"/>
      <c r="B13" s="21" t="s">
        <v>82</v>
      </c>
      <c r="C13" s="23">
        <v>0.5</v>
      </c>
      <c r="D13" t="s">
        <v>108</v>
      </c>
      <c r="E13" s="40">
        <v>0.00192</v>
      </c>
      <c r="F13" s="42">
        <f t="shared" si="0"/>
        <v>0.00096</v>
      </c>
      <c r="G13" s="42">
        <f t="shared" si="1"/>
        <v>0.00096</v>
      </c>
      <c r="H13" s="42">
        <f t="shared" si="2"/>
        <v>0.00048</v>
      </c>
      <c r="I13" t="s">
        <v>108</v>
      </c>
      <c r="J13" s="40">
        <v>0.00251</v>
      </c>
      <c r="K13" s="42">
        <f t="shared" si="3"/>
        <v>0.001255</v>
      </c>
      <c r="L13" s="42">
        <f aca="true" t="shared" si="7" ref="L13:L35">IF(J13=0,"",IF(I13="nd",J13/2,J13))</f>
        <v>0.001255</v>
      </c>
      <c r="M13" s="42">
        <f t="shared" si="4"/>
        <v>0.0006275</v>
      </c>
      <c r="N13" t="s">
        <v>108</v>
      </c>
      <c r="O13" s="40">
        <v>0.00391</v>
      </c>
      <c r="P13" s="42">
        <f t="shared" si="5"/>
        <v>0.001955</v>
      </c>
      <c r="Q13" s="42">
        <f aca="true" t="shared" si="8" ref="Q13:Q35">IF(O13=0,"",IF(N13="nd",O13/2,O13))</f>
        <v>0.001955</v>
      </c>
      <c r="R13" s="42">
        <f t="shared" si="6"/>
        <v>0.0009775</v>
      </c>
    </row>
    <row r="14" spans="1:18" ht="12.75">
      <c r="A14" s="21"/>
      <c r="B14" s="21" t="s">
        <v>141</v>
      </c>
      <c r="C14" s="23">
        <v>0</v>
      </c>
      <c r="E14">
        <v>0.025</v>
      </c>
      <c r="F14" s="42">
        <f t="shared" si="0"/>
        <v>0</v>
      </c>
      <c r="G14" s="42">
        <f>IF(E14=0,"",IF(D14="nd",E14/2,E14))</f>
        <v>0.025</v>
      </c>
      <c r="H14" s="42">
        <f t="shared" si="2"/>
        <v>0</v>
      </c>
      <c r="J14">
        <v>0.021</v>
      </c>
      <c r="K14" s="42">
        <f t="shared" si="3"/>
        <v>0</v>
      </c>
      <c r="L14" s="42">
        <f>IF(J14=0,"",IF(I14="nd",J14/2,J14))</f>
        <v>0.021</v>
      </c>
      <c r="M14" s="42">
        <f t="shared" si="4"/>
        <v>0</v>
      </c>
      <c r="O14">
        <v>0.027</v>
      </c>
      <c r="P14" s="42">
        <f t="shared" si="5"/>
        <v>0</v>
      </c>
      <c r="Q14" s="42">
        <f>IF(O14=0,"",IF(N14="nd",O14/2,O14))</f>
        <v>0.027</v>
      </c>
      <c r="R14" s="42">
        <f t="shared" si="6"/>
        <v>0</v>
      </c>
    </row>
    <row r="15" spans="1:18" ht="12.75">
      <c r="A15" s="21"/>
      <c r="B15" s="21" t="s">
        <v>83</v>
      </c>
      <c r="C15" s="23">
        <v>0.1</v>
      </c>
      <c r="D15" t="s">
        <v>108</v>
      </c>
      <c r="E15" s="40">
        <v>0.00229</v>
      </c>
      <c r="F15" s="42">
        <f t="shared" si="0"/>
        <v>0.000229</v>
      </c>
      <c r="G15" s="42">
        <f t="shared" si="1"/>
        <v>0.001145</v>
      </c>
      <c r="H15" s="42">
        <f t="shared" si="2"/>
        <v>0.0001145</v>
      </c>
      <c r="I15" t="s">
        <v>108</v>
      </c>
      <c r="J15" s="40">
        <v>0.00298</v>
      </c>
      <c r="K15" s="42">
        <f t="shared" si="3"/>
        <v>0.00029800000000000003</v>
      </c>
      <c r="L15" s="42">
        <f t="shared" si="7"/>
        <v>0.00149</v>
      </c>
      <c r="M15" s="42">
        <f t="shared" si="4"/>
        <v>0.00014900000000000002</v>
      </c>
      <c r="N15" t="s">
        <v>108</v>
      </c>
      <c r="O15" s="40">
        <v>0.00391</v>
      </c>
      <c r="P15" s="42">
        <f t="shared" si="5"/>
        <v>0.00039100000000000007</v>
      </c>
      <c r="Q15" s="42">
        <f t="shared" si="8"/>
        <v>0.001955</v>
      </c>
      <c r="R15" s="42">
        <f t="shared" si="6"/>
        <v>0.00019550000000000004</v>
      </c>
    </row>
    <row r="16" spans="1:18" ht="12.75">
      <c r="A16" s="21"/>
      <c r="B16" s="21" t="s">
        <v>84</v>
      </c>
      <c r="C16" s="23">
        <v>0.1</v>
      </c>
      <c r="D16" t="s">
        <v>108</v>
      </c>
      <c r="E16" s="40">
        <v>0.00326</v>
      </c>
      <c r="F16" s="42">
        <f t="shared" si="0"/>
        <v>0.000326</v>
      </c>
      <c r="G16" s="42">
        <f t="shared" si="1"/>
        <v>0.00163</v>
      </c>
      <c r="H16" s="42">
        <f t="shared" si="2"/>
        <v>0.000163</v>
      </c>
      <c r="I16" t="s">
        <v>108</v>
      </c>
      <c r="J16" s="40">
        <v>0.00427</v>
      </c>
      <c r="K16" s="42">
        <f t="shared" si="3"/>
        <v>0.0004270000000000001</v>
      </c>
      <c r="L16" s="42">
        <f t="shared" si="7"/>
        <v>0.002135</v>
      </c>
      <c r="M16" s="42">
        <f t="shared" si="4"/>
        <v>0.00021350000000000004</v>
      </c>
      <c r="N16" t="s">
        <v>108</v>
      </c>
      <c r="O16" s="40">
        <v>0.00391</v>
      </c>
      <c r="P16" s="42">
        <f t="shared" si="5"/>
        <v>0.00039100000000000007</v>
      </c>
      <c r="Q16" s="42">
        <f t="shared" si="8"/>
        <v>0.001955</v>
      </c>
      <c r="R16" s="42">
        <f t="shared" si="6"/>
        <v>0.00019550000000000004</v>
      </c>
    </row>
    <row r="17" spans="1:18" ht="12.75">
      <c r="A17" s="21"/>
      <c r="B17" s="21" t="s">
        <v>85</v>
      </c>
      <c r="C17" s="23">
        <v>0.1</v>
      </c>
      <c r="D17" t="s">
        <v>108</v>
      </c>
      <c r="E17" s="40">
        <v>0.00225</v>
      </c>
      <c r="F17" s="42">
        <f t="shared" si="0"/>
        <v>0.000225</v>
      </c>
      <c r="G17" s="42">
        <f t="shared" si="1"/>
        <v>0.001125</v>
      </c>
      <c r="H17" s="42">
        <f t="shared" si="2"/>
        <v>0.0001125</v>
      </c>
      <c r="I17" t="s">
        <v>108</v>
      </c>
      <c r="J17" s="40">
        <v>0.00294</v>
      </c>
      <c r="K17" s="42">
        <f t="shared" si="3"/>
        <v>0.000294</v>
      </c>
      <c r="L17" s="42">
        <f t="shared" si="7"/>
        <v>0.00147</v>
      </c>
      <c r="M17" s="42">
        <f t="shared" si="4"/>
        <v>0.000147</v>
      </c>
      <c r="N17" t="s">
        <v>108</v>
      </c>
      <c r="O17" s="40">
        <v>0.00391</v>
      </c>
      <c r="P17" s="42">
        <f t="shared" si="5"/>
        <v>0.00039100000000000007</v>
      </c>
      <c r="Q17" s="42">
        <f t="shared" si="8"/>
        <v>0.001955</v>
      </c>
      <c r="R17" s="42">
        <f t="shared" si="6"/>
        <v>0.00019550000000000004</v>
      </c>
    </row>
    <row r="18" spans="1:18" ht="12.75">
      <c r="A18" s="21"/>
      <c r="B18" s="21" t="s">
        <v>142</v>
      </c>
      <c r="C18" s="23">
        <v>0</v>
      </c>
      <c r="E18">
        <v>0.029</v>
      </c>
      <c r="F18" s="42">
        <f t="shared" si="0"/>
        <v>0</v>
      </c>
      <c r="G18" s="42">
        <f>IF(E18=0,"",IF(D18="nd",E18/2,E18))</f>
        <v>0.029</v>
      </c>
      <c r="H18" s="42">
        <f t="shared" si="2"/>
        <v>0</v>
      </c>
      <c r="J18">
        <v>0.03</v>
      </c>
      <c r="K18" s="42">
        <f t="shared" si="3"/>
        <v>0</v>
      </c>
      <c r="L18" s="42">
        <f>IF(J18=0,"",IF(I18="nd",J18/2,J18))</f>
        <v>0.03</v>
      </c>
      <c r="M18" s="42">
        <f t="shared" si="4"/>
        <v>0</v>
      </c>
      <c r="O18">
        <v>0.048</v>
      </c>
      <c r="P18" s="42">
        <f t="shared" si="5"/>
        <v>0</v>
      </c>
      <c r="Q18" s="42">
        <f>IF(O18=0,"",IF(N18="nd",O18/2,O18))</f>
        <v>0.048</v>
      </c>
      <c r="R18" s="42">
        <f t="shared" si="6"/>
        <v>0</v>
      </c>
    </row>
    <row r="19" spans="1:18" ht="12.75">
      <c r="A19" s="21"/>
      <c r="B19" s="21" t="s">
        <v>86</v>
      </c>
      <c r="C19" s="23">
        <v>0.01</v>
      </c>
      <c r="E19">
        <v>0.012</v>
      </c>
      <c r="F19" s="42">
        <f t="shared" si="0"/>
        <v>0.00012</v>
      </c>
      <c r="G19" s="42">
        <f t="shared" si="1"/>
        <v>0.012</v>
      </c>
      <c r="H19" s="42">
        <f t="shared" si="2"/>
        <v>0.00012</v>
      </c>
      <c r="J19">
        <v>0.018</v>
      </c>
      <c r="K19" s="42">
        <f t="shared" si="3"/>
        <v>0.00017999999999999998</v>
      </c>
      <c r="L19" s="42">
        <f t="shared" si="7"/>
        <v>0.018</v>
      </c>
      <c r="M19" s="42">
        <f t="shared" si="4"/>
        <v>0.00017999999999999998</v>
      </c>
      <c r="O19">
        <v>0.018</v>
      </c>
      <c r="P19" s="42">
        <f t="shared" si="5"/>
        <v>0.00017999999999999998</v>
      </c>
      <c r="Q19" s="42">
        <f t="shared" si="8"/>
        <v>0.018</v>
      </c>
      <c r="R19" s="42">
        <f t="shared" si="6"/>
        <v>0.00017999999999999998</v>
      </c>
    </row>
    <row r="20" spans="1:18" ht="12.75">
      <c r="A20" s="21"/>
      <c r="B20" s="21" t="s">
        <v>143</v>
      </c>
      <c r="C20" s="23">
        <v>0</v>
      </c>
      <c r="E20">
        <v>0.012</v>
      </c>
      <c r="F20" s="42">
        <f t="shared" si="0"/>
        <v>0</v>
      </c>
      <c r="G20" s="42">
        <f>IF(E20=0,"",IF(D20="nd",E20/2,E20))</f>
        <v>0.012</v>
      </c>
      <c r="H20" s="42">
        <f t="shared" si="2"/>
        <v>0</v>
      </c>
      <c r="J20">
        <v>0.017</v>
      </c>
      <c r="K20" s="42">
        <f t="shared" si="3"/>
        <v>0</v>
      </c>
      <c r="L20" s="42">
        <f>IF(J20=0,"",IF(I20="nd",J20/2,J20))</f>
        <v>0.017</v>
      </c>
      <c r="M20" s="42">
        <f t="shared" si="4"/>
        <v>0</v>
      </c>
      <c r="O20">
        <v>0.017</v>
      </c>
      <c r="P20" s="42">
        <f t="shared" si="5"/>
        <v>0</v>
      </c>
      <c r="Q20" s="42">
        <f>IF(O20=0,"",IF(N20="nd",O20/2,O20))</f>
        <v>0.017</v>
      </c>
      <c r="R20" s="42">
        <f t="shared" si="6"/>
        <v>0</v>
      </c>
    </row>
    <row r="21" spans="1:18" ht="12.75">
      <c r="A21" s="21"/>
      <c r="B21" s="21" t="s">
        <v>87</v>
      </c>
      <c r="C21" s="23">
        <v>0.001</v>
      </c>
      <c r="E21">
        <v>0.026</v>
      </c>
      <c r="F21" s="42">
        <f t="shared" si="0"/>
        <v>2.6E-05</v>
      </c>
      <c r="G21" s="42">
        <f t="shared" si="1"/>
        <v>0.026</v>
      </c>
      <c r="H21" s="42">
        <f t="shared" si="2"/>
        <v>2.6E-05</v>
      </c>
      <c r="J21">
        <v>0.038</v>
      </c>
      <c r="K21" s="42">
        <f t="shared" si="3"/>
        <v>3.8E-05</v>
      </c>
      <c r="L21" s="42">
        <f t="shared" si="7"/>
        <v>0.038</v>
      </c>
      <c r="M21" s="42">
        <f t="shared" si="4"/>
        <v>3.8E-05</v>
      </c>
      <c r="O21">
        <v>0.03</v>
      </c>
      <c r="P21" s="42">
        <f t="shared" si="5"/>
        <v>3E-05</v>
      </c>
      <c r="Q21" s="42">
        <f t="shared" si="8"/>
        <v>0.03</v>
      </c>
      <c r="R21" s="42">
        <f t="shared" si="6"/>
        <v>3E-05</v>
      </c>
    </row>
    <row r="22" spans="1:18" ht="12.75">
      <c r="A22" s="21"/>
      <c r="B22" s="21" t="s">
        <v>88</v>
      </c>
      <c r="C22" s="23">
        <v>0.1</v>
      </c>
      <c r="E22" s="40">
        <v>0.00352</v>
      </c>
      <c r="F22" s="42">
        <f t="shared" si="0"/>
        <v>0.00035200000000000005</v>
      </c>
      <c r="G22" s="42">
        <f t="shared" si="1"/>
        <v>0.00352</v>
      </c>
      <c r="H22" s="42">
        <f t="shared" si="2"/>
        <v>0.00035200000000000005</v>
      </c>
      <c r="J22" s="40">
        <v>0.00276</v>
      </c>
      <c r="K22" s="42">
        <f t="shared" si="3"/>
        <v>0.000276</v>
      </c>
      <c r="L22" s="42">
        <f t="shared" si="7"/>
        <v>0.00276</v>
      </c>
      <c r="M22" s="42">
        <f t="shared" si="4"/>
        <v>0.000276</v>
      </c>
      <c r="O22" s="40">
        <v>0.00377</v>
      </c>
      <c r="P22" s="42">
        <f t="shared" si="5"/>
        <v>0.000377</v>
      </c>
      <c r="Q22" s="42">
        <f t="shared" si="8"/>
        <v>0.00377</v>
      </c>
      <c r="R22" s="42">
        <f t="shared" si="6"/>
        <v>0.000377</v>
      </c>
    </row>
    <row r="23" spans="1:18" ht="12.75">
      <c r="A23" s="21"/>
      <c r="B23" s="21" t="s">
        <v>144</v>
      </c>
      <c r="C23" s="23">
        <v>0</v>
      </c>
      <c r="E23">
        <v>0.054</v>
      </c>
      <c r="F23" s="42">
        <f t="shared" si="0"/>
        <v>0</v>
      </c>
      <c r="G23" s="42">
        <f>IF(E23=0,"",IF(D23="nd",E23/2,E23))</f>
        <v>0.054</v>
      </c>
      <c r="H23" s="42">
        <f t="shared" si="2"/>
        <v>0</v>
      </c>
      <c r="J23">
        <v>0.054</v>
      </c>
      <c r="K23" s="42">
        <f t="shared" si="3"/>
        <v>0</v>
      </c>
      <c r="L23" s="42">
        <f>IF(J23=0,"",IF(I23="nd",J23/2,J23))</f>
        <v>0.054</v>
      </c>
      <c r="M23" s="42">
        <f t="shared" si="4"/>
        <v>0</v>
      </c>
      <c r="O23">
        <v>0.075</v>
      </c>
      <c r="P23" s="42">
        <f t="shared" si="5"/>
        <v>0</v>
      </c>
      <c r="Q23" s="42">
        <f>IF(O23=0,"",IF(N23="nd",O23/2,O23))</f>
        <v>0.075</v>
      </c>
      <c r="R23" s="42">
        <f t="shared" si="6"/>
        <v>0</v>
      </c>
    </row>
    <row r="24" spans="1:18" ht="12.75">
      <c r="A24" s="21"/>
      <c r="B24" s="21" t="s">
        <v>89</v>
      </c>
      <c r="C24" s="23">
        <v>0.05</v>
      </c>
      <c r="E24" s="40">
        <v>0.00368</v>
      </c>
      <c r="F24" s="42">
        <f t="shared" si="0"/>
        <v>0.00018400000000000003</v>
      </c>
      <c r="G24" s="42">
        <f t="shared" si="1"/>
        <v>0.00368</v>
      </c>
      <c r="H24" s="42">
        <f t="shared" si="2"/>
        <v>0.00018400000000000003</v>
      </c>
      <c r="J24" s="40">
        <v>0.00624</v>
      </c>
      <c r="K24" s="42">
        <f t="shared" si="3"/>
        <v>0.000312</v>
      </c>
      <c r="L24" s="42">
        <f t="shared" si="7"/>
        <v>0.00624</v>
      </c>
      <c r="M24" s="42">
        <f t="shared" si="4"/>
        <v>0.000312</v>
      </c>
      <c r="O24" s="40">
        <v>0.00677</v>
      </c>
      <c r="P24" s="42">
        <f t="shared" si="5"/>
        <v>0.00033850000000000004</v>
      </c>
      <c r="Q24" s="42">
        <f t="shared" si="8"/>
        <v>0.00677</v>
      </c>
      <c r="R24" s="42">
        <f t="shared" si="6"/>
        <v>0.00033850000000000004</v>
      </c>
    </row>
    <row r="25" spans="1:18" ht="12.75">
      <c r="A25" s="21"/>
      <c r="B25" s="21" t="s">
        <v>90</v>
      </c>
      <c r="C25" s="23">
        <v>0.5</v>
      </c>
      <c r="E25" s="40">
        <v>0.00616</v>
      </c>
      <c r="F25" s="42">
        <f t="shared" si="0"/>
        <v>0.00308</v>
      </c>
      <c r="G25" s="42">
        <f t="shared" si="1"/>
        <v>0.00616</v>
      </c>
      <c r="H25" s="42">
        <f t="shared" si="2"/>
        <v>0.00308</v>
      </c>
      <c r="J25" s="40">
        <v>0.007</v>
      </c>
      <c r="K25" s="42">
        <f t="shared" si="3"/>
        <v>0.0035</v>
      </c>
      <c r="L25" s="42">
        <f t="shared" si="7"/>
        <v>0.007</v>
      </c>
      <c r="M25" s="42">
        <f t="shared" si="4"/>
        <v>0.0035</v>
      </c>
      <c r="O25" s="40">
        <v>0.00814</v>
      </c>
      <c r="P25" s="42">
        <f t="shared" si="5"/>
        <v>0.00407</v>
      </c>
      <c r="Q25" s="42">
        <f t="shared" si="8"/>
        <v>0.00814</v>
      </c>
      <c r="R25" s="42">
        <f t="shared" si="6"/>
        <v>0.00407</v>
      </c>
    </row>
    <row r="26" spans="1:18" ht="12.75">
      <c r="A26" s="21"/>
      <c r="B26" s="21" t="s">
        <v>145</v>
      </c>
      <c r="C26" s="23">
        <v>0</v>
      </c>
      <c r="E26">
        <v>0.039</v>
      </c>
      <c r="F26" s="42">
        <f t="shared" si="0"/>
        <v>0</v>
      </c>
      <c r="G26" s="42">
        <f>IF(E26=0,"",IF(D26="nd",E26/2,E26))</f>
        <v>0.039</v>
      </c>
      <c r="H26" s="42">
        <f t="shared" si="2"/>
        <v>0</v>
      </c>
      <c r="J26">
        <v>0.058</v>
      </c>
      <c r="K26" s="42">
        <f t="shared" si="3"/>
        <v>0</v>
      </c>
      <c r="L26" s="42">
        <f>IF(J26=0,"",IF(I26="nd",J26/2,J26))</f>
        <v>0.058</v>
      </c>
      <c r="M26" s="42">
        <f t="shared" si="4"/>
        <v>0</v>
      </c>
      <c r="O26">
        <v>0.077</v>
      </c>
      <c r="P26" s="42">
        <f t="shared" si="5"/>
        <v>0</v>
      </c>
      <c r="Q26" s="42">
        <f>IF(O26=0,"",IF(N26="nd",O26/2,O26))</f>
        <v>0.077</v>
      </c>
      <c r="R26" s="42">
        <f t="shared" si="6"/>
        <v>0</v>
      </c>
    </row>
    <row r="27" spans="1:18" ht="12.75">
      <c r="A27" s="21"/>
      <c r="B27" s="21" t="s">
        <v>91</v>
      </c>
      <c r="C27" s="23">
        <v>0.1</v>
      </c>
      <c r="E27" s="40">
        <v>0.00783</v>
      </c>
      <c r="F27" s="42">
        <f t="shared" si="0"/>
        <v>0.0007830000000000001</v>
      </c>
      <c r="G27" s="42">
        <f t="shared" si="1"/>
        <v>0.00783</v>
      </c>
      <c r="H27" s="42">
        <f t="shared" si="2"/>
        <v>0.0007830000000000001</v>
      </c>
      <c r="J27">
        <v>0.01</v>
      </c>
      <c r="K27" s="42">
        <f t="shared" si="3"/>
        <v>0.001</v>
      </c>
      <c r="L27" s="42">
        <f t="shared" si="7"/>
        <v>0.01</v>
      </c>
      <c r="M27" s="42">
        <f t="shared" si="4"/>
        <v>0.001</v>
      </c>
      <c r="O27">
        <v>0.01</v>
      </c>
      <c r="P27" s="42">
        <f t="shared" si="5"/>
        <v>0.001</v>
      </c>
      <c r="Q27" s="42">
        <f t="shared" si="8"/>
        <v>0.01</v>
      </c>
      <c r="R27" s="42">
        <f t="shared" si="6"/>
        <v>0.001</v>
      </c>
    </row>
    <row r="28" spans="1:18" ht="12.75">
      <c r="A28" s="21"/>
      <c r="B28" s="21" t="s">
        <v>92</v>
      </c>
      <c r="C28" s="23">
        <v>0.1</v>
      </c>
      <c r="E28" s="40">
        <v>0.00727</v>
      </c>
      <c r="F28" s="42">
        <f t="shared" si="0"/>
        <v>0.0007270000000000001</v>
      </c>
      <c r="G28" s="42">
        <f t="shared" si="1"/>
        <v>0.00727</v>
      </c>
      <c r="H28" s="42">
        <f t="shared" si="2"/>
        <v>0.0007270000000000001</v>
      </c>
      <c r="J28" s="40">
        <v>0.0086</v>
      </c>
      <c r="K28" s="42">
        <f t="shared" si="3"/>
        <v>0.0008600000000000001</v>
      </c>
      <c r="L28" s="42">
        <f t="shared" si="7"/>
        <v>0.0086</v>
      </c>
      <c r="M28" s="42">
        <f t="shared" si="4"/>
        <v>0.0008600000000000001</v>
      </c>
      <c r="O28" s="40">
        <v>0.00986</v>
      </c>
      <c r="P28" s="42">
        <f t="shared" si="5"/>
        <v>0.0009860000000000001</v>
      </c>
      <c r="Q28" s="42">
        <f t="shared" si="8"/>
        <v>0.00986</v>
      </c>
      <c r="R28" s="42">
        <f t="shared" si="6"/>
        <v>0.0009860000000000001</v>
      </c>
    </row>
    <row r="29" spans="1:18" ht="12.75">
      <c r="A29" s="21"/>
      <c r="B29" s="21" t="s">
        <v>93</v>
      </c>
      <c r="C29" s="23">
        <v>0.1</v>
      </c>
      <c r="E29" s="40">
        <v>0.00769</v>
      </c>
      <c r="F29" s="42">
        <f t="shared" si="0"/>
        <v>0.000769</v>
      </c>
      <c r="G29" s="42">
        <f t="shared" si="1"/>
        <v>0.00769</v>
      </c>
      <c r="H29" s="42">
        <f t="shared" si="2"/>
        <v>0.000769</v>
      </c>
      <c r="J29">
        <v>0.012</v>
      </c>
      <c r="K29" s="42">
        <f t="shared" si="3"/>
        <v>0.0012000000000000001</v>
      </c>
      <c r="L29" s="42">
        <f t="shared" si="7"/>
        <v>0.012</v>
      </c>
      <c r="M29" s="42">
        <f t="shared" si="4"/>
        <v>0.0012000000000000001</v>
      </c>
      <c r="O29">
        <v>0.011</v>
      </c>
      <c r="P29" s="42">
        <f t="shared" si="5"/>
        <v>0.0011</v>
      </c>
      <c r="Q29" s="42">
        <f t="shared" si="8"/>
        <v>0.011</v>
      </c>
      <c r="R29" s="42">
        <f t="shared" si="6"/>
        <v>0.0011</v>
      </c>
    </row>
    <row r="30" spans="1:18" ht="12.75">
      <c r="A30" s="21"/>
      <c r="B30" s="21" t="s">
        <v>94</v>
      </c>
      <c r="C30" s="23">
        <v>0.1</v>
      </c>
      <c r="D30" t="s">
        <v>108</v>
      </c>
      <c r="E30" s="40">
        <v>0.00326</v>
      </c>
      <c r="F30" s="42">
        <f t="shared" si="0"/>
        <v>0.000326</v>
      </c>
      <c r="G30" s="42">
        <f t="shared" si="1"/>
        <v>0.00163</v>
      </c>
      <c r="H30" s="42">
        <f t="shared" si="2"/>
        <v>0.000163</v>
      </c>
      <c r="I30" t="s">
        <v>108</v>
      </c>
      <c r="J30" s="40">
        <v>0.00427</v>
      </c>
      <c r="K30" s="42">
        <f t="shared" si="3"/>
        <v>0.0004270000000000001</v>
      </c>
      <c r="L30" s="42">
        <f t="shared" si="7"/>
        <v>0.002135</v>
      </c>
      <c r="M30" s="42">
        <f t="shared" si="4"/>
        <v>0.00021350000000000004</v>
      </c>
      <c r="N30" t="s">
        <v>108</v>
      </c>
      <c r="O30" s="40">
        <v>0.00391</v>
      </c>
      <c r="P30" s="42">
        <f t="shared" si="5"/>
        <v>0.00039100000000000007</v>
      </c>
      <c r="Q30" s="42">
        <f t="shared" si="8"/>
        <v>0.001955</v>
      </c>
      <c r="R30" s="42">
        <f t="shared" si="6"/>
        <v>0.00019550000000000004</v>
      </c>
    </row>
    <row r="31" spans="1:18" ht="12.75">
      <c r="A31" s="21"/>
      <c r="B31" s="21" t="s">
        <v>146</v>
      </c>
      <c r="C31" s="23">
        <v>0</v>
      </c>
      <c r="E31">
        <v>0.039</v>
      </c>
      <c r="F31" s="42">
        <f t="shared" si="0"/>
        <v>0</v>
      </c>
      <c r="G31" s="42">
        <f>IF(E31=0,"",IF(D31="nd",E31/2,E31))</f>
        <v>0.039</v>
      </c>
      <c r="H31" s="42">
        <f t="shared" si="2"/>
        <v>0</v>
      </c>
      <c r="J31">
        <v>0.043</v>
      </c>
      <c r="K31" s="42">
        <f t="shared" si="3"/>
        <v>0</v>
      </c>
      <c r="L31" s="42">
        <f>IF(J31=0,"",IF(I31="nd",J31/2,J31))</f>
        <v>0.043</v>
      </c>
      <c r="M31" s="42">
        <f t="shared" si="4"/>
        <v>0</v>
      </c>
      <c r="O31">
        <v>0.055</v>
      </c>
      <c r="P31" s="42">
        <f t="shared" si="5"/>
        <v>0</v>
      </c>
      <c r="Q31" s="42">
        <f>IF(O31=0,"",IF(N31="nd",O31/2,O31))</f>
        <v>0.055</v>
      </c>
      <c r="R31" s="42">
        <f t="shared" si="6"/>
        <v>0</v>
      </c>
    </row>
    <row r="32" spans="1:18" ht="12.75">
      <c r="A32" s="21"/>
      <c r="B32" s="21" t="s">
        <v>95</v>
      </c>
      <c r="C32" s="23">
        <v>0.01</v>
      </c>
      <c r="E32">
        <v>0.025</v>
      </c>
      <c r="F32" s="42">
        <f t="shared" si="0"/>
        <v>0.00025</v>
      </c>
      <c r="G32" s="42">
        <f t="shared" si="1"/>
        <v>0.025</v>
      </c>
      <c r="H32" s="42">
        <f t="shared" si="2"/>
        <v>0.00025</v>
      </c>
      <c r="J32">
        <v>0.043</v>
      </c>
      <c r="K32" s="42">
        <f t="shared" si="3"/>
        <v>0.00043</v>
      </c>
      <c r="L32" s="42">
        <f t="shared" si="7"/>
        <v>0.043</v>
      </c>
      <c r="M32" s="42">
        <f t="shared" si="4"/>
        <v>0.00043</v>
      </c>
      <c r="O32">
        <v>0.033</v>
      </c>
      <c r="P32" s="42">
        <f t="shared" si="5"/>
        <v>0.00033</v>
      </c>
      <c r="Q32" s="42">
        <f t="shared" si="8"/>
        <v>0.033</v>
      </c>
      <c r="R32" s="42">
        <f t="shared" si="6"/>
        <v>0.00033</v>
      </c>
    </row>
    <row r="33" spans="1:18" ht="12.75">
      <c r="A33" s="21"/>
      <c r="B33" s="21" t="s">
        <v>96</v>
      </c>
      <c r="C33" s="23">
        <v>0.01</v>
      </c>
      <c r="E33" s="40">
        <v>0.00415</v>
      </c>
      <c r="F33" s="42">
        <f t="shared" si="0"/>
        <v>4.15E-05</v>
      </c>
      <c r="G33" s="42">
        <f t="shared" si="1"/>
        <v>0.00415</v>
      </c>
      <c r="H33" s="42">
        <f t="shared" si="2"/>
        <v>4.15E-05</v>
      </c>
      <c r="J33" s="40">
        <v>0.00686</v>
      </c>
      <c r="K33" s="42">
        <f t="shared" si="3"/>
        <v>6.86E-05</v>
      </c>
      <c r="L33" s="42">
        <f t="shared" si="7"/>
        <v>0.00686</v>
      </c>
      <c r="M33" s="42">
        <f t="shared" si="4"/>
        <v>6.86E-05</v>
      </c>
      <c r="O33" s="40">
        <v>0.00481</v>
      </c>
      <c r="P33" s="42">
        <f t="shared" si="5"/>
        <v>4.8100000000000004E-05</v>
      </c>
      <c r="Q33" s="42">
        <f t="shared" si="8"/>
        <v>0.00481</v>
      </c>
      <c r="R33" s="42">
        <f t="shared" si="6"/>
        <v>4.8100000000000004E-05</v>
      </c>
    </row>
    <row r="34" spans="1:18" ht="12.75">
      <c r="A34" s="21"/>
      <c r="B34" s="21" t="s">
        <v>147</v>
      </c>
      <c r="C34" s="23">
        <v>0</v>
      </c>
      <c r="E34">
        <v>0.017</v>
      </c>
      <c r="F34" s="42">
        <f t="shared" si="0"/>
        <v>0</v>
      </c>
      <c r="G34" s="42">
        <f>IF(E34=0,"",IF(D34="nd",E34/2,E34))</f>
        <v>0.017</v>
      </c>
      <c r="H34" s="42">
        <f t="shared" si="2"/>
        <v>0</v>
      </c>
      <c r="J34">
        <v>0.029</v>
      </c>
      <c r="K34" s="42">
        <f t="shared" si="3"/>
        <v>0</v>
      </c>
      <c r="L34" s="42">
        <f>IF(J34=0,"",IF(I34="nd",J34/2,J34))</f>
        <v>0.029</v>
      </c>
      <c r="M34" s="42">
        <f t="shared" si="4"/>
        <v>0</v>
      </c>
      <c r="O34">
        <v>0.019</v>
      </c>
      <c r="P34" s="42">
        <f t="shared" si="5"/>
        <v>0</v>
      </c>
      <c r="Q34" s="42">
        <f>IF(O34=0,"",IF(N34="nd",O34/2,O34))</f>
        <v>0.019</v>
      </c>
      <c r="R34" s="42">
        <f t="shared" si="6"/>
        <v>0</v>
      </c>
    </row>
    <row r="35" spans="1:18" ht="12.75">
      <c r="A35" s="21"/>
      <c r="B35" s="21" t="s">
        <v>97</v>
      </c>
      <c r="C35" s="23">
        <v>0.001</v>
      </c>
      <c r="E35">
        <v>0.019</v>
      </c>
      <c r="F35" s="42">
        <f t="shared" si="0"/>
        <v>1.9E-05</v>
      </c>
      <c r="G35" s="42">
        <f t="shared" si="1"/>
        <v>0.019</v>
      </c>
      <c r="H35" s="42">
        <f t="shared" si="2"/>
        <v>1.9E-05</v>
      </c>
      <c r="J35">
        <v>0.047</v>
      </c>
      <c r="K35" s="42">
        <f t="shared" si="3"/>
        <v>4.7000000000000004E-05</v>
      </c>
      <c r="L35" s="42">
        <f t="shared" si="7"/>
        <v>0.047</v>
      </c>
      <c r="M35" s="42">
        <f t="shared" si="4"/>
        <v>4.7000000000000004E-05</v>
      </c>
      <c r="O35">
        <v>0.02</v>
      </c>
      <c r="P35" s="42">
        <f t="shared" si="5"/>
        <v>2E-05</v>
      </c>
      <c r="Q35" s="42">
        <f t="shared" si="8"/>
        <v>0.02</v>
      </c>
      <c r="R35" s="42">
        <f t="shared" si="6"/>
        <v>2E-05</v>
      </c>
    </row>
    <row r="36" spans="1:18" ht="12.75">
      <c r="A36" s="21"/>
      <c r="B36" s="21"/>
      <c r="C36" s="21"/>
      <c r="D36" s="21"/>
      <c r="E36" s="25"/>
      <c r="F36" s="43"/>
      <c r="G36" s="25"/>
      <c r="H36" s="43"/>
      <c r="I36" s="25"/>
      <c r="J36" s="9"/>
      <c r="K36" s="24"/>
      <c r="L36" s="24"/>
      <c r="M36" s="24"/>
      <c r="N36" s="25"/>
      <c r="O36" s="9"/>
      <c r="P36" s="42"/>
      <c r="Q36" s="25"/>
      <c r="R36" s="42"/>
    </row>
    <row r="37" spans="1:5" ht="12.75">
      <c r="A37" s="21"/>
      <c r="B37" s="21" t="s">
        <v>98</v>
      </c>
      <c r="C37" s="21"/>
      <c r="D37" s="21"/>
      <c r="E37" s="25"/>
    </row>
    <row r="38" spans="1:5" ht="12.75">
      <c r="A38" s="21"/>
      <c r="B38" s="21" t="s">
        <v>99</v>
      </c>
      <c r="C38" s="21"/>
      <c r="D38" s="21"/>
      <c r="E38" s="25"/>
    </row>
    <row r="39" spans="1:18" ht="12.75">
      <c r="A39" s="21"/>
      <c r="B39" s="21"/>
      <c r="C39" s="21"/>
      <c r="D39" s="21"/>
      <c r="E39" s="25"/>
      <c r="F39" s="9"/>
      <c r="G39" s="25"/>
      <c r="H39" s="9"/>
      <c r="I39" s="9"/>
      <c r="J39" s="25"/>
      <c r="K39" s="26"/>
      <c r="L39" s="24"/>
      <c r="M39" s="26"/>
      <c r="N39" s="25"/>
      <c r="O39" s="25"/>
      <c r="P39" s="25"/>
      <c r="Q39" s="25"/>
      <c r="R39" s="25"/>
    </row>
    <row r="40" spans="1:18" ht="12.75">
      <c r="A40" s="21"/>
      <c r="B40" s="21" t="s">
        <v>100</v>
      </c>
      <c r="C40" s="43"/>
      <c r="D40" s="43"/>
      <c r="E40" s="24"/>
      <c r="F40" s="25"/>
      <c r="G40" s="24"/>
      <c r="H40" s="25"/>
      <c r="I40" s="43"/>
      <c r="J40" s="24"/>
      <c r="K40" s="49"/>
      <c r="L40" s="24"/>
      <c r="M40" s="49"/>
      <c r="N40" s="43"/>
      <c r="O40" s="25"/>
      <c r="P40" s="25"/>
      <c r="Q40" s="24"/>
      <c r="R40" s="25"/>
    </row>
    <row r="41" spans="1:18" ht="12.75">
      <c r="A41" s="21"/>
      <c r="B41" s="21" t="s">
        <v>101</v>
      </c>
      <c r="C41" s="43"/>
      <c r="D41" s="24">
        <f>(F41-H41)*2/F41*100</f>
        <v>22.099802107289925</v>
      </c>
      <c r="E41" s="25"/>
      <c r="F41" s="49">
        <f>SUM(F11:F35)</f>
        <v>0.0093485</v>
      </c>
      <c r="G41" s="49">
        <f>SUM(G11:G35)</f>
        <v>0.360721</v>
      </c>
      <c r="H41" s="49">
        <f>SUM(H11:H35)</f>
        <v>0.0083155</v>
      </c>
      <c r="I41" s="24">
        <f>(K41-M41)*2/K41*100</f>
        <v>22.884788097537818</v>
      </c>
      <c r="J41" s="25"/>
      <c r="K41" s="43">
        <f>SUM(K11:K35)</f>
        <v>0.0118026</v>
      </c>
      <c r="L41" s="49">
        <f>SUM(L11:L35)</f>
        <v>0.47213499999999997</v>
      </c>
      <c r="M41" s="43">
        <f>SUM(M11:M35)</f>
        <v>0.0104521</v>
      </c>
      <c r="N41" s="24">
        <f>(P41-R41)*2/P41*100</f>
        <v>26.069370156905165</v>
      </c>
      <c r="O41" s="25"/>
      <c r="P41" s="43">
        <f>SUM(P11:P35)</f>
        <v>0.013498600000000003</v>
      </c>
      <c r="Q41" s="49">
        <f>SUM(Q11:Q35)</f>
        <v>0.501625</v>
      </c>
      <c r="R41" s="43">
        <f>SUM(R11:R35)</f>
        <v>0.011739100000000002</v>
      </c>
    </row>
    <row r="42" spans="1:18" ht="12.75">
      <c r="A42" s="21"/>
      <c r="B42" s="21"/>
      <c r="C42" s="21"/>
      <c r="D42" s="21"/>
      <c r="E42" s="49"/>
      <c r="F42" s="43"/>
      <c r="G42" s="49"/>
      <c r="H42" s="43"/>
      <c r="I42" s="49"/>
      <c r="J42" s="49"/>
      <c r="K42" s="49"/>
      <c r="L42" s="49"/>
      <c r="M42" s="49"/>
      <c r="N42" s="49"/>
      <c r="O42" s="49"/>
      <c r="P42" s="42"/>
      <c r="Q42" s="49"/>
      <c r="R42" s="42"/>
    </row>
    <row r="43" spans="1:18" ht="12.75">
      <c r="A43" s="25"/>
      <c r="B43" s="21" t="s">
        <v>102</v>
      </c>
      <c r="C43" s="49">
        <f>AVERAGE(H41,M41,R41)</f>
        <v>0.010168900000000002</v>
      </c>
      <c r="D43" s="25"/>
      <c r="E43" s="25"/>
      <c r="F43" s="43"/>
      <c r="G43" s="25"/>
      <c r="H43" s="43"/>
      <c r="I43" s="25"/>
      <c r="J43" s="25"/>
      <c r="K43" s="25"/>
      <c r="L43" s="25"/>
      <c r="M43" s="25"/>
      <c r="N43" s="25"/>
      <c r="O43" s="25"/>
      <c r="P43" s="42"/>
      <c r="Q43" s="25"/>
      <c r="R43" s="42"/>
    </row>
    <row r="44" spans="1:18" ht="12.75">
      <c r="A44" s="21"/>
      <c r="B44" s="21" t="s">
        <v>103</v>
      </c>
      <c r="C44" s="49">
        <f>AVERAGE(G41,L41,Q41)</f>
        <v>0.44482700000000003</v>
      </c>
      <c r="D44" s="21"/>
      <c r="E44" s="42"/>
      <c r="F44" s="43"/>
      <c r="G44" s="42"/>
      <c r="H44" s="43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85" spans="1:18" ht="12.75">
      <c r="A85" s="2"/>
      <c r="B85" s="2"/>
      <c r="C85" s="2"/>
      <c r="D85" s="2"/>
      <c r="E85" s="50"/>
      <c r="G85" s="50"/>
      <c r="J85" s="50"/>
      <c r="K85" s="4"/>
      <c r="L85" s="3"/>
      <c r="M85" s="4"/>
      <c r="N85" s="50"/>
      <c r="O85" s="50"/>
      <c r="P85" s="50"/>
      <c r="Q85" s="50"/>
      <c r="R85" s="50"/>
    </row>
    <row r="86" spans="1:18" ht="12.75">
      <c r="A86" s="2"/>
      <c r="B86" s="2"/>
      <c r="C86" s="51"/>
      <c r="D86" s="51"/>
      <c r="E86" s="3"/>
      <c r="F86" s="50"/>
      <c r="G86" s="3"/>
      <c r="H86" s="50"/>
      <c r="I86" s="51"/>
      <c r="J86" s="3"/>
      <c r="K86" s="3"/>
      <c r="L86" s="3"/>
      <c r="M86" s="3"/>
      <c r="N86" s="51"/>
      <c r="O86" s="50"/>
      <c r="P86" s="51"/>
      <c r="Q86" s="51"/>
      <c r="R86" s="51"/>
    </row>
    <row r="87" spans="1:18" ht="12.75">
      <c r="A87" s="2"/>
      <c r="B87" s="2"/>
      <c r="C87" s="51"/>
      <c r="D87" s="51"/>
      <c r="E87" s="50"/>
      <c r="F87" s="51"/>
      <c r="G87" s="52"/>
      <c r="H87" s="51"/>
      <c r="I87" s="51"/>
      <c r="J87" s="50"/>
      <c r="K87" s="51"/>
      <c r="L87" s="3"/>
      <c r="M87" s="51"/>
      <c r="N87" s="51"/>
      <c r="O87" s="50"/>
      <c r="P87" s="52"/>
      <c r="Q87" s="52"/>
      <c r="R87" s="5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tabSelected="1" workbookViewId="0" topLeftCell="B20">
      <selection activeCell="B34" sqref="A34:IV446"/>
    </sheetView>
  </sheetViews>
  <sheetFormatPr defaultColWidth="9.140625" defaultRowHeight="12.75"/>
  <cols>
    <col min="1" max="1" width="2.8515625" style="1" hidden="1" customWidth="1"/>
    <col min="2" max="2" width="25.421875" style="1" customWidth="1"/>
    <col min="3" max="3" width="61.421875" style="1" customWidth="1"/>
    <col min="4" max="16384" width="8.8515625" style="1" customWidth="1"/>
  </cols>
  <sheetData>
    <row r="1" spans="2:12" ht="12.75">
      <c r="B1" s="5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57</v>
      </c>
      <c r="C3" s="10">
        <v>809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t="s">
        <v>186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105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106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107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112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 t="s">
        <v>117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204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183</v>
      </c>
      <c r="C12" s="9" t="s">
        <v>197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184</v>
      </c>
      <c r="C13" s="9" t="s">
        <v>185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s="28" customFormat="1" ht="12.75">
      <c r="B14" s="27" t="s">
        <v>34</v>
      </c>
      <c r="C14" s="27" t="s">
        <v>187</v>
      </c>
      <c r="D14" s="27"/>
      <c r="E14" s="27"/>
      <c r="F14" s="27"/>
      <c r="G14" s="27"/>
      <c r="H14" s="27"/>
      <c r="I14" s="27"/>
      <c r="J14" s="27"/>
      <c r="K14" s="27"/>
      <c r="L14" s="27"/>
    </row>
    <row r="15" spans="2:12" s="28" customFormat="1" ht="12.75">
      <c r="B15" s="27" t="s">
        <v>39</v>
      </c>
      <c r="C15" s="29"/>
      <c r="D15" s="27"/>
      <c r="E15" s="27"/>
      <c r="F15" s="27"/>
      <c r="G15" s="27"/>
      <c r="H15" s="27"/>
      <c r="I15" s="27"/>
      <c r="J15" s="27"/>
      <c r="K15" s="27"/>
      <c r="L15" s="27"/>
    </row>
    <row r="16" spans="2:12" s="28" customFormat="1" ht="12.75">
      <c r="B16" s="9" t="s">
        <v>43</v>
      </c>
      <c r="C16" s="27"/>
      <c r="F16" s="27"/>
      <c r="G16" s="27"/>
      <c r="H16" s="27"/>
      <c r="I16" s="27"/>
      <c r="J16" s="27"/>
      <c r="K16" s="27"/>
      <c r="L16" s="27"/>
    </row>
    <row r="17" spans="2:12" s="28" customFormat="1" ht="12.75">
      <c r="B17" s="27" t="s">
        <v>205</v>
      </c>
      <c r="C17" s="27" t="s">
        <v>111</v>
      </c>
      <c r="D17" s="27"/>
      <c r="E17" s="27"/>
      <c r="F17" s="27"/>
      <c r="G17" s="27"/>
      <c r="H17" s="27"/>
      <c r="I17" s="27"/>
      <c r="J17" s="27"/>
      <c r="K17" s="27"/>
      <c r="L17" s="27"/>
    </row>
    <row r="18" spans="2:12" s="28" customFormat="1" ht="12.75">
      <c r="B18" s="27" t="s">
        <v>206</v>
      </c>
      <c r="C18" s="27" t="s">
        <v>274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38.25">
      <c r="B19" s="27" t="s">
        <v>7</v>
      </c>
      <c r="C19" s="27" t="s">
        <v>226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27"/>
      <c r="C20" s="27"/>
      <c r="D20" s="9"/>
      <c r="E20" s="9"/>
      <c r="F20" s="9"/>
      <c r="G20" s="9"/>
      <c r="H20" s="9"/>
      <c r="I20" s="9"/>
      <c r="J20" s="9"/>
      <c r="K20" s="9"/>
      <c r="L20" s="9"/>
    </row>
    <row r="21" spans="2:12" ht="12.75">
      <c r="B21" s="9" t="s">
        <v>37</v>
      </c>
      <c r="C21" s="27" t="s">
        <v>208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44</v>
      </c>
      <c r="C22" s="32"/>
      <c r="D22" s="9"/>
      <c r="E22" s="9"/>
      <c r="F22" s="9"/>
      <c r="G22" s="9"/>
      <c r="H22" s="9"/>
      <c r="I22" s="9"/>
      <c r="J22" s="9"/>
      <c r="K22" s="9"/>
      <c r="L22" s="9"/>
    </row>
    <row r="23" spans="2:12" ht="12.75">
      <c r="B23" s="9" t="s">
        <v>38</v>
      </c>
      <c r="C23" s="9" t="s">
        <v>207</v>
      </c>
      <c r="D23" s="9"/>
      <c r="E23" s="9"/>
      <c r="F23" s="9"/>
      <c r="G23" s="9"/>
      <c r="H23" s="9"/>
      <c r="I23" s="9"/>
      <c r="J23" s="9"/>
      <c r="K23" s="9"/>
      <c r="L23" s="9"/>
    </row>
    <row r="24" spans="2:12" ht="12.75" customHeight="1">
      <c r="B24" s="9"/>
      <c r="C24" s="27" t="s">
        <v>213</v>
      </c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8</v>
      </c>
      <c r="C25" s="10"/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9</v>
      </c>
      <c r="C26" s="11">
        <v>9.999512023818896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10</v>
      </c>
      <c r="C27" s="11">
        <v>199.99024047637795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2.75">
      <c r="B28" s="9" t="s">
        <v>40</v>
      </c>
      <c r="C28" s="11">
        <v>2.5516035739568395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4.25" customHeight="1">
      <c r="B29" s="9" t="s">
        <v>41</v>
      </c>
      <c r="C29" s="11">
        <v>173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ht="12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11</v>
      </c>
      <c r="C31" s="9" t="s">
        <v>155</v>
      </c>
      <c r="D31" s="9"/>
      <c r="E31" s="9"/>
      <c r="F31" s="9"/>
      <c r="G31" s="9"/>
      <c r="H31" s="9"/>
      <c r="I31" s="9"/>
      <c r="J31" s="9"/>
      <c r="K31" s="9"/>
      <c r="L31" s="9"/>
    </row>
    <row r="32" spans="2:12" ht="12.75">
      <c r="B32" s="9" t="s">
        <v>56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B47">
      <selection activeCell="B2" sqref="B2"/>
    </sheetView>
  </sheetViews>
  <sheetFormatPr defaultColWidth="9.140625" defaultRowHeight="12.75"/>
  <cols>
    <col min="1" max="1" width="8.00390625" style="0" hidden="1" customWidth="1"/>
    <col min="2" max="2" width="19.00390625" style="0" customWidth="1"/>
    <col min="3" max="3" width="64.57421875" style="59" customWidth="1"/>
  </cols>
  <sheetData>
    <row r="1" ht="12.75">
      <c r="B1" s="5" t="s">
        <v>276</v>
      </c>
    </row>
    <row r="3" spans="2:12" s="1" customFormat="1" ht="12.75">
      <c r="B3" s="5" t="s">
        <v>115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5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s="54" customFormat="1" ht="12.75">
      <c r="B5" s="35" t="s">
        <v>156</v>
      </c>
      <c r="C5" s="27" t="s">
        <v>116</v>
      </c>
      <c r="D5" s="35"/>
      <c r="E5" s="35"/>
      <c r="F5" s="35"/>
      <c r="G5" s="35"/>
      <c r="H5" s="35"/>
      <c r="I5" s="35"/>
      <c r="J5" s="35"/>
      <c r="K5" s="35"/>
      <c r="L5" s="35"/>
    </row>
    <row r="6" spans="2:12" s="1" customFormat="1" ht="12.75">
      <c r="B6" s="9" t="s">
        <v>157</v>
      </c>
      <c r="C6" s="9" t="s">
        <v>113</v>
      </c>
      <c r="D6" s="9"/>
      <c r="E6" s="9"/>
      <c r="F6" s="9"/>
      <c r="G6" s="9"/>
      <c r="H6" s="9"/>
      <c r="I6" s="9"/>
      <c r="J6" s="9"/>
      <c r="K6" s="9"/>
      <c r="L6" s="9"/>
    </row>
    <row r="7" spans="2:12" s="1" customFormat="1" ht="12.75">
      <c r="B7" s="9" t="s">
        <v>158</v>
      </c>
      <c r="C7" s="9" t="s">
        <v>105</v>
      </c>
      <c r="D7" s="9"/>
      <c r="E7" s="9"/>
      <c r="F7" s="9"/>
      <c r="G7" s="9"/>
      <c r="H7" s="9"/>
      <c r="I7" s="9"/>
      <c r="J7" s="9"/>
      <c r="K7" s="9"/>
      <c r="L7" s="9"/>
    </row>
    <row r="8" spans="2:12" s="1" customFormat="1" ht="12.75">
      <c r="B8" s="9" t="s">
        <v>159</v>
      </c>
      <c r="C8" s="12" t="s">
        <v>153</v>
      </c>
      <c r="D8" s="9"/>
      <c r="E8" s="9"/>
      <c r="F8" s="9"/>
      <c r="G8" s="9"/>
      <c r="H8" s="9"/>
      <c r="I8" s="9"/>
      <c r="J8" s="9"/>
      <c r="K8" s="9"/>
      <c r="L8" s="9"/>
    </row>
    <row r="9" spans="2:12" s="1" customFormat="1" ht="12.75">
      <c r="B9" s="9" t="s">
        <v>209</v>
      </c>
      <c r="C9" s="69">
        <v>37196</v>
      </c>
      <c r="D9" s="9"/>
      <c r="E9" s="9"/>
      <c r="F9" s="9"/>
      <c r="G9" s="9"/>
      <c r="H9" s="9"/>
      <c r="I9" s="9"/>
      <c r="J9" s="9"/>
      <c r="K9" s="9"/>
      <c r="L9" s="9"/>
    </row>
    <row r="10" spans="2:12" s="1" customFormat="1" ht="12.75">
      <c r="B10" s="9" t="s">
        <v>160</v>
      </c>
      <c r="C10" s="9" t="s">
        <v>118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s="1" customFormat="1" ht="12.75">
      <c r="B11" s="35" t="s">
        <v>161</v>
      </c>
      <c r="C11" s="33" t="s">
        <v>119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s="1" customFormat="1" ht="12.75">
      <c r="B12" s="35"/>
      <c r="C12" s="33"/>
      <c r="D12" s="9"/>
      <c r="E12" s="9"/>
      <c r="F12" s="9"/>
      <c r="G12" s="9"/>
      <c r="H12" s="9"/>
      <c r="I12" s="9"/>
      <c r="J12" s="9"/>
      <c r="K12" s="9"/>
      <c r="L12" s="9"/>
    </row>
    <row r="13" spans="2:12" s="1" customFormat="1" ht="12.75">
      <c r="B13" s="5" t="s">
        <v>138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1" customFormat="1" ht="12.7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s="54" customFormat="1" ht="12.75">
      <c r="B15" s="35" t="s">
        <v>156</v>
      </c>
      <c r="C15" s="27" t="s">
        <v>116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2" s="1" customFormat="1" ht="12.75">
      <c r="B16" s="9" t="s">
        <v>157</v>
      </c>
      <c r="C16" s="9" t="s">
        <v>113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s="1" customFormat="1" ht="12.75">
      <c r="B17" s="9" t="s">
        <v>158</v>
      </c>
      <c r="C17" s="9" t="s">
        <v>105</v>
      </c>
      <c r="D17" s="9"/>
      <c r="E17" s="9"/>
      <c r="F17" s="9"/>
      <c r="G17" s="9"/>
      <c r="H17" s="9"/>
      <c r="I17" s="9"/>
      <c r="J17" s="9"/>
      <c r="K17" s="9"/>
      <c r="L17" s="9"/>
    </row>
    <row r="18" spans="2:12" s="1" customFormat="1" ht="12.75">
      <c r="B18" s="9" t="s">
        <v>159</v>
      </c>
      <c r="C18" s="12">
        <v>37208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s="1" customFormat="1" ht="12.75">
      <c r="B19" s="9" t="s">
        <v>209</v>
      </c>
      <c r="C19" s="69">
        <v>37196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s="1" customFormat="1" ht="12.75">
      <c r="B20" s="9" t="s">
        <v>160</v>
      </c>
      <c r="C20" s="9" t="s">
        <v>121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s="1" customFormat="1" ht="12.75">
      <c r="B21" s="35" t="s">
        <v>161</v>
      </c>
      <c r="C21" s="33" t="s">
        <v>120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s="1" customFormat="1" ht="12.75">
      <c r="B22" s="35"/>
      <c r="C22" s="33"/>
      <c r="D22" s="9"/>
      <c r="E22" s="9"/>
      <c r="F22" s="9"/>
      <c r="G22" s="9"/>
      <c r="H22" s="9"/>
      <c r="I22" s="9"/>
      <c r="J22" s="9"/>
      <c r="K22" s="9"/>
      <c r="L22" s="9"/>
    </row>
    <row r="23" ht="12.75">
      <c r="B23" s="5" t="s">
        <v>114</v>
      </c>
    </row>
    <row r="24" ht="12.75">
      <c r="B24" s="5"/>
    </row>
    <row r="25" spans="2:3" ht="27.75" customHeight="1">
      <c r="B25" s="60" t="s">
        <v>156</v>
      </c>
      <c r="C25" s="61" t="s">
        <v>162</v>
      </c>
    </row>
    <row r="26" spans="2:3" ht="12.75">
      <c r="B26" t="s">
        <v>157</v>
      </c>
      <c r="C26" s="59" t="s">
        <v>163</v>
      </c>
    </row>
    <row r="27" spans="2:3" ht="12.75">
      <c r="B27" t="s">
        <v>158</v>
      </c>
      <c r="C27" s="59" t="s">
        <v>190</v>
      </c>
    </row>
    <row r="28" spans="1:3" ht="12.75">
      <c r="A28" t="s">
        <v>114</v>
      </c>
      <c r="B28" t="s">
        <v>164</v>
      </c>
      <c r="C28" s="59" t="s">
        <v>188</v>
      </c>
    </row>
    <row r="29" spans="2:3" ht="12.75">
      <c r="B29" t="s">
        <v>159</v>
      </c>
      <c r="C29" s="70">
        <v>33402</v>
      </c>
    </row>
    <row r="30" spans="2:3" ht="12.75">
      <c r="B30" t="s">
        <v>209</v>
      </c>
      <c r="C30" s="71">
        <v>33390</v>
      </c>
    </row>
    <row r="32" ht="12.75">
      <c r="B32" s="5" t="s">
        <v>154</v>
      </c>
    </row>
    <row r="33" ht="12.75">
      <c r="B33" s="5"/>
    </row>
    <row r="34" spans="2:3" ht="25.5">
      <c r="B34" s="60" t="s">
        <v>156</v>
      </c>
      <c r="C34" s="61" t="s">
        <v>162</v>
      </c>
    </row>
    <row r="35" spans="2:3" ht="12.75">
      <c r="B35" t="s">
        <v>157</v>
      </c>
      <c r="C35" s="59" t="s">
        <v>163</v>
      </c>
    </row>
    <row r="36" spans="2:3" ht="12.75">
      <c r="B36" t="s">
        <v>158</v>
      </c>
      <c r="C36" s="59" t="s">
        <v>190</v>
      </c>
    </row>
    <row r="37" spans="1:3" ht="12.75">
      <c r="A37" t="s">
        <v>154</v>
      </c>
      <c r="B37" t="s">
        <v>164</v>
      </c>
      <c r="C37" s="59" t="s">
        <v>189</v>
      </c>
    </row>
    <row r="38" spans="1:3" ht="12.75">
      <c r="A38" t="s">
        <v>154</v>
      </c>
      <c r="B38" t="s">
        <v>159</v>
      </c>
      <c r="C38" s="59" t="s">
        <v>165</v>
      </c>
    </row>
    <row r="39" spans="2:3" ht="12.75">
      <c r="B39" t="s">
        <v>209</v>
      </c>
      <c r="C39" s="71">
        <v>33390</v>
      </c>
    </row>
    <row r="41" spans="2:3" ht="12.75">
      <c r="B41" s="5" t="s">
        <v>245</v>
      </c>
      <c r="C41"/>
    </row>
    <row r="42" ht="12.75">
      <c r="C42"/>
    </row>
    <row r="43" spans="2:3" ht="51">
      <c r="B43" s="27" t="s">
        <v>246</v>
      </c>
      <c r="C43" s="60" t="s">
        <v>247</v>
      </c>
    </row>
    <row r="44" spans="2:3" ht="12.75">
      <c r="B44" s="9" t="s">
        <v>248</v>
      </c>
      <c r="C44"/>
    </row>
    <row r="45" spans="2:3" ht="12.75">
      <c r="B45" s="9" t="s">
        <v>249</v>
      </c>
      <c r="C45"/>
    </row>
    <row r="46" spans="2:4" ht="12.75">
      <c r="B46" s="9" t="s">
        <v>250</v>
      </c>
      <c r="C46" s="72">
        <v>32527</v>
      </c>
      <c r="D46" s="9"/>
    </row>
    <row r="47" spans="2:4" ht="12.75">
      <c r="B47" s="9" t="s">
        <v>251</v>
      </c>
      <c r="C47" s="71">
        <v>32509</v>
      </c>
      <c r="D47" s="9"/>
    </row>
    <row r="48" spans="2:3" ht="12.75">
      <c r="B48" s="9" t="s">
        <v>252</v>
      </c>
      <c r="C48" t="s">
        <v>253</v>
      </c>
    </row>
    <row r="49" spans="2:3" ht="12.75">
      <c r="B49" s="9" t="s">
        <v>254</v>
      </c>
      <c r="C49" t="s">
        <v>255</v>
      </c>
    </row>
    <row r="50" ht="12.75">
      <c r="C50"/>
    </row>
    <row r="51" spans="2:3" ht="12.75">
      <c r="B51" s="5" t="s">
        <v>256</v>
      </c>
      <c r="C51"/>
    </row>
    <row r="52" ht="12.75">
      <c r="C52"/>
    </row>
    <row r="53" spans="2:3" ht="51">
      <c r="B53" s="27" t="s">
        <v>246</v>
      </c>
      <c r="C53" s="60" t="s">
        <v>247</v>
      </c>
    </row>
    <row r="54" spans="2:3" ht="12.75">
      <c r="B54" s="9" t="s">
        <v>248</v>
      </c>
      <c r="C54"/>
    </row>
    <row r="55" spans="2:3" ht="12.75">
      <c r="B55" s="9" t="s">
        <v>249</v>
      </c>
      <c r="C55"/>
    </row>
    <row r="56" spans="2:3" ht="12.75">
      <c r="B56" s="9" t="s">
        <v>250</v>
      </c>
      <c r="C56" s="72">
        <v>32521</v>
      </c>
    </row>
    <row r="57" spans="2:3" ht="12.75">
      <c r="B57" s="9" t="s">
        <v>251</v>
      </c>
      <c r="C57" s="71">
        <v>32509</v>
      </c>
    </row>
    <row r="58" spans="2:3" ht="12.75">
      <c r="B58" s="9" t="s">
        <v>252</v>
      </c>
      <c r="C58" t="s">
        <v>257</v>
      </c>
    </row>
    <row r="59" spans="2:3" ht="12.75">
      <c r="B59" s="9" t="s">
        <v>254</v>
      </c>
      <c r="C59"/>
    </row>
    <row r="60" ht="12.75">
      <c r="C60"/>
    </row>
    <row r="61" spans="2:3" ht="12.75">
      <c r="B61" s="5" t="s">
        <v>258</v>
      </c>
      <c r="C61"/>
    </row>
    <row r="62" ht="12.75">
      <c r="C62"/>
    </row>
    <row r="63" spans="2:3" ht="51">
      <c r="B63" s="27" t="s">
        <v>246</v>
      </c>
      <c r="C63" s="60" t="s">
        <v>247</v>
      </c>
    </row>
    <row r="64" spans="2:3" ht="12.75">
      <c r="B64" s="9" t="s">
        <v>248</v>
      </c>
      <c r="C64"/>
    </row>
    <row r="65" spans="2:3" ht="12.75">
      <c r="B65" s="9" t="s">
        <v>249</v>
      </c>
      <c r="C65"/>
    </row>
    <row r="66" spans="2:3" ht="12.75">
      <c r="B66" s="9" t="s">
        <v>250</v>
      </c>
      <c r="C66" s="72">
        <v>32519</v>
      </c>
    </row>
    <row r="67" spans="2:3" ht="12.75">
      <c r="B67" s="9" t="s">
        <v>251</v>
      </c>
      <c r="C67" s="71">
        <v>32509</v>
      </c>
    </row>
    <row r="68" spans="2:3" ht="12.75">
      <c r="B68" s="9" t="s">
        <v>252</v>
      </c>
      <c r="C68" t="s">
        <v>259</v>
      </c>
    </row>
    <row r="69" spans="2:3" ht="12.75">
      <c r="B69" s="9" t="s">
        <v>254</v>
      </c>
      <c r="C6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B38">
      <selection activeCell="B5" sqref="B5"/>
    </sheetView>
  </sheetViews>
  <sheetFormatPr defaultColWidth="9.140625" defaultRowHeight="12.75"/>
  <cols>
    <col min="1" max="1" width="3.00390625" style="14" hidden="1" customWidth="1"/>
    <col min="2" max="2" width="19.421875" style="14" customWidth="1"/>
    <col min="3" max="3" width="11.28125" style="14" customWidth="1"/>
    <col min="4" max="4" width="8.8515625" style="6" customWidth="1"/>
    <col min="5" max="5" width="6.140625" style="6" customWidth="1"/>
    <col min="6" max="6" width="3.00390625" style="6" bestFit="1" customWidth="1"/>
    <col min="7" max="7" width="11.28125" style="14" customWidth="1"/>
    <col min="8" max="8" width="3.00390625" style="14" bestFit="1" customWidth="1"/>
    <col min="9" max="9" width="11.00390625" style="15" customWidth="1"/>
    <col min="10" max="10" width="3.00390625" style="14" bestFit="1" customWidth="1"/>
    <col min="11" max="11" width="10.8515625" style="14" customWidth="1"/>
    <col min="12" max="12" width="2.8515625" style="14" customWidth="1"/>
    <col min="13" max="16384" width="8.8515625" style="14" customWidth="1"/>
  </cols>
  <sheetData>
    <row r="1" spans="2:3" ht="12.75">
      <c r="B1" s="13" t="s">
        <v>194</v>
      </c>
      <c r="C1" s="13"/>
    </row>
    <row r="2" spans="2:11" ht="12.75">
      <c r="B2" s="16"/>
      <c r="C2" s="16"/>
      <c r="G2" s="16"/>
      <c r="H2" s="16"/>
      <c r="I2" s="17"/>
      <c r="J2" s="16"/>
      <c r="K2" s="16"/>
    </row>
    <row r="3" spans="2:5" ht="12.75">
      <c r="B3" s="9"/>
      <c r="C3" s="9" t="s">
        <v>48</v>
      </c>
      <c r="D3" s="6" t="s">
        <v>12</v>
      </c>
      <c r="E3" s="6" t="s">
        <v>35</v>
      </c>
    </row>
    <row r="4" spans="2:11" ht="12.75">
      <c r="B4" s="9"/>
      <c r="C4" s="9"/>
      <c r="G4" s="16"/>
      <c r="H4" s="16"/>
      <c r="I4" s="17"/>
      <c r="J4" s="16"/>
      <c r="K4" s="16"/>
    </row>
    <row r="5" spans="1:13" ht="12.75">
      <c r="A5" s="14">
        <v>1</v>
      </c>
      <c r="B5" s="18" t="s">
        <v>115</v>
      </c>
      <c r="C5" s="18"/>
      <c r="G5" s="16" t="s">
        <v>166</v>
      </c>
      <c r="H5" s="16"/>
      <c r="I5" s="17" t="s">
        <v>167</v>
      </c>
      <c r="J5" s="16"/>
      <c r="K5" s="16" t="s">
        <v>168</v>
      </c>
      <c r="M5" s="16" t="s">
        <v>123</v>
      </c>
    </row>
    <row r="6" spans="2:11" ht="12.75">
      <c r="B6" s="18"/>
      <c r="C6" s="18"/>
      <c r="G6" s="16"/>
      <c r="H6" s="16"/>
      <c r="I6" s="17"/>
      <c r="J6" s="16"/>
      <c r="K6" s="16"/>
    </row>
    <row r="7" spans="2:13" ht="12.75">
      <c r="B7" s="6" t="s">
        <v>13</v>
      </c>
      <c r="C7" s="6" t="s">
        <v>210</v>
      </c>
      <c r="D7" s="6" t="s">
        <v>14</v>
      </c>
      <c r="E7" s="6" t="s">
        <v>15</v>
      </c>
      <c r="F7"/>
      <c r="G7">
        <v>0.0023</v>
      </c>
      <c r="H7"/>
      <c r="I7">
        <v>0.0007</v>
      </c>
      <c r="J7"/>
      <c r="K7">
        <v>0.0004</v>
      </c>
      <c r="M7" s="37">
        <f>AVERAGE(I7,G7,K7)</f>
        <v>0.0011333333333333334</v>
      </c>
    </row>
    <row r="8" spans="2:13" ht="12.75">
      <c r="B8" s="6" t="s">
        <v>58</v>
      </c>
      <c r="C8" s="6" t="s">
        <v>210</v>
      </c>
      <c r="D8" s="9" t="s">
        <v>16</v>
      </c>
      <c r="E8" s="6" t="s">
        <v>15</v>
      </c>
      <c r="F8"/>
      <c r="G8">
        <v>10.1</v>
      </c>
      <c r="H8"/>
      <c r="I8">
        <v>10</v>
      </c>
      <c r="J8"/>
      <c r="K8">
        <v>10</v>
      </c>
      <c r="M8" s="4">
        <f>AVERAGE(I8,G8,K8)</f>
        <v>10.033333333333333</v>
      </c>
    </row>
    <row r="9" spans="2:13" ht="12.75">
      <c r="B9" s="6" t="s">
        <v>151</v>
      </c>
      <c r="C9" s="6" t="s">
        <v>210</v>
      </c>
      <c r="D9" s="9" t="s">
        <v>16</v>
      </c>
      <c r="E9" s="6" t="s">
        <v>15</v>
      </c>
      <c r="F9"/>
      <c r="G9">
        <v>12.4</v>
      </c>
      <c r="H9"/>
      <c r="I9">
        <v>12.4</v>
      </c>
      <c r="J9"/>
      <c r="K9">
        <v>12.2</v>
      </c>
      <c r="M9" s="4">
        <f>AVERAGE(I9,G9,K9)</f>
        <v>12.333333333333334</v>
      </c>
    </row>
    <row r="10" spans="2:13" ht="12.75">
      <c r="B10" s="14" t="s">
        <v>122</v>
      </c>
      <c r="C10" s="6" t="s">
        <v>210</v>
      </c>
      <c r="D10" s="9" t="s">
        <v>16</v>
      </c>
      <c r="E10" s="6" t="s">
        <v>15</v>
      </c>
      <c r="G10">
        <v>0.004</v>
      </c>
      <c r="H10"/>
      <c r="I10">
        <v>0.011</v>
      </c>
      <c r="J10"/>
      <c r="K10">
        <v>0.009</v>
      </c>
      <c r="M10" s="37">
        <f>AVERAGE(I10,G10,K10)</f>
        <v>0.008</v>
      </c>
    </row>
    <row r="11" spans="2:13" ht="12.75">
      <c r="B11" s="14" t="s">
        <v>152</v>
      </c>
      <c r="C11" s="6" t="s">
        <v>210</v>
      </c>
      <c r="D11" s="9" t="s">
        <v>16</v>
      </c>
      <c r="E11" s="6" t="s">
        <v>15</v>
      </c>
      <c r="G11">
        <v>0.05</v>
      </c>
      <c r="H11"/>
      <c r="I11">
        <v>0.313</v>
      </c>
      <c r="J11"/>
      <c r="K11">
        <v>0.73</v>
      </c>
      <c r="M11" s="37">
        <f>AVERAGE(I11,G11,K11)</f>
        <v>0.36433333333333334</v>
      </c>
    </row>
    <row r="12" spans="2:13" ht="12.75">
      <c r="B12" s="6" t="s">
        <v>24</v>
      </c>
      <c r="C12" s="6" t="s">
        <v>210</v>
      </c>
      <c r="D12" s="9" t="s">
        <v>16</v>
      </c>
      <c r="E12" s="6" t="s">
        <v>15</v>
      </c>
      <c r="F12" t="s">
        <v>108</v>
      </c>
      <c r="G12">
        <v>0.76</v>
      </c>
      <c r="H12" t="s">
        <v>108</v>
      </c>
      <c r="I12">
        <v>0.775</v>
      </c>
      <c r="J12" t="s">
        <v>108</v>
      </c>
      <c r="K12">
        <v>0.745</v>
      </c>
      <c r="M12" s="4">
        <f>AVERAGE(K12,G12,I12)</f>
        <v>0.7599999999999999</v>
      </c>
    </row>
    <row r="13" spans="2:13" ht="13.5" customHeight="1">
      <c r="B13" s="6" t="s">
        <v>25</v>
      </c>
      <c r="C13" s="6" t="s">
        <v>210</v>
      </c>
      <c r="D13" s="9" t="s">
        <v>16</v>
      </c>
      <c r="E13" s="6" t="s">
        <v>15</v>
      </c>
      <c r="F13"/>
      <c r="G13">
        <v>1.03</v>
      </c>
      <c r="H13"/>
      <c r="I13">
        <v>1.07</v>
      </c>
      <c r="J13"/>
      <c r="K13">
        <v>1.04</v>
      </c>
      <c r="M13" s="4">
        <f>AVERAGE(K13,G13,I13)</f>
        <v>1.0466666666666669</v>
      </c>
    </row>
    <row r="14" spans="2:13" ht="12.75">
      <c r="B14" s="6" t="s">
        <v>241</v>
      </c>
      <c r="C14" s="6" t="s">
        <v>210</v>
      </c>
      <c r="D14" s="9" t="s">
        <v>16</v>
      </c>
      <c r="E14" s="6" t="s">
        <v>15</v>
      </c>
      <c r="G14" s="36">
        <v>2.83</v>
      </c>
      <c r="H14"/>
      <c r="I14" s="36">
        <v>2.91</v>
      </c>
      <c r="J14"/>
      <c r="K14" s="36">
        <v>2.82</v>
      </c>
      <c r="L14"/>
      <c r="M14" s="4">
        <f>AVERAGE(K14,G14,I14)</f>
        <v>2.8533333333333335</v>
      </c>
    </row>
    <row r="15" spans="2:13" ht="12.75">
      <c r="B15" s="6"/>
      <c r="C15" s="6"/>
      <c r="D15" s="9"/>
      <c r="G15" s="36"/>
      <c r="H15"/>
      <c r="I15" s="36"/>
      <c r="J15"/>
      <c r="K15" s="36"/>
      <c r="L15"/>
      <c r="M15" s="4"/>
    </row>
    <row r="16" spans="2:13" ht="12.75">
      <c r="B16" s="6" t="s">
        <v>133</v>
      </c>
      <c r="C16" s="6" t="s">
        <v>109</v>
      </c>
      <c r="L16"/>
      <c r="M16" s="4"/>
    </row>
    <row r="17" spans="2:13" ht="12.75">
      <c r="B17" s="6" t="s">
        <v>134</v>
      </c>
      <c r="C17" s="6"/>
      <c r="D17" s="6" t="s">
        <v>27</v>
      </c>
      <c r="G17" s="55">
        <v>559</v>
      </c>
      <c r="H17" s="55"/>
      <c r="I17" s="55">
        <v>575</v>
      </c>
      <c r="J17" s="55"/>
      <c r="K17" s="55">
        <v>578</v>
      </c>
      <c r="L17"/>
      <c r="M17" s="4"/>
    </row>
    <row r="18" spans="2:13" ht="12.75">
      <c r="B18" s="6" t="s">
        <v>135</v>
      </c>
      <c r="C18" s="6" t="s">
        <v>212</v>
      </c>
      <c r="D18" s="6" t="s">
        <v>27</v>
      </c>
      <c r="F18" s="6" t="s">
        <v>108</v>
      </c>
      <c r="G18" s="40">
        <v>0.00023</v>
      </c>
      <c r="H18" s="40" t="s">
        <v>108</v>
      </c>
      <c r="I18" s="40">
        <v>0.000178</v>
      </c>
      <c r="J18" s="40" t="s">
        <v>108</v>
      </c>
      <c r="K18" s="40">
        <v>0.000179</v>
      </c>
      <c r="L18"/>
      <c r="M18" s="4"/>
    </row>
    <row r="19" spans="2:13" ht="12.75">
      <c r="B19" s="6" t="s">
        <v>26</v>
      </c>
      <c r="C19" s="6" t="s">
        <v>212</v>
      </c>
      <c r="D19" s="6" t="s">
        <v>18</v>
      </c>
      <c r="F19" s="6" t="s">
        <v>137</v>
      </c>
      <c r="G19" s="56">
        <f>(G17-G18)/G17*100</f>
        <v>99.9999588550984</v>
      </c>
      <c r="H19" t="s">
        <v>137</v>
      </c>
      <c r="I19" s="56">
        <f>(I17-I18)/I17*100</f>
        <v>99.99996904347826</v>
      </c>
      <c r="J19" t="s">
        <v>137</v>
      </c>
      <c r="K19" s="56">
        <f>(K17-K18)/K17*100</f>
        <v>99.99996903114187</v>
      </c>
      <c r="L19"/>
      <c r="M19" s="4"/>
    </row>
    <row r="20" spans="2:13" ht="12.75">
      <c r="B20" s="6"/>
      <c r="C20" s="6"/>
      <c r="D20" s="9"/>
      <c r="G20" s="36"/>
      <c r="H20"/>
      <c r="I20" s="36"/>
      <c r="J20"/>
      <c r="K20" s="36"/>
      <c r="L20"/>
      <c r="M20" s="4"/>
    </row>
    <row r="21" spans="2:13" ht="12.75">
      <c r="B21" s="6" t="s">
        <v>133</v>
      </c>
      <c r="C21" s="6" t="s">
        <v>136</v>
      </c>
      <c r="L21"/>
      <c r="M21" s="4"/>
    </row>
    <row r="22" spans="2:13" ht="12.75">
      <c r="B22" s="6" t="s">
        <v>134</v>
      </c>
      <c r="C22" s="6"/>
      <c r="D22" s="6" t="s">
        <v>27</v>
      </c>
      <c r="G22" s="55">
        <v>72</v>
      </c>
      <c r="H22" s="55"/>
      <c r="I22" s="55">
        <v>73.8</v>
      </c>
      <c r="J22" s="55"/>
      <c r="K22" s="55">
        <v>73.3</v>
      </c>
      <c r="L22"/>
      <c r="M22" s="4"/>
    </row>
    <row r="23" spans="2:13" ht="12.75">
      <c r="B23" s="6" t="s">
        <v>135</v>
      </c>
      <c r="C23" s="6" t="s">
        <v>212</v>
      </c>
      <c r="D23" s="6" t="s">
        <v>27</v>
      </c>
      <c r="F23" s="6" t="s">
        <v>108</v>
      </c>
      <c r="G23" s="40">
        <v>0.000186</v>
      </c>
      <c r="H23" s="40" t="s">
        <v>108</v>
      </c>
      <c r="I23" s="40">
        <v>0.000178</v>
      </c>
      <c r="J23" s="40" t="s">
        <v>108</v>
      </c>
      <c r="K23" s="40">
        <v>0.000179</v>
      </c>
      <c r="L23"/>
      <c r="M23" s="4"/>
    </row>
    <row r="24" spans="2:13" ht="12.75">
      <c r="B24" s="6" t="s">
        <v>26</v>
      </c>
      <c r="C24" s="6" t="s">
        <v>212</v>
      </c>
      <c r="D24" s="6" t="s">
        <v>18</v>
      </c>
      <c r="F24" s="6" t="s">
        <v>137</v>
      </c>
      <c r="G24" s="56">
        <f>(G22-G23)/G22*100</f>
        <v>99.99974166666667</v>
      </c>
      <c r="H24" t="s">
        <v>137</v>
      </c>
      <c r="I24" s="56">
        <f>(I22-I23)/I22*100</f>
        <v>99.99975880758807</v>
      </c>
      <c r="J24" t="s">
        <v>137</v>
      </c>
      <c r="K24" s="56">
        <f>(K22-K23)/K22*100</f>
        <v>99.99975579809004</v>
      </c>
      <c r="L24"/>
      <c r="M24" s="4"/>
    </row>
    <row r="25" spans="2:13" ht="12.75">
      <c r="B25" s="6"/>
      <c r="C25" s="6"/>
      <c r="D25" s="9"/>
      <c r="G25" s="36"/>
      <c r="H25"/>
      <c r="I25" s="36"/>
      <c r="J25"/>
      <c r="K25" s="36"/>
      <c r="L25"/>
      <c r="M25" s="4"/>
    </row>
    <row r="26" spans="2:13" ht="12.75">
      <c r="B26" s="6" t="s">
        <v>51</v>
      </c>
      <c r="C26" s="6" t="s">
        <v>211</v>
      </c>
      <c r="D26" s="6" t="s">
        <v>29</v>
      </c>
      <c r="E26" s="6" t="s">
        <v>15</v>
      </c>
      <c r="F26"/>
      <c r="G26">
        <v>12.5</v>
      </c>
      <c r="H26"/>
      <c r="I26">
        <v>16.6</v>
      </c>
      <c r="J26"/>
      <c r="K26">
        <v>13</v>
      </c>
      <c r="M26" s="4">
        <f>AVERAGE(K26,G26,I26)</f>
        <v>14.033333333333333</v>
      </c>
    </row>
    <row r="27" spans="2:13" ht="12.75">
      <c r="B27" s="6" t="s">
        <v>47</v>
      </c>
      <c r="C27" s="6" t="s">
        <v>211</v>
      </c>
      <c r="D27" s="6" t="s">
        <v>29</v>
      </c>
      <c r="E27" s="6" t="s">
        <v>15</v>
      </c>
      <c r="F27"/>
      <c r="G27">
        <v>53.2</v>
      </c>
      <c r="H27"/>
      <c r="I27">
        <v>57.5</v>
      </c>
      <c r="J27"/>
      <c r="K27">
        <v>65.7</v>
      </c>
      <c r="M27" s="4">
        <f>AVERAGE(K27,G27,I27)</f>
        <v>58.800000000000004</v>
      </c>
    </row>
    <row r="28" spans="2:11" ht="12.75">
      <c r="B28" s="6"/>
      <c r="C28" s="6"/>
      <c r="G28" s="19"/>
      <c r="H28" s="6"/>
      <c r="I28" s="19"/>
      <c r="J28" s="6"/>
      <c r="K28" s="19"/>
    </row>
    <row r="29" spans="2:14" ht="12.75">
      <c r="B29" s="6" t="s">
        <v>30</v>
      </c>
      <c r="C29" s="6" t="s">
        <v>211</v>
      </c>
      <c r="D29" s="6" t="s">
        <v>29</v>
      </c>
      <c r="E29" s="6" t="s">
        <v>15</v>
      </c>
      <c r="G29" s="19">
        <f>G27</f>
        <v>53.2</v>
      </c>
      <c r="H29" s="6"/>
      <c r="I29" s="19">
        <f>I27</f>
        <v>57.5</v>
      </c>
      <c r="J29" s="6"/>
      <c r="K29" s="19">
        <f>K27</f>
        <v>65.7</v>
      </c>
      <c r="M29" s="4">
        <f>AVERAGE(K29,G29,I29)</f>
        <v>58.800000000000004</v>
      </c>
      <c r="N29" s="14" t="s">
        <v>242</v>
      </c>
    </row>
    <row r="30" spans="2:14" ht="12.75">
      <c r="B30" s="6" t="s">
        <v>31</v>
      </c>
      <c r="C30" s="6" t="s">
        <v>211</v>
      </c>
      <c r="D30" s="6" t="s">
        <v>29</v>
      </c>
      <c r="E30" s="6" t="s">
        <v>15</v>
      </c>
      <c r="G30" s="19">
        <f>G26</f>
        <v>12.5</v>
      </c>
      <c r="H30" s="6"/>
      <c r="I30" s="19">
        <f>I26</f>
        <v>16.6</v>
      </c>
      <c r="J30" s="6"/>
      <c r="K30" s="19">
        <f>K26</f>
        <v>13</v>
      </c>
      <c r="M30" s="4">
        <f>AVERAGE(I30,G30,K30)</f>
        <v>14.033333333333333</v>
      </c>
      <c r="N30" s="14" t="s">
        <v>243</v>
      </c>
    </row>
    <row r="31" spans="2:11" ht="12.75">
      <c r="B31" s="6"/>
      <c r="C31" s="6"/>
      <c r="G31" s="19"/>
      <c r="H31" s="6"/>
      <c r="I31" s="19"/>
      <c r="J31" s="6"/>
      <c r="K31" s="19"/>
    </row>
    <row r="32" spans="2:13" ht="12.75">
      <c r="B32" s="6" t="s">
        <v>52</v>
      </c>
      <c r="C32" s="6" t="s">
        <v>62</v>
      </c>
      <c r="D32" s="6" t="s">
        <v>210</v>
      </c>
      <c r="F32"/>
      <c r="I32" s="14"/>
      <c r="M32"/>
    </row>
    <row r="33" spans="2:13" ht="12.75">
      <c r="B33" s="6" t="s">
        <v>46</v>
      </c>
      <c r="C33" s="6"/>
      <c r="D33" s="6" t="s">
        <v>17</v>
      </c>
      <c r="F33"/>
      <c r="G33">
        <v>28200</v>
      </c>
      <c r="H33"/>
      <c r="I33">
        <v>27600</v>
      </c>
      <c r="J33"/>
      <c r="K33">
        <v>28500</v>
      </c>
      <c r="M33" s="4">
        <f>AVERAGE(K33,G33,I33)</f>
        <v>28100</v>
      </c>
    </row>
    <row r="34" spans="2:13" ht="12.75">
      <c r="B34" s="6" t="s">
        <v>49</v>
      </c>
      <c r="C34" s="6"/>
      <c r="D34" s="6" t="s">
        <v>18</v>
      </c>
      <c r="F34"/>
      <c r="G34">
        <v>11.8</v>
      </c>
      <c r="H34"/>
      <c r="I34">
        <v>11.7</v>
      </c>
      <c r="J34"/>
      <c r="K34">
        <v>11.7</v>
      </c>
      <c r="M34" s="4">
        <f>AVERAGE(I34,G34,K34)</f>
        <v>11.733333333333334</v>
      </c>
    </row>
    <row r="35" spans="2:13" ht="12.75">
      <c r="B35" s="6" t="s">
        <v>50</v>
      </c>
      <c r="C35" s="6"/>
      <c r="D35" s="6" t="s">
        <v>18</v>
      </c>
      <c r="F35"/>
      <c r="G35">
        <v>13.2</v>
      </c>
      <c r="H35"/>
      <c r="I35">
        <v>11.6</v>
      </c>
      <c r="J35"/>
      <c r="K35">
        <v>11.94</v>
      </c>
      <c r="M35" s="4">
        <f>AVERAGE(I35,G35,K35)</f>
        <v>12.246666666666664</v>
      </c>
    </row>
    <row r="36" spans="2:13" ht="12.75">
      <c r="B36" s="6" t="s">
        <v>45</v>
      </c>
      <c r="C36" s="6"/>
      <c r="D36" s="6" t="s">
        <v>19</v>
      </c>
      <c r="F36"/>
      <c r="G36">
        <v>136</v>
      </c>
      <c r="H36"/>
      <c r="I36">
        <v>133</v>
      </c>
      <c r="J36"/>
      <c r="K36">
        <v>131.6</v>
      </c>
      <c r="M36" s="4">
        <f>AVERAGE(I36,G36,K36)</f>
        <v>133.53333333333333</v>
      </c>
    </row>
    <row r="37" spans="2:13" ht="12" customHeight="1">
      <c r="B37" s="6"/>
      <c r="C37" s="6"/>
      <c r="F37"/>
      <c r="G37"/>
      <c r="H37"/>
      <c r="I37"/>
      <c r="J37"/>
      <c r="K37"/>
      <c r="M37"/>
    </row>
    <row r="38" spans="2:13" ht="12.75">
      <c r="B38" s="6" t="s">
        <v>52</v>
      </c>
      <c r="C38" s="6" t="s">
        <v>67</v>
      </c>
      <c r="D38" s="6" t="s">
        <v>211</v>
      </c>
      <c r="F38"/>
      <c r="G38"/>
      <c r="H38"/>
      <c r="I38"/>
      <c r="J38"/>
      <c r="K38"/>
      <c r="M38"/>
    </row>
    <row r="39" spans="2:13" ht="12.75">
      <c r="B39" s="6" t="s">
        <v>46</v>
      </c>
      <c r="C39" s="6"/>
      <c r="D39" s="6" t="s">
        <v>17</v>
      </c>
      <c r="F39"/>
      <c r="G39">
        <v>27700</v>
      </c>
      <c r="H39"/>
      <c r="I39">
        <v>29100</v>
      </c>
      <c r="J39"/>
      <c r="K39">
        <v>28300</v>
      </c>
      <c r="M39" s="4">
        <f>AVERAGE(K39,G39,I39)</f>
        <v>28366.666666666668</v>
      </c>
    </row>
    <row r="40" spans="2:13" ht="12.75">
      <c r="B40" s="6" t="s">
        <v>49</v>
      </c>
      <c r="C40" s="6"/>
      <c r="D40" s="6" t="s">
        <v>18</v>
      </c>
      <c r="F40"/>
      <c r="G40">
        <v>11.7</v>
      </c>
      <c r="H40"/>
      <c r="I40">
        <v>11.7</v>
      </c>
      <c r="J40"/>
      <c r="K40">
        <v>11.6</v>
      </c>
      <c r="M40" s="4">
        <f>AVERAGE(I40,G40,K40)</f>
        <v>11.666666666666666</v>
      </c>
    </row>
    <row r="41" spans="2:13" ht="12.75">
      <c r="B41" s="6" t="s">
        <v>50</v>
      </c>
      <c r="C41" s="6"/>
      <c r="D41" s="6" t="s">
        <v>18</v>
      </c>
      <c r="F41"/>
      <c r="G41">
        <v>12.14</v>
      </c>
      <c r="H41"/>
      <c r="I41">
        <v>11.58</v>
      </c>
      <c r="J41"/>
      <c r="K41">
        <v>11.65</v>
      </c>
      <c r="M41" s="4">
        <f>AVERAGE(I41,G41,K41)</f>
        <v>11.79</v>
      </c>
    </row>
    <row r="42" spans="2:13" ht="12.75">
      <c r="B42" s="6" t="s">
        <v>45</v>
      </c>
      <c r="C42" s="6"/>
      <c r="D42" s="6" t="s">
        <v>19</v>
      </c>
      <c r="F42"/>
      <c r="G42">
        <v>132.9</v>
      </c>
      <c r="H42"/>
      <c r="I42">
        <v>132.3</v>
      </c>
      <c r="J42"/>
      <c r="K42">
        <v>131.3</v>
      </c>
      <c r="M42" s="4">
        <f>AVERAGE(I42,G42,K42)</f>
        <v>132.16666666666669</v>
      </c>
    </row>
    <row r="43" ht="12.75">
      <c r="B43" s="6"/>
    </row>
    <row r="44" spans="2:13" ht="12.75">
      <c r="B44" s="6" t="s">
        <v>52</v>
      </c>
      <c r="C44" s="6" t="s">
        <v>68</v>
      </c>
      <c r="D44" s="6" t="s">
        <v>212</v>
      </c>
      <c r="F44"/>
      <c r="G44"/>
      <c r="H44"/>
      <c r="I44"/>
      <c r="J44"/>
      <c r="K44"/>
      <c r="M44"/>
    </row>
    <row r="45" spans="2:13" ht="12.75">
      <c r="B45" s="6" t="s">
        <v>46</v>
      </c>
      <c r="C45" s="6"/>
      <c r="D45" s="6" t="s">
        <v>17</v>
      </c>
      <c r="F45"/>
      <c r="G45">
        <v>30100</v>
      </c>
      <c r="H45"/>
      <c r="I45">
        <v>30400</v>
      </c>
      <c r="J45"/>
      <c r="K45">
        <v>30400</v>
      </c>
      <c r="M45" s="4">
        <f>AVERAGE(K45,G45,I45)</f>
        <v>30300</v>
      </c>
    </row>
    <row r="46" spans="2:13" ht="12.75">
      <c r="B46" s="6" t="s">
        <v>49</v>
      </c>
      <c r="C46" s="6"/>
      <c r="D46" s="6" t="s">
        <v>18</v>
      </c>
      <c r="F46"/>
      <c r="G46">
        <v>11.8</v>
      </c>
      <c r="H46"/>
      <c r="I46">
        <v>11.7</v>
      </c>
      <c r="J46"/>
      <c r="K46">
        <v>11.7</v>
      </c>
      <c r="M46" s="4">
        <f>AVERAGE(I46,G46,K46)</f>
        <v>11.733333333333334</v>
      </c>
    </row>
    <row r="47" spans="2:13" ht="12.75">
      <c r="B47" s="6" t="s">
        <v>50</v>
      </c>
      <c r="C47" s="6"/>
      <c r="D47" s="6" t="s">
        <v>18</v>
      </c>
      <c r="F47"/>
      <c r="G47">
        <v>14</v>
      </c>
      <c r="H47"/>
      <c r="I47">
        <v>12.6</v>
      </c>
      <c r="J47"/>
      <c r="K47">
        <v>10.9</v>
      </c>
      <c r="M47" s="4">
        <f>AVERAGE(I47,G47,K47)</f>
        <v>12.5</v>
      </c>
    </row>
    <row r="48" spans="2:13" ht="12.75">
      <c r="B48" s="6" t="s">
        <v>45</v>
      </c>
      <c r="C48" s="6"/>
      <c r="D48" s="6" t="s">
        <v>19</v>
      </c>
      <c r="F48"/>
      <c r="G48">
        <v>132.1</v>
      </c>
      <c r="H48"/>
      <c r="I48">
        <v>130.5</v>
      </c>
      <c r="J48"/>
      <c r="K48">
        <v>129.3</v>
      </c>
      <c r="M48" s="4">
        <f>AVERAGE(I48,G48,K48)</f>
        <v>130.63333333333335</v>
      </c>
    </row>
    <row r="51" spans="2:13" ht="12.75">
      <c r="B51" s="13" t="s">
        <v>138</v>
      </c>
      <c r="G51" s="16" t="s">
        <v>166</v>
      </c>
      <c r="H51" s="16"/>
      <c r="I51" s="17" t="s">
        <v>167</v>
      </c>
      <c r="J51" s="16"/>
      <c r="K51" s="16" t="s">
        <v>168</v>
      </c>
      <c r="M51" s="16" t="s">
        <v>123</v>
      </c>
    </row>
    <row r="53" spans="2:13" ht="12.75">
      <c r="B53" s="6" t="s">
        <v>58</v>
      </c>
      <c r="C53" s="6" t="s">
        <v>210</v>
      </c>
      <c r="D53" s="9" t="s">
        <v>16</v>
      </c>
      <c r="E53" s="6" t="s">
        <v>15</v>
      </c>
      <c r="F53"/>
      <c r="G53">
        <v>13.2</v>
      </c>
      <c r="H53"/>
      <c r="I53">
        <v>13.7</v>
      </c>
      <c r="J53"/>
      <c r="K53">
        <v>11.4</v>
      </c>
      <c r="M53" s="4">
        <f>AVERAGE(I53,G53,K53)</f>
        <v>12.766666666666666</v>
      </c>
    </row>
    <row r="54" spans="2:13" ht="12.75">
      <c r="B54" s="6" t="s">
        <v>151</v>
      </c>
      <c r="C54" s="6" t="s">
        <v>210</v>
      </c>
      <c r="D54" s="9" t="s">
        <v>16</v>
      </c>
      <c r="E54" s="6" t="s">
        <v>15</v>
      </c>
      <c r="F54"/>
      <c r="G54">
        <v>15.4</v>
      </c>
      <c r="H54"/>
      <c r="I54">
        <v>17.3</v>
      </c>
      <c r="J54"/>
      <c r="K54">
        <v>14.2</v>
      </c>
      <c r="M54" s="4">
        <f>AVERAGE(I54,G54,K54)</f>
        <v>15.633333333333335</v>
      </c>
    </row>
    <row r="55" spans="2:13" ht="12.75">
      <c r="B55" s="14" t="s">
        <v>122</v>
      </c>
      <c r="C55" s="6" t="s">
        <v>210</v>
      </c>
      <c r="D55" s="9" t="s">
        <v>16</v>
      </c>
      <c r="E55" s="6" t="s">
        <v>15</v>
      </c>
      <c r="G55">
        <v>0.022</v>
      </c>
      <c r="H55"/>
      <c r="I55">
        <v>0.014</v>
      </c>
      <c r="J55"/>
      <c r="K55">
        <v>0.006</v>
      </c>
      <c r="M55" s="4">
        <f>AVERAGE(I55,G55,K55)</f>
        <v>0.013999999999999999</v>
      </c>
    </row>
    <row r="56" spans="2:13" ht="12.75">
      <c r="B56" s="14" t="s">
        <v>152</v>
      </c>
      <c r="C56" s="6" t="s">
        <v>210</v>
      </c>
      <c r="D56" s="9" t="s">
        <v>16</v>
      </c>
      <c r="E56" s="6" t="s">
        <v>15</v>
      </c>
      <c r="G56">
        <v>0.592</v>
      </c>
      <c r="H56"/>
      <c r="I56">
        <v>0.129</v>
      </c>
      <c r="J56"/>
      <c r="K56">
        <v>0.569</v>
      </c>
      <c r="M56" s="4">
        <f>AVERAGE(I56,G56,K56)</f>
        <v>0.43</v>
      </c>
    </row>
    <row r="57" spans="4:13" ht="12.75">
      <c r="D57" s="9"/>
      <c r="G57"/>
      <c r="H57"/>
      <c r="I57"/>
      <c r="J57"/>
      <c r="K57"/>
      <c r="M57" s="4"/>
    </row>
    <row r="58" spans="2:13" ht="12.75">
      <c r="B58" s="6" t="s">
        <v>133</v>
      </c>
      <c r="C58" s="6" t="s">
        <v>109</v>
      </c>
      <c r="L58"/>
      <c r="M58" s="4"/>
    </row>
    <row r="59" spans="2:13" ht="12.75">
      <c r="B59" s="6" t="s">
        <v>134</v>
      </c>
      <c r="C59" s="6"/>
      <c r="D59" s="6" t="s">
        <v>27</v>
      </c>
      <c r="G59" s="4">
        <v>95</v>
      </c>
      <c r="H59" s="4"/>
      <c r="I59" s="4">
        <v>96</v>
      </c>
      <c r="J59" s="4"/>
      <c r="K59" s="4">
        <v>90.4</v>
      </c>
      <c r="L59"/>
      <c r="M59" s="4"/>
    </row>
    <row r="60" spans="2:13" ht="12.75">
      <c r="B60" s="6" t="s">
        <v>135</v>
      </c>
      <c r="C60" s="6"/>
      <c r="D60" s="6" t="s">
        <v>27</v>
      </c>
      <c r="F60" s="6" t="s">
        <v>108</v>
      </c>
      <c r="G60" s="40">
        <v>0.000161</v>
      </c>
      <c r="H60" s="40" t="s">
        <v>108</v>
      </c>
      <c r="I60" s="40">
        <v>0.000155</v>
      </c>
      <c r="J60" s="40" t="s">
        <v>108</v>
      </c>
      <c r="K60" s="40">
        <v>0.000193</v>
      </c>
      <c r="L60"/>
      <c r="M60" s="4"/>
    </row>
    <row r="61" spans="2:13" ht="12.75">
      <c r="B61" s="6" t="s">
        <v>26</v>
      </c>
      <c r="C61" s="6"/>
      <c r="D61" s="6" t="s">
        <v>18</v>
      </c>
      <c r="F61" s="6" t="s">
        <v>137</v>
      </c>
      <c r="G61" s="56">
        <f>(G59-G60)/G59*100</f>
        <v>99.99983052631578</v>
      </c>
      <c r="H61" t="s">
        <v>137</v>
      </c>
      <c r="I61" s="56">
        <f>(I59-I60)/I59*100</f>
        <v>99.99983854166666</v>
      </c>
      <c r="J61" t="s">
        <v>137</v>
      </c>
      <c r="K61" s="56">
        <f>(K59-K60)/K59*100</f>
        <v>99.99978650442478</v>
      </c>
      <c r="L61"/>
      <c r="M61" s="4"/>
    </row>
    <row r="62" spans="2:13" ht="12.75">
      <c r="B62" s="6"/>
      <c r="C62" s="6"/>
      <c r="D62" s="9"/>
      <c r="G62" s="36"/>
      <c r="H62"/>
      <c r="I62" s="36"/>
      <c r="J62"/>
      <c r="K62" s="36"/>
      <c r="L62"/>
      <c r="M62" s="4"/>
    </row>
    <row r="63" spans="2:13" ht="12.75">
      <c r="B63" s="6" t="s">
        <v>133</v>
      </c>
      <c r="C63" s="6" t="s">
        <v>136</v>
      </c>
      <c r="L63"/>
      <c r="M63" s="4"/>
    </row>
    <row r="64" spans="2:13" ht="12.75">
      <c r="B64" s="6" t="s">
        <v>134</v>
      </c>
      <c r="C64" s="6"/>
      <c r="D64" s="6" t="s">
        <v>27</v>
      </c>
      <c r="G64" s="4">
        <v>20.4</v>
      </c>
      <c r="H64" s="4"/>
      <c r="I64" s="4">
        <v>20.2</v>
      </c>
      <c r="J64" s="4"/>
      <c r="K64" s="4">
        <v>19.9</v>
      </c>
      <c r="L64"/>
      <c r="M64" s="4"/>
    </row>
    <row r="65" spans="2:13" ht="12.75">
      <c r="B65" s="6" t="s">
        <v>135</v>
      </c>
      <c r="C65" s="6"/>
      <c r="D65" s="6" t="s">
        <v>27</v>
      </c>
      <c r="F65" s="6" t="s">
        <v>108</v>
      </c>
      <c r="G65" s="40">
        <v>0.000161</v>
      </c>
      <c r="H65" s="40" t="s">
        <v>108</v>
      </c>
      <c r="I65" s="40">
        <v>0.000155</v>
      </c>
      <c r="J65" s="40" t="s">
        <v>108</v>
      </c>
      <c r="K65" s="40">
        <v>0.000193</v>
      </c>
      <c r="L65"/>
      <c r="M65" s="4"/>
    </row>
    <row r="66" spans="2:13" ht="12.75">
      <c r="B66" s="6" t="s">
        <v>26</v>
      </c>
      <c r="C66" s="6"/>
      <c r="D66" s="6" t="s">
        <v>18</v>
      </c>
      <c r="F66" s="6" t="s">
        <v>137</v>
      </c>
      <c r="G66" s="56">
        <f>(G64-G65)/G64*100</f>
        <v>99.99921078431373</v>
      </c>
      <c r="H66" t="s">
        <v>137</v>
      </c>
      <c r="I66" s="56">
        <f>(I64-I65)/I64*100</f>
        <v>99.99923267326733</v>
      </c>
      <c r="J66" t="s">
        <v>137</v>
      </c>
      <c r="K66" s="56">
        <f>(K64-K65)/K64*100</f>
        <v>99.99903015075378</v>
      </c>
      <c r="L66"/>
      <c r="M66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122"/>
  <sheetViews>
    <sheetView workbookViewId="0" topLeftCell="B94">
      <selection activeCell="M62" sqref="M62:M63"/>
    </sheetView>
  </sheetViews>
  <sheetFormatPr defaultColWidth="9.140625" defaultRowHeight="12.75"/>
  <cols>
    <col min="1" max="1" width="9.140625" style="0" hidden="1" customWidth="1"/>
    <col min="2" max="2" width="16.8515625" style="0" customWidth="1"/>
    <col min="3" max="3" width="6.421875" style="0" customWidth="1"/>
    <col min="5" max="6" width="4.140625" style="0" customWidth="1"/>
    <col min="8" max="8" width="3.8515625" style="0" customWidth="1"/>
    <col min="10" max="10" width="2.8515625" style="0" customWidth="1"/>
    <col min="12" max="12" width="2.421875" style="0" customWidth="1"/>
    <col min="14" max="14" width="10.8515625" style="0" hidden="1" customWidth="1"/>
    <col min="15" max="15" width="3.140625" style="0" hidden="1" customWidth="1"/>
    <col min="16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5" t="s">
        <v>193</v>
      </c>
    </row>
    <row r="4" spans="2:13" ht="12.75">
      <c r="B4" s="5" t="s">
        <v>114</v>
      </c>
      <c r="G4" s="34" t="s">
        <v>166</v>
      </c>
      <c r="H4" s="34"/>
      <c r="I4" s="34" t="s">
        <v>167</v>
      </c>
      <c r="J4" s="34"/>
      <c r="K4" s="34" t="s">
        <v>168</v>
      </c>
      <c r="L4" s="34"/>
      <c r="M4" s="34" t="s">
        <v>123</v>
      </c>
    </row>
    <row r="6" spans="1:24" s="62" customFormat="1" ht="12.75">
      <c r="A6" s="62" t="s">
        <v>114</v>
      </c>
      <c r="B6" s="62" t="s">
        <v>58</v>
      </c>
      <c r="C6" s="62" t="s">
        <v>210</v>
      </c>
      <c r="D6" s="62" t="s">
        <v>16</v>
      </c>
      <c r="E6" s="62" t="s">
        <v>15</v>
      </c>
      <c r="F6" s="63" t="s">
        <v>169</v>
      </c>
      <c r="G6" s="64">
        <v>1301.2820512820513</v>
      </c>
      <c r="H6" s="64" t="s">
        <v>169</v>
      </c>
      <c r="I6" s="64">
        <v>1219.0243902439</v>
      </c>
      <c r="J6" s="64" t="s">
        <v>169</v>
      </c>
      <c r="K6" s="64">
        <v>1226.75</v>
      </c>
      <c r="L6" s="63" t="s">
        <v>169</v>
      </c>
      <c r="M6" s="64">
        <f aca="true" t="shared" si="0" ref="M6:M13">AVERAGE(G6,I6,K6)</f>
        <v>1249.0188138419837</v>
      </c>
      <c r="N6" s="63" t="s">
        <v>169</v>
      </c>
      <c r="O6" s="63"/>
      <c r="P6" s="63" t="s">
        <v>169</v>
      </c>
      <c r="Q6" s="63"/>
      <c r="R6" s="63" t="s">
        <v>169</v>
      </c>
      <c r="S6" s="63"/>
      <c r="T6" s="63" t="s">
        <v>169</v>
      </c>
      <c r="U6" s="63"/>
      <c r="V6" s="63" t="s">
        <v>169</v>
      </c>
      <c r="W6" s="63"/>
      <c r="X6" s="62">
        <v>1249.0188138419837</v>
      </c>
    </row>
    <row r="7" spans="1:24" s="62" customFormat="1" ht="12.75">
      <c r="A7" s="62" t="s">
        <v>114</v>
      </c>
      <c r="B7" s="62" t="s">
        <v>122</v>
      </c>
      <c r="C7" s="62" t="s">
        <v>210</v>
      </c>
      <c r="D7" s="62" t="s">
        <v>16</v>
      </c>
      <c r="E7" s="62" t="s">
        <v>15</v>
      </c>
      <c r="F7" s="63" t="s">
        <v>169</v>
      </c>
      <c r="G7" s="64">
        <v>4.846153846153847</v>
      </c>
      <c r="H7" s="64" t="s">
        <v>169</v>
      </c>
      <c r="I7" s="64">
        <v>4.097560975609757</v>
      </c>
      <c r="J7" s="64" t="s">
        <v>169</v>
      </c>
      <c r="K7" s="64">
        <v>4.2</v>
      </c>
      <c r="L7" s="63" t="s">
        <v>169</v>
      </c>
      <c r="M7" s="64">
        <f t="shared" si="0"/>
        <v>4.381238273921201</v>
      </c>
      <c r="N7" s="63" t="s">
        <v>169</v>
      </c>
      <c r="O7" s="63"/>
      <c r="P7" s="63" t="s">
        <v>169</v>
      </c>
      <c r="Q7" s="63"/>
      <c r="R7" s="63" t="s">
        <v>169</v>
      </c>
      <c r="S7" s="63"/>
      <c r="T7" s="63" t="s">
        <v>169</v>
      </c>
      <c r="U7" s="63"/>
      <c r="V7" s="63" t="s">
        <v>169</v>
      </c>
      <c r="W7" s="63"/>
      <c r="X7" s="62">
        <v>4.381238273921201</v>
      </c>
    </row>
    <row r="8" spans="1:24" s="62" customFormat="1" ht="12.75">
      <c r="A8" s="62" t="s">
        <v>114</v>
      </c>
      <c r="B8" s="62" t="s">
        <v>170</v>
      </c>
      <c r="C8" s="62" t="s">
        <v>211</v>
      </c>
      <c r="D8" s="62" t="s">
        <v>29</v>
      </c>
      <c r="E8" s="62" t="s">
        <v>15</v>
      </c>
      <c r="F8" s="63" t="s">
        <v>169</v>
      </c>
      <c r="G8" s="64">
        <v>346.40579817602134</v>
      </c>
      <c r="H8" s="64" t="s">
        <v>169</v>
      </c>
      <c r="I8" s="64">
        <v>210.9528693269528</v>
      </c>
      <c r="J8" s="64" t="s">
        <v>169</v>
      </c>
      <c r="K8" s="64">
        <v>192.68213245997</v>
      </c>
      <c r="L8" s="63" t="s">
        <v>169</v>
      </c>
      <c r="M8" s="64">
        <f t="shared" si="0"/>
        <v>250.01359998764806</v>
      </c>
      <c r="N8" s="63" t="s">
        <v>169</v>
      </c>
      <c r="O8" s="63"/>
      <c r="P8" s="63" t="s">
        <v>169</v>
      </c>
      <c r="Q8" s="63"/>
      <c r="R8" s="63" t="s">
        <v>169</v>
      </c>
      <c r="S8" s="63"/>
      <c r="T8" s="63" t="s">
        <v>169</v>
      </c>
      <c r="U8" s="63"/>
      <c r="V8" s="63" t="s">
        <v>169</v>
      </c>
      <c r="W8" s="63"/>
      <c r="X8" s="62">
        <v>250.01359998764804</v>
      </c>
    </row>
    <row r="9" spans="1:24" s="62" customFormat="1" ht="12.75">
      <c r="A9" s="62" t="s">
        <v>114</v>
      </c>
      <c r="B9" s="62" t="s">
        <v>171</v>
      </c>
      <c r="C9" s="65" t="s">
        <v>211</v>
      </c>
      <c r="D9" s="62" t="s">
        <v>29</v>
      </c>
      <c r="E9" s="62" t="s">
        <v>15</v>
      </c>
      <c r="F9" s="63" t="s">
        <v>169</v>
      </c>
      <c r="G9" s="64">
        <v>5.649079170255116</v>
      </c>
      <c r="H9" s="64" t="s">
        <v>169</v>
      </c>
      <c r="I9" s="64">
        <v>4.381328824482865</v>
      </c>
      <c r="J9" s="64" t="s">
        <v>169</v>
      </c>
      <c r="K9" s="64">
        <v>4.439245208636584</v>
      </c>
      <c r="L9" s="63" t="s">
        <v>169</v>
      </c>
      <c r="M9" s="64">
        <f t="shared" si="0"/>
        <v>4.823217734458189</v>
      </c>
      <c r="N9" s="63" t="s">
        <v>169</v>
      </c>
      <c r="O9" s="63"/>
      <c r="P9" s="63" t="s">
        <v>169</v>
      </c>
      <c r="Q9" s="63"/>
      <c r="R9" s="63" t="s">
        <v>169</v>
      </c>
      <c r="S9" s="63"/>
      <c r="T9" s="63" t="s">
        <v>169</v>
      </c>
      <c r="U9" s="63"/>
      <c r="V9" s="63" t="s">
        <v>169</v>
      </c>
      <c r="W9" s="63"/>
      <c r="X9" s="62">
        <v>4.823217734458189</v>
      </c>
    </row>
    <row r="10" spans="1:24" s="62" customFormat="1" ht="12.75">
      <c r="A10" s="62" t="s">
        <v>114</v>
      </c>
      <c r="B10" s="62" t="s">
        <v>172</v>
      </c>
      <c r="C10" s="65" t="s">
        <v>211</v>
      </c>
      <c r="D10" s="62" t="s">
        <v>29</v>
      </c>
      <c r="E10" s="62" t="s">
        <v>15</v>
      </c>
      <c r="F10" s="63" t="s">
        <v>169</v>
      </c>
      <c r="G10" s="64">
        <v>107.82990743222817</v>
      </c>
      <c r="H10" s="64" t="s">
        <v>169</v>
      </c>
      <c r="I10" s="64">
        <v>87.08567169651128</v>
      </c>
      <c r="J10" s="64" t="s">
        <v>169</v>
      </c>
      <c r="K10" s="64">
        <v>70.65011523532266</v>
      </c>
      <c r="L10" s="63" t="s">
        <v>169</v>
      </c>
      <c r="M10" s="64">
        <f t="shared" si="0"/>
        <v>88.52189812135403</v>
      </c>
      <c r="N10" s="63" t="s">
        <v>169</v>
      </c>
      <c r="O10" s="63"/>
      <c r="P10" s="63" t="s">
        <v>169</v>
      </c>
      <c r="Q10" s="63"/>
      <c r="R10" s="63" t="s">
        <v>169</v>
      </c>
      <c r="S10" s="63"/>
      <c r="T10" s="63" t="s">
        <v>169</v>
      </c>
      <c r="U10" s="63"/>
      <c r="V10" s="63" t="s">
        <v>169</v>
      </c>
      <c r="W10" s="63"/>
      <c r="X10" s="62">
        <v>88.52189812135403</v>
      </c>
    </row>
    <row r="11" spans="1:24" s="62" customFormat="1" ht="12.75">
      <c r="A11" s="62" t="s">
        <v>114</v>
      </c>
      <c r="B11" s="62" t="s">
        <v>51</v>
      </c>
      <c r="C11" s="65" t="s">
        <v>211</v>
      </c>
      <c r="D11" s="62" t="s">
        <v>29</v>
      </c>
      <c r="E11" s="62" t="s">
        <v>15</v>
      </c>
      <c r="F11" s="63" t="s">
        <v>169</v>
      </c>
      <c r="G11" s="64">
        <v>115.46859939200709</v>
      </c>
      <c r="H11" s="64" t="s">
        <v>169</v>
      </c>
      <c r="I11" s="64">
        <v>151.9942468740352</v>
      </c>
      <c r="J11" s="64" t="s">
        <v>169</v>
      </c>
      <c r="K11" s="64">
        <v>154.90132217370208</v>
      </c>
      <c r="L11" s="63" t="s">
        <v>169</v>
      </c>
      <c r="M11" s="64">
        <f t="shared" si="0"/>
        <v>140.78805614658145</v>
      </c>
      <c r="N11" s="63" t="s">
        <v>169</v>
      </c>
      <c r="O11" s="63"/>
      <c r="P11" s="63" t="s">
        <v>169</v>
      </c>
      <c r="Q11" s="63"/>
      <c r="R11" s="63" t="s">
        <v>169</v>
      </c>
      <c r="S11" s="63"/>
      <c r="T11" s="63" t="s">
        <v>169</v>
      </c>
      <c r="U11" s="63"/>
      <c r="V11" s="63" t="s">
        <v>169</v>
      </c>
      <c r="W11" s="63"/>
      <c r="X11" s="62">
        <v>140.78805614658145</v>
      </c>
    </row>
    <row r="12" spans="1:24" s="62" customFormat="1" ht="12.75">
      <c r="A12" s="62" t="s">
        <v>114</v>
      </c>
      <c r="B12" s="62" t="s">
        <v>173</v>
      </c>
      <c r="C12" s="65" t="s">
        <v>210</v>
      </c>
      <c r="D12" s="62" t="s">
        <v>29</v>
      </c>
      <c r="E12" s="62" t="s">
        <v>15</v>
      </c>
      <c r="F12" s="63" t="s">
        <v>169</v>
      </c>
      <c r="G12" s="64">
        <v>6.0097289740412405</v>
      </c>
      <c r="H12" s="64" t="s">
        <v>169</v>
      </c>
      <c r="I12" s="64">
        <v>3.0396536745097507</v>
      </c>
      <c r="J12" s="64" t="s">
        <v>169</v>
      </c>
      <c r="K12" s="64">
        <v>2.219155490360436</v>
      </c>
      <c r="L12" s="63" t="s">
        <v>169</v>
      </c>
      <c r="M12" s="64">
        <f t="shared" si="0"/>
        <v>3.7561793796371425</v>
      </c>
      <c r="N12" s="63" t="s">
        <v>169</v>
      </c>
      <c r="O12" s="63"/>
      <c r="P12" s="63" t="s">
        <v>169</v>
      </c>
      <c r="Q12" s="63"/>
      <c r="R12" s="63" t="s">
        <v>169</v>
      </c>
      <c r="S12" s="63"/>
      <c r="T12" s="63" t="s">
        <v>169</v>
      </c>
      <c r="U12" s="63"/>
      <c r="V12" s="63" t="s">
        <v>169</v>
      </c>
      <c r="W12" s="63"/>
      <c r="X12" s="62">
        <v>3.7561793796371425</v>
      </c>
    </row>
    <row r="13" spans="1:24" s="62" customFormat="1" ht="12.75">
      <c r="A13" s="62" t="s">
        <v>114</v>
      </c>
      <c r="B13" s="62" t="s">
        <v>47</v>
      </c>
      <c r="C13" s="65" t="s">
        <v>211</v>
      </c>
      <c r="D13" s="62" t="s">
        <v>29</v>
      </c>
      <c r="E13" s="62" t="s">
        <v>15</v>
      </c>
      <c r="F13" s="63" t="s">
        <v>169</v>
      </c>
      <c r="G13" s="64">
        <v>882.8906753511927</v>
      </c>
      <c r="H13" s="64" t="s">
        <v>169</v>
      </c>
      <c r="I13" s="64">
        <v>750.0546464958321</v>
      </c>
      <c r="J13" s="64" t="s">
        <v>169</v>
      </c>
      <c r="K13" s="64">
        <v>695.1669092673459</v>
      </c>
      <c r="L13" s="63" t="s">
        <v>169</v>
      </c>
      <c r="M13" s="64">
        <f t="shared" si="0"/>
        <v>776.037410371457</v>
      </c>
      <c r="N13" s="63" t="s">
        <v>169</v>
      </c>
      <c r="O13" s="63"/>
      <c r="P13" s="63" t="s">
        <v>169</v>
      </c>
      <c r="Q13" s="63"/>
      <c r="R13" s="63" t="s">
        <v>169</v>
      </c>
      <c r="S13" s="63"/>
      <c r="T13" s="63" t="s">
        <v>169</v>
      </c>
      <c r="U13" s="63"/>
      <c r="V13" s="63" t="s">
        <v>169</v>
      </c>
      <c r="W13" s="63"/>
      <c r="X13" s="62">
        <v>776.037410371457</v>
      </c>
    </row>
    <row r="14" spans="7:63" s="62" customFormat="1" ht="12.75"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</row>
    <row r="15" spans="2:63" s="62" customFormat="1" ht="12.75">
      <c r="B15" s="65" t="s">
        <v>30</v>
      </c>
      <c r="C15" s="65" t="s">
        <v>211</v>
      </c>
      <c r="D15" s="62" t="s">
        <v>29</v>
      </c>
      <c r="E15" s="62" t="s">
        <v>15</v>
      </c>
      <c r="G15" s="64">
        <f>G10+G13</f>
        <v>990.7205827834209</v>
      </c>
      <c r="H15" s="64"/>
      <c r="I15" s="64">
        <f>I10+I13</f>
        <v>837.1403181923434</v>
      </c>
      <c r="J15" s="64"/>
      <c r="K15" s="64">
        <f>K10+K13</f>
        <v>765.8170245026686</v>
      </c>
      <c r="L15" s="64"/>
      <c r="M15" s="64">
        <f>AVERAGE(G15,I15,K15)</f>
        <v>864.5593084928109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</row>
    <row r="16" spans="2:63" s="62" customFormat="1" ht="12.75">
      <c r="B16" s="65" t="s">
        <v>214</v>
      </c>
      <c r="C16" s="65" t="s">
        <v>211</v>
      </c>
      <c r="D16" s="62" t="s">
        <v>29</v>
      </c>
      <c r="E16" s="62" t="s">
        <v>15</v>
      </c>
      <c r="G16" s="64">
        <f>G9+G11</f>
        <v>121.11767856226221</v>
      </c>
      <c r="H16" s="64"/>
      <c r="I16" s="64">
        <f>I9+I11</f>
        <v>156.37557569851808</v>
      </c>
      <c r="J16" s="64"/>
      <c r="K16" s="64">
        <f>K9+K11</f>
        <v>159.34056738233866</v>
      </c>
      <c r="L16" s="64"/>
      <c r="M16" s="64">
        <f>AVERAGE(G16,I16,K16)</f>
        <v>145.61127388103966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 t="s">
        <v>215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</row>
    <row r="17" spans="7:63" s="62" customFormat="1" ht="12.75"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</row>
    <row r="18" spans="2:63" s="62" customFormat="1" ht="12.75">
      <c r="B18" s="62" t="s">
        <v>52</v>
      </c>
      <c r="C18" s="62" t="s">
        <v>195</v>
      </c>
      <c r="D18" s="62" t="s">
        <v>210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</row>
    <row r="19" spans="2:63" s="62" customFormat="1" ht="12.75">
      <c r="B19" s="6" t="s">
        <v>46</v>
      </c>
      <c r="C19" s="6"/>
      <c r="D19" s="6" t="s">
        <v>17</v>
      </c>
      <c r="G19" s="64">
        <v>26631</v>
      </c>
      <c r="H19" s="64"/>
      <c r="I19" s="64">
        <v>25042</v>
      </c>
      <c r="J19" s="64"/>
      <c r="K19" s="64">
        <v>25053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</row>
    <row r="20" spans="2:63" s="62" customFormat="1" ht="12.75">
      <c r="B20" s="6" t="s">
        <v>49</v>
      </c>
      <c r="C20" s="6"/>
      <c r="D20" s="6" t="s">
        <v>18</v>
      </c>
      <c r="G20" s="64">
        <v>13.2</v>
      </c>
      <c r="H20" s="64"/>
      <c r="I20" s="64">
        <v>12.8</v>
      </c>
      <c r="J20" s="64"/>
      <c r="K20" s="64">
        <v>13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</row>
    <row r="21" spans="2:63" s="62" customFormat="1" ht="12.75">
      <c r="B21" s="6" t="s">
        <v>50</v>
      </c>
      <c r="C21" s="6"/>
      <c r="D21" s="6" t="s">
        <v>18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</row>
    <row r="22" spans="2:63" s="62" customFormat="1" ht="12.75">
      <c r="B22" s="6" t="s">
        <v>45</v>
      </c>
      <c r="C22" s="6"/>
      <c r="D22" s="6" t="s">
        <v>19</v>
      </c>
      <c r="G22" s="64">
        <v>171</v>
      </c>
      <c r="H22" s="64"/>
      <c r="I22" s="64">
        <v>176</v>
      </c>
      <c r="J22" s="64"/>
      <c r="K22" s="64">
        <v>175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</row>
    <row r="23" spans="7:63" s="62" customFormat="1" ht="12.75"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</row>
    <row r="24" spans="2:63" s="62" customFormat="1" ht="12.75">
      <c r="B24" s="62" t="s">
        <v>52</v>
      </c>
      <c r="C24" s="62" t="s">
        <v>67</v>
      </c>
      <c r="D24" s="65" t="s">
        <v>211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</row>
    <row r="25" spans="2:63" s="62" customFormat="1" ht="12.75">
      <c r="B25" s="6" t="s">
        <v>46</v>
      </c>
      <c r="C25" s="6"/>
      <c r="D25" s="6" t="s">
        <v>17</v>
      </c>
      <c r="G25" s="64">
        <v>26974</v>
      </c>
      <c r="H25" s="64"/>
      <c r="I25" s="64">
        <v>25280</v>
      </c>
      <c r="J25" s="64"/>
      <c r="K25" s="64">
        <v>24732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</row>
    <row r="26" spans="2:63" s="62" customFormat="1" ht="12.75">
      <c r="B26" s="6" t="s">
        <v>49</v>
      </c>
      <c r="C26" s="6"/>
      <c r="D26" s="6" t="s">
        <v>18</v>
      </c>
      <c r="G26" s="64">
        <v>13.2</v>
      </c>
      <c r="H26" s="64"/>
      <c r="I26" s="64">
        <v>12.8</v>
      </c>
      <c r="J26" s="64"/>
      <c r="K26" s="64">
        <v>13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</row>
    <row r="27" spans="2:63" s="62" customFormat="1" ht="12.75">
      <c r="B27" s="6" t="s">
        <v>50</v>
      </c>
      <c r="C27" s="6"/>
      <c r="D27" s="6" t="s">
        <v>18</v>
      </c>
      <c r="G27" s="64">
        <v>21.3</v>
      </c>
      <c r="H27" s="64"/>
      <c r="I27" s="64">
        <v>22.6</v>
      </c>
      <c r="J27" s="64"/>
      <c r="K27" s="64">
        <v>22.6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</row>
    <row r="28" spans="2:63" s="62" customFormat="1" ht="12.75">
      <c r="B28" s="6" t="s">
        <v>45</v>
      </c>
      <c r="C28" s="6"/>
      <c r="D28" s="6" t="s">
        <v>19</v>
      </c>
      <c r="G28" s="64">
        <v>170</v>
      </c>
      <c r="H28" s="64"/>
      <c r="I28" s="64">
        <v>174</v>
      </c>
      <c r="J28" s="64"/>
      <c r="K28" s="64">
        <v>172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</row>
    <row r="29" spans="7:63" s="62" customFormat="1" ht="12.75"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</row>
    <row r="30" spans="7:63" s="62" customFormat="1" ht="12.75"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</row>
    <row r="31" spans="2:23" s="62" customFormat="1" ht="12.75">
      <c r="B31" s="41" t="s">
        <v>154</v>
      </c>
      <c r="F31" s="63"/>
      <c r="G31" s="34" t="s">
        <v>166</v>
      </c>
      <c r="H31" s="34"/>
      <c r="I31" s="34" t="s">
        <v>167</v>
      </c>
      <c r="J31" s="34"/>
      <c r="K31" s="34" t="s">
        <v>168</v>
      </c>
      <c r="L31" s="67"/>
      <c r="M31" s="34" t="s">
        <v>123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</row>
    <row r="32" spans="6:23" s="62" customFormat="1" ht="12.75">
      <c r="F32" s="63"/>
      <c r="G32"/>
      <c r="H32"/>
      <c r="I32"/>
      <c r="J32"/>
      <c r="K32"/>
      <c r="L32" s="63"/>
      <c r="M32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4" s="62" customFormat="1" ht="12.75">
      <c r="A33" s="62" t="s">
        <v>154</v>
      </c>
      <c r="B33" s="62" t="s">
        <v>58</v>
      </c>
      <c r="C33" s="62" t="s">
        <v>211</v>
      </c>
      <c r="D33" s="62" t="s">
        <v>16</v>
      </c>
      <c r="E33" s="62" t="s">
        <v>15</v>
      </c>
      <c r="F33" s="63" t="s">
        <v>169</v>
      </c>
      <c r="G33" s="64">
        <v>1407.3684210526317</v>
      </c>
      <c r="H33" s="64" t="s">
        <v>169</v>
      </c>
      <c r="I33" s="64">
        <v>1233.0769230769229</v>
      </c>
      <c r="J33" s="64" t="s">
        <v>169</v>
      </c>
      <c r="K33" s="64">
        <v>1157.837837837838</v>
      </c>
      <c r="L33" s="63" t="s">
        <v>169</v>
      </c>
      <c r="M33" s="64">
        <f aca="true" t="shared" si="1" ref="M33:M40">AVERAGE(G33,I33,K33)</f>
        <v>1266.0943939891308</v>
      </c>
      <c r="N33" s="63" t="s">
        <v>169</v>
      </c>
      <c r="O33" s="63"/>
      <c r="P33" s="63" t="s">
        <v>169</v>
      </c>
      <c r="Q33" s="63"/>
      <c r="R33" s="63" t="s">
        <v>169</v>
      </c>
      <c r="S33" s="63"/>
      <c r="T33" s="63" t="s">
        <v>169</v>
      </c>
      <c r="U33" s="63"/>
      <c r="V33" s="63" t="s">
        <v>169</v>
      </c>
      <c r="W33" s="63"/>
      <c r="X33" s="62">
        <v>1266.0943939891308</v>
      </c>
    </row>
    <row r="34" spans="1:24" s="62" customFormat="1" ht="12.75">
      <c r="A34" s="62" t="s">
        <v>154</v>
      </c>
      <c r="B34" s="62" t="s">
        <v>122</v>
      </c>
      <c r="C34" s="62" t="s">
        <v>211</v>
      </c>
      <c r="D34" s="62" t="s">
        <v>16</v>
      </c>
      <c r="E34" s="62" t="s">
        <v>15</v>
      </c>
      <c r="F34" s="63" t="s">
        <v>169</v>
      </c>
      <c r="G34" s="64">
        <v>4.605263157894737</v>
      </c>
      <c r="H34" s="64" t="s">
        <v>169</v>
      </c>
      <c r="I34" s="64">
        <v>5.438461538461539</v>
      </c>
      <c r="J34" s="64" t="s">
        <v>169</v>
      </c>
      <c r="K34" s="64">
        <v>2.781081081081081</v>
      </c>
      <c r="L34" s="63" t="s">
        <v>169</v>
      </c>
      <c r="M34" s="64">
        <f t="shared" si="1"/>
        <v>4.274935259145785</v>
      </c>
      <c r="N34" s="63" t="s">
        <v>169</v>
      </c>
      <c r="O34" s="63"/>
      <c r="P34" s="63" t="s">
        <v>169</v>
      </c>
      <c r="Q34" s="63"/>
      <c r="R34" s="63" t="s">
        <v>169</v>
      </c>
      <c r="S34" s="63"/>
      <c r="T34" s="63" t="s">
        <v>169</v>
      </c>
      <c r="U34" s="63"/>
      <c r="V34" s="63" t="s">
        <v>169</v>
      </c>
      <c r="W34" s="63"/>
      <c r="X34" s="62">
        <v>4.274935259145785</v>
      </c>
    </row>
    <row r="35" spans="1:24" s="62" customFormat="1" ht="12.75">
      <c r="A35" s="62" t="s">
        <v>154</v>
      </c>
      <c r="B35" s="62" t="s">
        <v>170</v>
      </c>
      <c r="C35" s="62" t="s">
        <v>211</v>
      </c>
      <c r="D35" s="62" t="s">
        <v>29</v>
      </c>
      <c r="E35" s="62" t="s">
        <v>15</v>
      </c>
      <c r="F35" s="63" t="s">
        <v>169</v>
      </c>
      <c r="G35" s="64">
        <v>7209.303362545266</v>
      </c>
      <c r="H35" s="64" t="s">
        <v>169</v>
      </c>
      <c r="I35" s="64">
        <v>6762.0531906645</v>
      </c>
      <c r="J35" s="64" t="s">
        <v>169</v>
      </c>
      <c r="K35" s="64">
        <v>6347.101954258768</v>
      </c>
      <c r="L35" s="63" t="s">
        <v>169</v>
      </c>
      <c r="M35" s="64">
        <f t="shared" si="1"/>
        <v>6772.819502489511</v>
      </c>
      <c r="N35" s="63" t="s">
        <v>169</v>
      </c>
      <c r="O35" s="63"/>
      <c r="P35" s="63" t="s">
        <v>169</v>
      </c>
      <c r="Q35" s="63"/>
      <c r="R35" s="63" t="s">
        <v>169</v>
      </c>
      <c r="S35" s="63"/>
      <c r="T35" s="63" t="s">
        <v>169</v>
      </c>
      <c r="U35" s="63"/>
      <c r="V35" s="63" t="s">
        <v>169</v>
      </c>
      <c r="W35" s="63"/>
      <c r="X35" s="62">
        <v>6772.819502489511</v>
      </c>
    </row>
    <row r="36" spans="1:24" s="62" customFormat="1" ht="12.75">
      <c r="A36" s="62" t="s">
        <v>154</v>
      </c>
      <c r="B36" s="62" t="s">
        <v>171</v>
      </c>
      <c r="C36" s="65" t="s">
        <v>211</v>
      </c>
      <c r="D36" s="62" t="s">
        <v>29</v>
      </c>
      <c r="E36" s="62" t="s">
        <v>15</v>
      </c>
      <c r="F36" s="63" t="s">
        <v>169</v>
      </c>
      <c r="G36" s="64">
        <v>286.4995881738768</v>
      </c>
      <c r="H36" s="64" t="s">
        <v>169</v>
      </c>
      <c r="I36" s="64">
        <v>289.80227959990697</v>
      </c>
      <c r="J36" s="64" t="s">
        <v>169</v>
      </c>
      <c r="K36" s="64">
        <v>259.3023359361814</v>
      </c>
      <c r="L36" s="63" t="s">
        <v>169</v>
      </c>
      <c r="M36" s="64">
        <f t="shared" si="1"/>
        <v>278.5347345699884</v>
      </c>
      <c r="N36" s="63" t="s">
        <v>169</v>
      </c>
      <c r="O36" s="63"/>
      <c r="P36" s="63" t="s">
        <v>169</v>
      </c>
      <c r="Q36" s="63"/>
      <c r="R36" s="63" t="s">
        <v>169</v>
      </c>
      <c r="S36" s="63"/>
      <c r="T36" s="63" t="s">
        <v>169</v>
      </c>
      <c r="U36" s="63"/>
      <c r="V36" s="63" t="s">
        <v>169</v>
      </c>
      <c r="W36" s="63"/>
      <c r="X36" s="62">
        <v>278.5347345699884</v>
      </c>
    </row>
    <row r="37" spans="1:24" s="62" customFormat="1" ht="12.75">
      <c r="A37" s="62" t="s">
        <v>154</v>
      </c>
      <c r="B37" s="62" t="s">
        <v>172</v>
      </c>
      <c r="C37" s="65" t="s">
        <v>211</v>
      </c>
      <c r="D37" s="62" t="s">
        <v>29</v>
      </c>
      <c r="E37" s="62" t="s">
        <v>15</v>
      </c>
      <c r="F37" s="63" t="s">
        <v>169</v>
      </c>
      <c r="G37" s="64">
        <v>1891.2717912131736</v>
      </c>
      <c r="H37" s="64" t="s">
        <v>169</v>
      </c>
      <c r="I37" s="64">
        <v>1703.5172461097</v>
      </c>
      <c r="J37" s="64" t="s">
        <v>169</v>
      </c>
      <c r="K37" s="64">
        <v>1729.9723009473594</v>
      </c>
      <c r="L37" s="63" t="s">
        <v>169</v>
      </c>
      <c r="M37" s="64">
        <f t="shared" si="1"/>
        <v>1774.9204460900776</v>
      </c>
      <c r="N37" s="63" t="s">
        <v>169</v>
      </c>
      <c r="O37" s="63"/>
      <c r="P37" s="63" t="s">
        <v>169</v>
      </c>
      <c r="Q37" s="63"/>
      <c r="R37" s="63" t="s">
        <v>169</v>
      </c>
      <c r="S37" s="63"/>
      <c r="T37" s="63" t="s">
        <v>169</v>
      </c>
      <c r="U37" s="63"/>
      <c r="V37" s="63" t="s">
        <v>169</v>
      </c>
      <c r="W37" s="63"/>
      <c r="X37" s="62">
        <v>1774.9204460900776</v>
      </c>
    </row>
    <row r="38" spans="1:24" s="62" customFormat="1" ht="12.75">
      <c r="A38" s="62" t="s">
        <v>154</v>
      </c>
      <c r="B38" s="62" t="s">
        <v>51</v>
      </c>
      <c r="C38" s="65" t="s">
        <v>211</v>
      </c>
      <c r="D38" s="62" t="s">
        <v>29</v>
      </c>
      <c r="E38" s="62" t="s">
        <v>15</v>
      </c>
      <c r="F38" s="63" t="s">
        <v>169</v>
      </c>
      <c r="G38" s="64">
        <v>443.793479720319</v>
      </c>
      <c r="H38" s="64" t="s">
        <v>169</v>
      </c>
      <c r="I38" s="64">
        <v>475.57297165113</v>
      </c>
      <c r="J38" s="64" t="s">
        <v>169</v>
      </c>
      <c r="K38" s="64">
        <v>501.1888433393356</v>
      </c>
      <c r="L38" s="63" t="s">
        <v>169</v>
      </c>
      <c r="M38" s="64">
        <f t="shared" si="1"/>
        <v>473.51843157026155</v>
      </c>
      <c r="N38" s="63" t="s">
        <v>169</v>
      </c>
      <c r="O38" s="63"/>
      <c r="P38" s="63" t="s">
        <v>169</v>
      </c>
      <c r="Q38" s="63"/>
      <c r="R38" s="63" t="s">
        <v>169</v>
      </c>
      <c r="S38" s="63"/>
      <c r="T38" s="63" t="s">
        <v>169</v>
      </c>
      <c r="U38" s="63"/>
      <c r="V38" s="63" t="s">
        <v>169</v>
      </c>
      <c r="W38" s="63"/>
      <c r="X38" s="62">
        <v>473.51843157026155</v>
      </c>
    </row>
    <row r="39" spans="1:24" s="62" customFormat="1" ht="12.75">
      <c r="A39" s="62" t="s">
        <v>154</v>
      </c>
      <c r="B39" s="62" t="s">
        <v>173</v>
      </c>
      <c r="C39" s="65" t="s">
        <v>210</v>
      </c>
      <c r="D39" s="62" t="s">
        <v>29</v>
      </c>
      <c r="E39" s="62" t="s">
        <v>15</v>
      </c>
      <c r="F39" s="63" t="s">
        <v>108</v>
      </c>
      <c r="G39" s="64">
        <v>2.3330090888067</v>
      </c>
      <c r="H39" s="64" t="s">
        <v>108</v>
      </c>
      <c r="I39" s="64">
        <v>2.157951823779916</v>
      </c>
      <c r="J39" s="64" t="s">
        <v>169</v>
      </c>
      <c r="K39" s="64">
        <v>15.733177685453429</v>
      </c>
      <c r="L39" s="63" t="s">
        <v>169</v>
      </c>
      <c r="M39" s="64">
        <f t="shared" si="1"/>
        <v>6.741379532680014</v>
      </c>
      <c r="N39" s="63" t="s">
        <v>169</v>
      </c>
      <c r="O39" s="63"/>
      <c r="P39" s="63" t="s">
        <v>169</v>
      </c>
      <c r="Q39" s="63"/>
      <c r="R39" s="63" t="s">
        <v>169</v>
      </c>
      <c r="S39" s="63"/>
      <c r="T39" s="63" t="s">
        <v>169</v>
      </c>
      <c r="U39" s="63"/>
      <c r="V39" s="63" t="s">
        <v>169</v>
      </c>
      <c r="W39" s="63"/>
      <c r="X39" s="62">
        <v>6.741379532680015</v>
      </c>
    </row>
    <row r="40" spans="1:24" s="62" customFormat="1" ht="12.75">
      <c r="A40" s="62" t="s">
        <v>154</v>
      </c>
      <c r="B40" s="62" t="s">
        <v>47</v>
      </c>
      <c r="C40" s="65" t="s">
        <v>211</v>
      </c>
      <c r="D40" s="62" t="s">
        <v>29</v>
      </c>
      <c r="E40" s="62" t="s">
        <v>15</v>
      </c>
      <c r="F40" s="63" t="s">
        <v>169</v>
      </c>
      <c r="G40" s="64">
        <v>21159.77350565234</v>
      </c>
      <c r="H40" s="64" t="s">
        <v>169</v>
      </c>
      <c r="I40" s="64">
        <v>17703.946952481496</v>
      </c>
      <c r="J40" s="64" t="s">
        <v>169</v>
      </c>
      <c r="K40" s="64">
        <v>17725.443262503148</v>
      </c>
      <c r="L40" s="63" t="s">
        <v>169</v>
      </c>
      <c r="M40" s="64">
        <f t="shared" si="1"/>
        <v>18863.05457354566</v>
      </c>
      <c r="N40" s="63" t="s">
        <v>169</v>
      </c>
      <c r="O40" s="63"/>
      <c r="P40" s="63" t="s">
        <v>169</v>
      </c>
      <c r="Q40" s="63"/>
      <c r="R40" s="63" t="s">
        <v>169</v>
      </c>
      <c r="S40" s="63"/>
      <c r="T40" s="63" t="s">
        <v>169</v>
      </c>
      <c r="U40" s="63"/>
      <c r="V40" s="63" t="s">
        <v>169</v>
      </c>
      <c r="W40" s="63"/>
      <c r="X40" s="62">
        <v>18863.054573545658</v>
      </c>
    </row>
    <row r="41" ht="12.75">
      <c r="M41" s="64"/>
    </row>
    <row r="42" spans="2:13" ht="12.75">
      <c r="B42" s="65" t="s">
        <v>30</v>
      </c>
      <c r="C42" s="62" t="s">
        <v>211</v>
      </c>
      <c r="D42" s="62" t="s">
        <v>29</v>
      </c>
      <c r="E42" s="62" t="s">
        <v>15</v>
      </c>
      <c r="G42" s="55">
        <f>G37+G40</f>
        <v>23051.045296865515</v>
      </c>
      <c r="I42" s="55">
        <f>I37+I40</f>
        <v>19407.464198591195</v>
      </c>
      <c r="K42" s="55">
        <f>K37+K40</f>
        <v>19455.415563450508</v>
      </c>
      <c r="M42" s="64">
        <f>AVERAGE(G42,I42,K42)</f>
        <v>20637.975019635738</v>
      </c>
    </row>
    <row r="43" spans="2:25" ht="12.75">
      <c r="B43" s="65" t="s">
        <v>31</v>
      </c>
      <c r="C43" s="65" t="s">
        <v>211</v>
      </c>
      <c r="D43" s="62" t="s">
        <v>29</v>
      </c>
      <c r="E43" s="62" t="s">
        <v>15</v>
      </c>
      <c r="G43" s="4">
        <f>G36+G38</f>
        <v>730.2930678941958</v>
      </c>
      <c r="I43" s="4">
        <f>I36+I38</f>
        <v>765.375251251037</v>
      </c>
      <c r="K43" s="4">
        <f>K36+K38</f>
        <v>760.491179275517</v>
      </c>
      <c r="M43" s="64">
        <f>AVERAGE(G43,I43,K43)</f>
        <v>752.0531661402498</v>
      </c>
      <c r="Y43" t="s">
        <v>244</v>
      </c>
    </row>
    <row r="45" spans="2:4" ht="12.75">
      <c r="B45" t="s">
        <v>52</v>
      </c>
      <c r="C45" t="s">
        <v>195</v>
      </c>
      <c r="D45" t="s">
        <v>210</v>
      </c>
    </row>
    <row r="46" spans="2:63" s="62" customFormat="1" ht="12.75">
      <c r="B46" s="6" t="s">
        <v>46</v>
      </c>
      <c r="C46" s="6"/>
      <c r="D46" s="6" t="s">
        <v>17</v>
      </c>
      <c r="G46" s="64">
        <v>25717</v>
      </c>
      <c r="H46" s="64"/>
      <c r="I46" s="64">
        <v>25758</v>
      </c>
      <c r="J46" s="64"/>
      <c r="K46" s="64">
        <v>25618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</row>
    <row r="47" spans="2:63" s="62" customFormat="1" ht="12.75">
      <c r="B47" s="6" t="s">
        <v>49</v>
      </c>
      <c r="C47" s="6"/>
      <c r="D47" s="6" t="s">
        <v>18</v>
      </c>
      <c r="G47" s="64">
        <v>13.4</v>
      </c>
      <c r="H47" s="64"/>
      <c r="I47" s="64">
        <v>13.2</v>
      </c>
      <c r="J47" s="64"/>
      <c r="K47" s="64">
        <v>13.6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</row>
    <row r="48" spans="1:63" s="62" customFormat="1" ht="12.75">
      <c r="A48" s="62" t="s">
        <v>154</v>
      </c>
      <c r="B48" s="6" t="s">
        <v>50</v>
      </c>
      <c r="C48" s="6"/>
      <c r="D48" s="6" t="s">
        <v>18</v>
      </c>
      <c r="G48" s="64">
        <v>21.3</v>
      </c>
      <c r="H48" s="64"/>
      <c r="I48" s="64">
        <v>21.8</v>
      </c>
      <c r="J48" s="64"/>
      <c r="K48" s="64">
        <v>21.1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</row>
    <row r="49" spans="2:63" s="62" customFormat="1" ht="12.75">
      <c r="B49" s="6" t="s">
        <v>45</v>
      </c>
      <c r="C49" s="6"/>
      <c r="D49" s="6" t="s">
        <v>19</v>
      </c>
      <c r="G49" s="64">
        <v>171</v>
      </c>
      <c r="H49" s="64"/>
      <c r="I49" s="64">
        <v>172</v>
      </c>
      <c r="J49" s="64"/>
      <c r="K49" s="64">
        <v>170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</row>
    <row r="50" spans="7:63" s="62" customFormat="1" ht="12.75"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</row>
    <row r="51" spans="2:63" s="62" customFormat="1" ht="12.75">
      <c r="B51" s="62" t="s">
        <v>52</v>
      </c>
      <c r="C51" s="62" t="s">
        <v>67</v>
      </c>
      <c r="D51" s="65" t="s">
        <v>211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</row>
    <row r="52" spans="2:63" s="62" customFormat="1" ht="12.75">
      <c r="B52" s="6" t="s">
        <v>46</v>
      </c>
      <c r="C52" s="6"/>
      <c r="D52" s="6" t="s">
        <v>17</v>
      </c>
      <c r="G52" s="64">
        <v>26263</v>
      </c>
      <c r="H52" s="64"/>
      <c r="I52" s="64">
        <v>25794</v>
      </c>
      <c r="J52" s="64"/>
      <c r="K52" s="64">
        <v>26101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</row>
    <row r="53" spans="2:63" s="62" customFormat="1" ht="12.75">
      <c r="B53" s="6" t="s">
        <v>49</v>
      </c>
      <c r="C53" s="6"/>
      <c r="D53" s="6" t="s">
        <v>18</v>
      </c>
      <c r="G53" s="64">
        <v>13.4</v>
      </c>
      <c r="H53" s="64"/>
      <c r="I53" s="64">
        <v>13.2</v>
      </c>
      <c r="J53" s="64"/>
      <c r="K53" s="64">
        <v>13.6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</row>
    <row r="54" spans="2:63" s="62" customFormat="1" ht="12.75">
      <c r="B54" s="6" t="s">
        <v>50</v>
      </c>
      <c r="C54" s="6"/>
      <c r="D54" s="6" t="s">
        <v>18</v>
      </c>
      <c r="G54" s="64">
        <v>21.3</v>
      </c>
      <c r="H54" s="64"/>
      <c r="I54" s="64">
        <v>21.8</v>
      </c>
      <c r="J54" s="64"/>
      <c r="K54" s="64">
        <v>21.1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</row>
    <row r="55" spans="2:63" s="62" customFormat="1" ht="12.75">
      <c r="B55" s="6" t="s">
        <v>45</v>
      </c>
      <c r="C55" s="6"/>
      <c r="D55" s="6" t="s">
        <v>19</v>
      </c>
      <c r="G55" s="64">
        <v>169</v>
      </c>
      <c r="H55" s="64"/>
      <c r="I55" s="64">
        <v>169</v>
      </c>
      <c r="J55" s="64"/>
      <c r="K55" s="64">
        <v>169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</row>
    <row r="59" spans="1:13" s="14" customFormat="1" ht="12.75">
      <c r="A59" s="14">
        <v>10</v>
      </c>
      <c r="B59" s="18" t="s">
        <v>245</v>
      </c>
      <c r="C59" s="18"/>
      <c r="D59" s="6"/>
      <c r="E59" s="6"/>
      <c r="F59" s="6"/>
      <c r="G59" s="16" t="s">
        <v>166</v>
      </c>
      <c r="H59" s="16"/>
      <c r="I59" s="17" t="s">
        <v>167</v>
      </c>
      <c r="J59" s="16"/>
      <c r="K59" s="16" t="s">
        <v>168</v>
      </c>
      <c r="L59" s="16"/>
      <c r="M59" s="14" t="s">
        <v>123</v>
      </c>
    </row>
    <row r="60" spans="2:12" s="14" customFormat="1" ht="12.75">
      <c r="B60" s="6"/>
      <c r="C60" s="6"/>
      <c r="D60" s="9"/>
      <c r="E60" s="9"/>
      <c r="F60" s="9"/>
      <c r="G60" s="9"/>
      <c r="H60" s="9"/>
      <c r="I60" s="73"/>
      <c r="J60" s="9"/>
      <c r="K60" s="9"/>
      <c r="L60" s="9"/>
    </row>
    <row r="61" spans="2:13" s="14" customFormat="1" ht="12.75">
      <c r="B61" s="6" t="s">
        <v>13</v>
      </c>
      <c r="C61" s="6" t="s">
        <v>210</v>
      </c>
      <c r="D61" s="9" t="s">
        <v>14</v>
      </c>
      <c r="E61" s="9" t="s">
        <v>15</v>
      </c>
      <c r="F61" s="9"/>
      <c r="G61" s="9">
        <v>0.01</v>
      </c>
      <c r="H61" s="9"/>
      <c r="I61" s="73">
        <v>0.009</v>
      </c>
      <c r="J61" s="9"/>
      <c r="K61" s="9">
        <v>0.008</v>
      </c>
      <c r="L61" s="9"/>
      <c r="M61" s="74">
        <f>AVERAGE(I61,G61,K61)</f>
        <v>0.009</v>
      </c>
    </row>
    <row r="62" spans="2:13" s="14" customFormat="1" ht="12.75">
      <c r="B62" s="6" t="s">
        <v>58</v>
      </c>
      <c r="C62" s="6" t="s">
        <v>210</v>
      </c>
      <c r="D62" s="9" t="s">
        <v>16</v>
      </c>
      <c r="E62" s="9" t="s">
        <v>15</v>
      </c>
      <c r="F62" s="9"/>
      <c r="G62">
        <v>374</v>
      </c>
      <c r="H62"/>
      <c r="I62">
        <v>364</v>
      </c>
      <c r="J62"/>
      <c r="K62">
        <v>322</v>
      </c>
      <c r="L62" s="9"/>
      <c r="M62" s="75">
        <f>AVERAGE(I62,G62,K62)</f>
        <v>353.3333333333333</v>
      </c>
    </row>
    <row r="63" spans="2:13" s="14" customFormat="1" ht="12.75">
      <c r="B63" s="6" t="s">
        <v>151</v>
      </c>
      <c r="C63" s="6" t="s">
        <v>210</v>
      </c>
      <c r="D63" s="9" t="s">
        <v>16</v>
      </c>
      <c r="E63" s="9" t="s">
        <v>15</v>
      </c>
      <c r="F63" s="9"/>
      <c r="G63">
        <v>436</v>
      </c>
      <c r="H63"/>
      <c r="I63">
        <v>373</v>
      </c>
      <c r="J63"/>
      <c r="K63">
        <v>350</v>
      </c>
      <c r="L63" s="9"/>
      <c r="M63" s="75">
        <f>AVERAGE(I63,G63,K63)</f>
        <v>386.3333333333333</v>
      </c>
    </row>
    <row r="64" spans="2:13" s="14" customFormat="1" ht="12.75">
      <c r="B64" s="6" t="s">
        <v>24</v>
      </c>
      <c r="C64" s="6" t="s">
        <v>210</v>
      </c>
      <c r="D64" s="9" t="s">
        <v>27</v>
      </c>
      <c r="E64" s="9"/>
      <c r="F64"/>
      <c r="G64">
        <v>8.97</v>
      </c>
      <c r="H64"/>
      <c r="I64">
        <v>8.54</v>
      </c>
      <c r="J64"/>
      <c r="K64">
        <v>8.39</v>
      </c>
      <c r="L64"/>
      <c r="M64" s="75"/>
    </row>
    <row r="65" spans="2:13" s="14" customFormat="1" ht="12.75">
      <c r="B65" s="6" t="s">
        <v>24</v>
      </c>
      <c r="C65" s="6" t="s">
        <v>210</v>
      </c>
      <c r="D65" s="9" t="s">
        <v>16</v>
      </c>
      <c r="E65" s="9" t="s">
        <v>15</v>
      </c>
      <c r="F65"/>
      <c r="G65" s="4">
        <f>G64*454/G84/0.0283/60*14/(21-G85)/1518*1000000</f>
        <v>121.50878593943777</v>
      </c>
      <c r="H65"/>
      <c r="I65" s="4">
        <f>I64*454/I84/0.0283/60*14/(21-I85)/1518*1000000</f>
        <v>107.11746230286992</v>
      </c>
      <c r="J65"/>
      <c r="K65" s="4">
        <f>K64*454/K84/0.0283/60*14/(21-K85)/1518*1000000</f>
        <v>118.51810325448164</v>
      </c>
      <c r="L65"/>
      <c r="M65" s="4">
        <f>AVERAGE(G65,I65,K65)</f>
        <v>115.71478383226311</v>
      </c>
    </row>
    <row r="66" spans="2:15" s="14" customFormat="1" ht="12.75">
      <c r="B66" s="6" t="s">
        <v>241</v>
      </c>
      <c r="C66" s="6" t="s">
        <v>210</v>
      </c>
      <c r="D66" s="9" t="s">
        <v>16</v>
      </c>
      <c r="E66" s="9" t="s">
        <v>15</v>
      </c>
      <c r="F66"/>
      <c r="G66" s="4">
        <f>G65</f>
        <v>121.50878593943777</v>
      </c>
      <c r="H66"/>
      <c r="I66" s="4">
        <f>I65</f>
        <v>107.11746230286992</v>
      </c>
      <c r="J66"/>
      <c r="K66" s="4">
        <f>K65</f>
        <v>118.51810325448164</v>
      </c>
      <c r="L66"/>
      <c r="M66" s="4">
        <f>M65</f>
        <v>115.71478383226311</v>
      </c>
      <c r="O66" s="14" t="s">
        <v>266</v>
      </c>
    </row>
    <row r="67" spans="2:13" s="14" customFormat="1" ht="12.75">
      <c r="B67" s="6"/>
      <c r="C67" s="6"/>
      <c r="D67" s="6"/>
      <c r="E67" s="6"/>
      <c r="F67"/>
      <c r="G67"/>
      <c r="H67"/>
      <c r="I67"/>
      <c r="J67"/>
      <c r="K67"/>
      <c r="L67"/>
      <c r="M67" s="4"/>
    </row>
    <row r="68" spans="2:13" s="14" customFormat="1" ht="12.75">
      <c r="B68" s="14" t="s">
        <v>260</v>
      </c>
      <c r="C68" s="6" t="s">
        <v>265</v>
      </c>
      <c r="D68" s="6"/>
      <c r="E68" s="6"/>
      <c r="F68"/>
      <c r="G68"/>
      <c r="H68"/>
      <c r="I68"/>
      <c r="J68"/>
      <c r="K68"/>
      <c r="L68"/>
      <c r="M68" s="4"/>
    </row>
    <row r="69" spans="2:13" s="14" customFormat="1" ht="12.75">
      <c r="B69" s="6" t="s">
        <v>134</v>
      </c>
      <c r="C69" s="6"/>
      <c r="D69" s="6" t="s">
        <v>27</v>
      </c>
      <c r="E69" s="6"/>
      <c r="F69"/>
      <c r="G69"/>
      <c r="H69"/>
      <c r="I69"/>
      <c r="J69"/>
      <c r="K69"/>
      <c r="L69"/>
      <c r="M69" s="4"/>
    </row>
    <row r="70" spans="2:13" s="14" customFormat="1" ht="12.75">
      <c r="B70" s="6" t="s">
        <v>261</v>
      </c>
      <c r="C70" s="6"/>
      <c r="D70" s="6" t="s">
        <v>27</v>
      </c>
      <c r="E70" s="6"/>
      <c r="F70"/>
      <c r="G70"/>
      <c r="H70"/>
      <c r="I70"/>
      <c r="J70"/>
      <c r="K70"/>
      <c r="L70"/>
      <c r="M70" s="4"/>
    </row>
    <row r="71" spans="2:13" s="14" customFormat="1" ht="12.75">
      <c r="B71" s="6" t="s">
        <v>260</v>
      </c>
      <c r="C71" s="6"/>
      <c r="D71" s="6" t="s">
        <v>18</v>
      </c>
      <c r="E71" s="6"/>
      <c r="F71"/>
      <c r="G71">
        <v>99.9983</v>
      </c>
      <c r="H71"/>
      <c r="I71">
        <v>99.9981</v>
      </c>
      <c r="J71"/>
      <c r="K71">
        <v>99.9981</v>
      </c>
      <c r="L71"/>
      <c r="M71" s="4"/>
    </row>
    <row r="72" spans="2:13" s="14" customFormat="1" ht="12.75">
      <c r="B72" s="6"/>
      <c r="C72" s="6"/>
      <c r="D72" s="6"/>
      <c r="E72" s="6"/>
      <c r="F72"/>
      <c r="L72"/>
      <c r="M72" s="4"/>
    </row>
    <row r="73" spans="2:13" s="14" customFormat="1" ht="12.75">
      <c r="B73" s="6" t="s">
        <v>260</v>
      </c>
      <c r="C73" s="6" t="s">
        <v>264</v>
      </c>
      <c r="D73" s="6"/>
      <c r="E73" s="6"/>
      <c r="F73"/>
      <c r="G73"/>
      <c r="H73"/>
      <c r="I73"/>
      <c r="J73"/>
      <c r="K73"/>
      <c r="L73"/>
      <c r="M73" s="4"/>
    </row>
    <row r="74" spans="2:13" s="14" customFormat="1" ht="12.75">
      <c r="B74" s="6" t="s">
        <v>134</v>
      </c>
      <c r="C74" s="6"/>
      <c r="D74" s="6" t="s">
        <v>27</v>
      </c>
      <c r="E74" s="6"/>
      <c r="F74"/>
      <c r="G74"/>
      <c r="H74"/>
      <c r="I74"/>
      <c r="J74"/>
      <c r="K74"/>
      <c r="L74"/>
      <c r="M74" s="4"/>
    </row>
    <row r="75" spans="2:13" s="14" customFormat="1" ht="12.75">
      <c r="B75" s="6" t="s">
        <v>261</v>
      </c>
      <c r="C75" s="6"/>
      <c r="D75" s="6" t="s">
        <v>27</v>
      </c>
      <c r="E75" s="6"/>
      <c r="F75"/>
      <c r="G75"/>
      <c r="H75"/>
      <c r="I75"/>
      <c r="J75"/>
      <c r="K75"/>
      <c r="L75"/>
      <c r="M75" s="4"/>
    </row>
    <row r="76" spans="2:13" s="14" customFormat="1" ht="12.75">
      <c r="B76" s="6" t="s">
        <v>260</v>
      </c>
      <c r="C76" s="6"/>
      <c r="D76" s="6" t="s">
        <v>18</v>
      </c>
      <c r="E76" s="6"/>
      <c r="F76"/>
      <c r="G76">
        <v>99.999</v>
      </c>
      <c r="H76"/>
      <c r="I76">
        <v>99.9995</v>
      </c>
      <c r="J76"/>
      <c r="K76">
        <v>99.9986</v>
      </c>
      <c r="L76"/>
      <c r="M76" s="4"/>
    </row>
    <row r="77" spans="2:13" s="14" customFormat="1" ht="12.75">
      <c r="B77" s="6"/>
      <c r="C77" s="6"/>
      <c r="D77" s="6"/>
      <c r="E77" s="6"/>
      <c r="F77"/>
      <c r="G77"/>
      <c r="H77"/>
      <c r="I77"/>
      <c r="J77"/>
      <c r="K77"/>
      <c r="L77"/>
      <c r="M77" s="4"/>
    </row>
    <row r="78" spans="2:13" s="14" customFormat="1" ht="12.75">
      <c r="B78" s="14" t="s">
        <v>260</v>
      </c>
      <c r="C78" s="6" t="s">
        <v>263</v>
      </c>
      <c r="D78" s="6"/>
      <c r="E78" s="6"/>
      <c r="F78"/>
      <c r="G78"/>
      <c r="H78"/>
      <c r="I78"/>
      <c r="J78"/>
      <c r="K78"/>
      <c r="L78"/>
      <c r="M78" s="4"/>
    </row>
    <row r="79" spans="2:13" s="14" customFormat="1" ht="12.75">
      <c r="B79" s="6" t="s">
        <v>134</v>
      </c>
      <c r="C79" s="6"/>
      <c r="D79" s="6" t="s">
        <v>27</v>
      </c>
      <c r="E79" s="6"/>
      <c r="F79"/>
      <c r="G79"/>
      <c r="H79"/>
      <c r="I79"/>
      <c r="J79"/>
      <c r="K79"/>
      <c r="L79"/>
      <c r="M79" s="4"/>
    </row>
    <row r="80" spans="2:13" s="14" customFormat="1" ht="12.75">
      <c r="B80" s="6" t="s">
        <v>261</v>
      </c>
      <c r="C80" s="6"/>
      <c r="D80" s="6" t="s">
        <v>27</v>
      </c>
      <c r="E80" s="6"/>
      <c r="F80"/>
      <c r="G80"/>
      <c r="H80"/>
      <c r="I80"/>
      <c r="J80"/>
      <c r="K80"/>
      <c r="L80"/>
      <c r="M80" s="4"/>
    </row>
    <row r="81" spans="2:13" s="14" customFormat="1" ht="12.75">
      <c r="B81" s="6" t="s">
        <v>260</v>
      </c>
      <c r="C81" s="6"/>
      <c r="D81" s="6" t="s">
        <v>18</v>
      </c>
      <c r="E81" s="6"/>
      <c r="F81"/>
      <c r="G81">
        <v>99.9996</v>
      </c>
      <c r="H81"/>
      <c r="I81">
        <v>99.9998</v>
      </c>
      <c r="J81"/>
      <c r="K81">
        <v>99.9998</v>
      </c>
      <c r="L81"/>
      <c r="M81" s="4"/>
    </row>
    <row r="82" spans="2:13" s="14" customFormat="1" ht="12.75">
      <c r="B82" s="6"/>
      <c r="C82" s="6"/>
      <c r="D82" s="6"/>
      <c r="E82" s="6"/>
      <c r="F82"/>
      <c r="G82"/>
      <c r="H82"/>
      <c r="I82"/>
      <c r="J82"/>
      <c r="K82"/>
      <c r="L82"/>
      <c r="M82"/>
    </row>
    <row r="83" spans="2:13" s="14" customFormat="1" ht="12.75">
      <c r="B83" s="6" t="s">
        <v>52</v>
      </c>
      <c r="C83" s="6" t="s">
        <v>267</v>
      </c>
      <c r="D83" s="6" t="s">
        <v>210</v>
      </c>
      <c r="E83" s="6"/>
      <c r="F83"/>
      <c r="G83"/>
      <c r="H83"/>
      <c r="I83"/>
      <c r="J83"/>
      <c r="K83"/>
      <c r="L83"/>
      <c r="M83"/>
    </row>
    <row r="84" spans="2:13" s="14" customFormat="1" ht="12.75">
      <c r="B84" s="6" t="s">
        <v>46</v>
      </c>
      <c r="C84" s="6"/>
      <c r="D84" s="6" t="s">
        <v>17</v>
      </c>
      <c r="E84" s="6"/>
      <c r="F84"/>
      <c r="G84" s="76">
        <v>20686</v>
      </c>
      <c r="H84"/>
      <c r="I84">
        <v>21369</v>
      </c>
      <c r="J84"/>
      <c r="K84">
        <v>20298</v>
      </c>
      <c r="L84"/>
      <c r="M84" s="4">
        <f>AVERAGE(G84,I84,K84)</f>
        <v>20784.333333333332</v>
      </c>
    </row>
    <row r="85" spans="2:13" s="14" customFormat="1" ht="12.75">
      <c r="B85" s="6" t="s">
        <v>49</v>
      </c>
      <c r="C85" s="6"/>
      <c r="D85" s="6" t="s">
        <v>18</v>
      </c>
      <c r="E85" s="6"/>
      <c r="F85"/>
      <c r="G85">
        <v>12.2</v>
      </c>
      <c r="H85"/>
      <c r="I85">
        <v>11.8</v>
      </c>
      <c r="J85"/>
      <c r="K85">
        <v>12.4</v>
      </c>
      <c r="L85"/>
      <c r="M85" s="4">
        <f>AVERAGE(G85,I85,K85)</f>
        <v>12.133333333333333</v>
      </c>
    </row>
    <row r="86" spans="2:13" s="14" customFormat="1" ht="12.75">
      <c r="B86" s="6" t="s">
        <v>50</v>
      </c>
      <c r="C86" s="6"/>
      <c r="D86" s="6" t="s">
        <v>18</v>
      </c>
      <c r="E86" s="6"/>
      <c r="F86"/>
      <c r="G86">
        <v>23.68</v>
      </c>
      <c r="H86"/>
      <c r="I86">
        <v>21.31</v>
      </c>
      <c r="J86"/>
      <c r="K86">
        <v>25.64</v>
      </c>
      <c r="L86"/>
      <c r="M86" s="4">
        <f>AVERAGE(G86,I86,K86)</f>
        <v>23.543333333333333</v>
      </c>
    </row>
    <row r="87" spans="2:13" s="14" customFormat="1" ht="12.75">
      <c r="B87" s="6" t="s">
        <v>45</v>
      </c>
      <c r="C87" s="6"/>
      <c r="D87" s="6" t="s">
        <v>19</v>
      </c>
      <c r="E87" s="6"/>
      <c r="F87"/>
      <c r="G87">
        <v>184.1</v>
      </c>
      <c r="H87"/>
      <c r="I87">
        <v>175</v>
      </c>
      <c r="J87"/>
      <c r="K87">
        <v>181.8</v>
      </c>
      <c r="L87"/>
      <c r="M87" s="4">
        <f>AVERAGE(G87,I87,K87)</f>
        <v>180.30000000000004</v>
      </c>
    </row>
    <row r="89" spans="1:13" s="14" customFormat="1" ht="12.75">
      <c r="A89" s="14">
        <v>11</v>
      </c>
      <c r="B89" s="18" t="s">
        <v>256</v>
      </c>
      <c r="C89" s="18"/>
      <c r="D89" s="6"/>
      <c r="E89" s="6"/>
      <c r="F89" s="6"/>
      <c r="G89" s="16" t="s">
        <v>166</v>
      </c>
      <c r="H89" s="16"/>
      <c r="I89" s="17" t="s">
        <v>167</v>
      </c>
      <c r="J89" s="16"/>
      <c r="K89" s="16" t="s">
        <v>168</v>
      </c>
      <c r="L89" s="16"/>
      <c r="M89" s="14" t="s">
        <v>123</v>
      </c>
    </row>
    <row r="90" spans="2:13" s="14" customFormat="1" ht="12.75">
      <c r="B90" s="6"/>
      <c r="C90" s="6"/>
      <c r="D90" s="9"/>
      <c r="E90" s="9"/>
      <c r="F90"/>
      <c r="G90"/>
      <c r="H90"/>
      <c r="I90"/>
      <c r="J90"/>
      <c r="K90"/>
      <c r="L90"/>
      <c r="M90"/>
    </row>
    <row r="91" spans="2:13" s="14" customFormat="1" ht="12.75">
      <c r="B91" s="6" t="s">
        <v>13</v>
      </c>
      <c r="C91" s="6" t="s">
        <v>210</v>
      </c>
      <c r="D91" s="6" t="s">
        <v>14</v>
      </c>
      <c r="E91" s="6" t="s">
        <v>15</v>
      </c>
      <c r="F91"/>
      <c r="G91">
        <v>0.019</v>
      </c>
      <c r="H91"/>
      <c r="I91">
        <v>0.015</v>
      </c>
      <c r="J91"/>
      <c r="K91">
        <v>0.026</v>
      </c>
      <c r="L91"/>
      <c r="M91" s="74">
        <f>AVERAGE(I91,G91,K91)</f>
        <v>0.02</v>
      </c>
    </row>
    <row r="92" spans="2:13" s="14" customFormat="1" ht="12.75">
      <c r="B92" s="6" t="s">
        <v>24</v>
      </c>
      <c r="C92" s="6" t="s">
        <v>210</v>
      </c>
      <c r="D92" s="9" t="s">
        <v>27</v>
      </c>
      <c r="E92" s="9"/>
      <c r="F92"/>
      <c r="G92">
        <v>5.46</v>
      </c>
      <c r="H92"/>
      <c r="I92">
        <v>6.7</v>
      </c>
      <c r="J92"/>
      <c r="K92">
        <v>5.69</v>
      </c>
      <c r="L92"/>
      <c r="M92" s="75"/>
    </row>
    <row r="93" spans="2:13" s="14" customFormat="1" ht="12.75">
      <c r="B93" s="6" t="s">
        <v>24</v>
      </c>
      <c r="C93" s="6" t="s">
        <v>210</v>
      </c>
      <c r="D93" s="9" t="s">
        <v>16</v>
      </c>
      <c r="E93" s="9" t="s">
        <v>15</v>
      </c>
      <c r="F93"/>
      <c r="G93" s="4">
        <f>G92*454/G97/0.0283/60*14/(21-G98)/1518*1000000</f>
        <v>75.1796998269987</v>
      </c>
      <c r="H93"/>
      <c r="I93" s="4">
        <f>I92*454/I97/0.0283/60*14/(21-I98)/1518*1000000</f>
        <v>91.81237973764276</v>
      </c>
      <c r="J93"/>
      <c r="K93" s="4">
        <f>K92*454/K97/0.0283/60*14/(21-K98)/1518*1000000</f>
        <v>79.39715240808214</v>
      </c>
      <c r="L93"/>
      <c r="M93" s="4">
        <f>AVERAGE(G93,I93,K93)</f>
        <v>82.12974399090787</v>
      </c>
    </row>
    <row r="94" spans="2:15" s="14" customFormat="1" ht="12.75">
      <c r="B94" s="6" t="s">
        <v>241</v>
      </c>
      <c r="C94" s="6" t="s">
        <v>210</v>
      </c>
      <c r="D94" s="9" t="s">
        <v>16</v>
      </c>
      <c r="E94" s="9" t="s">
        <v>15</v>
      </c>
      <c r="F94"/>
      <c r="G94" s="4">
        <f>G93</f>
        <v>75.1796998269987</v>
      </c>
      <c r="H94"/>
      <c r="I94" s="4">
        <f>I93</f>
        <v>91.81237973764276</v>
      </c>
      <c r="J94"/>
      <c r="K94" s="4">
        <f>K93</f>
        <v>79.39715240808214</v>
      </c>
      <c r="L94"/>
      <c r="M94" s="4">
        <f>M93</f>
        <v>82.12974399090787</v>
      </c>
      <c r="O94" s="14" t="s">
        <v>266</v>
      </c>
    </row>
    <row r="95" spans="2:13" s="14" customFormat="1" ht="12.75">
      <c r="B95" s="6"/>
      <c r="C95" s="6"/>
      <c r="D95" s="6"/>
      <c r="E95" s="6"/>
      <c r="F95"/>
      <c r="G95"/>
      <c r="H95"/>
      <c r="I95"/>
      <c r="J95"/>
      <c r="K95"/>
      <c r="L95"/>
      <c r="M95" s="74"/>
    </row>
    <row r="96" spans="2:13" s="14" customFormat="1" ht="12.75">
      <c r="B96" s="6" t="s">
        <v>52</v>
      </c>
      <c r="C96" s="6" t="s">
        <v>13</v>
      </c>
      <c r="D96" s="6" t="s">
        <v>210</v>
      </c>
      <c r="E96" s="6"/>
      <c r="F96"/>
      <c r="G96"/>
      <c r="H96"/>
      <c r="I96"/>
      <c r="J96"/>
      <c r="K96"/>
      <c r="L96"/>
      <c r="M96"/>
    </row>
    <row r="97" spans="2:13" s="14" customFormat="1" ht="12.75">
      <c r="B97" s="6" t="s">
        <v>46</v>
      </c>
      <c r="C97" s="6"/>
      <c r="D97" s="6" t="s">
        <v>17</v>
      </c>
      <c r="E97" s="6"/>
      <c r="F97"/>
      <c r="G97">
        <v>25584</v>
      </c>
      <c r="H97"/>
      <c r="I97">
        <v>26463</v>
      </c>
      <c r="J97"/>
      <c r="K97">
        <v>25988</v>
      </c>
      <c r="L97"/>
      <c r="M97" s="4">
        <f>AVERAGE(G97,I97,K97)</f>
        <v>26011.666666666668</v>
      </c>
    </row>
    <row r="98" spans="2:13" s="14" customFormat="1" ht="12.75">
      <c r="B98" s="6" t="s">
        <v>49</v>
      </c>
      <c r="C98" s="6"/>
      <c r="D98" s="6" t="s">
        <v>18</v>
      </c>
      <c r="E98" s="6"/>
      <c r="F98"/>
      <c r="G98">
        <v>14</v>
      </c>
      <c r="H98"/>
      <c r="I98">
        <v>14.2</v>
      </c>
      <c r="J98"/>
      <c r="K98">
        <v>14.2</v>
      </c>
      <c r="L98"/>
      <c r="M98" s="4">
        <f>AVERAGE(G98,I98,K98)</f>
        <v>14.133333333333333</v>
      </c>
    </row>
    <row r="99" spans="2:13" s="14" customFormat="1" ht="12.75">
      <c r="B99" s="6" t="s">
        <v>50</v>
      </c>
      <c r="C99" s="6"/>
      <c r="D99" s="6" t="s">
        <v>18</v>
      </c>
      <c r="E99" s="6"/>
      <c r="F99"/>
      <c r="G99">
        <v>20.47</v>
      </c>
      <c r="H99"/>
      <c r="I99">
        <v>20.42</v>
      </c>
      <c r="J99"/>
      <c r="K99">
        <v>20.32</v>
      </c>
      <c r="L99"/>
      <c r="M99" s="4">
        <f>AVERAGE(G99,I99,K99)</f>
        <v>20.403333333333332</v>
      </c>
    </row>
    <row r="100" spans="2:13" s="14" customFormat="1" ht="12.75">
      <c r="B100" s="6" t="s">
        <v>45</v>
      </c>
      <c r="C100" s="6"/>
      <c r="D100" s="6" t="s">
        <v>19</v>
      </c>
      <c r="E100" s="6"/>
      <c r="F100"/>
      <c r="G100">
        <v>160.2</v>
      </c>
      <c r="H100"/>
      <c r="I100">
        <v>157.3</v>
      </c>
      <c r="J100"/>
      <c r="K100">
        <v>166.7</v>
      </c>
      <c r="L100"/>
      <c r="M100" s="4">
        <f>AVERAGE(G100,I100,K100)</f>
        <v>161.4</v>
      </c>
    </row>
    <row r="102" spans="2:13" s="14" customFormat="1" ht="12.75">
      <c r="B102" s="14" t="s">
        <v>260</v>
      </c>
      <c r="C102" s="6" t="s">
        <v>265</v>
      </c>
      <c r="D102" s="6"/>
      <c r="E102" s="6"/>
      <c r="F102"/>
      <c r="G102"/>
      <c r="H102"/>
      <c r="I102"/>
      <c r="J102"/>
      <c r="K102"/>
      <c r="L102"/>
      <c r="M102" s="4"/>
    </row>
    <row r="103" spans="2:13" s="14" customFormat="1" ht="12.75">
      <c r="B103" s="6" t="s">
        <v>134</v>
      </c>
      <c r="C103" s="6"/>
      <c r="D103" s="6" t="s">
        <v>27</v>
      </c>
      <c r="E103" s="6"/>
      <c r="F103"/>
      <c r="G103"/>
      <c r="H103"/>
      <c r="I103"/>
      <c r="J103"/>
      <c r="K103"/>
      <c r="L103"/>
      <c r="M103" s="4"/>
    </row>
    <row r="104" spans="2:13" s="14" customFormat="1" ht="12.75">
      <c r="B104" s="6" t="s">
        <v>261</v>
      </c>
      <c r="C104" s="6"/>
      <c r="D104" s="6" t="s">
        <v>27</v>
      </c>
      <c r="E104" s="6"/>
      <c r="F104"/>
      <c r="G104"/>
      <c r="H104"/>
      <c r="I104"/>
      <c r="J104"/>
      <c r="K104"/>
      <c r="L104"/>
      <c r="M104" s="4"/>
    </row>
    <row r="105" spans="2:13" s="14" customFormat="1" ht="12.75">
      <c r="B105" s="6" t="s">
        <v>260</v>
      </c>
      <c r="C105" s="6"/>
      <c r="D105" s="6" t="s">
        <v>18</v>
      </c>
      <c r="E105" s="6"/>
      <c r="F105"/>
      <c r="G105">
        <v>99.9989</v>
      </c>
      <c r="H105"/>
      <c r="I105">
        <v>99.9988</v>
      </c>
      <c r="J105"/>
      <c r="K105">
        <v>99.9982</v>
      </c>
      <c r="L105"/>
      <c r="M105" s="4"/>
    </row>
    <row r="106" spans="2:13" s="14" customFormat="1" ht="12.75">
      <c r="B106" s="6"/>
      <c r="C106" s="6"/>
      <c r="D106" s="6"/>
      <c r="E106" s="6"/>
      <c r="F106"/>
      <c r="G106"/>
      <c r="H106"/>
      <c r="I106"/>
      <c r="J106"/>
      <c r="K106"/>
      <c r="L106"/>
      <c r="M106" s="4"/>
    </row>
    <row r="107" spans="2:13" s="14" customFormat="1" ht="12.75">
      <c r="B107" s="6" t="s">
        <v>260</v>
      </c>
      <c r="C107" s="6" t="s">
        <v>264</v>
      </c>
      <c r="D107" s="6"/>
      <c r="E107" s="6"/>
      <c r="F107"/>
      <c r="G107"/>
      <c r="H107"/>
      <c r="I107"/>
      <c r="J107"/>
      <c r="K107"/>
      <c r="L107"/>
      <c r="M107" s="4"/>
    </row>
    <row r="108" spans="2:13" s="14" customFormat="1" ht="12.75">
      <c r="B108" s="6" t="s">
        <v>134</v>
      </c>
      <c r="C108" s="6"/>
      <c r="D108" s="6" t="s">
        <v>27</v>
      </c>
      <c r="E108" s="6"/>
      <c r="F108"/>
      <c r="G108"/>
      <c r="H108"/>
      <c r="I108"/>
      <c r="J108"/>
      <c r="K108"/>
      <c r="L108"/>
      <c r="M108" s="4"/>
    </row>
    <row r="109" spans="2:13" s="14" customFormat="1" ht="12.75">
      <c r="B109" s="6" t="s">
        <v>261</v>
      </c>
      <c r="C109" s="6"/>
      <c r="D109" s="6" t="s">
        <v>27</v>
      </c>
      <c r="E109" s="6"/>
      <c r="F109"/>
      <c r="G109"/>
      <c r="H109"/>
      <c r="I109"/>
      <c r="J109"/>
      <c r="K109"/>
      <c r="L109"/>
      <c r="M109" s="4"/>
    </row>
    <row r="110" spans="2:13" s="14" customFormat="1" ht="12.75">
      <c r="B110" s="6" t="s">
        <v>260</v>
      </c>
      <c r="C110" s="6"/>
      <c r="D110" s="6" t="s">
        <v>18</v>
      </c>
      <c r="E110" s="6"/>
      <c r="F110"/>
      <c r="G110">
        <v>99.9987</v>
      </c>
      <c r="H110"/>
      <c r="I110">
        <v>99.9985</v>
      </c>
      <c r="J110"/>
      <c r="K110">
        <v>99.9986</v>
      </c>
      <c r="L110"/>
      <c r="M110" s="4"/>
    </row>
    <row r="111" spans="2:13" s="14" customFormat="1" ht="12.75">
      <c r="B111" s="6"/>
      <c r="C111" s="6"/>
      <c r="D111" s="6"/>
      <c r="E111" s="6"/>
      <c r="F111"/>
      <c r="G111"/>
      <c r="H111"/>
      <c r="I111"/>
      <c r="J111"/>
      <c r="K111"/>
      <c r="L111"/>
      <c r="M111" s="4"/>
    </row>
    <row r="112" spans="2:13" s="14" customFormat="1" ht="12.75">
      <c r="B112" s="14" t="s">
        <v>260</v>
      </c>
      <c r="C112" s="6" t="s">
        <v>263</v>
      </c>
      <c r="D112" s="6"/>
      <c r="E112" s="6"/>
      <c r="F112"/>
      <c r="G112"/>
      <c r="H112"/>
      <c r="I112"/>
      <c r="J112"/>
      <c r="K112"/>
      <c r="L112"/>
      <c r="M112" s="4"/>
    </row>
    <row r="113" spans="2:13" s="14" customFormat="1" ht="12.75">
      <c r="B113" s="6" t="s">
        <v>134</v>
      </c>
      <c r="C113" s="6"/>
      <c r="D113" s="6" t="s">
        <v>27</v>
      </c>
      <c r="E113" s="6"/>
      <c r="F113"/>
      <c r="G113"/>
      <c r="H113"/>
      <c r="I113"/>
      <c r="J113"/>
      <c r="K113"/>
      <c r="L113"/>
      <c r="M113" s="4"/>
    </row>
    <row r="114" spans="2:13" s="14" customFormat="1" ht="12.75">
      <c r="B114" s="6" t="s">
        <v>261</v>
      </c>
      <c r="C114" s="6"/>
      <c r="D114" s="6" t="s">
        <v>27</v>
      </c>
      <c r="E114" s="6"/>
      <c r="F114"/>
      <c r="G114"/>
      <c r="H114"/>
      <c r="I114"/>
      <c r="J114"/>
      <c r="K114"/>
      <c r="L114"/>
      <c r="M114" s="4"/>
    </row>
    <row r="115" spans="2:13" s="14" customFormat="1" ht="12.75">
      <c r="B115" s="6" t="s">
        <v>260</v>
      </c>
      <c r="C115" s="6"/>
      <c r="D115" s="6" t="s">
        <v>18</v>
      </c>
      <c r="E115" s="6"/>
      <c r="F115"/>
      <c r="G115">
        <v>99.9928</v>
      </c>
      <c r="H115"/>
      <c r="I115">
        <v>99.9994</v>
      </c>
      <c r="J115"/>
      <c r="K115">
        <v>99.9994</v>
      </c>
      <c r="L115"/>
      <c r="M115" s="4"/>
    </row>
    <row r="116" spans="2:9" s="14" customFormat="1" ht="12.75">
      <c r="B116" s="6"/>
      <c r="C116" s="6"/>
      <c r="D116" s="6"/>
      <c r="E116" s="6"/>
      <c r="F116" s="6"/>
      <c r="I116" s="15"/>
    </row>
    <row r="117" spans="2:13" s="14" customFormat="1" ht="12.75">
      <c r="B117" s="18" t="s">
        <v>258</v>
      </c>
      <c r="C117" s="18"/>
      <c r="D117" s="6"/>
      <c r="E117" s="6"/>
      <c r="F117" s="6"/>
      <c r="G117" s="16" t="s">
        <v>166</v>
      </c>
      <c r="H117" s="16"/>
      <c r="I117" s="17" t="s">
        <v>167</v>
      </c>
      <c r="J117" s="16"/>
      <c r="K117" s="16" t="s">
        <v>168</v>
      </c>
      <c r="L117" s="16"/>
      <c r="M117" s="14" t="s">
        <v>123</v>
      </c>
    </row>
    <row r="118" spans="2:12" s="14" customFormat="1" ht="12.75">
      <c r="B118" s="6"/>
      <c r="C118" s="6"/>
      <c r="D118" s="9"/>
      <c r="E118" s="9"/>
      <c r="F118" s="9"/>
      <c r="G118" s="9"/>
      <c r="H118" s="9"/>
      <c r="I118" s="73"/>
      <c r="J118" s="9"/>
      <c r="K118" s="9"/>
      <c r="L118" s="9"/>
    </row>
    <row r="119" spans="2:12" s="14" customFormat="1" ht="12.75">
      <c r="B119" s="6" t="s">
        <v>260</v>
      </c>
      <c r="C119" s="6" t="s">
        <v>262</v>
      </c>
      <c r="D119" s="6"/>
      <c r="E119" s="6"/>
      <c r="F119"/>
      <c r="G119"/>
      <c r="H119"/>
      <c r="I119"/>
      <c r="J119"/>
      <c r="K119"/>
      <c r="L119" s="19"/>
    </row>
    <row r="120" spans="2:12" s="14" customFormat="1" ht="12.75">
      <c r="B120" s="6" t="s">
        <v>134</v>
      </c>
      <c r="C120" s="6"/>
      <c r="D120" s="6" t="s">
        <v>27</v>
      </c>
      <c r="E120" s="6"/>
      <c r="F120"/>
      <c r="G120"/>
      <c r="H120"/>
      <c r="I120"/>
      <c r="J120"/>
      <c r="K120"/>
      <c r="L120" s="19"/>
    </row>
    <row r="121" spans="2:12" s="14" customFormat="1" ht="12.75">
      <c r="B121" s="6" t="s">
        <v>261</v>
      </c>
      <c r="C121" s="6"/>
      <c r="D121" s="6" t="s">
        <v>27</v>
      </c>
      <c r="E121" s="6"/>
      <c r="F121"/>
      <c r="G121"/>
      <c r="H121"/>
      <c r="I121"/>
      <c r="J121"/>
      <c r="K121"/>
      <c r="L121" s="19"/>
    </row>
    <row r="122" spans="2:12" s="14" customFormat="1" ht="12.75">
      <c r="B122" s="6" t="s">
        <v>260</v>
      </c>
      <c r="C122" s="6"/>
      <c r="D122" s="6" t="s">
        <v>18</v>
      </c>
      <c r="E122" s="6"/>
      <c r="F122"/>
      <c r="G122">
        <v>99.9957</v>
      </c>
      <c r="H122"/>
      <c r="I122">
        <v>99.9976</v>
      </c>
      <c r="J122"/>
      <c r="K122">
        <v>99.9905</v>
      </c>
      <c r="L122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Z29"/>
  <sheetViews>
    <sheetView workbookViewId="0" topLeftCell="B2">
      <selection activeCell="AU13" sqref="AU13"/>
    </sheetView>
  </sheetViews>
  <sheetFormatPr defaultColWidth="9.140625" defaultRowHeight="12.75"/>
  <cols>
    <col min="1" max="1" width="2.28125" style="21" hidden="1" customWidth="1"/>
    <col min="2" max="2" width="22.57421875" style="7" customWidth="1"/>
    <col min="3" max="3" width="2.140625" style="7" customWidth="1"/>
    <col min="4" max="4" width="9.28125" style="7" customWidth="1"/>
    <col min="5" max="5" width="2.8515625" style="21" customWidth="1"/>
    <col min="6" max="6" width="12.00390625" style="22" customWidth="1"/>
    <col min="7" max="7" width="2.57421875" style="22" customWidth="1"/>
    <col min="8" max="8" width="12.28125" style="21" customWidth="1"/>
    <col min="9" max="9" width="2.7109375" style="21" customWidth="1"/>
    <col min="10" max="10" width="12.28125" style="21" customWidth="1"/>
    <col min="11" max="11" width="2.140625" style="21" customWidth="1"/>
    <col min="12" max="12" width="12.00390625" style="21" customWidth="1"/>
    <col min="13" max="13" width="2.421875" style="21" customWidth="1"/>
    <col min="14" max="14" width="13.57421875" style="21" customWidth="1"/>
    <col min="15" max="15" width="2.8515625" style="21" customWidth="1"/>
    <col min="16" max="16" width="14.00390625" style="21" customWidth="1"/>
    <col min="17" max="17" width="3.140625" style="21" customWidth="1"/>
    <col min="18" max="18" width="13.7109375" style="21" customWidth="1"/>
    <col min="19" max="19" width="3.00390625" style="21" customWidth="1"/>
    <col min="20" max="20" width="13.7109375" style="21" customWidth="1"/>
    <col min="21" max="21" width="3.140625" style="21" customWidth="1"/>
    <col min="22" max="22" width="10.7109375" style="21" customWidth="1"/>
    <col min="23" max="23" width="2.421875" style="21" customWidth="1"/>
    <col min="24" max="24" width="11.140625" style="21" customWidth="1"/>
    <col min="25" max="25" width="2.7109375" style="21" customWidth="1"/>
    <col min="26" max="26" width="11.140625" style="21" customWidth="1"/>
    <col min="27" max="27" width="3.00390625" style="21" customWidth="1"/>
    <col min="28" max="28" width="11.00390625" style="21" customWidth="1"/>
    <col min="29" max="29" width="2.7109375" style="21" customWidth="1"/>
    <col min="30" max="30" width="11.00390625" style="21" customWidth="1"/>
    <col min="31" max="31" width="2.8515625" style="21" customWidth="1"/>
    <col min="32" max="32" width="11.00390625" style="21" customWidth="1"/>
    <col min="33" max="33" width="2.7109375" style="21" customWidth="1"/>
    <col min="34" max="34" width="11.00390625" style="21" customWidth="1"/>
    <col min="35" max="35" width="2.28125" style="21" customWidth="1"/>
    <col min="36" max="36" width="11.00390625" style="21" customWidth="1"/>
    <col min="37" max="37" width="2.8515625" style="21" customWidth="1"/>
    <col min="38" max="38" width="10.28125" style="21" customWidth="1"/>
    <col min="39" max="39" width="2.28125" style="21" customWidth="1"/>
    <col min="40" max="40" width="10.8515625" style="21" customWidth="1"/>
    <col min="41" max="41" width="2.421875" style="21" customWidth="1"/>
    <col min="42" max="42" width="10.28125" style="21" customWidth="1"/>
    <col min="43" max="43" width="2.28125" style="21" customWidth="1"/>
    <col min="44" max="44" width="10.7109375" style="21" customWidth="1"/>
    <col min="45" max="45" width="2.421875" style="21" customWidth="1"/>
    <col min="46" max="46" width="10.140625" style="21" customWidth="1"/>
    <col min="47" max="47" width="2.8515625" style="21" customWidth="1"/>
    <col min="48" max="48" width="10.57421875" style="21" customWidth="1"/>
    <col min="49" max="49" width="2.7109375" style="21" customWidth="1"/>
    <col min="50" max="50" width="10.140625" style="21" customWidth="1"/>
    <col min="51" max="51" width="2.28125" style="21" customWidth="1"/>
    <col min="52" max="52" width="9.57421875" style="21" customWidth="1"/>
    <col min="53" max="16384" width="8.8515625" style="21" customWidth="1"/>
  </cols>
  <sheetData>
    <row r="1" spans="2:3" ht="12.75">
      <c r="B1" s="20" t="s">
        <v>21</v>
      </c>
      <c r="C1" s="20"/>
    </row>
    <row r="4" spans="1:52" ht="12.75">
      <c r="A4" s="21" t="s">
        <v>54</v>
      </c>
      <c r="B4" s="20" t="s">
        <v>115</v>
      </c>
      <c r="C4" s="20" t="s">
        <v>53</v>
      </c>
      <c r="F4" s="31" t="s">
        <v>166</v>
      </c>
      <c r="G4" s="31"/>
      <c r="H4" s="31" t="s">
        <v>167</v>
      </c>
      <c r="I4" s="31"/>
      <c r="J4" s="31" t="s">
        <v>168</v>
      </c>
      <c r="K4" s="31"/>
      <c r="L4" s="31" t="s">
        <v>123</v>
      </c>
      <c r="M4" s="31"/>
      <c r="N4" s="31" t="s">
        <v>166</v>
      </c>
      <c r="O4" s="31"/>
      <c r="P4" s="31" t="s">
        <v>167</v>
      </c>
      <c r="Q4" s="31"/>
      <c r="R4" s="31" t="s">
        <v>168</v>
      </c>
      <c r="S4" s="31"/>
      <c r="T4" s="31" t="s">
        <v>123</v>
      </c>
      <c r="U4" s="31"/>
      <c r="V4" s="31" t="s">
        <v>166</v>
      </c>
      <c r="W4" s="31"/>
      <c r="X4" s="31" t="s">
        <v>167</v>
      </c>
      <c r="Y4" s="31"/>
      <c r="Z4" s="31" t="s">
        <v>168</v>
      </c>
      <c r="AA4" s="31"/>
      <c r="AB4" s="31" t="s">
        <v>123</v>
      </c>
      <c r="AC4" s="31"/>
      <c r="AD4" s="31" t="s">
        <v>166</v>
      </c>
      <c r="AE4" s="31"/>
      <c r="AF4" s="31" t="s">
        <v>167</v>
      </c>
      <c r="AG4" s="31"/>
      <c r="AH4" s="31" t="s">
        <v>168</v>
      </c>
      <c r="AI4" s="31"/>
      <c r="AJ4" s="31" t="s">
        <v>123</v>
      </c>
      <c r="AK4" s="31"/>
      <c r="AL4" s="31" t="s">
        <v>166</v>
      </c>
      <c r="AM4" s="31"/>
      <c r="AN4" s="31" t="s">
        <v>167</v>
      </c>
      <c r="AO4" s="31"/>
      <c r="AP4" s="31" t="s">
        <v>168</v>
      </c>
      <c r="AQ4" s="31"/>
      <c r="AR4" s="31" t="s">
        <v>123</v>
      </c>
      <c r="AS4" s="31"/>
      <c r="AT4" s="31" t="s">
        <v>166</v>
      </c>
      <c r="AU4" s="31"/>
      <c r="AV4" s="31" t="s">
        <v>167</v>
      </c>
      <c r="AW4" s="31"/>
      <c r="AX4" s="31" t="s">
        <v>168</v>
      </c>
      <c r="AY4" s="31"/>
      <c r="AZ4" s="31" t="s">
        <v>123</v>
      </c>
    </row>
    <row r="6" spans="2:52" ht="12.75">
      <c r="B6" s="7" t="s">
        <v>227</v>
      </c>
      <c r="F6" s="23" t="s">
        <v>230</v>
      </c>
      <c r="G6" s="23"/>
      <c r="H6" s="23" t="s">
        <v>230</v>
      </c>
      <c r="I6" s="23"/>
      <c r="J6" s="23" t="s">
        <v>230</v>
      </c>
      <c r="K6" s="23"/>
      <c r="L6" s="23" t="s">
        <v>230</v>
      </c>
      <c r="M6" s="23"/>
      <c r="N6" s="16" t="s">
        <v>231</v>
      </c>
      <c r="O6" s="16"/>
      <c r="P6" s="16" t="s">
        <v>231</v>
      </c>
      <c r="Q6" s="16"/>
      <c r="R6" s="16" t="s">
        <v>231</v>
      </c>
      <c r="S6" s="16"/>
      <c r="T6" s="16" t="s">
        <v>231</v>
      </c>
      <c r="U6" s="16"/>
      <c r="V6" s="16" t="s">
        <v>233</v>
      </c>
      <c r="W6" s="16"/>
      <c r="X6" s="16" t="s">
        <v>233</v>
      </c>
      <c r="Y6" s="16"/>
      <c r="Z6" s="16" t="s">
        <v>233</v>
      </c>
      <c r="AA6" s="16"/>
      <c r="AB6" s="16" t="s">
        <v>233</v>
      </c>
      <c r="AC6" s="16"/>
      <c r="AD6" s="16"/>
      <c r="AE6" s="16"/>
      <c r="AF6" s="16"/>
      <c r="AG6" s="16"/>
      <c r="AH6" s="16"/>
      <c r="AI6" s="16"/>
      <c r="AJ6" s="16"/>
      <c r="AK6" s="16"/>
      <c r="AL6" s="16" t="s">
        <v>234</v>
      </c>
      <c r="AM6" s="16"/>
      <c r="AN6" s="16" t="s">
        <v>234</v>
      </c>
      <c r="AO6" s="16"/>
      <c r="AP6" s="16" t="s">
        <v>234</v>
      </c>
      <c r="AQ6" s="16"/>
      <c r="AR6" s="16" t="s">
        <v>234</v>
      </c>
      <c r="AS6" s="16"/>
      <c r="AT6" s="16" t="s">
        <v>235</v>
      </c>
      <c r="AU6" s="16"/>
      <c r="AV6" s="16" t="s">
        <v>235</v>
      </c>
      <c r="AW6" s="16"/>
      <c r="AX6" s="16" t="s">
        <v>235</v>
      </c>
      <c r="AY6" s="16"/>
      <c r="AZ6" s="16" t="s">
        <v>235</v>
      </c>
    </row>
    <row r="7" spans="2:52" ht="12.75">
      <c r="B7" s="7" t="s">
        <v>228</v>
      </c>
      <c r="F7" s="23" t="s">
        <v>229</v>
      </c>
      <c r="G7" s="23"/>
      <c r="H7" s="23" t="s">
        <v>229</v>
      </c>
      <c r="I7" s="23"/>
      <c r="J7" s="23" t="s">
        <v>229</v>
      </c>
      <c r="K7" s="23"/>
      <c r="L7" s="23" t="s">
        <v>229</v>
      </c>
      <c r="M7" s="23"/>
      <c r="N7" s="16" t="s">
        <v>232</v>
      </c>
      <c r="O7" s="16"/>
      <c r="P7" s="16" t="s">
        <v>232</v>
      </c>
      <c r="Q7" s="16"/>
      <c r="R7" s="16" t="s">
        <v>232</v>
      </c>
      <c r="S7" s="16"/>
      <c r="T7" s="16" t="s">
        <v>232</v>
      </c>
      <c r="V7" s="21" t="s">
        <v>229</v>
      </c>
      <c r="X7" s="21" t="s">
        <v>229</v>
      </c>
      <c r="Z7" s="21" t="s">
        <v>229</v>
      </c>
      <c r="AB7" s="21" t="s">
        <v>229</v>
      </c>
      <c r="AL7" s="21" t="s">
        <v>28</v>
      </c>
      <c r="AN7" s="21" t="s">
        <v>28</v>
      </c>
      <c r="AP7" s="21" t="s">
        <v>28</v>
      </c>
      <c r="AR7" s="21" t="s">
        <v>28</v>
      </c>
      <c r="AT7" s="14" t="s">
        <v>20</v>
      </c>
      <c r="AU7" s="14"/>
      <c r="AV7" s="14" t="s">
        <v>20</v>
      </c>
      <c r="AW7" s="14"/>
      <c r="AX7" s="14" t="s">
        <v>20</v>
      </c>
      <c r="AY7" s="14"/>
      <c r="AZ7" s="14" t="s">
        <v>20</v>
      </c>
    </row>
    <row r="8" spans="2:52" ht="12.75">
      <c r="B8" s="7" t="s">
        <v>238</v>
      </c>
      <c r="F8" s="23"/>
      <c r="G8" s="23"/>
      <c r="H8" s="23"/>
      <c r="I8" s="23"/>
      <c r="J8" s="23"/>
      <c r="K8" s="23"/>
      <c r="L8" s="23"/>
      <c r="M8" s="23"/>
      <c r="N8" s="16"/>
      <c r="O8" s="16"/>
      <c r="P8" s="16"/>
      <c r="Q8" s="16"/>
      <c r="R8" s="16"/>
      <c r="S8" s="16"/>
      <c r="AD8" s="21" t="s">
        <v>33</v>
      </c>
      <c r="AF8" s="21" t="s">
        <v>33</v>
      </c>
      <c r="AH8" s="21" t="s">
        <v>33</v>
      </c>
      <c r="AJ8" s="21" t="s">
        <v>33</v>
      </c>
      <c r="AL8" s="16" t="s">
        <v>28</v>
      </c>
      <c r="AN8" s="16" t="s">
        <v>28</v>
      </c>
      <c r="AP8" s="16" t="s">
        <v>28</v>
      </c>
      <c r="AR8" s="16" t="s">
        <v>28</v>
      </c>
      <c r="AT8" s="14" t="s">
        <v>20</v>
      </c>
      <c r="AU8" s="14"/>
      <c r="AV8" s="14" t="s">
        <v>20</v>
      </c>
      <c r="AW8" s="14"/>
      <c r="AX8" s="14" t="s">
        <v>20</v>
      </c>
      <c r="AY8" s="14"/>
      <c r="AZ8" s="14" t="s">
        <v>20</v>
      </c>
    </row>
    <row r="9" spans="2:52" s="38" customFormat="1" ht="12.75">
      <c r="B9" s="38" t="s">
        <v>22</v>
      </c>
      <c r="E9" s="39"/>
      <c r="F9" s="23" t="s">
        <v>148</v>
      </c>
      <c r="G9" s="23"/>
      <c r="H9" s="23" t="s">
        <v>148</v>
      </c>
      <c r="I9" s="23"/>
      <c r="J9" s="23" t="s">
        <v>148</v>
      </c>
      <c r="K9" s="23"/>
      <c r="L9" s="23" t="s">
        <v>148</v>
      </c>
      <c r="M9" s="23"/>
      <c r="N9" s="23" t="s">
        <v>149</v>
      </c>
      <c r="O9" s="23"/>
      <c r="P9" s="23" t="s">
        <v>149</v>
      </c>
      <c r="Q9" s="23"/>
      <c r="R9" s="23" t="s">
        <v>149</v>
      </c>
      <c r="S9" s="23"/>
      <c r="T9" s="23" t="s">
        <v>149</v>
      </c>
      <c r="U9" s="23"/>
      <c r="V9" s="53" t="s">
        <v>150</v>
      </c>
      <c r="W9" s="53"/>
      <c r="X9" s="53" t="s">
        <v>150</v>
      </c>
      <c r="Y9" s="53"/>
      <c r="Z9" s="53" t="s">
        <v>150</v>
      </c>
      <c r="AA9" s="53"/>
      <c r="AB9" s="53" t="s">
        <v>150</v>
      </c>
      <c r="AC9" s="53"/>
      <c r="AD9" s="53"/>
      <c r="AE9" s="53"/>
      <c r="AF9" s="53"/>
      <c r="AG9" s="53"/>
      <c r="AH9" s="53"/>
      <c r="AI9" s="53"/>
      <c r="AJ9" s="53"/>
      <c r="AK9" s="53"/>
      <c r="AL9" s="53" t="s">
        <v>28</v>
      </c>
      <c r="AM9" s="53"/>
      <c r="AN9" s="53" t="s">
        <v>28</v>
      </c>
      <c r="AO9" s="53"/>
      <c r="AP9" s="53" t="s">
        <v>28</v>
      </c>
      <c r="AQ9" s="53"/>
      <c r="AR9" s="53" t="s">
        <v>28</v>
      </c>
      <c r="AS9" s="53"/>
      <c r="AT9" s="21" t="s">
        <v>20</v>
      </c>
      <c r="AU9" s="21"/>
      <c r="AV9" s="21" t="s">
        <v>20</v>
      </c>
      <c r="AW9" s="21"/>
      <c r="AX9" s="21" t="s">
        <v>20</v>
      </c>
      <c r="AY9" s="21"/>
      <c r="AZ9" s="57" t="s">
        <v>20</v>
      </c>
    </row>
    <row r="10" spans="2:45" ht="12.75">
      <c r="B10" s="7" t="s">
        <v>55</v>
      </c>
      <c r="D10" s="7" t="s">
        <v>27</v>
      </c>
      <c r="E10" s="9"/>
      <c r="F10" s="9">
        <v>5818</v>
      </c>
      <c r="G10" s="9"/>
      <c r="H10" s="9">
        <v>5944</v>
      </c>
      <c r="I10" s="9"/>
      <c r="J10" s="9">
        <v>5963</v>
      </c>
      <c r="K10" s="9"/>
      <c r="L10" s="26">
        <f>AVERAGE(F10:J10)</f>
        <v>5908.333333333333</v>
      </c>
      <c r="M10" s="26"/>
      <c r="N10" s="9">
        <v>2391</v>
      </c>
      <c r="O10" s="9"/>
      <c r="P10" s="9">
        <v>2409</v>
      </c>
      <c r="Q10" s="9"/>
      <c r="R10" s="9">
        <v>2366</v>
      </c>
      <c r="S10" s="9"/>
      <c r="T10" s="26">
        <f>AVERAGE(N10:R10)</f>
        <v>2388.6666666666665</v>
      </c>
      <c r="U10" s="26"/>
      <c r="V10" s="9">
        <v>4126</v>
      </c>
      <c r="W10" s="9"/>
      <c r="X10" s="9">
        <v>4178</v>
      </c>
      <c r="Y10" s="9"/>
      <c r="Z10" s="9">
        <v>4198</v>
      </c>
      <c r="AA10" s="9"/>
      <c r="AB10" s="26">
        <f>AVERAGE(V10:Z10)</f>
        <v>4167.333333333333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9"/>
      <c r="AM10" s="9"/>
      <c r="AN10" s="9"/>
      <c r="AO10" s="9"/>
      <c r="AP10" s="9"/>
      <c r="AQ10" s="9"/>
      <c r="AR10" s="9"/>
      <c r="AS10" s="9"/>
    </row>
    <row r="11" spans="2:52" ht="12.75">
      <c r="B11" s="7" t="s">
        <v>64</v>
      </c>
      <c r="D11" s="7" t="s">
        <v>65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21">
        <v>63.6</v>
      </c>
      <c r="AV11" s="21">
        <v>66.4</v>
      </c>
      <c r="AX11" s="21">
        <v>59.8</v>
      </c>
      <c r="AZ11" s="21">
        <v>62.7</v>
      </c>
    </row>
    <row r="12" spans="2:52" ht="12.75">
      <c r="B12" s="7" t="s">
        <v>23</v>
      </c>
      <c r="D12" s="7" t="s">
        <v>27</v>
      </c>
      <c r="E12" s="9"/>
      <c r="F12" s="9"/>
      <c r="G12" s="9"/>
      <c r="H12" s="9"/>
      <c r="I12" s="9"/>
      <c r="J12" s="9"/>
      <c r="K12" s="9"/>
      <c r="L12" s="9"/>
      <c r="M12" s="9"/>
      <c r="N12" s="9">
        <v>2045</v>
      </c>
      <c r="O12" s="9"/>
      <c r="P12" s="9">
        <v>2072</v>
      </c>
      <c r="Q12" s="9"/>
      <c r="R12" s="9">
        <v>2033</v>
      </c>
      <c r="S12" s="9"/>
      <c r="T12" s="26">
        <f>AVERAGE(N12:R12)</f>
        <v>2050</v>
      </c>
      <c r="U12" s="26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>
        <f>139</f>
        <v>139</v>
      </c>
      <c r="AM12" s="9"/>
      <c r="AN12" s="9">
        <v>133</v>
      </c>
      <c r="AO12" s="9"/>
      <c r="AP12" s="9">
        <v>144</v>
      </c>
      <c r="AQ12" s="9"/>
      <c r="AR12" s="82">
        <f>AVERAGE(AP12,AN12,AL12)</f>
        <v>138.66666666666666</v>
      </c>
      <c r="AS12" s="9"/>
      <c r="AT12" s="21">
        <v>2185</v>
      </c>
      <c r="AV12" s="21">
        <v>2214</v>
      </c>
      <c r="AX12" s="21">
        <v>2179</v>
      </c>
      <c r="AZ12" s="21">
        <v>2193</v>
      </c>
    </row>
    <row r="13" spans="2:52" ht="12.75">
      <c r="B13" s="7" t="s">
        <v>63</v>
      </c>
      <c r="D13" s="7" t="s">
        <v>27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v>497</v>
      </c>
      <c r="AM13" s="9"/>
      <c r="AN13" s="9">
        <v>512</v>
      </c>
      <c r="AO13" s="9"/>
      <c r="AP13" s="9">
        <v>519</v>
      </c>
      <c r="AQ13" s="9"/>
      <c r="AR13" s="82">
        <f>AVERAGE(AP13,AN13,AL13)</f>
        <v>509.3333333333333</v>
      </c>
      <c r="AS13" s="9"/>
      <c r="AT13" s="9">
        <v>497</v>
      </c>
      <c r="AU13" s="9"/>
      <c r="AV13" s="9">
        <v>512</v>
      </c>
      <c r="AW13" s="9"/>
      <c r="AX13" s="9">
        <v>519</v>
      </c>
      <c r="AY13" s="9"/>
      <c r="AZ13" s="9">
        <f>AVERAGE(AX13,AV13,AT13)</f>
        <v>509.3333333333333</v>
      </c>
    </row>
    <row r="14" spans="2:52" ht="12.75">
      <c r="B14" s="7" t="s">
        <v>51</v>
      </c>
      <c r="D14" s="7" t="s">
        <v>27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f>3.5+3.4</f>
        <v>6.9</v>
      </c>
      <c r="AM14" s="9"/>
      <c r="AN14" s="9">
        <f>3.4+3.4</f>
        <v>6.8</v>
      </c>
      <c r="AO14" s="9"/>
      <c r="AP14" s="9">
        <f>3.5+3.5</f>
        <v>7</v>
      </c>
      <c r="AQ14" s="9"/>
      <c r="AR14" s="9">
        <f>AVERAGE(AP14,AN14,AL14)</f>
        <v>6.900000000000001</v>
      </c>
      <c r="AS14" s="9"/>
      <c r="AT14" s="9">
        <f>3.5+3.4</f>
        <v>6.9</v>
      </c>
      <c r="AU14" s="9"/>
      <c r="AV14" s="9">
        <f>3.4+3.4</f>
        <v>6.8</v>
      </c>
      <c r="AW14" s="9"/>
      <c r="AX14" s="9">
        <f>3.5+3.5</f>
        <v>7</v>
      </c>
      <c r="AY14" s="9"/>
      <c r="AZ14" s="9">
        <f>AVERAGE(AX14,AV14,AT14)</f>
        <v>6.900000000000001</v>
      </c>
    </row>
    <row r="15" spans="2:52" ht="12.75">
      <c r="B15" s="7" t="s">
        <v>47</v>
      </c>
      <c r="D15" s="7" t="s">
        <v>27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>
        <f>1.9+1.9</f>
        <v>3.8</v>
      </c>
      <c r="AM15" s="9"/>
      <c r="AN15" s="9">
        <f>2+1.9</f>
        <v>3.9</v>
      </c>
      <c r="AO15" s="9"/>
      <c r="AP15" s="26">
        <f>2+2</f>
        <v>4</v>
      </c>
      <c r="AQ15" s="26"/>
      <c r="AR15" s="9">
        <f>AVERAGE(AP15,AN15,AL15)</f>
        <v>3.9</v>
      </c>
      <c r="AS15" s="9"/>
      <c r="AT15" s="9">
        <f>1.9+1.9</f>
        <v>3.8</v>
      </c>
      <c r="AU15" s="9"/>
      <c r="AV15" s="9">
        <f>2+1.9</f>
        <v>3.9</v>
      </c>
      <c r="AW15" s="9"/>
      <c r="AX15" s="26">
        <f>2+2</f>
        <v>4</v>
      </c>
      <c r="AY15" s="26"/>
      <c r="AZ15" s="9">
        <f>AVERAGE(AX15,AV15,AT15)</f>
        <v>3.9</v>
      </c>
    </row>
    <row r="16" spans="6:7" ht="12.75">
      <c r="F16" s="8"/>
      <c r="G16" s="8"/>
    </row>
    <row r="17" spans="2:52" ht="12.75">
      <c r="B17" s="7" t="s">
        <v>59</v>
      </c>
      <c r="D17" s="7" t="s">
        <v>17</v>
      </c>
      <c r="E17" s="23"/>
      <c r="F17" s="8">
        <f>'emiss 1'!$G$33</f>
        <v>28200</v>
      </c>
      <c r="G17" s="8"/>
      <c r="H17" s="21">
        <f>'emiss 1'!$I$33</f>
        <v>27600</v>
      </c>
      <c r="J17" s="24">
        <f>'emiss 1'!$K$33</f>
        <v>28500</v>
      </c>
      <c r="K17" s="24"/>
      <c r="L17" s="24">
        <f>AVERAGE(F17:J17)</f>
        <v>28100</v>
      </c>
      <c r="M17" s="24"/>
      <c r="N17" s="8">
        <f>'emiss 1'!$G$33</f>
        <v>28200</v>
      </c>
      <c r="O17" s="8"/>
      <c r="P17" s="21">
        <f>'emiss 1'!$I$33</f>
        <v>27600</v>
      </c>
      <c r="R17" s="24">
        <f>'emiss 1'!$K$33</f>
        <v>28500</v>
      </c>
      <c r="S17" s="24"/>
      <c r="T17" s="24">
        <f>AVERAGE(N17:R17)</f>
        <v>28100</v>
      </c>
      <c r="U17" s="24"/>
      <c r="V17" s="8">
        <f>'emiss 1'!$G$33</f>
        <v>28200</v>
      </c>
      <c r="W17" s="8"/>
      <c r="X17" s="21">
        <f>'emiss 1'!$I$33</f>
        <v>27600</v>
      </c>
      <c r="Z17" s="24">
        <f>'emiss 1'!$K$33</f>
        <v>28500</v>
      </c>
      <c r="AA17" s="24"/>
      <c r="AB17" s="24">
        <f>AVERAGE(V17:Z17)</f>
        <v>28100</v>
      </c>
      <c r="AC17" s="24"/>
      <c r="AD17" s="24"/>
      <c r="AE17" s="24"/>
      <c r="AF17" s="24"/>
      <c r="AG17" s="24"/>
      <c r="AH17" s="24"/>
      <c r="AI17" s="24"/>
      <c r="AJ17" s="24"/>
      <c r="AK17" s="24"/>
      <c r="AL17" s="8">
        <f>'emiss 1'!$G$33</f>
        <v>28200</v>
      </c>
      <c r="AM17" s="8"/>
      <c r="AN17" s="21">
        <f>'emiss 1'!$I$33</f>
        <v>27600</v>
      </c>
      <c r="AP17" s="24">
        <f>'emiss 1'!$K$33</f>
        <v>28500</v>
      </c>
      <c r="AQ17" s="24"/>
      <c r="AR17" s="24">
        <f>AVERAGE(AL17:AP17)</f>
        <v>28100</v>
      </c>
      <c r="AS17" s="24"/>
      <c r="AT17" s="8">
        <f>'emiss 1'!$G$33</f>
        <v>28200</v>
      </c>
      <c r="AU17" s="8"/>
      <c r="AV17" s="21">
        <f>'emiss 1'!$I$33</f>
        <v>27600</v>
      </c>
      <c r="AX17" s="25">
        <f>'emiss 1'!$K$33</f>
        <v>28500</v>
      </c>
      <c r="AY17" s="25"/>
      <c r="AZ17" s="24">
        <f>AVERAGE(AT17:AX17)</f>
        <v>28100</v>
      </c>
    </row>
    <row r="18" spans="2:52" ht="12.75">
      <c r="B18" s="7" t="s">
        <v>60</v>
      </c>
      <c r="D18" s="7" t="s">
        <v>18</v>
      </c>
      <c r="E18" s="23"/>
      <c r="F18" s="8">
        <f>'emiss 1'!$G$34</f>
        <v>11.8</v>
      </c>
      <c r="G18" s="8"/>
      <c r="H18" s="21">
        <f>'emiss 1'!$I$34</f>
        <v>11.7</v>
      </c>
      <c r="J18" s="21">
        <f>'emiss 1'!$K$34</f>
        <v>11.7</v>
      </c>
      <c r="L18" s="24">
        <f>AVERAGE(F18:J18)</f>
        <v>11.733333333333334</v>
      </c>
      <c r="M18" s="24"/>
      <c r="N18" s="8">
        <f>'emiss 1'!$G$34</f>
        <v>11.8</v>
      </c>
      <c r="O18" s="8"/>
      <c r="P18" s="21">
        <f>'emiss 1'!$I$34</f>
        <v>11.7</v>
      </c>
      <c r="R18" s="21">
        <f>'emiss 1'!$K$34</f>
        <v>11.7</v>
      </c>
      <c r="T18" s="24">
        <f>AVERAGE(N18:R18)</f>
        <v>11.733333333333334</v>
      </c>
      <c r="U18" s="24"/>
      <c r="V18" s="8">
        <f>'emiss 1'!$G$34</f>
        <v>11.8</v>
      </c>
      <c r="W18" s="8"/>
      <c r="X18" s="21">
        <f>'emiss 1'!$I$34</f>
        <v>11.7</v>
      </c>
      <c r="Z18" s="21">
        <f>'emiss 1'!$K$34</f>
        <v>11.7</v>
      </c>
      <c r="AB18" s="24">
        <f>AVERAGE(V18:Z18)</f>
        <v>11.733333333333334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8">
        <f>'emiss 1'!$G$34</f>
        <v>11.8</v>
      </c>
      <c r="AM18" s="8"/>
      <c r="AN18" s="21">
        <f>'emiss 1'!$I$34</f>
        <v>11.7</v>
      </c>
      <c r="AP18" s="21">
        <f>'emiss 1'!$K$34</f>
        <v>11.7</v>
      </c>
      <c r="AR18" s="24">
        <f>AVERAGE(AL18:AP18)</f>
        <v>11.733333333333334</v>
      </c>
      <c r="AS18" s="24"/>
      <c r="AT18" s="8">
        <f>'emiss 1'!$G$34</f>
        <v>11.8</v>
      </c>
      <c r="AU18" s="8"/>
      <c r="AV18" s="21">
        <f>'emiss 1'!$I$34</f>
        <v>11.7</v>
      </c>
      <c r="AX18" s="21">
        <f>'emiss 1'!$K$34</f>
        <v>11.7</v>
      </c>
      <c r="AZ18" s="24">
        <f>AVERAGE(AT18:AX18)</f>
        <v>11.733333333333334</v>
      </c>
    </row>
    <row r="19" spans="5:7" ht="12.75">
      <c r="E19" s="23"/>
      <c r="F19" s="8"/>
      <c r="G19" s="8"/>
    </row>
    <row r="20" spans="2:52" ht="12.75">
      <c r="B20" s="7" t="s">
        <v>240</v>
      </c>
      <c r="D20" s="7" t="s">
        <v>65</v>
      </c>
      <c r="E20" s="23"/>
      <c r="F20" s="21"/>
      <c r="G20" s="21"/>
      <c r="AT20" s="24">
        <f>AT17/9000*(21-AT18)/21*60</f>
        <v>82.36190476190475</v>
      </c>
      <c r="AU20" s="24"/>
      <c r="AV20" s="24">
        <f>AV17/9000*(21-AV18)/21*60</f>
        <v>81.4857142857143</v>
      </c>
      <c r="AW20" s="24"/>
      <c r="AX20" s="24">
        <f>AX17/9000*(21-AX18)/21*60</f>
        <v>84.14285714285714</v>
      </c>
      <c r="AY20" s="24"/>
      <c r="AZ20" s="24">
        <f>AZ17/9000*(21-AZ18)/21*60</f>
        <v>82.66455026455026</v>
      </c>
    </row>
    <row r="21" spans="5:7" ht="12.75">
      <c r="E21" s="23"/>
      <c r="F21" s="8"/>
      <c r="G21" s="8"/>
    </row>
    <row r="22" spans="2:7" ht="12.75">
      <c r="B22" s="30" t="s">
        <v>61</v>
      </c>
      <c r="F22" s="8"/>
      <c r="G22" s="8"/>
    </row>
    <row r="23" spans="2:52" ht="12.75">
      <c r="B23" s="7" t="s">
        <v>23</v>
      </c>
      <c r="D23" s="7" t="s">
        <v>32</v>
      </c>
      <c r="E23" s="21" t="s">
        <v>15</v>
      </c>
      <c r="F23" s="8"/>
      <c r="G23" s="8"/>
      <c r="J23" s="24"/>
      <c r="K23" s="24"/>
      <c r="N23" s="24">
        <f>N12*454/60/0.0283/N$17*(21-7)/(21-N$18)*1000</f>
        <v>29505.472873166713</v>
      </c>
      <c r="O23" s="24"/>
      <c r="P23" s="24">
        <f>P12*454/60/0.0283/P$17*(21-7)/(21-P$18)*1000</f>
        <v>30216.483637305424</v>
      </c>
      <c r="Q23" s="24"/>
      <c r="R23" s="24">
        <f>R12*454/60/0.0283/R$17*(21-7)/(21-R$18)*1000</f>
        <v>28711.492753439634</v>
      </c>
      <c r="S23" s="24"/>
      <c r="T23" s="24">
        <f>T12*454/60/0.0283/T$17*(21-7)/(21-T$18)*1000</f>
        <v>29469.325963973864</v>
      </c>
      <c r="U23" s="24"/>
      <c r="AD23" s="24">
        <f>N23</f>
        <v>29505.472873166713</v>
      </c>
      <c r="AF23" s="24">
        <f>P23</f>
        <v>30216.483637305424</v>
      </c>
      <c r="AH23" s="24">
        <f>R23</f>
        <v>28711.492753439634</v>
      </c>
      <c r="AJ23" s="24">
        <f>T23</f>
        <v>29469.325963973864</v>
      </c>
      <c r="AL23" s="24">
        <f aca="true" t="shared" si="0" ref="AL23:AZ23">AL12*454/60/0.0283/AL$17*(21-7)/(21-AL$18)*1000</f>
        <v>2005.5064691296684</v>
      </c>
      <c r="AM23" s="24"/>
      <c r="AN23" s="24">
        <f t="shared" si="0"/>
        <v>1939.5715848270374</v>
      </c>
      <c r="AO23" s="24"/>
      <c r="AP23" s="24">
        <f t="shared" si="0"/>
        <v>2033.6718920291723</v>
      </c>
      <c r="AQ23" s="24"/>
      <c r="AR23" s="24">
        <f t="shared" si="0"/>
        <v>1993.3722928476627</v>
      </c>
      <c r="AS23" s="24"/>
      <c r="AT23" s="24">
        <f t="shared" si="0"/>
        <v>31525.407446390836</v>
      </c>
      <c r="AU23" s="24"/>
      <c r="AV23" s="24">
        <f t="shared" si="0"/>
        <v>32287.30442712076</v>
      </c>
      <c r="AW23" s="24"/>
      <c r="AX23" s="24">
        <f t="shared" si="0"/>
        <v>30773.410088413657</v>
      </c>
      <c r="AY23" s="24"/>
      <c r="AZ23" s="24">
        <f t="shared" si="0"/>
        <v>31524.99114097302</v>
      </c>
    </row>
    <row r="24" spans="2:52" ht="12.75">
      <c r="B24" s="7" t="s">
        <v>63</v>
      </c>
      <c r="D24" s="7" t="s">
        <v>29</v>
      </c>
      <c r="E24" s="21" t="s">
        <v>15</v>
      </c>
      <c r="F24" s="8"/>
      <c r="G24" s="8"/>
      <c r="J24" s="24"/>
      <c r="K24" s="24"/>
      <c r="P24" s="24"/>
      <c r="Q24" s="24"/>
      <c r="R24" s="24"/>
      <c r="S24" s="24"/>
      <c r="AL24" s="24">
        <f aca="true" t="shared" si="1" ref="AL24:AR26">AL13*454/60/0.0283/AL$17*(21-7)/(21-AL$18)*1000000</f>
        <v>7170767.73494565</v>
      </c>
      <c r="AM24" s="24"/>
      <c r="AN24" s="24">
        <f t="shared" si="1"/>
        <v>7466621.439334159</v>
      </c>
      <c r="AO24" s="24"/>
      <c r="AP24" s="24">
        <f t="shared" si="1"/>
        <v>7329692.444188475</v>
      </c>
      <c r="AQ24" s="24"/>
      <c r="AR24" s="24">
        <f t="shared" si="1"/>
        <v>7321809.767959685</v>
      </c>
      <c r="AS24" s="24"/>
      <c r="AT24" s="24">
        <f aca="true" t="shared" si="2" ref="AT24:AZ26">AT13*454/60/0.0283/AT$17*(21-7)/(21-AT$18)*1000000</f>
        <v>7170767.73494565</v>
      </c>
      <c r="AU24" s="24"/>
      <c r="AV24" s="24">
        <f t="shared" si="2"/>
        <v>7466621.439334159</v>
      </c>
      <c r="AW24" s="24"/>
      <c r="AX24" s="24">
        <f t="shared" si="2"/>
        <v>7329692.444188475</v>
      </c>
      <c r="AY24" s="24"/>
      <c r="AZ24" s="24">
        <f t="shared" si="2"/>
        <v>7321809.767959685</v>
      </c>
    </row>
    <row r="25" spans="2:52" ht="12.75">
      <c r="B25" s="7" t="s">
        <v>51</v>
      </c>
      <c r="D25" s="7" t="s">
        <v>29</v>
      </c>
      <c r="E25" s="21" t="s">
        <v>15</v>
      </c>
      <c r="F25" s="8"/>
      <c r="G25" s="8"/>
      <c r="J25" s="24"/>
      <c r="K25" s="24"/>
      <c r="P25" s="24"/>
      <c r="Q25" s="24"/>
      <c r="R25" s="24"/>
      <c r="S25" s="24"/>
      <c r="AL25" s="24">
        <f t="shared" si="1"/>
        <v>99553.91825176055</v>
      </c>
      <c r="AM25" s="24"/>
      <c r="AN25" s="24">
        <f t="shared" si="1"/>
        <v>99166.06599115681</v>
      </c>
      <c r="AO25" s="24"/>
      <c r="AP25" s="24">
        <f t="shared" si="1"/>
        <v>98859.05030697366</v>
      </c>
      <c r="AQ25" s="24"/>
      <c r="AR25" s="24">
        <f t="shared" si="1"/>
        <v>99189.43861044865</v>
      </c>
      <c r="AS25" s="24"/>
      <c r="AT25" s="24">
        <f t="shared" si="2"/>
        <v>99553.91825176055</v>
      </c>
      <c r="AU25" s="24"/>
      <c r="AV25" s="24">
        <f t="shared" si="2"/>
        <v>99166.06599115681</v>
      </c>
      <c r="AW25" s="24"/>
      <c r="AX25" s="24">
        <f t="shared" si="2"/>
        <v>98859.05030697366</v>
      </c>
      <c r="AY25" s="24"/>
      <c r="AZ25" s="24">
        <f t="shared" si="2"/>
        <v>99189.43861044865</v>
      </c>
    </row>
    <row r="26" spans="2:52" ht="12.75">
      <c r="B26" s="7" t="s">
        <v>47</v>
      </c>
      <c r="D26" s="7" t="s">
        <v>29</v>
      </c>
      <c r="E26" s="21" t="s">
        <v>15</v>
      </c>
      <c r="F26" s="8"/>
      <c r="G26" s="8"/>
      <c r="J26" s="24"/>
      <c r="K26" s="24"/>
      <c r="P26" s="24"/>
      <c r="Q26" s="24"/>
      <c r="R26" s="24"/>
      <c r="S26" s="24"/>
      <c r="AL26" s="24">
        <f t="shared" si="1"/>
        <v>54826.795558940576</v>
      </c>
      <c r="AM26" s="24"/>
      <c r="AN26" s="24">
        <f t="shared" si="1"/>
        <v>56874.65549492817</v>
      </c>
      <c r="AO26" s="24"/>
      <c r="AP26" s="24">
        <f t="shared" si="1"/>
        <v>56490.88588969924</v>
      </c>
      <c r="AQ26" s="24"/>
      <c r="AR26" s="24">
        <f t="shared" si="1"/>
        <v>56063.595736340525</v>
      </c>
      <c r="AS26" s="24"/>
      <c r="AT26" s="24">
        <f t="shared" si="2"/>
        <v>54826.795558940576</v>
      </c>
      <c r="AU26" s="24"/>
      <c r="AV26" s="24">
        <f t="shared" si="2"/>
        <v>56874.65549492817</v>
      </c>
      <c r="AW26" s="24"/>
      <c r="AX26" s="24">
        <f t="shared" si="2"/>
        <v>56490.88588969924</v>
      </c>
      <c r="AY26" s="24"/>
      <c r="AZ26" s="24">
        <f t="shared" si="2"/>
        <v>56063.595736340525</v>
      </c>
    </row>
    <row r="28" spans="2:52" ht="12.75">
      <c r="B28" s="7" t="s">
        <v>30</v>
      </c>
      <c r="D28" s="7" t="s">
        <v>29</v>
      </c>
      <c r="E28" s="21" t="s">
        <v>15</v>
      </c>
      <c r="P28" s="24"/>
      <c r="Q28" s="24"/>
      <c r="AL28" s="24">
        <f aca="true" t="shared" si="3" ref="AL28:AZ28">AL26</f>
        <v>54826.795558940576</v>
      </c>
      <c r="AM28" s="24"/>
      <c r="AN28" s="24">
        <f t="shared" si="3"/>
        <v>56874.65549492817</v>
      </c>
      <c r="AO28" s="24"/>
      <c r="AP28" s="24">
        <f t="shared" si="3"/>
        <v>56490.88588969924</v>
      </c>
      <c r="AQ28" s="24"/>
      <c r="AR28" s="24">
        <f t="shared" si="3"/>
        <v>56063.595736340525</v>
      </c>
      <c r="AS28" s="24"/>
      <c r="AT28" s="24">
        <f t="shared" si="3"/>
        <v>54826.795558940576</v>
      </c>
      <c r="AU28" s="24"/>
      <c r="AV28" s="24">
        <f t="shared" si="3"/>
        <v>56874.65549492817</v>
      </c>
      <c r="AW28" s="24"/>
      <c r="AX28" s="24">
        <f t="shared" si="3"/>
        <v>56490.88588969924</v>
      </c>
      <c r="AY28" s="24"/>
      <c r="AZ28" s="24">
        <f t="shared" si="3"/>
        <v>56063.595736340525</v>
      </c>
    </row>
    <row r="29" spans="2:52" ht="12.75">
      <c r="B29" s="7" t="s">
        <v>31</v>
      </c>
      <c r="D29" s="7" t="s">
        <v>29</v>
      </c>
      <c r="E29" s="21" t="s">
        <v>15</v>
      </c>
      <c r="P29" s="24"/>
      <c r="Q29" s="24"/>
      <c r="AL29" s="24">
        <f aca="true" t="shared" si="4" ref="AL29:AZ29">AL25</f>
        <v>99553.91825176055</v>
      </c>
      <c r="AM29" s="24"/>
      <c r="AN29" s="24">
        <f t="shared" si="4"/>
        <v>99166.06599115681</v>
      </c>
      <c r="AO29" s="24"/>
      <c r="AP29" s="24">
        <f t="shared" si="4"/>
        <v>98859.05030697366</v>
      </c>
      <c r="AQ29" s="24"/>
      <c r="AR29" s="24">
        <f t="shared" si="4"/>
        <v>99189.43861044865</v>
      </c>
      <c r="AS29" s="24"/>
      <c r="AT29" s="24">
        <f t="shared" si="4"/>
        <v>99553.91825176055</v>
      </c>
      <c r="AU29" s="24"/>
      <c r="AV29" s="24">
        <f t="shared" si="4"/>
        <v>99166.06599115681</v>
      </c>
      <c r="AW29" s="24"/>
      <c r="AX29" s="24">
        <f t="shared" si="4"/>
        <v>98859.05030697366</v>
      </c>
      <c r="AY29" s="24"/>
      <c r="AZ29" s="24">
        <f t="shared" si="4"/>
        <v>99189.43861044865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W105"/>
  <sheetViews>
    <sheetView workbookViewId="0" topLeftCell="B78">
      <selection activeCell="H106" sqref="H106"/>
    </sheetView>
  </sheetViews>
  <sheetFormatPr defaultColWidth="9.140625" defaultRowHeight="12.75"/>
  <cols>
    <col min="1" max="1" width="8.28125" style="14" hidden="1" customWidth="1"/>
    <col min="2" max="2" width="17.8515625" style="14" customWidth="1"/>
    <col min="3" max="3" width="2.7109375" style="14" customWidth="1"/>
    <col min="4" max="4" width="9.140625" style="14" bestFit="1" customWidth="1"/>
    <col min="5" max="5" width="2.28125" style="14" customWidth="1"/>
    <col min="6" max="6" width="9.00390625" style="14" customWidth="1"/>
    <col min="7" max="7" width="2.421875" style="14" customWidth="1"/>
    <col min="8" max="8" width="12.00390625" style="14" bestFit="1" customWidth="1"/>
    <col min="9" max="9" width="2.421875" style="14" customWidth="1"/>
    <col min="10" max="10" width="12.00390625" style="14" bestFit="1" customWidth="1"/>
    <col min="11" max="11" width="2.421875" style="14" customWidth="1"/>
    <col min="12" max="12" width="12.00390625" style="14" bestFit="1" customWidth="1"/>
    <col min="13" max="13" width="2.57421875" style="14" customWidth="1"/>
    <col min="14" max="14" width="12.00390625" style="14" bestFit="1" customWidth="1"/>
    <col min="15" max="15" width="2.57421875" style="14" customWidth="1"/>
    <col min="16" max="16" width="12.00390625" style="14" bestFit="1" customWidth="1"/>
    <col min="17" max="17" width="3.28125" style="14" customWidth="1"/>
    <col min="18" max="18" width="12.00390625" style="14" bestFit="1" customWidth="1"/>
    <col min="19" max="19" width="3.7109375" style="14" customWidth="1"/>
    <col min="20" max="20" width="12.00390625" style="14" bestFit="1" customWidth="1"/>
    <col min="21" max="21" width="3.8515625" style="14" customWidth="1"/>
    <col min="22" max="22" width="12.00390625" style="14" bestFit="1" customWidth="1"/>
    <col min="23" max="23" width="2.8515625" style="14" customWidth="1"/>
    <col min="24" max="24" width="12.00390625" style="14" customWidth="1"/>
    <col min="25" max="25" width="3.57421875" style="14" customWidth="1"/>
    <col min="26" max="26" width="12.00390625" style="14" customWidth="1"/>
    <col min="27" max="27" width="2.8515625" style="14" customWidth="1"/>
    <col min="28" max="28" width="12.00390625" style="14" customWidth="1"/>
    <col min="29" max="29" width="4.00390625" style="14" customWidth="1"/>
    <col min="30" max="30" width="12.00390625" style="14" bestFit="1" customWidth="1"/>
    <col min="31" max="31" width="3.8515625" style="14" customWidth="1"/>
    <col min="32" max="32" width="12.00390625" style="14" bestFit="1" customWidth="1"/>
    <col min="33" max="33" width="4.28125" style="14" customWidth="1"/>
    <col min="34" max="34" width="12.00390625" style="14" bestFit="1" customWidth="1"/>
    <col min="35" max="35" width="4.140625" style="14" customWidth="1"/>
    <col min="36" max="36" width="12.00390625" style="14" bestFit="1" customWidth="1"/>
    <col min="37" max="37" width="3.7109375" style="14" customWidth="1"/>
    <col min="38" max="38" width="12.00390625" style="14" bestFit="1" customWidth="1"/>
    <col min="39" max="39" width="4.00390625" style="14" customWidth="1"/>
    <col min="40" max="40" width="12.00390625" style="14" bestFit="1" customWidth="1"/>
    <col min="41" max="41" width="2.28125" style="14" customWidth="1"/>
    <col min="42" max="42" width="10.57421875" style="14" customWidth="1"/>
    <col min="43" max="43" width="2.28125" style="14" customWidth="1"/>
    <col min="44" max="44" width="9.140625" style="14" customWidth="1"/>
    <col min="45" max="45" width="3.421875" style="14" customWidth="1"/>
    <col min="46" max="46" width="9.140625" style="14" customWidth="1"/>
    <col min="47" max="47" width="3.421875" style="14" customWidth="1"/>
    <col min="48" max="16384" width="9.140625" style="14" customWidth="1"/>
  </cols>
  <sheetData>
    <row r="1" spans="2:3" ht="12.75">
      <c r="B1" s="13" t="s">
        <v>196</v>
      </c>
      <c r="C1" s="13"/>
    </row>
    <row r="4" spans="2:48" ht="12.75">
      <c r="B4" s="13" t="s">
        <v>114</v>
      </c>
      <c r="C4" s="13"/>
      <c r="F4" s="16" t="s">
        <v>166</v>
      </c>
      <c r="G4" s="16"/>
      <c r="H4" s="16" t="s">
        <v>167</v>
      </c>
      <c r="I4" s="16"/>
      <c r="J4" s="16" t="s">
        <v>168</v>
      </c>
      <c r="K4" s="16"/>
      <c r="L4" s="16" t="s">
        <v>166</v>
      </c>
      <c r="M4" s="16"/>
      <c r="N4" s="16" t="s">
        <v>167</v>
      </c>
      <c r="O4" s="16"/>
      <c r="P4" s="16" t="s">
        <v>168</v>
      </c>
      <c r="Q4" s="16"/>
      <c r="R4" s="16" t="s">
        <v>166</v>
      </c>
      <c r="S4" s="16"/>
      <c r="T4" s="16" t="s">
        <v>167</v>
      </c>
      <c r="U4" s="16"/>
      <c r="V4" s="16" t="s">
        <v>168</v>
      </c>
      <c r="W4" s="16"/>
      <c r="X4" s="16" t="s">
        <v>166</v>
      </c>
      <c r="Y4" s="16"/>
      <c r="Z4" s="16" t="s">
        <v>167</v>
      </c>
      <c r="AA4" s="16"/>
      <c r="AB4" s="16" t="s">
        <v>168</v>
      </c>
      <c r="AC4" s="16"/>
      <c r="AD4" s="16" t="s">
        <v>166</v>
      </c>
      <c r="AE4" s="16"/>
      <c r="AF4" s="16" t="s">
        <v>167</v>
      </c>
      <c r="AG4" s="16"/>
      <c r="AH4" s="16" t="s">
        <v>168</v>
      </c>
      <c r="AI4" s="16"/>
      <c r="AJ4" s="16" t="s">
        <v>166</v>
      </c>
      <c r="AK4" s="16"/>
      <c r="AL4" s="16" t="s">
        <v>167</v>
      </c>
      <c r="AM4" s="16"/>
      <c r="AN4" s="16" t="s">
        <v>168</v>
      </c>
      <c r="AO4" s="16"/>
      <c r="AP4" s="16" t="s">
        <v>166</v>
      </c>
      <c r="AQ4" s="16"/>
      <c r="AR4" s="16" t="s">
        <v>167</v>
      </c>
      <c r="AS4" s="16"/>
      <c r="AT4" s="16" t="s">
        <v>168</v>
      </c>
      <c r="AU4" s="16"/>
      <c r="AV4" s="16" t="s">
        <v>123</v>
      </c>
    </row>
    <row r="5" spans="2:48" ht="12.75">
      <c r="B5" s="13"/>
      <c r="C5" s="1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2:48" ht="12.75">
      <c r="B6" s="14" t="s">
        <v>227</v>
      </c>
      <c r="F6" s="16" t="s">
        <v>230</v>
      </c>
      <c r="G6" s="16"/>
      <c r="H6" s="16" t="s">
        <v>230</v>
      </c>
      <c r="I6" s="16"/>
      <c r="J6" s="16" t="s">
        <v>230</v>
      </c>
      <c r="K6" s="16"/>
      <c r="L6" s="16" t="s">
        <v>231</v>
      </c>
      <c r="M6" s="16"/>
      <c r="N6" s="16" t="s">
        <v>231</v>
      </c>
      <c r="O6" s="16"/>
      <c r="P6" s="16" t="s">
        <v>231</v>
      </c>
      <c r="Q6" s="16"/>
      <c r="R6" s="16" t="s">
        <v>233</v>
      </c>
      <c r="S6" s="16"/>
      <c r="T6" s="16" t="s">
        <v>233</v>
      </c>
      <c r="U6" s="16"/>
      <c r="V6" s="16" t="s">
        <v>233</v>
      </c>
      <c r="W6" s="16"/>
      <c r="X6" s="16"/>
      <c r="Y6" s="16"/>
      <c r="Z6" s="16"/>
      <c r="AA6" s="16"/>
      <c r="AB6" s="16"/>
      <c r="AC6" s="16"/>
      <c r="AD6" s="16" t="s">
        <v>234</v>
      </c>
      <c r="AE6" s="16"/>
      <c r="AF6" s="16" t="s">
        <v>234</v>
      </c>
      <c r="AG6" s="16"/>
      <c r="AH6" s="16" t="s">
        <v>234</v>
      </c>
      <c r="AI6" s="16"/>
      <c r="AJ6" s="16" t="s">
        <v>235</v>
      </c>
      <c r="AK6" s="16"/>
      <c r="AL6" s="16" t="s">
        <v>235</v>
      </c>
      <c r="AM6" s="16"/>
      <c r="AN6" s="16" t="s">
        <v>235</v>
      </c>
      <c r="AO6" s="16"/>
      <c r="AP6" s="16" t="s">
        <v>237</v>
      </c>
      <c r="AQ6" s="16"/>
      <c r="AR6" s="16" t="s">
        <v>237</v>
      </c>
      <c r="AS6" s="16"/>
      <c r="AT6" s="16" t="s">
        <v>237</v>
      </c>
      <c r="AU6" s="16"/>
      <c r="AV6" s="16" t="s">
        <v>237</v>
      </c>
    </row>
    <row r="7" spans="2:48" ht="12.75">
      <c r="B7" s="14" t="s">
        <v>228</v>
      </c>
      <c r="F7" s="16" t="s">
        <v>28</v>
      </c>
      <c r="G7" s="16"/>
      <c r="H7" s="16" t="s">
        <v>28</v>
      </c>
      <c r="J7" s="16" t="s">
        <v>28</v>
      </c>
      <c r="L7" s="16" t="s">
        <v>28</v>
      </c>
      <c r="N7" s="16" t="s">
        <v>28</v>
      </c>
      <c r="P7" s="16" t="s">
        <v>28</v>
      </c>
      <c r="R7" s="16" t="s">
        <v>28</v>
      </c>
      <c r="T7" s="16" t="s">
        <v>28</v>
      </c>
      <c r="V7" s="16" t="s">
        <v>28</v>
      </c>
      <c r="W7" s="16"/>
      <c r="X7" s="16"/>
      <c r="Y7" s="16"/>
      <c r="Z7" s="16"/>
      <c r="AA7" s="16"/>
      <c r="AB7" s="16"/>
      <c r="AD7" s="16" t="s">
        <v>229</v>
      </c>
      <c r="AF7" s="16" t="s">
        <v>229</v>
      </c>
      <c r="AH7" s="16" t="s">
        <v>229</v>
      </c>
      <c r="AJ7" s="14" t="s">
        <v>236</v>
      </c>
      <c r="AL7" s="14" t="s">
        <v>236</v>
      </c>
      <c r="AN7" s="14" t="s">
        <v>236</v>
      </c>
      <c r="AP7" s="14" t="s">
        <v>20</v>
      </c>
      <c r="AR7" s="14" t="s">
        <v>20</v>
      </c>
      <c r="AT7" s="14" t="s">
        <v>20</v>
      </c>
      <c r="AV7" s="14" t="s">
        <v>20</v>
      </c>
    </row>
    <row r="8" spans="2:48" ht="12.75">
      <c r="B8" s="14" t="s">
        <v>238</v>
      </c>
      <c r="F8" s="16"/>
      <c r="G8" s="16"/>
      <c r="H8" s="16"/>
      <c r="J8" s="16"/>
      <c r="L8" s="16"/>
      <c r="N8" s="16"/>
      <c r="P8" s="16"/>
      <c r="R8" s="16"/>
      <c r="T8" s="16"/>
      <c r="V8" s="16"/>
      <c r="W8" s="16"/>
      <c r="X8" s="16" t="s">
        <v>28</v>
      </c>
      <c r="Y8" s="16"/>
      <c r="Z8" s="16" t="s">
        <v>28</v>
      </c>
      <c r="AA8" s="16"/>
      <c r="AB8" s="16" t="s">
        <v>28</v>
      </c>
      <c r="AD8" s="16" t="s">
        <v>33</v>
      </c>
      <c r="AF8" s="16" t="s">
        <v>33</v>
      </c>
      <c r="AH8" s="16" t="s">
        <v>33</v>
      </c>
      <c r="AJ8" s="16" t="s">
        <v>239</v>
      </c>
      <c r="AL8" s="16" t="s">
        <v>239</v>
      </c>
      <c r="AN8" s="16" t="s">
        <v>239</v>
      </c>
      <c r="AP8" s="16" t="s">
        <v>20</v>
      </c>
      <c r="AR8" s="16" t="s">
        <v>20</v>
      </c>
      <c r="AT8" s="16" t="s">
        <v>20</v>
      </c>
      <c r="AV8" s="16" t="s">
        <v>20</v>
      </c>
    </row>
    <row r="9" spans="2:48" ht="12.75">
      <c r="B9" s="14" t="s">
        <v>22</v>
      </c>
      <c r="F9" s="14" t="s">
        <v>175</v>
      </c>
      <c r="H9" s="14" t="s">
        <v>175</v>
      </c>
      <c r="J9" s="14" t="s">
        <v>175</v>
      </c>
      <c r="L9" s="14" t="s">
        <v>176</v>
      </c>
      <c r="N9" s="14" t="s">
        <v>176</v>
      </c>
      <c r="P9" s="14" t="s">
        <v>176</v>
      </c>
      <c r="R9" s="14" t="s">
        <v>177</v>
      </c>
      <c r="T9" s="14" t="s">
        <v>177</v>
      </c>
      <c r="V9" s="14" t="s">
        <v>177</v>
      </c>
      <c r="AD9" s="14" t="s">
        <v>178</v>
      </c>
      <c r="AF9" s="14" t="s">
        <v>178</v>
      </c>
      <c r="AH9" s="14" t="s">
        <v>178</v>
      </c>
      <c r="AJ9" s="14" t="s">
        <v>179</v>
      </c>
      <c r="AL9" s="14" t="s">
        <v>179</v>
      </c>
      <c r="AN9" s="14" t="s">
        <v>179</v>
      </c>
      <c r="AP9" s="14" t="s">
        <v>20</v>
      </c>
      <c r="AR9" s="14" t="s">
        <v>20</v>
      </c>
      <c r="AT9" s="14" t="s">
        <v>20</v>
      </c>
      <c r="AV9" s="14" t="s">
        <v>20</v>
      </c>
    </row>
    <row r="10" spans="1:40" ht="12.75">
      <c r="A10" s="14" t="s">
        <v>114</v>
      </c>
      <c r="B10" s="14" t="s">
        <v>55</v>
      </c>
      <c r="D10" s="14" t="s">
        <v>27</v>
      </c>
      <c r="E10" s="15"/>
      <c r="F10" s="15">
        <v>63.88</v>
      </c>
      <c r="G10" s="15"/>
      <c r="H10" s="15">
        <v>63.88</v>
      </c>
      <c r="I10" s="15"/>
      <c r="J10" s="15">
        <v>63.88</v>
      </c>
      <c r="K10" s="15"/>
      <c r="L10" s="15">
        <v>20.19</v>
      </c>
      <c r="M10" s="15"/>
      <c r="N10" s="15">
        <v>20.19</v>
      </c>
      <c r="O10" s="15"/>
      <c r="P10" s="15">
        <v>20.19</v>
      </c>
      <c r="Q10" s="15"/>
      <c r="R10" s="15">
        <v>14.38</v>
      </c>
      <c r="S10" s="15"/>
      <c r="T10" s="15">
        <v>14.38</v>
      </c>
      <c r="U10" s="15"/>
      <c r="V10" s="15">
        <v>14.38</v>
      </c>
      <c r="W10" s="15"/>
      <c r="X10" s="15"/>
      <c r="Y10" s="15"/>
      <c r="Z10" s="15"/>
      <c r="AA10" s="15"/>
      <c r="AB10" s="15"/>
      <c r="AC10" s="15"/>
      <c r="AD10" s="15">
        <v>4181.4</v>
      </c>
      <c r="AE10" s="15"/>
      <c r="AF10" s="15">
        <v>4416</v>
      </c>
      <c r="AG10" s="15"/>
      <c r="AH10" s="15">
        <v>4428</v>
      </c>
      <c r="AI10" s="15"/>
      <c r="AJ10" s="15">
        <v>2962.2</v>
      </c>
      <c r="AK10" s="15"/>
      <c r="AL10" s="15">
        <v>3294.6</v>
      </c>
      <c r="AM10" s="15"/>
      <c r="AN10" s="15">
        <v>3325.8</v>
      </c>
    </row>
    <row r="11" spans="1:40" ht="12.75">
      <c r="A11" s="14" t="s">
        <v>114</v>
      </c>
      <c r="B11" s="14" t="s">
        <v>180</v>
      </c>
      <c r="D11" s="14" t="s">
        <v>191</v>
      </c>
      <c r="E11" s="15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2.75">
      <c r="A12" s="14" t="s">
        <v>114</v>
      </c>
      <c r="B12" s="14" t="s">
        <v>23</v>
      </c>
      <c r="D12" s="14" t="s">
        <v>192</v>
      </c>
      <c r="E12" s="1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2.75">
      <c r="A13" s="14" t="s">
        <v>114</v>
      </c>
      <c r="B13" s="14" t="s">
        <v>170</v>
      </c>
      <c r="D13" s="14" t="s">
        <v>181</v>
      </c>
      <c r="E13" s="15"/>
      <c r="F13" s="53">
        <v>21851.84339965735</v>
      </c>
      <c r="G13" s="53"/>
      <c r="H13" s="53">
        <v>22041.85942921959</v>
      </c>
      <c r="I13" s="53"/>
      <c r="J13" s="53">
        <v>21756.83538487623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>
        <v>1</v>
      </c>
      <c r="AD13" s="74">
        <v>0.004666599380525732</v>
      </c>
      <c r="AE13" s="15">
        <v>1</v>
      </c>
      <c r="AF13" s="74">
        <v>0.004666599380525732</v>
      </c>
      <c r="AG13" s="15">
        <v>1</v>
      </c>
      <c r="AH13" s="74">
        <v>0.004666599380525732</v>
      </c>
      <c r="AI13" s="15">
        <v>1</v>
      </c>
      <c r="AJ13" s="80">
        <v>0.005002385137233433</v>
      </c>
      <c r="AK13" s="15">
        <v>1</v>
      </c>
      <c r="AL13" s="80">
        <v>0.005002385137233433</v>
      </c>
      <c r="AM13" s="15">
        <v>1</v>
      </c>
      <c r="AN13" s="80">
        <v>0.005002385137233433</v>
      </c>
    </row>
    <row r="14" spans="1:40" ht="12.75">
      <c r="A14" s="14" t="s">
        <v>114</v>
      </c>
      <c r="B14" s="14" t="s">
        <v>171</v>
      </c>
      <c r="D14" s="14" t="s">
        <v>181</v>
      </c>
      <c r="E14" s="15"/>
      <c r="F14" s="53">
        <v>665.0561034678324</v>
      </c>
      <c r="G14" s="53"/>
      <c r="H14" s="53">
        <v>728.7114733711821</v>
      </c>
      <c r="I14" s="53"/>
      <c r="J14" s="53">
        <v>717.3105115974478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1</v>
      </c>
      <c r="AD14" s="74">
        <v>0.004666599380525732</v>
      </c>
      <c r="AE14" s="15">
        <v>1</v>
      </c>
      <c r="AF14" s="74">
        <v>0.004666599380525732</v>
      </c>
      <c r="AG14" s="15">
        <v>1</v>
      </c>
      <c r="AH14" s="74">
        <v>0.004666599380525732</v>
      </c>
      <c r="AI14" s="15">
        <v>1</v>
      </c>
      <c r="AJ14" s="80">
        <v>0.005002385137233433</v>
      </c>
      <c r="AK14" s="15">
        <v>1</v>
      </c>
      <c r="AL14" s="80">
        <v>0.005002385137233433</v>
      </c>
      <c r="AM14" s="15">
        <v>1</v>
      </c>
      <c r="AN14" s="80">
        <v>0.005002385137233433</v>
      </c>
    </row>
    <row r="15" spans="1:40" ht="12.75">
      <c r="A15" s="14" t="s">
        <v>114</v>
      </c>
      <c r="B15" s="14" t="s">
        <v>172</v>
      </c>
      <c r="D15" s="14" t="s">
        <v>181</v>
      </c>
      <c r="E15" s="15"/>
      <c r="F15" s="15"/>
      <c r="G15" s="15"/>
      <c r="H15" s="15"/>
      <c r="I15" s="15"/>
      <c r="J15" s="15"/>
      <c r="K15" s="15"/>
      <c r="L15" s="53">
        <v>4034.66453003221</v>
      </c>
      <c r="M15" s="53"/>
      <c r="N15" s="53">
        <v>4163.704973423432</v>
      </c>
      <c r="O15" s="53"/>
      <c r="P15" s="53">
        <v>4301.348113040736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1</v>
      </c>
      <c r="AD15" s="74">
        <v>0.02333299690262866</v>
      </c>
      <c r="AE15" s="15">
        <v>1</v>
      </c>
      <c r="AF15" s="74">
        <v>0.02333299690262866</v>
      </c>
      <c r="AG15" s="15">
        <v>1</v>
      </c>
      <c r="AH15" s="74">
        <v>0.02333299690262866</v>
      </c>
      <c r="AI15" s="15">
        <v>1</v>
      </c>
      <c r="AJ15" s="80">
        <v>0.005002385137233433</v>
      </c>
      <c r="AK15" s="15">
        <v>1</v>
      </c>
      <c r="AL15" s="80">
        <v>0.005002385137233433</v>
      </c>
      <c r="AM15" s="15">
        <v>1</v>
      </c>
      <c r="AN15" s="80">
        <v>0.005002385137233433</v>
      </c>
    </row>
    <row r="16" spans="1:40" ht="12.75">
      <c r="A16" s="14" t="s">
        <v>114</v>
      </c>
      <c r="B16" s="14" t="s">
        <v>51</v>
      </c>
      <c r="D16" s="14" t="s">
        <v>181</v>
      </c>
      <c r="E16" s="15"/>
      <c r="F16" s="15"/>
      <c r="G16" s="15"/>
      <c r="H16" s="15"/>
      <c r="I16" s="15"/>
      <c r="J16" s="15"/>
      <c r="K16" s="15"/>
      <c r="L16" s="53"/>
      <c r="M16" s="53"/>
      <c r="N16" s="53"/>
      <c r="O16" s="53"/>
      <c r="P16" s="53"/>
      <c r="Q16" s="15"/>
      <c r="R16" s="15">
        <v>113747.83933271</v>
      </c>
      <c r="S16" s="15"/>
      <c r="T16" s="15">
        <v>113747.83933271</v>
      </c>
      <c r="U16" s="15"/>
      <c r="V16" s="15">
        <v>111426.45485653132</v>
      </c>
      <c r="W16" s="15"/>
      <c r="X16" s="15"/>
      <c r="Y16" s="15"/>
      <c r="Z16" s="15"/>
      <c r="AA16" s="15"/>
      <c r="AB16" s="15"/>
      <c r="AC16" s="15">
        <v>1</v>
      </c>
      <c r="AD16" s="74">
        <v>0.04666599380525732</v>
      </c>
      <c r="AE16" s="15">
        <v>1</v>
      </c>
      <c r="AF16" s="74">
        <v>0.04666599380525732</v>
      </c>
      <c r="AG16" s="15">
        <v>1</v>
      </c>
      <c r="AH16" s="74">
        <v>0.04666599380525732</v>
      </c>
      <c r="AI16" s="15">
        <v>1</v>
      </c>
      <c r="AJ16" s="80">
        <v>0.010004770274466866</v>
      </c>
      <c r="AK16" s="15">
        <v>1</v>
      </c>
      <c r="AL16" s="80">
        <v>0.010004770274466866</v>
      </c>
      <c r="AM16" s="15">
        <v>1</v>
      </c>
      <c r="AN16" s="80">
        <v>0.010004770274466866</v>
      </c>
    </row>
    <row r="17" spans="1:40" ht="12.75">
      <c r="A17" s="14" t="s">
        <v>114</v>
      </c>
      <c r="B17" s="14" t="s">
        <v>47</v>
      </c>
      <c r="D17" s="14" t="s">
        <v>181</v>
      </c>
      <c r="E17" s="15"/>
      <c r="F17" s="15"/>
      <c r="G17" s="15"/>
      <c r="H17" s="15"/>
      <c r="I17" s="15"/>
      <c r="J17" s="15"/>
      <c r="K17" s="15"/>
      <c r="L17" s="53">
        <v>52906.581790401</v>
      </c>
      <c r="M17" s="53"/>
      <c r="N17" s="53">
        <v>51788.231281010456</v>
      </c>
      <c r="O17" s="53"/>
      <c r="P17" s="53">
        <v>51874.25824327127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>
        <v>1</v>
      </c>
      <c r="AD17" s="74">
        <v>0.04666599380525732</v>
      </c>
      <c r="AE17" s="15">
        <v>1</v>
      </c>
      <c r="AF17" s="74">
        <v>0.04666599380525732</v>
      </c>
      <c r="AG17" s="15">
        <v>1</v>
      </c>
      <c r="AH17" s="74">
        <v>0.04666599380525732</v>
      </c>
      <c r="AI17" s="15">
        <v>1</v>
      </c>
      <c r="AJ17" s="80">
        <v>0.010004770274466866</v>
      </c>
      <c r="AK17" s="15">
        <v>1</v>
      </c>
      <c r="AL17" s="80">
        <v>0.010004770274466866</v>
      </c>
      <c r="AM17" s="15">
        <v>1</v>
      </c>
      <c r="AN17" s="80">
        <v>0.010004770274466866</v>
      </c>
    </row>
    <row r="18" spans="5:40" ht="12.75"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2:48" ht="12.75">
      <c r="B19" s="14" t="s">
        <v>59</v>
      </c>
      <c r="D19" s="14" t="s">
        <v>17</v>
      </c>
      <c r="E19" s="15"/>
      <c r="F19" s="15">
        <f>'emiss 2'!$G$19</f>
        <v>26631</v>
      </c>
      <c r="G19" s="15"/>
      <c r="H19" s="15">
        <f>'emiss 2'!$I$19</f>
        <v>25042</v>
      </c>
      <c r="I19" s="15"/>
      <c r="J19" s="15">
        <f>'emiss 2'!$K$19</f>
        <v>25053</v>
      </c>
      <c r="K19" s="15"/>
      <c r="L19" s="15">
        <f>'emiss 2'!$G$19</f>
        <v>26631</v>
      </c>
      <c r="M19" s="15"/>
      <c r="N19" s="15">
        <f>'emiss 2'!$I$19</f>
        <v>25042</v>
      </c>
      <c r="O19" s="15"/>
      <c r="P19" s="15">
        <f>'emiss 2'!$K$19</f>
        <v>25053</v>
      </c>
      <c r="Q19" s="15"/>
      <c r="R19" s="15">
        <f>'emiss 2'!$G$19</f>
        <v>26631</v>
      </c>
      <c r="S19" s="15"/>
      <c r="T19" s="15">
        <f>'emiss 2'!$I$19</f>
        <v>25042</v>
      </c>
      <c r="U19" s="15"/>
      <c r="V19" s="15">
        <f>'emiss 2'!$K$19</f>
        <v>25053</v>
      </c>
      <c r="W19" s="15"/>
      <c r="X19" s="15"/>
      <c r="Y19" s="15"/>
      <c r="Z19" s="15"/>
      <c r="AA19" s="15"/>
      <c r="AB19" s="15"/>
      <c r="AC19" s="15"/>
      <c r="AD19" s="15">
        <f>'emiss 2'!$G$19</f>
        <v>26631</v>
      </c>
      <c r="AE19" s="15"/>
      <c r="AF19" s="15">
        <f>'emiss 2'!$I$19</f>
        <v>25042</v>
      </c>
      <c r="AG19" s="15"/>
      <c r="AH19" s="15">
        <f>'emiss 2'!$K$19</f>
        <v>25053</v>
      </c>
      <c r="AI19" s="15"/>
      <c r="AJ19" s="15">
        <f>'emiss 2'!$G$19</f>
        <v>26631</v>
      </c>
      <c r="AK19" s="15"/>
      <c r="AL19" s="15">
        <f>'emiss 2'!$I$19</f>
        <v>25042</v>
      </c>
      <c r="AM19" s="15"/>
      <c r="AN19" s="15">
        <f>'emiss 2'!$K$19</f>
        <v>25053</v>
      </c>
      <c r="AP19" s="15">
        <f>'emiss 2'!$G$19</f>
        <v>26631</v>
      </c>
      <c r="AQ19" s="15"/>
      <c r="AR19" s="15">
        <f>'emiss 2'!$I$19</f>
        <v>25042</v>
      </c>
      <c r="AS19" s="15"/>
      <c r="AT19" s="15">
        <f>'emiss 2'!$K$19</f>
        <v>25053</v>
      </c>
      <c r="AV19" s="53">
        <f>AVERAGE(AP19,AR19,AT19)</f>
        <v>25575.333333333332</v>
      </c>
    </row>
    <row r="20" spans="2:48" ht="12.75">
      <c r="B20" s="14" t="s">
        <v>60</v>
      </c>
      <c r="D20" s="14" t="s">
        <v>18</v>
      </c>
      <c r="E20" s="15"/>
      <c r="F20" s="15">
        <f>'emiss 2'!$G$20</f>
        <v>13.2</v>
      </c>
      <c r="G20" s="15"/>
      <c r="H20" s="15">
        <f>'emiss 2'!$I$20</f>
        <v>12.8</v>
      </c>
      <c r="I20" s="15"/>
      <c r="J20" s="15">
        <f>'emiss 2'!$K$20</f>
        <v>13</v>
      </c>
      <c r="K20" s="15"/>
      <c r="L20" s="15">
        <f>'emiss 2'!$G$20</f>
        <v>13.2</v>
      </c>
      <c r="M20" s="15"/>
      <c r="N20" s="15">
        <f>'emiss 2'!$I$20</f>
        <v>12.8</v>
      </c>
      <c r="O20" s="15"/>
      <c r="P20" s="15">
        <f>'emiss 2'!$K$20</f>
        <v>13</v>
      </c>
      <c r="Q20" s="15"/>
      <c r="R20" s="15">
        <f>'emiss 2'!$G$20</f>
        <v>13.2</v>
      </c>
      <c r="S20" s="15"/>
      <c r="T20" s="15">
        <f>'emiss 2'!$I$20</f>
        <v>12.8</v>
      </c>
      <c r="U20" s="15"/>
      <c r="V20" s="15">
        <f>'emiss 2'!$K$20</f>
        <v>13</v>
      </c>
      <c r="W20" s="15"/>
      <c r="X20" s="15"/>
      <c r="Y20" s="15"/>
      <c r="Z20" s="15"/>
      <c r="AA20" s="15"/>
      <c r="AB20" s="15"/>
      <c r="AC20" s="15"/>
      <c r="AD20" s="15">
        <f>'emiss 2'!$G$20</f>
        <v>13.2</v>
      </c>
      <c r="AE20" s="15"/>
      <c r="AF20" s="15">
        <f>'emiss 2'!$I$20</f>
        <v>12.8</v>
      </c>
      <c r="AG20" s="15"/>
      <c r="AH20" s="15">
        <f>'emiss 2'!$K$20</f>
        <v>13</v>
      </c>
      <c r="AI20" s="15"/>
      <c r="AJ20" s="15">
        <f>'emiss 2'!$G$20</f>
        <v>13.2</v>
      </c>
      <c r="AK20" s="15"/>
      <c r="AL20" s="15">
        <f>'emiss 2'!$I$20</f>
        <v>12.8</v>
      </c>
      <c r="AM20" s="15"/>
      <c r="AN20" s="15">
        <f>'emiss 2'!$K$20</f>
        <v>13</v>
      </c>
      <c r="AP20" s="15">
        <f>'emiss 2'!$G$20</f>
        <v>13.2</v>
      </c>
      <c r="AQ20" s="15"/>
      <c r="AR20" s="15">
        <f>'emiss 2'!$I$20</f>
        <v>12.8</v>
      </c>
      <c r="AS20" s="15"/>
      <c r="AT20" s="15">
        <f>'emiss 2'!$K$20</f>
        <v>13</v>
      </c>
      <c r="AV20" s="75">
        <f>AVERAGE(AP20,AR20,AT20)</f>
        <v>13</v>
      </c>
    </row>
    <row r="21" spans="5:40" ht="12.75"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2:48" ht="12.75">
      <c r="B22" s="14" t="s">
        <v>240</v>
      </c>
      <c r="D22" s="14" t="s">
        <v>65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75"/>
      <c r="AV22" s="75">
        <f>AV19*60/9000*(21-AV20)/21</f>
        <v>64.95322751322752</v>
      </c>
    </row>
    <row r="23" spans="5:40" ht="12.75"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2:40" ht="12.75">
      <c r="B24" s="68" t="s">
        <v>182</v>
      </c>
      <c r="C24" s="6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2:48" ht="12.75">
      <c r="B25" s="14" t="s">
        <v>170</v>
      </c>
      <c r="D25" s="14" t="s">
        <v>29</v>
      </c>
      <c r="E25" s="15"/>
      <c r="F25" s="53">
        <f>F$10*F13/1000000*1/60*454*1000000/(0.0283*F$19)*(21-7)/(21-F$20)</f>
        <v>25154.582426416586</v>
      </c>
      <c r="G25" s="15"/>
      <c r="H25" s="53">
        <f>H$10*H13/1000000*1/60*454*1000000/(0.0283*H$19)*(21-7)/(21-H$20)</f>
        <v>25667.080629004788</v>
      </c>
      <c r="I25" s="15"/>
      <c r="J25" s="53">
        <f>J$10*J13/1000000*1/60*454*1000000/(0.0283*J$19)*(21-7)/(21-J$20)</f>
        <v>25957.156199048648</v>
      </c>
      <c r="K25" s="15"/>
      <c r="L25" s="53"/>
      <c r="M25" s="15"/>
      <c r="N25" s="53"/>
      <c r="O25" s="15"/>
      <c r="P25" s="53"/>
      <c r="Q25" s="15"/>
      <c r="R25" s="53"/>
      <c r="S25" s="15"/>
      <c r="T25" s="53"/>
      <c r="U25" s="15"/>
      <c r="V25" s="53"/>
      <c r="W25" s="53"/>
      <c r="X25" s="53">
        <f>F25+L25+R25</f>
        <v>25154.582426416586</v>
      </c>
      <c r="Y25" s="53"/>
      <c r="Z25" s="53">
        <f>H25+N25+T25</f>
        <v>25667.080629004788</v>
      </c>
      <c r="AA25" s="53"/>
      <c r="AB25" s="53">
        <f>J25+P25+V25</f>
        <v>25957.156199048648</v>
      </c>
      <c r="AC25" s="15">
        <v>100</v>
      </c>
      <c r="AD25" s="77">
        <f>AD$10*AD13/1000000*1/60*454*1000000/(0.0283*AD$19)*(21-7)/(21-AD$20)</f>
        <v>0.3516303551426943</v>
      </c>
      <c r="AE25" s="15">
        <v>100</v>
      </c>
      <c r="AF25" s="77">
        <f>AF$10*AF13/1000000*1/60*454*1000000/(0.0283*AF$19)*(21-7)/(21-AF$20)</f>
        <v>0.37565824290120575</v>
      </c>
      <c r="AG25" s="15">
        <v>100</v>
      </c>
      <c r="AH25" s="77">
        <f>AH$10*AH13/1000000*1/60*454*1000000/(0.0283*AH$19)*(21-7)/(21-AH$20)</f>
        <v>0.3859265068128836</v>
      </c>
      <c r="AI25" s="15">
        <v>100</v>
      </c>
      <c r="AJ25" s="77">
        <f>AJ$10*AJ13/1000000*1/60*454*1000000/(0.0283*AJ$19)*(21-7)/(21-AJ$20)</f>
        <v>0.26702727773081597</v>
      </c>
      <c r="AK25" s="15">
        <v>100</v>
      </c>
      <c r="AL25" s="77">
        <f>AL$10*AL13/1000000*1/60*454*1000000/(0.0283*AL$19)*(21-7)/(21-AL$20)</f>
        <v>0.30042990361389116</v>
      </c>
      <c r="AM25" s="15">
        <v>100</v>
      </c>
      <c r="AN25" s="77">
        <f>AN$10*AN13/1000000*1/60*454*1000000/(0.0283*AN$19)*(21-7)/(21-AN$20)</f>
        <v>0.31072037440430766</v>
      </c>
      <c r="AP25" s="53">
        <f>F25+L25+R25+AD25+AJ25</f>
        <v>25155.201084049462</v>
      </c>
      <c r="AR25" s="53">
        <f>H25+N25+T25+AF25+AL25</f>
        <v>25667.756717151304</v>
      </c>
      <c r="AT25" s="53">
        <f>J25+P25+V25+AH25+AN25</f>
        <v>25957.852845929865</v>
      </c>
      <c r="AV25" s="53">
        <f>AVERAGE(AP25,AR25,AT25)</f>
        <v>25593.603549043546</v>
      </c>
    </row>
    <row r="26" spans="2:48" ht="12.75">
      <c r="B26" s="14" t="s">
        <v>171</v>
      </c>
      <c r="D26" s="14" t="s">
        <v>29</v>
      </c>
      <c r="E26" s="15"/>
      <c r="F26" s="53">
        <f>F$10*F14/1000000*1/60*454*1000000/(0.0283*F$19)*(21-7)/(21-F$20)</f>
        <v>765.5742477605048</v>
      </c>
      <c r="G26" s="15"/>
      <c r="H26" s="53">
        <f>H$10*H14/1000000*1/60*454*1000000/(0.0283*H$19)*(21-7)/(21-H$20)</f>
        <v>848.5625363123565</v>
      </c>
      <c r="I26" s="15"/>
      <c r="J26" s="53">
        <f>J$10*J14/1000000*1/60*454*1000000/(0.0283*J$19)*(21-7)/(21-J$20)</f>
        <v>855.792704379115</v>
      </c>
      <c r="K26" s="15"/>
      <c r="L26" s="53"/>
      <c r="M26" s="15"/>
      <c r="N26" s="53"/>
      <c r="O26" s="15"/>
      <c r="P26" s="53"/>
      <c r="Q26" s="15"/>
      <c r="R26" s="53"/>
      <c r="S26" s="15"/>
      <c r="T26" s="53"/>
      <c r="U26" s="15"/>
      <c r="V26" s="53"/>
      <c r="W26" s="53"/>
      <c r="X26" s="53">
        <f>F26+L26+R26</f>
        <v>765.5742477605048</v>
      </c>
      <c r="Y26" s="53"/>
      <c r="Z26" s="53">
        <f>H26+N26+T26</f>
        <v>848.5625363123565</v>
      </c>
      <c r="AA26" s="53"/>
      <c r="AB26" s="53">
        <f>J26+P26+V26</f>
        <v>855.792704379115</v>
      </c>
      <c r="AC26" s="15">
        <v>100</v>
      </c>
      <c r="AD26" s="77">
        <f>AD$10*AD14/1000000*1/60*454*1000000/(0.0283*AD$19)*(21-7)/(21-AD$20)</f>
        <v>0.3516303551426943</v>
      </c>
      <c r="AE26" s="15">
        <v>100</v>
      </c>
      <c r="AF26" s="77">
        <f>AF$10*AF14/1000000*1/60*454*1000000/(0.0283*AF$19)*(21-7)/(21-AF$20)</f>
        <v>0.37565824290120575</v>
      </c>
      <c r="AG26" s="15">
        <v>100</v>
      </c>
      <c r="AH26" s="77">
        <f>AH$10*AH14/1000000*1/60*454*1000000/(0.0283*AH$19)*(21-7)/(21-AH$20)</f>
        <v>0.3859265068128836</v>
      </c>
      <c r="AI26" s="15">
        <v>100</v>
      </c>
      <c r="AJ26" s="77">
        <f>AJ$10*AJ14/1000000*1/60*454*1000000/(0.0283*AJ$19)*(21-7)/(21-AJ$20)</f>
        <v>0.26702727773081597</v>
      </c>
      <c r="AK26" s="15">
        <v>100</v>
      </c>
      <c r="AL26" s="77">
        <f>AL$10*AL14/1000000*1/60*454*1000000/(0.0283*AL$19)*(21-7)/(21-AL$20)</f>
        <v>0.30042990361389116</v>
      </c>
      <c r="AM26" s="15">
        <v>100</v>
      </c>
      <c r="AN26" s="77">
        <f>AN$10*AN14/1000000*1/60*454*1000000/(0.0283*AN$19)*(21-7)/(21-AN$20)</f>
        <v>0.31072037440430766</v>
      </c>
      <c r="AP26" s="53">
        <f>F26+L26+R26+AD26+AJ26</f>
        <v>766.1929053933783</v>
      </c>
      <c r="AR26" s="53">
        <f>H26+N26+T26+AF26+AL26</f>
        <v>849.2386244588716</v>
      </c>
      <c r="AT26" s="53">
        <f>J26+P26+V26+AH26+AN26</f>
        <v>856.4893512603322</v>
      </c>
      <c r="AV26" s="53">
        <f>AVERAGE(AP26,AR26,AT26)</f>
        <v>823.9736270375274</v>
      </c>
    </row>
    <row r="27" spans="2:48" ht="12.75">
      <c r="B27" s="14" t="s">
        <v>172</v>
      </c>
      <c r="D27" s="14" t="s">
        <v>29</v>
      </c>
      <c r="E27" s="15"/>
      <c r="F27" s="53"/>
      <c r="G27" s="15"/>
      <c r="H27" s="53"/>
      <c r="I27" s="15"/>
      <c r="J27" s="53"/>
      <c r="K27" s="15"/>
      <c r="L27" s="53">
        <f>L$10*L15/1000000*1/60*454*1000000/(0.0283*L$19)*(21-7)/(21-L$20)</f>
        <v>1467.9385459864395</v>
      </c>
      <c r="M27" s="15"/>
      <c r="N27" s="53">
        <f>N$10*N15/1000000*1/60*454*1000000/(0.0283*N$19)*(21-7)/(21-N$20)</f>
        <v>1532.4263364632134</v>
      </c>
      <c r="O27" s="15"/>
      <c r="P27" s="53">
        <f>P$10*P15/1000000*1/60*454*1000000/(0.0283*P$19)*(21-7)/(21-P$20)</f>
        <v>1621.9497238439044</v>
      </c>
      <c r="Q27" s="15"/>
      <c r="R27" s="53"/>
      <c r="S27" s="15"/>
      <c r="T27" s="53"/>
      <c r="U27" s="15"/>
      <c r="V27" s="53"/>
      <c r="W27" s="53"/>
      <c r="X27" s="53">
        <f>F27+L27+R27</f>
        <v>1467.9385459864395</v>
      </c>
      <c r="Y27" s="53"/>
      <c r="Z27" s="53">
        <f>H27+N27+T27</f>
        <v>1532.4263364632134</v>
      </c>
      <c r="AA27" s="53"/>
      <c r="AB27" s="53">
        <f>J27+P27+V27</f>
        <v>1621.9497238439044</v>
      </c>
      <c r="AC27" s="15">
        <v>100</v>
      </c>
      <c r="AD27" s="77">
        <f>AD$10*AD15/1000000*1/60*454*1000000/(0.0283*AD$19)*(21-7)/(21-AD$20)</f>
        <v>1.7581517757134715</v>
      </c>
      <c r="AE27" s="15">
        <v>100</v>
      </c>
      <c r="AF27" s="77">
        <f>AF$10*AF15/1000000*1/60*454*1000000/(0.0283*AF$19)*(21-7)/(21-AF$20)</f>
        <v>1.8782912145060289</v>
      </c>
      <c r="AG27" s="15">
        <v>100</v>
      </c>
      <c r="AH27" s="77">
        <f>AH$10*AH15/1000000*1/60*454*1000000/(0.0283*AH$19)*(21-7)/(21-AH$20)</f>
        <v>1.9296325340644187</v>
      </c>
      <c r="AI27" s="15">
        <v>100</v>
      </c>
      <c r="AJ27" s="77">
        <f>AJ$10*AJ15/1000000*1/60*454*1000000/(0.0283*AJ$19)*(21-7)/(21-AJ$20)</f>
        <v>0.26702727773081597</v>
      </c>
      <c r="AK27" s="15">
        <v>100</v>
      </c>
      <c r="AL27" s="77">
        <f>AL$10*AL15/1000000*1/60*454*1000000/(0.0283*AL$19)*(21-7)/(21-AL$20)</f>
        <v>0.30042990361389116</v>
      </c>
      <c r="AM27" s="15">
        <v>100</v>
      </c>
      <c r="AN27" s="77">
        <f>AN$10*AN15/1000000*1/60*454*1000000/(0.0283*AN$19)*(21-7)/(21-AN$20)</f>
        <v>0.31072037440430766</v>
      </c>
      <c r="AP27" s="53">
        <f>F27+L27+R27+AD27+AJ27</f>
        <v>1469.963725039884</v>
      </c>
      <c r="AR27" s="53">
        <f>H27+N27+T27+AF27+AL27</f>
        <v>1534.6050575813333</v>
      </c>
      <c r="AT27" s="53">
        <f>J27+P27+V27+AH27+AN27</f>
        <v>1624.1900767523732</v>
      </c>
      <c r="AV27" s="53">
        <f>AVERAGE(AP27,AR27,AT27)</f>
        <v>1542.9196197911967</v>
      </c>
    </row>
    <row r="28" spans="2:48" ht="12.75">
      <c r="B28" s="14" t="s">
        <v>51</v>
      </c>
      <c r="D28" s="14" t="s">
        <v>29</v>
      </c>
      <c r="E28" s="15"/>
      <c r="F28" s="53"/>
      <c r="G28" s="15"/>
      <c r="H28" s="53"/>
      <c r="I28" s="15"/>
      <c r="J28" s="53"/>
      <c r="K28" s="15"/>
      <c r="L28" s="53"/>
      <c r="M28" s="15"/>
      <c r="N28" s="53"/>
      <c r="O28" s="15"/>
      <c r="P28" s="53"/>
      <c r="Q28" s="15"/>
      <c r="R28" s="53">
        <f>R$10*R16/1000000*1/60*454*1000000/(0.0283*R$19)*(21-7)/(21-R$20)</f>
        <v>29475.838427660514</v>
      </c>
      <c r="S28" s="15"/>
      <c r="T28" s="53">
        <f>T$10*T16/1000000*1/60*454*1000000/(0.0283*T$19)*(21-7)/(21-T$20)</f>
        <v>29817.09856564296</v>
      </c>
      <c r="U28" s="15"/>
      <c r="V28" s="53">
        <f>V$10*V16/1000000*1/60*454*1000000/(0.0283*V$19)*(21-7)/(21-V$20)</f>
        <v>29925.655804157686</v>
      </c>
      <c r="W28" s="53"/>
      <c r="X28" s="53">
        <f>F28+L28+R28</f>
        <v>29475.838427660514</v>
      </c>
      <c r="Y28" s="53"/>
      <c r="Z28" s="53">
        <f>H28+N28+T28</f>
        <v>29817.09856564296</v>
      </c>
      <c r="AA28" s="53"/>
      <c r="AB28" s="53">
        <f>J28+P28+V28</f>
        <v>29925.655804157686</v>
      </c>
      <c r="AC28" s="15">
        <v>100</v>
      </c>
      <c r="AD28" s="77">
        <f>AD$10*AD16/1000000*1/60*454*1000000/(0.0283*AD$19)*(21-7)/(21-AD$20)</f>
        <v>3.516303551426943</v>
      </c>
      <c r="AE28" s="15">
        <v>100</v>
      </c>
      <c r="AF28" s="77">
        <f>AF$10*AF16/1000000*1/60*454*1000000/(0.0283*AF$19)*(21-7)/(21-AF$20)</f>
        <v>3.7565824290120577</v>
      </c>
      <c r="AG28" s="15">
        <v>100</v>
      </c>
      <c r="AH28" s="77">
        <f>AH$10*AH16/1000000*1/60*454*1000000/(0.0283*AH$19)*(21-7)/(21-AH$20)</f>
        <v>3.8592650681288374</v>
      </c>
      <c r="AI28" s="15">
        <v>100</v>
      </c>
      <c r="AJ28" s="77">
        <f>AJ$10*AJ16/1000000*1/60*454*1000000/(0.0283*AJ$19)*(21-7)/(21-AJ$20)</f>
        <v>0.5340545554616319</v>
      </c>
      <c r="AK28" s="15">
        <v>100</v>
      </c>
      <c r="AL28" s="77">
        <f>AL$10*AL16/1000000*1/60*454*1000000/(0.0283*AL$19)*(21-7)/(21-AL$20)</f>
        <v>0.6008598072277823</v>
      </c>
      <c r="AM28" s="15">
        <v>100</v>
      </c>
      <c r="AN28" s="77">
        <f>AN$10*AN16/1000000*1/60*454*1000000/(0.0283*AN$19)*(21-7)/(21-AN$20)</f>
        <v>0.6214407488086153</v>
      </c>
      <c r="AP28" s="53">
        <f>F28+L28+R28+AD28+AJ28</f>
        <v>29479.8887857674</v>
      </c>
      <c r="AR28" s="53">
        <f>H28+N28+T28+AF28+AL28</f>
        <v>29821.4560078792</v>
      </c>
      <c r="AT28" s="53">
        <f>J28+P28+V28+AH28+AN28</f>
        <v>29930.13650997462</v>
      </c>
      <c r="AV28" s="53">
        <f>AVERAGE(AP28,AR28,AT28)</f>
        <v>29743.827101207073</v>
      </c>
    </row>
    <row r="29" spans="2:48" ht="12.75">
      <c r="B29" s="14" t="s">
        <v>47</v>
      </c>
      <c r="D29" s="14" t="s">
        <v>29</v>
      </c>
      <c r="E29" s="15"/>
      <c r="F29" s="53"/>
      <c r="G29" s="15"/>
      <c r="H29" s="53"/>
      <c r="I29" s="15"/>
      <c r="J29" s="53"/>
      <c r="K29" s="15"/>
      <c r="L29" s="53">
        <f>L$10*L17/1000000*1/60*454*1000000/(0.0283*L$19)*(21-7)/(21-L$20)</f>
        <v>19249.087543318958</v>
      </c>
      <c r="M29" s="15"/>
      <c r="N29" s="53">
        <f>N$10*N17/1000000*1/60*454*1000000/(0.0283*N$19)*(21-7)/(21-N$20)</f>
        <v>19060.344102290383</v>
      </c>
      <c r="O29" s="15"/>
      <c r="P29" s="53">
        <f>P$10*P17/1000000*1/60*454*1000000/(0.0283*P$19)*(21-7)/(21-P$20)</f>
        <v>19560.713669557485</v>
      </c>
      <c r="Q29" s="15"/>
      <c r="R29" s="53"/>
      <c r="S29" s="15"/>
      <c r="T29" s="53"/>
      <c r="U29" s="15"/>
      <c r="V29" s="53"/>
      <c r="W29" s="53"/>
      <c r="X29" s="53">
        <f>F29+L29+R29</f>
        <v>19249.087543318958</v>
      </c>
      <c r="Y29" s="53"/>
      <c r="Z29" s="53">
        <f>H29+N29+T29</f>
        <v>19060.344102290383</v>
      </c>
      <c r="AA29" s="53"/>
      <c r="AB29" s="53">
        <f>J29+P29+V29</f>
        <v>19560.713669557485</v>
      </c>
      <c r="AC29" s="15">
        <v>100</v>
      </c>
      <c r="AD29" s="77">
        <f>AD$10*AD17/1000000*1/60*454*1000000/(0.0283*AD$19)*(21-7)/(21-AD$20)</f>
        <v>3.516303551426943</v>
      </c>
      <c r="AE29" s="15">
        <v>100</v>
      </c>
      <c r="AF29" s="77">
        <f>AF$10*AF17/1000000*1/60*454*1000000/(0.0283*AF$19)*(21-7)/(21-AF$20)</f>
        <v>3.7565824290120577</v>
      </c>
      <c r="AG29" s="15">
        <v>100</v>
      </c>
      <c r="AH29" s="77">
        <f>AH$10*AH17/1000000*1/60*454*1000000/(0.0283*AH$19)*(21-7)/(21-AH$20)</f>
        <v>3.8592650681288374</v>
      </c>
      <c r="AI29" s="15">
        <v>100</v>
      </c>
      <c r="AJ29" s="77">
        <f>AJ$10*AJ17/1000000*1/60*454*1000000/(0.0283*AJ$19)*(21-7)/(21-AJ$20)</f>
        <v>0.5340545554616319</v>
      </c>
      <c r="AK29" s="15">
        <v>100</v>
      </c>
      <c r="AL29" s="77">
        <f>AL$10*AL17/1000000*1/60*454*1000000/(0.0283*AL$19)*(21-7)/(21-AL$20)</f>
        <v>0.6008598072277823</v>
      </c>
      <c r="AM29" s="15">
        <v>100</v>
      </c>
      <c r="AN29" s="77">
        <f>AN$10*AN17/1000000*1/60*454*1000000/(0.0283*AN$19)*(21-7)/(21-AN$20)</f>
        <v>0.6214407488086153</v>
      </c>
      <c r="AP29" s="53">
        <f>F29+L29+R29+AD29+AJ29</f>
        <v>19253.137901425845</v>
      </c>
      <c r="AR29" s="53">
        <f>H29+N29+T29+AF29+AL29</f>
        <v>19064.701544526622</v>
      </c>
      <c r="AT29" s="53">
        <f>J29+P29+V29+AH29+AN29</f>
        <v>19565.19437537442</v>
      </c>
      <c r="AV29" s="53">
        <f>AVERAGE(AP29,AR29,AT29)</f>
        <v>19294.344607108964</v>
      </c>
    </row>
    <row r="30" spans="5:40" ht="12.75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2:48" ht="12.75">
      <c r="B31" s="14" t="s">
        <v>30</v>
      </c>
      <c r="D31" s="14" t="s">
        <v>29</v>
      </c>
      <c r="E31" s="15"/>
      <c r="F31" s="53"/>
      <c r="G31" s="15"/>
      <c r="H31" s="53"/>
      <c r="I31" s="15"/>
      <c r="J31" s="53"/>
      <c r="K31" s="15"/>
      <c r="L31" s="53">
        <f>L27+L29</f>
        <v>20717.026089305396</v>
      </c>
      <c r="M31" s="15"/>
      <c r="N31" s="53">
        <f>N27+N29</f>
        <v>20592.770438753596</v>
      </c>
      <c r="O31" s="15"/>
      <c r="P31" s="53">
        <f>P27+P29</f>
        <v>21182.663393401388</v>
      </c>
      <c r="Q31" s="15"/>
      <c r="R31" s="53"/>
      <c r="S31" s="15"/>
      <c r="T31" s="53"/>
      <c r="U31" s="15"/>
      <c r="V31" s="53"/>
      <c r="W31" s="53"/>
      <c r="X31" s="53">
        <f>F31+L31+R31</f>
        <v>20717.026089305396</v>
      </c>
      <c r="Y31" s="53"/>
      <c r="Z31" s="53">
        <f>H31+N31+T31</f>
        <v>20592.770438753596</v>
      </c>
      <c r="AA31" s="53"/>
      <c r="AB31" s="53">
        <f>J31+P31+V31</f>
        <v>21182.663393401388</v>
      </c>
      <c r="AC31" s="15">
        <v>100</v>
      </c>
      <c r="AD31" s="75">
        <f>(AD27+AD29)</f>
        <v>5.274455327140414</v>
      </c>
      <c r="AE31" s="15">
        <v>100</v>
      </c>
      <c r="AF31" s="75">
        <f>(AF27+AF29)</f>
        <v>5.634873643518087</v>
      </c>
      <c r="AG31" s="15">
        <v>100</v>
      </c>
      <c r="AH31" s="75">
        <f>(AH27+AH29)</f>
        <v>5.788897602193256</v>
      </c>
      <c r="AI31" s="15">
        <v>100</v>
      </c>
      <c r="AJ31" s="75">
        <f>(AJ27+AJ29)</f>
        <v>0.8010818331924479</v>
      </c>
      <c r="AK31" s="15">
        <v>100</v>
      </c>
      <c r="AL31" s="75">
        <f>(AL27+AL29)</f>
        <v>0.9012897108416735</v>
      </c>
      <c r="AM31" s="15">
        <v>100</v>
      </c>
      <c r="AN31" s="75">
        <f>(AN27+AN29)</f>
        <v>0.932161123212923</v>
      </c>
      <c r="AO31" s="15"/>
      <c r="AP31" s="53">
        <f>F31+L31+R31+AD31+AJ31</f>
        <v>20723.10162646573</v>
      </c>
      <c r="AR31" s="53">
        <f>H31+N31+T31+AF31+AL31</f>
        <v>20599.306602107954</v>
      </c>
      <c r="AT31" s="53">
        <f>J31+P31+V31+AH31+AN31</f>
        <v>21189.384452126793</v>
      </c>
      <c r="AV31" s="53">
        <f>AVERAGE(AP31,AR31,AT31)</f>
        <v>20837.264226900155</v>
      </c>
    </row>
    <row r="32" spans="2:49" ht="12.75">
      <c r="B32" s="14" t="s">
        <v>31</v>
      </c>
      <c r="D32" s="14" t="s">
        <v>29</v>
      </c>
      <c r="E32" s="15"/>
      <c r="F32" s="53">
        <f>F26+F28</f>
        <v>765.5742477605048</v>
      </c>
      <c r="G32" s="15"/>
      <c r="H32" s="53">
        <f>H26+H28</f>
        <v>848.5625363123565</v>
      </c>
      <c r="I32" s="15"/>
      <c r="J32" s="53">
        <f>J26+J28</f>
        <v>855.792704379115</v>
      </c>
      <c r="K32" s="15"/>
      <c r="L32" s="53"/>
      <c r="M32" s="15"/>
      <c r="N32" s="53"/>
      <c r="O32" s="15"/>
      <c r="P32" s="53"/>
      <c r="Q32" s="15"/>
      <c r="R32" s="53">
        <f>R26+R28</f>
        <v>29475.838427660514</v>
      </c>
      <c r="S32" s="15"/>
      <c r="T32" s="53">
        <f>T26+T28</f>
        <v>29817.09856564296</v>
      </c>
      <c r="U32" s="15"/>
      <c r="V32" s="53">
        <f>V26+V28</f>
        <v>29925.655804157686</v>
      </c>
      <c r="W32" s="53"/>
      <c r="X32" s="53">
        <f>F32+L32+R32</f>
        <v>30241.41267542102</v>
      </c>
      <c r="Y32" s="53"/>
      <c r="Z32" s="53">
        <f>H32+N32+T32</f>
        <v>30665.661101955317</v>
      </c>
      <c r="AA32" s="53"/>
      <c r="AB32" s="53">
        <f>J32+P32+V32</f>
        <v>30781.4485085368</v>
      </c>
      <c r="AC32" s="15">
        <v>100</v>
      </c>
      <c r="AD32" s="75">
        <f>(AD26+AD28)</f>
        <v>3.8679339065696374</v>
      </c>
      <c r="AE32" s="15">
        <v>100</v>
      </c>
      <c r="AF32" s="75">
        <f>(AF26+AF28)</f>
        <v>4.132240671913263</v>
      </c>
      <c r="AG32" s="15">
        <v>100</v>
      </c>
      <c r="AH32" s="75">
        <f>(AH26+AH28)</f>
        <v>4.245191574941721</v>
      </c>
      <c r="AI32" s="15">
        <v>100</v>
      </c>
      <c r="AJ32" s="75">
        <f>(AJ26+AJ28)</f>
        <v>0.8010818331924479</v>
      </c>
      <c r="AK32" s="15">
        <v>100</v>
      </c>
      <c r="AL32" s="75">
        <f>(AL26+AL28)</f>
        <v>0.9012897108416735</v>
      </c>
      <c r="AM32" s="15">
        <v>100</v>
      </c>
      <c r="AN32" s="75">
        <f>(AN26+AN28)</f>
        <v>0.932161123212923</v>
      </c>
      <c r="AO32" s="15"/>
      <c r="AP32" s="53">
        <f>F32+L32+R32+AD32+AJ32</f>
        <v>30246.081691160784</v>
      </c>
      <c r="AR32" s="53">
        <f>H32+N32+T32+AF32+AL32</f>
        <v>30670.69463233807</v>
      </c>
      <c r="AT32" s="53">
        <f>J32+P32+V32+AH32+AN32</f>
        <v>30786.625861234952</v>
      </c>
      <c r="AV32" s="53">
        <f>AVERAGE(AP32,AR32,AT32)</f>
        <v>30567.8007282446</v>
      </c>
      <c r="AW32" s="14" t="s">
        <v>174</v>
      </c>
    </row>
    <row r="33" spans="5:48" ht="12.75">
      <c r="E33" s="15"/>
      <c r="F33" s="53"/>
      <c r="G33" s="15"/>
      <c r="H33" s="53"/>
      <c r="I33" s="15"/>
      <c r="J33" s="53"/>
      <c r="K33" s="15"/>
      <c r="L33" s="53"/>
      <c r="M33" s="15"/>
      <c r="N33" s="53"/>
      <c r="O33" s="15"/>
      <c r="P33" s="53"/>
      <c r="Q33" s="15"/>
      <c r="R33" s="53"/>
      <c r="S33" s="15"/>
      <c r="T33" s="53"/>
      <c r="U33" s="15"/>
      <c r="V33" s="53"/>
      <c r="W33" s="53"/>
      <c r="X33" s="53"/>
      <c r="Y33" s="53"/>
      <c r="Z33" s="53"/>
      <c r="AA33" s="53"/>
      <c r="AB33" s="53"/>
      <c r="AC33" s="15"/>
      <c r="AD33" s="75"/>
      <c r="AE33" s="15"/>
      <c r="AF33" s="75"/>
      <c r="AG33" s="15"/>
      <c r="AH33" s="75"/>
      <c r="AI33" s="15"/>
      <c r="AJ33" s="75"/>
      <c r="AK33" s="15"/>
      <c r="AL33" s="75"/>
      <c r="AM33" s="15"/>
      <c r="AN33" s="75"/>
      <c r="AP33" s="53"/>
      <c r="AR33" s="53"/>
      <c r="AT33" s="53"/>
      <c r="AV33" s="53"/>
    </row>
    <row r="34" spans="5:48" ht="12.75">
      <c r="E34" s="15"/>
      <c r="F34" s="53"/>
      <c r="G34" s="15"/>
      <c r="H34" s="53"/>
      <c r="I34" s="15"/>
      <c r="J34" s="53"/>
      <c r="K34" s="15"/>
      <c r="L34" s="53"/>
      <c r="M34" s="15"/>
      <c r="N34" s="53"/>
      <c r="O34" s="15"/>
      <c r="P34" s="53"/>
      <c r="Q34" s="15"/>
      <c r="R34" s="53"/>
      <c r="S34" s="15"/>
      <c r="T34" s="53"/>
      <c r="U34" s="15"/>
      <c r="V34" s="53"/>
      <c r="W34" s="53"/>
      <c r="X34" s="53"/>
      <c r="Y34" s="53"/>
      <c r="Z34" s="53"/>
      <c r="AA34" s="53"/>
      <c r="AB34" s="53"/>
      <c r="AC34" s="15"/>
      <c r="AD34" s="75"/>
      <c r="AE34" s="15"/>
      <c r="AF34" s="75"/>
      <c r="AG34" s="15"/>
      <c r="AH34" s="75"/>
      <c r="AI34" s="15"/>
      <c r="AJ34" s="75"/>
      <c r="AK34" s="15"/>
      <c r="AL34" s="75"/>
      <c r="AM34" s="15"/>
      <c r="AN34" s="75"/>
      <c r="AP34" s="53"/>
      <c r="AR34" s="53"/>
      <c r="AT34" s="53"/>
      <c r="AV34" s="53"/>
    </row>
    <row r="35" ht="12.75">
      <c r="E35" s="15"/>
    </row>
    <row r="36" spans="2:48" ht="12.75">
      <c r="B36" s="13" t="s">
        <v>154</v>
      </c>
      <c r="C36" s="13"/>
      <c r="F36" s="16" t="s">
        <v>166</v>
      </c>
      <c r="G36" s="16"/>
      <c r="H36" s="16" t="s">
        <v>167</v>
      </c>
      <c r="I36" s="16"/>
      <c r="J36" s="16" t="s">
        <v>168</v>
      </c>
      <c r="K36" s="16"/>
      <c r="L36" s="16" t="s">
        <v>166</v>
      </c>
      <c r="M36" s="16"/>
      <c r="N36" s="16" t="s">
        <v>167</v>
      </c>
      <c r="O36" s="16"/>
      <c r="P36" s="16" t="s">
        <v>168</v>
      </c>
      <c r="Q36" s="16"/>
      <c r="R36" s="16" t="s">
        <v>166</v>
      </c>
      <c r="S36" s="16"/>
      <c r="T36" s="16" t="s">
        <v>167</v>
      </c>
      <c r="U36" s="16"/>
      <c r="V36" s="16" t="s">
        <v>168</v>
      </c>
      <c r="W36" s="16"/>
      <c r="X36" s="16" t="s">
        <v>166</v>
      </c>
      <c r="Y36" s="16"/>
      <c r="Z36" s="16" t="s">
        <v>167</v>
      </c>
      <c r="AA36" s="16"/>
      <c r="AB36" s="16" t="s">
        <v>168</v>
      </c>
      <c r="AC36" s="16"/>
      <c r="AD36" s="16" t="s">
        <v>166</v>
      </c>
      <c r="AE36" s="16"/>
      <c r="AF36" s="16" t="s">
        <v>167</v>
      </c>
      <c r="AG36" s="16"/>
      <c r="AH36" s="16" t="s">
        <v>168</v>
      </c>
      <c r="AI36" s="16"/>
      <c r="AJ36" s="16" t="s">
        <v>166</v>
      </c>
      <c r="AK36" s="16"/>
      <c r="AL36" s="16" t="s">
        <v>167</v>
      </c>
      <c r="AM36" s="16"/>
      <c r="AN36" s="16" t="s">
        <v>168</v>
      </c>
      <c r="AO36" s="16"/>
      <c r="AP36" s="16" t="s">
        <v>166</v>
      </c>
      <c r="AQ36" s="16"/>
      <c r="AR36" s="16" t="s">
        <v>167</v>
      </c>
      <c r="AS36" s="16"/>
      <c r="AT36" s="16" t="s">
        <v>168</v>
      </c>
      <c r="AU36" s="16"/>
      <c r="AV36" s="16" t="s">
        <v>123</v>
      </c>
    </row>
    <row r="37" spans="2:48" ht="12.75">
      <c r="B37" s="13"/>
      <c r="C37" s="13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2:48" ht="12.75">
      <c r="B38" s="14" t="s">
        <v>227</v>
      </c>
      <c r="F38" s="16" t="s">
        <v>230</v>
      </c>
      <c r="G38" s="16"/>
      <c r="H38" s="16" t="s">
        <v>230</v>
      </c>
      <c r="I38" s="16"/>
      <c r="J38" s="16" t="s">
        <v>230</v>
      </c>
      <c r="K38" s="16"/>
      <c r="L38" s="16" t="s">
        <v>231</v>
      </c>
      <c r="M38" s="16"/>
      <c r="N38" s="16" t="s">
        <v>231</v>
      </c>
      <c r="O38" s="16"/>
      <c r="P38" s="16" t="s">
        <v>231</v>
      </c>
      <c r="Q38" s="16"/>
      <c r="R38" s="16" t="s">
        <v>233</v>
      </c>
      <c r="S38" s="16"/>
      <c r="T38" s="16" t="s">
        <v>233</v>
      </c>
      <c r="U38" s="16"/>
      <c r="V38" s="16" t="s">
        <v>233</v>
      </c>
      <c r="W38" s="16"/>
      <c r="X38" s="16"/>
      <c r="Y38" s="16"/>
      <c r="Z38" s="16"/>
      <c r="AA38" s="16"/>
      <c r="AB38" s="16"/>
      <c r="AC38" s="16"/>
      <c r="AD38" s="16" t="s">
        <v>234</v>
      </c>
      <c r="AE38" s="16"/>
      <c r="AF38" s="16" t="s">
        <v>234</v>
      </c>
      <c r="AG38" s="16"/>
      <c r="AH38" s="16" t="s">
        <v>234</v>
      </c>
      <c r="AI38" s="16"/>
      <c r="AJ38" s="16" t="s">
        <v>235</v>
      </c>
      <c r="AK38" s="16"/>
      <c r="AL38" s="16" t="s">
        <v>235</v>
      </c>
      <c r="AM38" s="16"/>
      <c r="AN38" s="16" t="s">
        <v>235</v>
      </c>
      <c r="AO38" s="16"/>
      <c r="AP38" s="16" t="s">
        <v>237</v>
      </c>
      <c r="AQ38" s="16"/>
      <c r="AR38" s="16" t="s">
        <v>237</v>
      </c>
      <c r="AS38" s="16"/>
      <c r="AT38" s="16" t="s">
        <v>237</v>
      </c>
      <c r="AU38" s="16"/>
      <c r="AV38" s="16" t="s">
        <v>237</v>
      </c>
    </row>
    <row r="39" spans="2:48" ht="12.75">
      <c r="B39" s="14" t="s">
        <v>228</v>
      </c>
      <c r="F39" s="16" t="s">
        <v>28</v>
      </c>
      <c r="G39" s="16"/>
      <c r="H39" s="16" t="s">
        <v>28</v>
      </c>
      <c r="J39" s="16" t="s">
        <v>28</v>
      </c>
      <c r="L39" s="16" t="s">
        <v>28</v>
      </c>
      <c r="N39" s="16" t="s">
        <v>28</v>
      </c>
      <c r="P39" s="16" t="s">
        <v>28</v>
      </c>
      <c r="R39" s="16" t="s">
        <v>28</v>
      </c>
      <c r="T39" s="16" t="s">
        <v>28</v>
      </c>
      <c r="V39" s="16" t="s">
        <v>28</v>
      </c>
      <c r="W39" s="16"/>
      <c r="X39" s="16"/>
      <c r="Y39" s="16"/>
      <c r="Z39" s="16"/>
      <c r="AA39" s="16"/>
      <c r="AB39" s="16"/>
      <c r="AD39" s="16" t="s">
        <v>229</v>
      </c>
      <c r="AF39" s="16" t="s">
        <v>229</v>
      </c>
      <c r="AH39" s="16" t="s">
        <v>229</v>
      </c>
      <c r="AJ39" s="14" t="s">
        <v>236</v>
      </c>
      <c r="AL39" s="14" t="s">
        <v>236</v>
      </c>
      <c r="AN39" s="14" t="s">
        <v>236</v>
      </c>
      <c r="AP39" s="14" t="s">
        <v>20</v>
      </c>
      <c r="AR39" s="14" t="s">
        <v>20</v>
      </c>
      <c r="AT39" s="14" t="s">
        <v>20</v>
      </c>
      <c r="AV39" s="14" t="s">
        <v>20</v>
      </c>
    </row>
    <row r="40" spans="2:48" ht="12.75">
      <c r="B40" s="14" t="s">
        <v>238</v>
      </c>
      <c r="F40" s="16"/>
      <c r="G40" s="16"/>
      <c r="H40" s="16"/>
      <c r="J40" s="16"/>
      <c r="L40" s="16"/>
      <c r="N40" s="16"/>
      <c r="P40" s="16"/>
      <c r="R40" s="16"/>
      <c r="T40" s="16"/>
      <c r="V40" s="16"/>
      <c r="W40" s="16"/>
      <c r="X40" s="16" t="s">
        <v>28</v>
      </c>
      <c r="Y40" s="16"/>
      <c r="Z40" s="16" t="s">
        <v>28</v>
      </c>
      <c r="AA40" s="16"/>
      <c r="AB40" s="16" t="s">
        <v>28</v>
      </c>
      <c r="AD40" s="16" t="s">
        <v>33</v>
      </c>
      <c r="AF40" s="16" t="s">
        <v>33</v>
      </c>
      <c r="AH40" s="16" t="s">
        <v>33</v>
      </c>
      <c r="AJ40" s="16" t="s">
        <v>239</v>
      </c>
      <c r="AL40" s="16" t="s">
        <v>239</v>
      </c>
      <c r="AN40" s="16" t="s">
        <v>239</v>
      </c>
      <c r="AP40" s="16" t="s">
        <v>20</v>
      </c>
      <c r="AR40" s="16" t="s">
        <v>20</v>
      </c>
      <c r="AT40" s="16" t="s">
        <v>20</v>
      </c>
      <c r="AV40" s="16" t="s">
        <v>20</v>
      </c>
    </row>
    <row r="41" spans="2:48" ht="12.75">
      <c r="B41" s="14" t="s">
        <v>22</v>
      </c>
      <c r="F41" s="14" t="s">
        <v>175</v>
      </c>
      <c r="H41" s="14" t="s">
        <v>175</v>
      </c>
      <c r="J41" s="14" t="s">
        <v>175</v>
      </c>
      <c r="L41" s="14" t="s">
        <v>176</v>
      </c>
      <c r="N41" s="14" t="s">
        <v>176</v>
      </c>
      <c r="P41" s="14" t="s">
        <v>176</v>
      </c>
      <c r="R41" s="14" t="s">
        <v>177</v>
      </c>
      <c r="T41" s="14" t="s">
        <v>177</v>
      </c>
      <c r="V41" s="14" t="s">
        <v>177</v>
      </c>
      <c r="X41" s="16" t="s">
        <v>28</v>
      </c>
      <c r="Y41" s="16"/>
      <c r="Z41" s="16" t="s">
        <v>28</v>
      </c>
      <c r="AA41" s="16"/>
      <c r="AB41" s="16" t="s">
        <v>28</v>
      </c>
      <c r="AD41" s="14" t="s">
        <v>178</v>
      </c>
      <c r="AF41" s="14" t="s">
        <v>178</v>
      </c>
      <c r="AH41" s="14" t="s">
        <v>178</v>
      </c>
      <c r="AJ41" s="14" t="s">
        <v>179</v>
      </c>
      <c r="AL41" s="14" t="s">
        <v>179</v>
      </c>
      <c r="AN41" s="14" t="s">
        <v>179</v>
      </c>
      <c r="AP41" s="14" t="s">
        <v>20</v>
      </c>
      <c r="AR41" s="14" t="s">
        <v>20</v>
      </c>
      <c r="AT41" s="14" t="s">
        <v>20</v>
      </c>
      <c r="AV41" s="14" t="s">
        <v>20</v>
      </c>
    </row>
    <row r="42" spans="1:40" ht="12.75">
      <c r="A42" s="14" t="s">
        <v>154</v>
      </c>
      <c r="B42" s="14" t="s">
        <v>55</v>
      </c>
      <c r="D42" s="14" t="s">
        <v>27</v>
      </c>
      <c r="E42" s="15"/>
      <c r="F42" s="15">
        <v>2349.43</v>
      </c>
      <c r="G42" s="15"/>
      <c r="H42" s="15">
        <v>2349.43</v>
      </c>
      <c r="I42" s="15"/>
      <c r="J42" s="15">
        <v>2075.33</v>
      </c>
      <c r="K42" s="15"/>
      <c r="L42" s="15">
        <v>225.23</v>
      </c>
      <c r="M42" s="15"/>
      <c r="N42" s="15">
        <v>225.23</v>
      </c>
      <c r="O42" s="15"/>
      <c r="P42" s="15">
        <v>225.23</v>
      </c>
      <c r="Q42" s="15"/>
      <c r="R42" s="15">
        <v>202.5</v>
      </c>
      <c r="S42" s="15"/>
      <c r="T42" s="15">
        <v>202.5</v>
      </c>
      <c r="U42" s="15"/>
      <c r="V42" s="15">
        <v>202.5</v>
      </c>
      <c r="W42" s="15"/>
      <c r="AC42" s="15"/>
      <c r="AD42" s="15">
        <v>4272</v>
      </c>
      <c r="AE42" s="15"/>
      <c r="AF42" s="15">
        <v>4287</v>
      </c>
      <c r="AG42" s="15"/>
      <c r="AH42" s="15">
        <v>4269</v>
      </c>
      <c r="AI42" s="15"/>
      <c r="AJ42" s="15"/>
      <c r="AK42" s="15"/>
      <c r="AL42" s="15"/>
      <c r="AM42" s="15"/>
      <c r="AN42" s="15"/>
    </row>
    <row r="43" spans="1:40" ht="12.75">
      <c r="A43" s="14" t="s">
        <v>154</v>
      </c>
      <c r="B43" s="14" t="s">
        <v>180</v>
      </c>
      <c r="D43" s="14" t="s">
        <v>191</v>
      </c>
      <c r="E43" s="1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15"/>
      <c r="Y43" s="15"/>
      <c r="Z43" s="15"/>
      <c r="AA43" s="15"/>
      <c r="AB43" s="15"/>
      <c r="AC43" s="21"/>
      <c r="AD43" s="21"/>
      <c r="AE43" s="21"/>
      <c r="AF43" s="21"/>
      <c r="AG43" s="21"/>
      <c r="AH43" s="21"/>
      <c r="AI43" s="15"/>
      <c r="AJ43" s="15"/>
      <c r="AK43" s="15"/>
      <c r="AL43" s="15"/>
      <c r="AM43" s="15"/>
      <c r="AN43" s="15"/>
    </row>
    <row r="44" spans="1:40" ht="12.75">
      <c r="A44" s="14" t="s">
        <v>154</v>
      </c>
      <c r="B44" s="14" t="s">
        <v>23</v>
      </c>
      <c r="D44" s="14" t="s">
        <v>192</v>
      </c>
      <c r="E44" s="1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15"/>
      <c r="AJ44" s="15"/>
      <c r="AK44" s="15"/>
      <c r="AL44" s="15"/>
      <c r="AM44" s="15"/>
      <c r="AN44" s="15"/>
    </row>
    <row r="45" spans="1:40" ht="12.75">
      <c r="A45" s="14" t="s">
        <v>154</v>
      </c>
      <c r="B45" s="14" t="s">
        <v>170</v>
      </c>
      <c r="D45" s="14" t="s">
        <v>181</v>
      </c>
      <c r="E45" s="15"/>
      <c r="F45" s="15">
        <v>21376.803325751756</v>
      </c>
      <c r="G45" s="15"/>
      <c r="H45" s="53">
        <v>21946.851414438468</v>
      </c>
      <c r="I45" s="53"/>
      <c r="J45" s="53">
        <v>22136.86744400071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1"/>
      <c r="Y45" s="21"/>
      <c r="Z45" s="21"/>
      <c r="AA45" s="21"/>
      <c r="AB45" s="21"/>
      <c r="AC45" s="15">
        <v>1</v>
      </c>
      <c r="AD45" s="74">
        <v>0.004666599380525732</v>
      </c>
      <c r="AE45" s="15">
        <v>1</v>
      </c>
      <c r="AF45" s="74">
        <v>0.004666599380525732</v>
      </c>
      <c r="AG45" s="15">
        <v>1</v>
      </c>
      <c r="AH45" s="74">
        <v>0.004666599380525732</v>
      </c>
      <c r="AI45" s="15"/>
      <c r="AJ45" s="15"/>
      <c r="AK45" s="15"/>
      <c r="AL45" s="15"/>
      <c r="AM45" s="15"/>
      <c r="AN45" s="15"/>
    </row>
    <row r="46" spans="1:40" ht="12.75">
      <c r="A46" s="14" t="s">
        <v>154</v>
      </c>
      <c r="B46" s="14" t="s">
        <v>171</v>
      </c>
      <c r="D46" s="14" t="s">
        <v>181</v>
      </c>
      <c r="E46" s="15"/>
      <c r="F46" s="53">
        <v>731.5617138146157</v>
      </c>
      <c r="G46" s="15"/>
      <c r="H46" s="53">
        <v>736.3121145536716</v>
      </c>
      <c r="I46" s="15"/>
      <c r="J46" s="77">
        <v>722.0609123365037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1</v>
      </c>
      <c r="AD46" s="74">
        <v>0.004666599380525732</v>
      </c>
      <c r="AE46" s="15">
        <v>1</v>
      </c>
      <c r="AF46" s="74">
        <v>0.004666599380525732</v>
      </c>
      <c r="AG46" s="15">
        <v>1</v>
      </c>
      <c r="AH46" s="74">
        <v>0.004666599380525732</v>
      </c>
      <c r="AI46" s="15"/>
      <c r="AJ46" s="15"/>
      <c r="AK46" s="15"/>
      <c r="AL46" s="15"/>
      <c r="AM46" s="15"/>
      <c r="AN46" s="15"/>
    </row>
    <row r="47" spans="1:40" ht="12.75">
      <c r="A47" s="14" t="s">
        <v>154</v>
      </c>
      <c r="B47" s="14" t="s">
        <v>172</v>
      </c>
      <c r="D47" s="14" t="s">
        <v>181</v>
      </c>
      <c r="E47" s="15"/>
      <c r="F47" s="15"/>
      <c r="G47" s="15"/>
      <c r="H47" s="15"/>
      <c r="I47" s="15"/>
      <c r="J47" s="15"/>
      <c r="K47" s="15"/>
      <c r="L47" s="53">
        <v>3793.789035701929</v>
      </c>
      <c r="M47" s="53"/>
      <c r="N47" s="53">
        <v>4198.115758327758</v>
      </c>
      <c r="O47" s="53"/>
      <c r="P47" s="53">
        <v>4301.348113040736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>
        <v>1</v>
      </c>
      <c r="AD47" s="74">
        <v>0.02333299690262866</v>
      </c>
      <c r="AE47" s="15">
        <v>1</v>
      </c>
      <c r="AF47" s="74">
        <v>0.02333299690262866</v>
      </c>
      <c r="AG47" s="15">
        <v>1</v>
      </c>
      <c r="AH47" s="74">
        <v>0.02333299690262866</v>
      </c>
      <c r="AI47" s="15"/>
      <c r="AJ47" s="15"/>
      <c r="AK47" s="15"/>
      <c r="AL47" s="15"/>
      <c r="AM47" s="15"/>
      <c r="AN47" s="15"/>
    </row>
    <row r="48" spans="1:40" ht="12.75">
      <c r="A48" s="14" t="s">
        <v>154</v>
      </c>
      <c r="B48" s="14" t="s">
        <v>51</v>
      </c>
      <c r="D48" s="14" t="s">
        <v>181</v>
      </c>
      <c r="E48" s="15"/>
      <c r="F48" s="15"/>
      <c r="G48" s="15"/>
      <c r="H48" s="15"/>
      <c r="I48" s="15"/>
      <c r="J48" s="15"/>
      <c r="K48" s="15"/>
      <c r="L48" s="53"/>
      <c r="M48" s="53"/>
      <c r="N48" s="53"/>
      <c r="O48" s="53"/>
      <c r="P48" s="53"/>
      <c r="Q48" s="15"/>
      <c r="R48" s="53">
        <v>114521.63415810163</v>
      </c>
      <c r="S48" s="53"/>
      <c r="T48" s="53">
        <v>114521.63415810163</v>
      </c>
      <c r="U48" s="53"/>
      <c r="V48" s="53">
        <v>109878.86520574616</v>
      </c>
      <c r="W48" s="53"/>
      <c r="X48" s="15"/>
      <c r="Y48" s="15"/>
      <c r="Z48" s="15"/>
      <c r="AA48" s="15"/>
      <c r="AB48" s="15"/>
      <c r="AC48" s="15">
        <v>1</v>
      </c>
      <c r="AD48" s="74">
        <v>0.04666599380525732</v>
      </c>
      <c r="AE48" s="15">
        <v>1</v>
      </c>
      <c r="AF48" s="74">
        <v>0.04666599380525732</v>
      </c>
      <c r="AG48" s="15">
        <v>1</v>
      </c>
      <c r="AH48" s="74">
        <v>0.04666599380525732</v>
      </c>
      <c r="AI48" s="15"/>
      <c r="AJ48" s="15"/>
      <c r="AK48" s="15"/>
      <c r="AL48" s="15"/>
      <c r="AM48" s="15"/>
      <c r="AN48" s="15"/>
    </row>
    <row r="49" spans="1:40" ht="12.75">
      <c r="A49" s="14" t="s">
        <v>154</v>
      </c>
      <c r="B49" s="14" t="s">
        <v>47</v>
      </c>
      <c r="D49" s="14" t="s">
        <v>181</v>
      </c>
      <c r="E49" s="15"/>
      <c r="F49" s="15"/>
      <c r="G49" s="15"/>
      <c r="H49" s="15"/>
      <c r="I49" s="15"/>
      <c r="J49" s="15"/>
      <c r="K49" s="15"/>
      <c r="L49" s="53">
        <v>43615.669866233</v>
      </c>
      <c r="M49" s="53"/>
      <c r="N49" s="53">
        <v>49637.55722449</v>
      </c>
      <c r="O49" s="53"/>
      <c r="P49" s="53">
        <v>46282.505696318316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>
        <v>1</v>
      </c>
      <c r="AD49" s="74">
        <v>0.04666599380525732</v>
      </c>
      <c r="AE49" s="15">
        <v>1</v>
      </c>
      <c r="AF49" s="74">
        <v>0.04666599380525732</v>
      </c>
      <c r="AG49" s="15">
        <v>1</v>
      </c>
      <c r="AH49" s="74">
        <v>0.04666599380525732</v>
      </c>
      <c r="AI49" s="15"/>
      <c r="AJ49" s="15"/>
      <c r="AK49" s="15"/>
      <c r="AL49" s="15"/>
      <c r="AM49" s="15"/>
      <c r="AN49" s="15"/>
    </row>
    <row r="50" spans="24:28" ht="12.75">
      <c r="X50" s="15"/>
      <c r="Y50" s="15"/>
      <c r="Z50" s="15"/>
      <c r="AA50" s="15"/>
      <c r="AB50" s="15"/>
    </row>
    <row r="51" spans="2:48" ht="12.75">
      <c r="B51" s="14" t="s">
        <v>59</v>
      </c>
      <c r="D51" s="14" t="s">
        <v>17</v>
      </c>
      <c r="F51" s="14">
        <f>'emiss 2'!$G$52</f>
        <v>26263</v>
      </c>
      <c r="H51" s="14">
        <f>'emiss 2'!$I$52</f>
        <v>25794</v>
      </c>
      <c r="J51" s="14">
        <f>'emiss 2'!$K$52</f>
        <v>26101</v>
      </c>
      <c r="L51" s="14">
        <f>'emiss 2'!$G$52</f>
        <v>26263</v>
      </c>
      <c r="N51" s="14">
        <f>'emiss 2'!$I$52</f>
        <v>25794</v>
      </c>
      <c r="P51" s="14">
        <f>'emiss 2'!$K$52</f>
        <v>26101</v>
      </c>
      <c r="R51" s="14">
        <f>'emiss 2'!$G$52</f>
        <v>26263</v>
      </c>
      <c r="T51" s="14">
        <f>'emiss 2'!$I$52</f>
        <v>25794</v>
      </c>
      <c r="V51" s="14">
        <f>'emiss 2'!$K$52</f>
        <v>26101</v>
      </c>
      <c r="X51" s="15"/>
      <c r="Y51" s="15"/>
      <c r="Z51" s="15"/>
      <c r="AA51" s="15"/>
      <c r="AB51" s="15"/>
      <c r="AD51" s="14">
        <f>'emiss 2'!$G$52</f>
        <v>26263</v>
      </c>
      <c r="AF51" s="14">
        <f>'emiss 2'!$I$52</f>
        <v>25794</v>
      </c>
      <c r="AH51" s="14">
        <f>'emiss 2'!$K$52</f>
        <v>26101</v>
      </c>
      <c r="AJ51" s="14">
        <f>'emiss 2'!$G$52</f>
        <v>26263</v>
      </c>
      <c r="AL51" s="14">
        <f>'emiss 2'!$I$52</f>
        <v>25794</v>
      </c>
      <c r="AN51" s="14">
        <f>'emiss 2'!$K$52</f>
        <v>26101</v>
      </c>
      <c r="AP51" s="14">
        <f>'emiss 2'!$G$52</f>
        <v>26263</v>
      </c>
      <c r="AR51" s="14">
        <f>'emiss 2'!$I$52</f>
        <v>25794</v>
      </c>
      <c r="AT51" s="14">
        <f>'emiss 2'!$K$52</f>
        <v>26101</v>
      </c>
      <c r="AV51" s="53">
        <f>AVERAGE(AP51,AR51,AT51)</f>
        <v>26052.666666666668</v>
      </c>
    </row>
    <row r="52" spans="2:48" ht="12.75">
      <c r="B52" s="14" t="s">
        <v>60</v>
      </c>
      <c r="D52" s="14" t="s">
        <v>18</v>
      </c>
      <c r="F52" s="14">
        <f>'emiss 2'!$G$53</f>
        <v>13.4</v>
      </c>
      <c r="H52" s="14">
        <f>'emiss 2'!$I$53</f>
        <v>13.2</v>
      </c>
      <c r="J52" s="14">
        <f>'emiss 2'!$K$53</f>
        <v>13.6</v>
      </c>
      <c r="L52" s="14">
        <f>'emiss 2'!$G$53</f>
        <v>13.4</v>
      </c>
      <c r="N52" s="14">
        <f>'emiss 2'!$I$53</f>
        <v>13.2</v>
      </c>
      <c r="P52" s="14">
        <f>'emiss 2'!$K$53</f>
        <v>13.6</v>
      </c>
      <c r="R52" s="14">
        <f>'emiss 2'!$G$53</f>
        <v>13.4</v>
      </c>
      <c r="T52" s="14">
        <f>'emiss 2'!$I$53</f>
        <v>13.2</v>
      </c>
      <c r="V52" s="14">
        <f>'emiss 2'!$K$53</f>
        <v>13.6</v>
      </c>
      <c r="X52" s="15"/>
      <c r="Y52" s="15"/>
      <c r="Z52" s="15"/>
      <c r="AA52" s="15"/>
      <c r="AB52" s="15"/>
      <c r="AD52" s="14">
        <f>'emiss 2'!$G$53</f>
        <v>13.4</v>
      </c>
      <c r="AF52" s="14">
        <f>'emiss 2'!$I$53</f>
        <v>13.2</v>
      </c>
      <c r="AH52" s="14">
        <f>'emiss 2'!$K$53</f>
        <v>13.6</v>
      </c>
      <c r="AJ52" s="14">
        <f>'emiss 2'!$G$53</f>
        <v>13.4</v>
      </c>
      <c r="AL52" s="14">
        <f>'emiss 2'!$I$53</f>
        <v>13.2</v>
      </c>
      <c r="AN52" s="14">
        <f>'emiss 2'!$K$53</f>
        <v>13.6</v>
      </c>
      <c r="AP52" s="14">
        <f>'emiss 2'!$G$53</f>
        <v>13.4</v>
      </c>
      <c r="AR52" s="14">
        <f>'emiss 2'!$I$53</f>
        <v>13.2</v>
      </c>
      <c r="AT52" s="14">
        <f>'emiss 2'!$K$53</f>
        <v>13.6</v>
      </c>
      <c r="AV52" s="14">
        <f>AVERAGE(AP52,AR52,AT52)</f>
        <v>13.4</v>
      </c>
    </row>
    <row r="53" spans="24:28" ht="12.75">
      <c r="X53" s="15"/>
      <c r="Y53" s="15"/>
      <c r="Z53" s="15"/>
      <c r="AA53" s="15"/>
      <c r="AB53" s="15"/>
    </row>
    <row r="54" spans="2:48" ht="12.75">
      <c r="B54" s="14" t="s">
        <v>240</v>
      </c>
      <c r="D54" s="14" t="s">
        <v>65</v>
      </c>
      <c r="X54" s="15"/>
      <c r="Y54" s="15"/>
      <c r="Z54" s="15"/>
      <c r="AA54" s="15"/>
      <c r="AB54" s="15"/>
      <c r="AV54" s="75">
        <f>AV51*60/9000*(21-AV52)/21</f>
        <v>62.857227513227514</v>
      </c>
    </row>
    <row r="55" spans="24:28" ht="12.75">
      <c r="X55" s="15"/>
      <c r="Y55" s="15"/>
      <c r="Z55" s="15"/>
      <c r="AA55" s="15"/>
      <c r="AB55" s="15"/>
    </row>
    <row r="56" spans="2:28" ht="12.75">
      <c r="B56" s="68" t="s">
        <v>182</v>
      </c>
      <c r="C56" s="68"/>
      <c r="X56" s="15"/>
      <c r="Y56" s="15"/>
      <c r="Z56" s="15"/>
      <c r="AA56" s="15"/>
      <c r="AB56" s="15"/>
    </row>
    <row r="57" spans="2:48" ht="12.75">
      <c r="B57" s="14" t="s">
        <v>170</v>
      </c>
      <c r="D57" s="14" t="s">
        <v>29</v>
      </c>
      <c r="F57" s="53">
        <f>F$42*F45/1000000*1/60*454*1000000/(0.0283*F$51)*(21-7)/(21-F$52)</f>
        <v>941875.6041908605</v>
      </c>
      <c r="H57" s="53">
        <f>H$42*H45/1000000*1/60*454*1000000/(0.0283*H$51)*(21-7)/(21-H$52)</f>
        <v>959329.1427758225</v>
      </c>
      <c r="J57" s="53">
        <f>J$42*J45/1000000*1/60*454*1000000/(0.0283*J$51)*(21-7)/(21-J$52)</f>
        <v>890349.7986597797</v>
      </c>
      <c r="L57" s="53"/>
      <c r="N57" s="53"/>
      <c r="P57" s="53"/>
      <c r="R57" s="53"/>
      <c r="T57" s="53"/>
      <c r="V57" s="53"/>
      <c r="W57" s="53"/>
      <c r="X57" s="53">
        <f>F57+L57+R57</f>
        <v>941875.6041908605</v>
      </c>
      <c r="Y57" s="53"/>
      <c r="Z57" s="53">
        <f>H57+N57+T57</f>
        <v>959329.1427758225</v>
      </c>
      <c r="AA57" s="53"/>
      <c r="AB57" s="53">
        <f>J57+P57+V57</f>
        <v>890349.7986597797</v>
      </c>
      <c r="AC57" s="15">
        <v>100</v>
      </c>
      <c r="AD57" s="80">
        <f>AD$42*AD45/1000000*1/60*454*1000000/(0.0283*AD$51)*(21-7)/(21-AD$52)</f>
        <v>0.3738695022176774</v>
      </c>
      <c r="AE57" s="15">
        <v>100</v>
      </c>
      <c r="AF57" s="80">
        <f>AF$42*AF45/1000000*1/60*454*1000000/(0.0283*AF$51)*(21-7)/(21-AF$52)</f>
        <v>0.3722090315879192</v>
      </c>
      <c r="AG57" s="15">
        <v>100</v>
      </c>
      <c r="AH57" s="80">
        <f>AH$42*AH45/1000000*1/60*454*1000000/(0.0283*AH$51)*(21-7)/(21-AH$52)</f>
        <v>0.3860859611482214</v>
      </c>
      <c r="AJ57" s="53"/>
      <c r="AL57" s="53"/>
      <c r="AN57" s="53"/>
      <c r="AP57" s="53">
        <f>F57+L57+R57+AD57</f>
        <v>941875.9780603627</v>
      </c>
      <c r="AR57" s="53">
        <f>H57+N57+T57+AF57</f>
        <v>959329.5149848541</v>
      </c>
      <c r="AT57" s="53">
        <f>J57+P57+V57+AH57</f>
        <v>890350.1847457408</v>
      </c>
      <c r="AV57" s="53">
        <f>AVERAGE(AP57,AR57,AT57)</f>
        <v>930518.5592636525</v>
      </c>
    </row>
    <row r="58" spans="2:48" ht="12.75">
      <c r="B58" s="14" t="s">
        <v>171</v>
      </c>
      <c r="D58" s="14" t="s">
        <v>29</v>
      </c>
      <c r="F58" s="53">
        <f>F$42*F46/1000000*1/60*454*1000000/(0.0283*F$51)*(21-7)/(21-F$52)</f>
        <v>32233.07623230946</v>
      </c>
      <c r="H58" s="53">
        <f>H$42*H46/1000000*1/60*454*1000000/(0.0283*H$51)*(21-7)/(21-H$52)</f>
        <v>32185.285093128245</v>
      </c>
      <c r="J58" s="53">
        <f>J$42*J46/1000000*1/60*454*1000000/(0.0283*J$51)*(21-7)/(21-J$52)</f>
        <v>29041.45266014732</v>
      </c>
      <c r="L58" s="53"/>
      <c r="N58" s="53"/>
      <c r="P58" s="53"/>
      <c r="R58" s="53"/>
      <c r="T58" s="53"/>
      <c r="V58" s="53"/>
      <c r="W58" s="53"/>
      <c r="X58" s="53">
        <f>F58+L58+R58</f>
        <v>32233.07623230946</v>
      </c>
      <c r="Y58" s="53"/>
      <c r="Z58" s="53">
        <f>H58+N58+T58</f>
        <v>32185.285093128245</v>
      </c>
      <c r="AA58" s="53"/>
      <c r="AB58" s="53">
        <f>J58+P58+V58</f>
        <v>29041.45266014732</v>
      </c>
      <c r="AC58" s="15">
        <v>100</v>
      </c>
      <c r="AD58" s="80">
        <f>AD$42*AD46/1000000*1/60*454*1000000/(0.0283*AD$51)*(21-7)/(21-AD$52)</f>
        <v>0.3738695022176774</v>
      </c>
      <c r="AE58" s="15">
        <v>100</v>
      </c>
      <c r="AF58" s="80">
        <f>AF$42*AF46/1000000*1/60*454*1000000/(0.0283*AF$51)*(21-7)/(21-AF$52)</f>
        <v>0.3722090315879192</v>
      </c>
      <c r="AG58" s="15">
        <v>100</v>
      </c>
      <c r="AH58" s="80">
        <f>AH$42*AH46/1000000*1/60*454*1000000/(0.0283*AH$51)*(21-7)/(21-AH$52)</f>
        <v>0.3860859611482214</v>
      </c>
      <c r="AJ58" s="53"/>
      <c r="AL58" s="53"/>
      <c r="AN58" s="53"/>
      <c r="AP58" s="53">
        <f>F58+L58+R58+AD58</f>
        <v>32233.45010181168</v>
      </c>
      <c r="AR58" s="53">
        <f>H58+N58+T58+AF58</f>
        <v>32185.657302159834</v>
      </c>
      <c r="AT58" s="53">
        <f>J58+P58+V58+AH58</f>
        <v>29041.838746108468</v>
      </c>
      <c r="AV58" s="53">
        <f>AVERAGE(AP58,AR58,AT58)</f>
        <v>31153.648716693326</v>
      </c>
    </row>
    <row r="59" spans="2:48" ht="12.75">
      <c r="B59" s="14" t="s">
        <v>172</v>
      </c>
      <c r="D59" s="14" t="s">
        <v>29</v>
      </c>
      <c r="F59" s="53"/>
      <c r="L59" s="53">
        <f>L$42*L47/1000000*1/60*454*1000000/(0.0283*L$51)*(21-7)/(21-L$52)</f>
        <v>16024.61818818692</v>
      </c>
      <c r="N59" s="53">
        <f>N$42*N47/1000000*1/60*454*1000000/(0.0283*N$51)*(21-7)/(21-N$52)</f>
        <v>17591.932535936157</v>
      </c>
      <c r="P59" s="53">
        <f>P$42*P47/1000000*1/60*454*1000000/(0.0283*P$51)*(21-7)/(21-P$52)</f>
        <v>18775.3553332308</v>
      </c>
      <c r="R59" s="53"/>
      <c r="T59" s="53"/>
      <c r="V59" s="53"/>
      <c r="W59" s="53"/>
      <c r="X59" s="53">
        <f>F59+L59+R59</f>
        <v>16024.61818818692</v>
      </c>
      <c r="Y59" s="53"/>
      <c r="Z59" s="53">
        <f>H59+N59+T59</f>
        <v>17591.932535936157</v>
      </c>
      <c r="AA59" s="53"/>
      <c r="AB59" s="53">
        <f>J59+P59+V59</f>
        <v>18775.3553332308</v>
      </c>
      <c r="AC59" s="15">
        <v>100</v>
      </c>
      <c r="AD59" s="80">
        <f>AD$42*AD47/1000000*1/60*454*1000000/(0.0283*AD$51)*(21-7)/(21-AD$52)</f>
        <v>1.8693475110883873</v>
      </c>
      <c r="AE59" s="15">
        <v>100</v>
      </c>
      <c r="AF59" s="80">
        <f>AF$42*AF47/1000000*1/60*454*1000000/(0.0283*AF$51)*(21-7)/(21-AF$52)</f>
        <v>1.8610451579395964</v>
      </c>
      <c r="AG59" s="15">
        <v>100</v>
      </c>
      <c r="AH59" s="80">
        <f>AH$42*AH47/1000000*1/60*454*1000000/(0.0283*AH$51)*(21-7)/(21-AH$52)</f>
        <v>1.930429805741107</v>
      </c>
      <c r="AJ59" s="53"/>
      <c r="AL59" s="53"/>
      <c r="AN59" s="53"/>
      <c r="AP59" s="53">
        <f>F59+L59+R59+AD59</f>
        <v>16026.487535698008</v>
      </c>
      <c r="AR59" s="53">
        <f>H59+N59+T59+AF59</f>
        <v>17593.793581094098</v>
      </c>
      <c r="AT59" s="53">
        <f>J59+P59+V59+AH59</f>
        <v>18777.28576303654</v>
      </c>
      <c r="AV59" s="53">
        <f>AVERAGE(AP59,AR59,AT59)</f>
        <v>17465.855626609547</v>
      </c>
    </row>
    <row r="60" spans="2:48" ht="12.75">
      <c r="B60" s="14" t="s">
        <v>51</v>
      </c>
      <c r="D60" s="14" t="s">
        <v>29</v>
      </c>
      <c r="F60" s="53"/>
      <c r="L60" s="53"/>
      <c r="N60" s="53"/>
      <c r="P60" s="53"/>
      <c r="R60" s="53">
        <f>R$42*R48/1000000*1/60*454*1000000/(0.0283*R$51)*(21-7)/(21-R$52)</f>
        <v>434911.4491766805</v>
      </c>
      <c r="T60" s="53">
        <f>T$42*T48/1000000*1/60*454*1000000/(0.0283*T$51)*(21-7)/(21-T$52)</f>
        <v>431464.8972327414</v>
      </c>
      <c r="V60" s="53">
        <f>V$42*V48/1000000*1/60*454*1000000/(0.0283*V$51)*(21-7)/(21-V$52)</f>
        <v>431217.6508226202</v>
      </c>
      <c r="W60" s="53"/>
      <c r="X60" s="53">
        <f>F60+L60+R60</f>
        <v>434911.4491766805</v>
      </c>
      <c r="Y60" s="53"/>
      <c r="Z60" s="53">
        <f>H60+N60+T60</f>
        <v>431464.8972327414</v>
      </c>
      <c r="AA60" s="53"/>
      <c r="AB60" s="53">
        <f>J60+P60+V60</f>
        <v>431217.6508226202</v>
      </c>
      <c r="AC60" s="15">
        <v>100</v>
      </c>
      <c r="AD60" s="80">
        <f>AD$42*AD48/1000000*1/60*454*1000000/(0.0283*AD$51)*(21-7)/(21-AD$52)</f>
        <v>3.7386950221767745</v>
      </c>
      <c r="AE60" s="15">
        <v>100</v>
      </c>
      <c r="AF60" s="80">
        <f>AF$42*AF48/1000000*1/60*454*1000000/(0.0283*AF$51)*(21-7)/(21-AF$52)</f>
        <v>3.7220903158791927</v>
      </c>
      <c r="AG60" s="15">
        <v>100</v>
      </c>
      <c r="AH60" s="80">
        <f>AH$42*AH48/1000000*1/60*454*1000000/(0.0283*AH$51)*(21-7)/(21-AH$52)</f>
        <v>3.860859611482214</v>
      </c>
      <c r="AJ60" s="53"/>
      <c r="AL60" s="53"/>
      <c r="AN60" s="53"/>
      <c r="AP60" s="53">
        <f>F60+L60+R60+AD60</f>
        <v>434915.18787170266</v>
      </c>
      <c r="AR60" s="53">
        <f>H60+N60+T60+AF60</f>
        <v>431468.6193230573</v>
      </c>
      <c r="AT60" s="53">
        <f>J60+P60+V60+AH60</f>
        <v>431221.5116822317</v>
      </c>
      <c r="AV60" s="53">
        <f>AVERAGE(AP60,AR60,AT60)</f>
        <v>432535.1062923305</v>
      </c>
    </row>
    <row r="61" spans="2:48" ht="12.75">
      <c r="B61" s="14" t="s">
        <v>47</v>
      </c>
      <c r="D61" s="14" t="s">
        <v>29</v>
      </c>
      <c r="F61" s="53"/>
      <c r="L61" s="53">
        <f>L$42*L49/1000000*1/60*454*1000000/(0.0283*L$51)*(21-7)/(21-L$52)</f>
        <v>184228.6036601079</v>
      </c>
      <c r="N61" s="53">
        <f>N$42*N49/1000000*1/60*454*1000000/(0.0283*N$51)*(21-7)/(21-N$52)</f>
        <v>208002.97281219563</v>
      </c>
      <c r="P61" s="53">
        <f>P$42*P49/1000000*1/60*454*1000000/(0.0283*P$51)*(21-7)/(21-P$52)</f>
        <v>202022.82338556342</v>
      </c>
      <c r="R61" s="53"/>
      <c r="T61" s="53"/>
      <c r="V61" s="53"/>
      <c r="W61" s="53"/>
      <c r="X61" s="53">
        <f>F61+L61+R61</f>
        <v>184228.6036601079</v>
      </c>
      <c r="Y61" s="53"/>
      <c r="Z61" s="53">
        <f>H61+N61+T61</f>
        <v>208002.97281219563</v>
      </c>
      <c r="AA61" s="53"/>
      <c r="AB61" s="53">
        <f>J61+P61+V61</f>
        <v>202022.82338556342</v>
      </c>
      <c r="AC61" s="15">
        <v>100</v>
      </c>
      <c r="AD61" s="80">
        <f>AD$42*AD49/1000000*1/60*454*1000000/(0.0283*AD$51)*(21-7)/(21-AD$52)</f>
        <v>3.7386950221767745</v>
      </c>
      <c r="AE61" s="15">
        <v>100</v>
      </c>
      <c r="AF61" s="80">
        <f>AF$42*AF49/1000000*1/60*454*1000000/(0.0283*AF$51)*(21-7)/(21-AF$52)</f>
        <v>3.7220903158791927</v>
      </c>
      <c r="AG61" s="15">
        <v>100</v>
      </c>
      <c r="AH61" s="80">
        <f>AH$42*AH49/1000000*1/60*454*1000000/(0.0283*AH$51)*(21-7)/(21-AH$52)</f>
        <v>3.860859611482214</v>
      </c>
      <c r="AJ61" s="53"/>
      <c r="AL61" s="53"/>
      <c r="AN61" s="53"/>
      <c r="AP61" s="53">
        <f>F61+L61+R61+AD61</f>
        <v>184232.3423551301</v>
      </c>
      <c r="AR61" s="53">
        <f>H61+N61+T61+AF61</f>
        <v>208006.69490251152</v>
      </c>
      <c r="AT61" s="53">
        <f>J61+P61+V61+AH61</f>
        <v>202026.6842451749</v>
      </c>
      <c r="AV61" s="53">
        <f>AVERAGE(AP61,AR61,AT61)</f>
        <v>198088.5738342722</v>
      </c>
    </row>
    <row r="62" spans="24:28" ht="12.75">
      <c r="X62" s="53"/>
      <c r="Y62" s="53"/>
      <c r="Z62" s="53"/>
      <c r="AA62" s="53"/>
      <c r="AB62" s="53"/>
    </row>
    <row r="63" spans="2:48" ht="12.75">
      <c r="B63" s="14" t="s">
        <v>30</v>
      </c>
      <c r="D63" s="14" t="s">
        <v>29</v>
      </c>
      <c r="F63" s="53">
        <f>F59+F61</f>
        <v>0</v>
      </c>
      <c r="H63" s="53">
        <f>H59+H61</f>
        <v>0</v>
      </c>
      <c r="J63" s="53">
        <f>J59+J61</f>
        <v>0</v>
      </c>
      <c r="L63" s="53">
        <f>L59+L61</f>
        <v>200253.22184829484</v>
      </c>
      <c r="N63" s="53">
        <f>N59+N61</f>
        <v>225594.90534813178</v>
      </c>
      <c r="P63" s="53">
        <f>P59+P61</f>
        <v>220798.17871879422</v>
      </c>
      <c r="R63" s="53">
        <f>R59+R61</f>
        <v>0</v>
      </c>
      <c r="T63" s="53">
        <f>T59+T61</f>
        <v>0</v>
      </c>
      <c r="V63" s="53">
        <f>V59+V61</f>
        <v>0</v>
      </c>
      <c r="W63" s="53"/>
      <c r="X63" s="53">
        <f>F63+L63+R63</f>
        <v>200253.22184829484</v>
      </c>
      <c r="Y63" s="53"/>
      <c r="Z63" s="53">
        <f>H63+N63+T63</f>
        <v>225594.90534813178</v>
      </c>
      <c r="AA63" s="53"/>
      <c r="AB63" s="53">
        <f>J63+P63+V63</f>
        <v>220798.17871879422</v>
      </c>
      <c r="AC63" s="14">
        <v>100</v>
      </c>
      <c r="AD63" s="75">
        <f>(AD59+AD61)</f>
        <v>5.608042533265162</v>
      </c>
      <c r="AE63" s="14">
        <v>100</v>
      </c>
      <c r="AF63" s="75">
        <f>(AF59+AF61)</f>
        <v>5.583135473818789</v>
      </c>
      <c r="AG63" s="14">
        <v>100</v>
      </c>
      <c r="AH63" s="75">
        <f>(AH59+AH61)</f>
        <v>5.791289417223321</v>
      </c>
      <c r="AJ63" s="53"/>
      <c r="AP63" s="53">
        <f>F63+L63+R63+AD63</f>
        <v>200258.8298908281</v>
      </c>
      <c r="AR63" s="53">
        <f>H63+N63+T63+AF63</f>
        <v>225600.48848360562</v>
      </c>
      <c r="AT63" s="53">
        <f>J63+P63+V63+AH63</f>
        <v>220803.97000821144</v>
      </c>
      <c r="AV63" s="53">
        <f>AVERAGE(AP63,AR63,AT63)</f>
        <v>215554.42946088174</v>
      </c>
    </row>
    <row r="64" spans="2:49" ht="12.75">
      <c r="B64" s="14" t="s">
        <v>31</v>
      </c>
      <c r="D64" s="14" t="s">
        <v>29</v>
      </c>
      <c r="F64" s="53">
        <f>F58+F60</f>
        <v>32233.07623230946</v>
      </c>
      <c r="H64" s="53">
        <f>H58+H60</f>
        <v>32185.285093128245</v>
      </c>
      <c r="J64" s="53">
        <f>J58+J60</f>
        <v>29041.45266014732</v>
      </c>
      <c r="L64" s="53">
        <f>L58+L60</f>
        <v>0</v>
      </c>
      <c r="N64" s="53">
        <f>N58+N60</f>
        <v>0</v>
      </c>
      <c r="P64" s="53">
        <f>P58+P60</f>
        <v>0</v>
      </c>
      <c r="R64" s="53">
        <f>R58+R60</f>
        <v>434911.4491766805</v>
      </c>
      <c r="T64" s="53">
        <f>T58+T60</f>
        <v>431464.8972327414</v>
      </c>
      <c r="V64" s="53">
        <f>V58+V60</f>
        <v>431217.6508226202</v>
      </c>
      <c r="W64" s="53"/>
      <c r="X64" s="53">
        <f>F64+L64+R64</f>
        <v>467144.5254089899</v>
      </c>
      <c r="Y64" s="53"/>
      <c r="Z64" s="53">
        <f>H64+N64+T64</f>
        <v>463650.1823258697</v>
      </c>
      <c r="AA64" s="53"/>
      <c r="AB64" s="53">
        <f>J64+P64+V64</f>
        <v>460259.10348276753</v>
      </c>
      <c r="AC64" s="14">
        <v>100</v>
      </c>
      <c r="AD64" s="75">
        <f>(AD58+AD60)</f>
        <v>4.112564524394452</v>
      </c>
      <c r="AE64" s="14">
        <v>100</v>
      </c>
      <c r="AF64" s="75">
        <f>(AF58+AF60)</f>
        <v>4.094299347467112</v>
      </c>
      <c r="AG64" s="14">
        <v>100</v>
      </c>
      <c r="AH64" s="75">
        <f>(AH58+AH60)</f>
        <v>4.246945572630435</v>
      </c>
      <c r="AJ64" s="53"/>
      <c r="AP64" s="53">
        <f>F64+L64+R64+AD64</f>
        <v>467148.6379735143</v>
      </c>
      <c r="AR64" s="53">
        <f>H64+N64+T64+AF64</f>
        <v>463654.2766252172</v>
      </c>
      <c r="AT64" s="53">
        <f>J64+P64+V64+AH64</f>
        <v>460263.35042834014</v>
      </c>
      <c r="AV64" s="53">
        <f>AVERAGE(AP64,AR64,AT64)</f>
        <v>463688.75500902394</v>
      </c>
      <c r="AW64" s="14" t="s">
        <v>174</v>
      </c>
    </row>
    <row r="65" spans="24:28" ht="12.75">
      <c r="X65" s="53"/>
      <c r="Y65" s="53"/>
      <c r="Z65" s="53"/>
      <c r="AA65" s="53"/>
      <c r="AB65" s="53"/>
    </row>
    <row r="68" spans="1:28" s="21" customFormat="1" ht="12.75">
      <c r="A68" s="21" t="s">
        <v>54</v>
      </c>
      <c r="B68" s="20" t="s">
        <v>245</v>
      </c>
      <c r="C68" s="20"/>
      <c r="D68" s="7"/>
      <c r="F68" s="23" t="s">
        <v>166</v>
      </c>
      <c r="G68" s="23"/>
      <c r="H68" s="23" t="s">
        <v>167</v>
      </c>
      <c r="I68" s="23"/>
      <c r="J68" s="23" t="s">
        <v>168</v>
      </c>
      <c r="K68" s="23"/>
      <c r="L68" s="23" t="s">
        <v>123</v>
      </c>
      <c r="M68" s="23"/>
      <c r="N68" s="23" t="s">
        <v>166</v>
      </c>
      <c r="O68" s="23"/>
      <c r="P68" s="23" t="s">
        <v>167</v>
      </c>
      <c r="Q68" s="23"/>
      <c r="R68" s="23" t="s">
        <v>168</v>
      </c>
      <c r="S68" s="23"/>
      <c r="T68" s="23" t="s">
        <v>123</v>
      </c>
      <c r="U68" s="79"/>
      <c r="V68" s="23" t="s">
        <v>166</v>
      </c>
      <c r="W68" s="23"/>
      <c r="X68" s="23" t="s">
        <v>167</v>
      </c>
      <c r="Y68" s="23"/>
      <c r="Z68" s="23" t="s">
        <v>168</v>
      </c>
      <c r="AA68" s="23"/>
      <c r="AB68" s="23" t="s">
        <v>123</v>
      </c>
    </row>
    <row r="69" spans="2:7" s="21" customFormat="1" ht="12.75">
      <c r="B69" s="7"/>
      <c r="C69" s="7"/>
      <c r="D69" s="7"/>
      <c r="F69" s="22"/>
      <c r="G69" s="22"/>
    </row>
    <row r="70" spans="2:28" s="78" customFormat="1" ht="25.5">
      <c r="B70" s="78" t="s">
        <v>22</v>
      </c>
      <c r="E70" s="27"/>
      <c r="F70" s="27" t="s">
        <v>270</v>
      </c>
      <c r="G70" s="27"/>
      <c r="H70" s="27" t="s">
        <v>270</v>
      </c>
      <c r="I70" s="27"/>
      <c r="J70" s="27" t="s">
        <v>270</v>
      </c>
      <c r="K70" s="27"/>
      <c r="L70" s="27" t="s">
        <v>270</v>
      </c>
      <c r="M70" s="27"/>
      <c r="N70" s="27" t="s">
        <v>269</v>
      </c>
      <c r="O70" s="27"/>
      <c r="P70" s="27" t="s">
        <v>269</v>
      </c>
      <c r="Q70" s="27"/>
      <c r="R70" s="27" t="s">
        <v>269</v>
      </c>
      <c r="S70" s="27"/>
      <c r="T70" s="27" t="s">
        <v>269</v>
      </c>
      <c r="U70" s="27"/>
      <c r="V70" s="78" t="s">
        <v>20</v>
      </c>
      <c r="X70" s="78" t="s">
        <v>20</v>
      </c>
      <c r="Z70" s="78" t="s">
        <v>20</v>
      </c>
      <c r="AB70" s="78" t="s">
        <v>20</v>
      </c>
    </row>
    <row r="71" spans="2:28" s="78" customFormat="1" ht="12.75">
      <c r="B71" s="78" t="s">
        <v>238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78" t="s">
        <v>20</v>
      </c>
      <c r="X71" s="78" t="s">
        <v>20</v>
      </c>
      <c r="Z71" s="78" t="s">
        <v>20</v>
      </c>
      <c r="AB71" s="78" t="s">
        <v>20</v>
      </c>
    </row>
    <row r="72" spans="2:28" s="21" customFormat="1" ht="12.75">
      <c r="B72" s="7" t="s">
        <v>55</v>
      </c>
      <c r="C72" s="7"/>
      <c r="D72" s="7" t="s">
        <v>27</v>
      </c>
      <c r="E72" s="9"/>
      <c r="F72" s="9">
        <v>3696</v>
      </c>
      <c r="G72" s="9"/>
      <c r="H72" s="9">
        <v>3672</v>
      </c>
      <c r="I72" s="9"/>
      <c r="J72" s="9">
        <v>3750</v>
      </c>
      <c r="K72" s="9"/>
      <c r="L72" s="26">
        <f>AVERAGE(F72,H72,J72)</f>
        <v>3706</v>
      </c>
      <c r="M72" s="9"/>
      <c r="N72" s="9">
        <v>11685</v>
      </c>
      <c r="O72" s="9"/>
      <c r="P72" s="9">
        <v>11727</v>
      </c>
      <c r="Q72" s="9"/>
      <c r="R72" s="21">
        <v>11907</v>
      </c>
      <c r="S72" s="9"/>
      <c r="T72" s="9">
        <f>AVERAGE(N72,P72,R72)</f>
        <v>11773</v>
      </c>
      <c r="U72" s="9"/>
      <c r="V72" s="21">
        <f>N72+F72</f>
        <v>15381</v>
      </c>
      <c r="X72" s="21">
        <f>P72+H72</f>
        <v>15399</v>
      </c>
      <c r="Z72" s="21">
        <f>R72+J72</f>
        <v>15657</v>
      </c>
      <c r="AB72" s="21">
        <f>T72+L72</f>
        <v>15479</v>
      </c>
    </row>
    <row r="73" spans="2:21" s="21" customFormat="1" ht="12.75">
      <c r="B73" s="7" t="s">
        <v>268</v>
      </c>
      <c r="C73" s="7"/>
      <c r="D73" s="7" t="s">
        <v>191</v>
      </c>
      <c r="E73" s="9"/>
      <c r="F73" s="9"/>
      <c r="G73" s="9"/>
      <c r="H73" s="9"/>
      <c r="I73" s="9"/>
      <c r="J73" s="9"/>
      <c r="K73" s="9"/>
      <c r="L73" s="26"/>
      <c r="N73" s="9"/>
      <c r="O73" s="9"/>
      <c r="P73" s="9"/>
      <c r="Q73" s="9"/>
      <c r="R73" s="9"/>
      <c r="S73" s="9"/>
      <c r="T73" s="9"/>
      <c r="U73" s="9"/>
    </row>
    <row r="74" spans="2:26" s="21" customFormat="1" ht="12.75">
      <c r="B74" s="7" t="s">
        <v>63</v>
      </c>
      <c r="C74" s="7"/>
      <c r="D74" s="7" t="s">
        <v>27</v>
      </c>
      <c r="E74" s="9"/>
      <c r="F74" s="9"/>
      <c r="G74" s="9"/>
      <c r="H74" s="9"/>
      <c r="I74" s="9"/>
      <c r="J74" s="9"/>
      <c r="K74" s="9"/>
      <c r="L74" s="26"/>
      <c r="N74" s="9"/>
      <c r="O74" s="9"/>
      <c r="P74" s="9"/>
      <c r="Q74" s="9"/>
      <c r="R74" s="9"/>
      <c r="S74" s="9"/>
      <c r="T74" s="9"/>
      <c r="U74" s="9"/>
      <c r="V74" s="21">
        <v>1779</v>
      </c>
      <c r="X74" s="21">
        <v>1804</v>
      </c>
      <c r="Z74" s="21">
        <v>1786</v>
      </c>
    </row>
    <row r="75" spans="2:26" s="21" customFormat="1" ht="12.75">
      <c r="B75" s="7" t="s">
        <v>23</v>
      </c>
      <c r="C75" s="7"/>
      <c r="D75" s="7" t="s">
        <v>27</v>
      </c>
      <c r="E75" s="9"/>
      <c r="F75" s="9"/>
      <c r="G75" s="9"/>
      <c r="H75" s="9"/>
      <c r="I75" s="9"/>
      <c r="J75" s="9"/>
      <c r="K75" s="9"/>
      <c r="L75" s="26"/>
      <c r="M75" s="9"/>
      <c r="N75" s="9"/>
      <c r="O75" s="9"/>
      <c r="P75" s="9"/>
      <c r="Q75" s="9"/>
      <c r="R75" s="9"/>
      <c r="S75" s="9"/>
      <c r="T75" s="9"/>
      <c r="U75" s="9"/>
      <c r="V75" s="21">
        <v>1540</v>
      </c>
      <c r="X75" s="21">
        <v>1530</v>
      </c>
      <c r="Z75" s="21">
        <v>1563</v>
      </c>
    </row>
    <row r="76" spans="2:21" s="21" customFormat="1" ht="12.75">
      <c r="B76" s="7"/>
      <c r="C76" s="7"/>
      <c r="D76" s="7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2:26" s="21" customFormat="1" ht="12.75">
      <c r="B77" s="7" t="s">
        <v>59</v>
      </c>
      <c r="C77" s="7"/>
      <c r="D77" s="7" t="s">
        <v>17</v>
      </c>
      <c r="E77" s="2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>
        <f>'emiss 2'!$G$84</f>
        <v>20686</v>
      </c>
      <c r="W77" s="9"/>
      <c r="X77" s="9">
        <f>'emiss 2'!$I$84</f>
        <v>21369</v>
      </c>
      <c r="Y77" s="9"/>
      <c r="Z77" s="9">
        <f>'emiss 2'!$K$84</f>
        <v>20298</v>
      </c>
    </row>
    <row r="78" spans="2:26" s="21" customFormat="1" ht="12.75">
      <c r="B78" s="7" t="s">
        <v>60</v>
      </c>
      <c r="C78" s="7"/>
      <c r="D78" s="7" t="s">
        <v>18</v>
      </c>
      <c r="E78" s="2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>
        <f>'emiss 2'!$G$85</f>
        <v>12.2</v>
      </c>
      <c r="W78" s="9"/>
      <c r="X78" s="9">
        <f>'emiss 2'!$I$85</f>
        <v>11.8</v>
      </c>
      <c r="Y78" s="9"/>
      <c r="Z78" s="9">
        <f>'emiss 2'!$K$85</f>
        <v>12.4</v>
      </c>
    </row>
    <row r="79" spans="2:21" s="21" customFormat="1" ht="12.75">
      <c r="B79" s="7"/>
      <c r="C79" s="7"/>
      <c r="D79" s="7"/>
      <c r="E79" s="2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2:21" s="21" customFormat="1" ht="12.75">
      <c r="B80" s="7" t="s">
        <v>64</v>
      </c>
      <c r="C80" s="7"/>
      <c r="D80" s="7" t="s">
        <v>65</v>
      </c>
      <c r="E80" s="23"/>
      <c r="F80" s="26"/>
      <c r="G80" s="9"/>
      <c r="H80" s="26"/>
      <c r="I80" s="9"/>
      <c r="J80" s="26"/>
      <c r="K80" s="9"/>
      <c r="L80" s="26"/>
      <c r="M80" s="9"/>
      <c r="N80" s="26"/>
      <c r="O80" s="9"/>
      <c r="P80" s="26"/>
      <c r="Q80" s="9"/>
      <c r="R80" s="26"/>
      <c r="S80" s="9"/>
      <c r="T80" s="26"/>
      <c r="U80" s="9"/>
    </row>
    <row r="81" spans="2:21" s="21" customFormat="1" ht="12.75">
      <c r="B81" s="7" t="s">
        <v>240</v>
      </c>
      <c r="C81" s="7"/>
      <c r="D81" s="7" t="s">
        <v>65</v>
      </c>
      <c r="E81" s="2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2:21" s="21" customFormat="1" ht="12.75">
      <c r="B82" s="7"/>
      <c r="C82" s="7"/>
      <c r="D82" s="7"/>
      <c r="E82" s="2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2:21" s="21" customFormat="1" ht="12.75">
      <c r="B83" s="30" t="s">
        <v>61</v>
      </c>
      <c r="C83" s="7"/>
      <c r="D83" s="7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2:28" s="21" customFormat="1" ht="12.75">
      <c r="B84" s="7" t="s">
        <v>63</v>
      </c>
      <c r="C84" s="7"/>
      <c r="D84" s="7" t="s">
        <v>29</v>
      </c>
      <c r="E84" s="21" t="s">
        <v>15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81">
        <f>V74*454/60/0.0283*14/(21-V78)*1000000/V77</f>
        <v>36581622.03152088</v>
      </c>
      <c r="X84" s="81">
        <f>X74*454/60/0.0283*14/(21-X78)*1000000/X77</f>
        <v>34348731.99384835</v>
      </c>
      <c r="Z84" s="81">
        <f>Z74*454/60/0.0283*14/(21-Z78)*1000000/Z77</f>
        <v>38297987.914443545</v>
      </c>
      <c r="AB84" s="81">
        <f>AVERAGE(V84,X84,Z84)</f>
        <v>36409447.31327093</v>
      </c>
    </row>
    <row r="85" spans="2:28" s="21" customFormat="1" ht="12.75">
      <c r="B85" s="7" t="s">
        <v>23</v>
      </c>
      <c r="C85" s="7"/>
      <c r="D85" s="7" t="s">
        <v>32</v>
      </c>
      <c r="E85" s="21" t="s">
        <v>15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81">
        <f>V75*454*1000/0.0283/60*14/(21-V78)/V77</f>
        <v>31667.058981755014</v>
      </c>
      <c r="X85" s="81">
        <f>X75*454*1000/0.0283/60*14/(21-X78)/X77</f>
        <v>29131.68511673391</v>
      </c>
      <c r="Z85" s="81">
        <f>Z75*454*1000/0.0283/60*14/(21-Z78)/Z77</f>
        <v>33516.10028570843</v>
      </c>
      <c r="AB85" s="81">
        <f>AVERAGE(V85,X85,Z85)</f>
        <v>31438.281461399118</v>
      </c>
    </row>
    <row r="86" spans="2:21" s="21" customFormat="1" ht="12.75">
      <c r="B86" s="7"/>
      <c r="C86" s="7"/>
      <c r="D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2:21" s="21" customFormat="1" ht="12.75">
      <c r="B87" s="7"/>
      <c r="C87" s="7"/>
      <c r="D87" s="7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8" s="21" customFormat="1" ht="12.75">
      <c r="A88" s="21" t="s">
        <v>54</v>
      </c>
      <c r="B88" s="20" t="s">
        <v>256</v>
      </c>
      <c r="C88" s="20"/>
      <c r="D88" s="7"/>
      <c r="F88" s="23" t="s">
        <v>166</v>
      </c>
      <c r="G88" s="23"/>
      <c r="H88" s="23" t="s">
        <v>167</v>
      </c>
      <c r="I88" s="23"/>
      <c r="J88" s="23" t="s">
        <v>168</v>
      </c>
      <c r="K88" s="23"/>
      <c r="L88" s="23" t="s">
        <v>123</v>
      </c>
      <c r="N88" s="23" t="s">
        <v>166</v>
      </c>
      <c r="O88" s="23"/>
      <c r="P88" s="23" t="s">
        <v>167</v>
      </c>
      <c r="Q88" s="23"/>
      <c r="R88" s="23" t="s">
        <v>168</v>
      </c>
      <c r="S88" s="23"/>
      <c r="T88" s="23" t="s">
        <v>123</v>
      </c>
      <c r="V88" s="23" t="s">
        <v>166</v>
      </c>
      <c r="W88" s="23"/>
      <c r="X88" s="23" t="s">
        <v>167</v>
      </c>
      <c r="Y88" s="23"/>
      <c r="Z88" s="23" t="s">
        <v>168</v>
      </c>
      <c r="AA88" s="23"/>
      <c r="AB88" s="23" t="s">
        <v>123</v>
      </c>
    </row>
    <row r="89" spans="2:21" s="21" customFormat="1" ht="12.75">
      <c r="B89" s="7"/>
      <c r="C89" s="7"/>
      <c r="D89" s="7"/>
      <c r="F89" s="23"/>
      <c r="G89" s="23"/>
      <c r="H89" s="23"/>
      <c r="I89" s="23"/>
      <c r="J89" s="23"/>
      <c r="K89" s="23"/>
      <c r="L89" s="23"/>
      <c r="M89" s="23"/>
      <c r="T89" s="79"/>
      <c r="U89" s="79"/>
    </row>
    <row r="90" spans="2:28" s="78" customFormat="1" ht="25.5">
      <c r="B90" s="78" t="s">
        <v>22</v>
      </c>
      <c r="E90" s="27"/>
      <c r="F90" s="27" t="s">
        <v>270</v>
      </c>
      <c r="G90" s="27"/>
      <c r="H90" s="27" t="s">
        <v>270</v>
      </c>
      <c r="I90" s="27"/>
      <c r="J90" s="27" t="s">
        <v>270</v>
      </c>
      <c r="K90" s="27"/>
      <c r="L90" s="27" t="s">
        <v>270</v>
      </c>
      <c r="M90" s="27"/>
      <c r="N90" s="27" t="s">
        <v>269</v>
      </c>
      <c r="O90" s="27"/>
      <c r="P90" s="27" t="s">
        <v>269</v>
      </c>
      <c r="Q90" s="27"/>
      <c r="R90" s="27" t="s">
        <v>269</v>
      </c>
      <c r="S90" s="27"/>
      <c r="T90" s="27" t="s">
        <v>269</v>
      </c>
      <c r="U90" s="27"/>
      <c r="V90" s="78" t="s">
        <v>20</v>
      </c>
      <c r="X90" s="78" t="s">
        <v>20</v>
      </c>
      <c r="Z90" s="78" t="s">
        <v>20</v>
      </c>
      <c r="AB90" s="78" t="s">
        <v>20</v>
      </c>
    </row>
    <row r="91" spans="2:28" s="78" customFormat="1" ht="12.75">
      <c r="B91" s="78" t="s">
        <v>238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78" t="s">
        <v>20</v>
      </c>
      <c r="X91" s="78" t="s">
        <v>20</v>
      </c>
      <c r="Z91" s="78" t="s">
        <v>20</v>
      </c>
      <c r="AB91" s="78" t="s">
        <v>20</v>
      </c>
    </row>
    <row r="92" spans="2:28" s="21" customFormat="1" ht="12.75">
      <c r="B92" s="7" t="s">
        <v>55</v>
      </c>
      <c r="C92" s="7"/>
      <c r="D92" s="7" t="s">
        <v>27</v>
      </c>
      <c r="E92" s="9"/>
      <c r="F92" s="9">
        <v>1302</v>
      </c>
      <c r="G92" s="9"/>
      <c r="H92" s="9">
        <v>1266</v>
      </c>
      <c r="I92" s="9"/>
      <c r="J92" s="9">
        <v>1266</v>
      </c>
      <c r="K92" s="9"/>
      <c r="L92" s="9"/>
      <c r="N92" s="9">
        <v>2970</v>
      </c>
      <c r="O92" s="9"/>
      <c r="P92" s="9">
        <v>2892</v>
      </c>
      <c r="Q92" s="9"/>
      <c r="R92" s="9">
        <v>2898</v>
      </c>
      <c r="S92" s="9"/>
      <c r="T92" s="24">
        <f>AVERAGE(N92,P92,R92)</f>
        <v>2920</v>
      </c>
      <c r="U92" s="9"/>
      <c r="V92" s="21">
        <f>N92+F92</f>
        <v>4272</v>
      </c>
      <c r="X92" s="21">
        <f>P92+H92</f>
        <v>4158</v>
      </c>
      <c r="Z92" s="21">
        <f>R92+J92</f>
        <v>4164</v>
      </c>
      <c r="AB92" s="21">
        <f>T92+L92</f>
        <v>2920</v>
      </c>
    </row>
    <row r="93" spans="2:21" s="21" customFormat="1" ht="12.75">
      <c r="B93" s="7" t="s">
        <v>268</v>
      </c>
      <c r="C93" s="7"/>
      <c r="D93" s="7" t="s">
        <v>191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2:26" s="21" customFormat="1" ht="12.75">
      <c r="B94" s="7" t="s">
        <v>63</v>
      </c>
      <c r="C94" s="7"/>
      <c r="D94" s="7" t="s">
        <v>27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24"/>
      <c r="U94" s="9"/>
      <c r="V94" s="21">
        <v>816</v>
      </c>
      <c r="X94" s="21">
        <v>795</v>
      </c>
      <c r="Z94" s="21">
        <v>796</v>
      </c>
    </row>
    <row r="95" spans="2:26" s="21" customFormat="1" ht="12.75">
      <c r="B95" s="7" t="s">
        <v>23</v>
      </c>
      <c r="C95" s="7"/>
      <c r="D95" s="7" t="s">
        <v>27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24"/>
      <c r="U95" s="9"/>
      <c r="V95" s="21">
        <v>543</v>
      </c>
      <c r="X95" s="21">
        <v>528</v>
      </c>
      <c r="Z95" s="21">
        <v>528</v>
      </c>
    </row>
    <row r="96" spans="2:21" s="21" customFormat="1" ht="12.75">
      <c r="B96" s="7"/>
      <c r="C96" s="7"/>
      <c r="D96" s="7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2:28" s="21" customFormat="1" ht="12.75">
      <c r="B97" s="7" t="s">
        <v>59</v>
      </c>
      <c r="C97" s="7"/>
      <c r="D97" s="7" t="s">
        <v>17</v>
      </c>
      <c r="E97" s="2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>
        <f>'emiss 2'!$G$97</f>
        <v>25584</v>
      </c>
      <c r="W97" s="9"/>
      <c r="X97" s="9">
        <f>'emiss 2'!$I$97</f>
        <v>26463</v>
      </c>
      <c r="Y97" s="9"/>
      <c r="Z97" s="9">
        <f>'emiss 2'!$K$97</f>
        <v>25988</v>
      </c>
      <c r="AA97" s="9"/>
      <c r="AB97" s="26">
        <f>'emiss 2'!$M$97</f>
        <v>26011.666666666668</v>
      </c>
    </row>
    <row r="98" spans="2:28" s="21" customFormat="1" ht="12.75">
      <c r="B98" s="7" t="s">
        <v>60</v>
      </c>
      <c r="C98" s="7"/>
      <c r="D98" s="7" t="s">
        <v>18</v>
      </c>
      <c r="E98" s="2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>
        <f>'emiss 2'!$G$98</f>
        <v>14</v>
      </c>
      <c r="W98" s="9"/>
      <c r="X98" s="9">
        <f>'emiss 2'!$I$98</f>
        <v>14.2</v>
      </c>
      <c r="Y98" s="9"/>
      <c r="Z98" s="9">
        <f>'emiss 2'!$K$98</f>
        <v>14.2</v>
      </c>
      <c r="AA98" s="9"/>
      <c r="AB98" s="26">
        <f>'emiss 2'!$M$98</f>
        <v>14.133333333333333</v>
      </c>
    </row>
    <row r="99" spans="2:21" s="21" customFormat="1" ht="12.75">
      <c r="B99" s="7"/>
      <c r="C99" s="7"/>
      <c r="D99" s="7"/>
      <c r="E99" s="2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2:21" s="21" customFormat="1" ht="12.75">
      <c r="B100" s="7" t="s">
        <v>64</v>
      </c>
      <c r="C100" s="7"/>
      <c r="D100" s="7" t="s">
        <v>65</v>
      </c>
      <c r="E100" s="2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2:21" s="21" customFormat="1" ht="12.75">
      <c r="B101" s="7" t="s">
        <v>240</v>
      </c>
      <c r="C101" s="7"/>
      <c r="D101" s="7" t="s">
        <v>65</v>
      </c>
      <c r="E101" s="2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2:21" s="21" customFormat="1" ht="12.75">
      <c r="B102" s="7"/>
      <c r="C102" s="7"/>
      <c r="D102" s="7"/>
      <c r="E102" s="2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2:21" s="21" customFormat="1" ht="12.75">
      <c r="B103" s="30" t="s">
        <v>61</v>
      </c>
      <c r="C103" s="7"/>
      <c r="D103" s="7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2:28" s="21" customFormat="1" ht="12.75">
      <c r="B104" s="7" t="s">
        <v>63</v>
      </c>
      <c r="C104" s="7"/>
      <c r="D104" s="7" t="s">
        <v>29</v>
      </c>
      <c r="E104" s="21" t="s">
        <v>15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81">
        <f>V94*454/60/0.0283*14/(21-V98)*1000000/V97</f>
        <v>17055712.824048597</v>
      </c>
      <c r="X104" s="81">
        <f>X94*454/60/0.0283*14/(21-X98)*1000000/X97</f>
        <v>16537328.058385767</v>
      </c>
      <c r="Z104" s="81">
        <f>Z94*454/60/0.0283*14/(21-Z98)*1000000/Z97</f>
        <v>16860773.70385818</v>
      </c>
      <c r="AB104" s="81">
        <f>AVERAGE(V104,X104,Z104)</f>
        <v>16817938.19543085</v>
      </c>
    </row>
    <row r="105" spans="2:28" s="21" customFormat="1" ht="12.75">
      <c r="B105" s="7" t="s">
        <v>23</v>
      </c>
      <c r="C105" s="7"/>
      <c r="D105" s="7" t="s">
        <v>32</v>
      </c>
      <c r="E105" s="21" t="s">
        <v>15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81">
        <f>V95*454*1000/0.0283/60*14/(21-V98)/V97</f>
        <v>11349.573607179398</v>
      </c>
      <c r="X105" s="81">
        <f>X95*454*1000/0.0283/60*14/(21-X98)/X97</f>
        <v>10983.282031229792</v>
      </c>
      <c r="Z105" s="81">
        <f>Z95*454*1000/0.0283/60*14/(21-Z98)/Z97</f>
        <v>11184.030798539095</v>
      </c>
      <c r="AB105" s="81">
        <f>AVERAGE(V105,X105,Z105)</f>
        <v>11172.295478982762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B1">
      <selection activeCell="B1" sqref="B1"/>
    </sheetView>
  </sheetViews>
  <sheetFormatPr defaultColWidth="9.140625" defaultRowHeight="12.75"/>
  <cols>
    <col min="1" max="1" width="3.8515625" style="0" hidden="1" customWidth="1"/>
    <col min="2" max="2" width="32.140625" style="0" customWidth="1"/>
    <col min="3" max="3" width="14.140625" style="0" customWidth="1"/>
    <col min="4" max="4" width="3.140625" style="0" customWidth="1"/>
    <col min="5" max="5" width="8.7109375" style="0" customWidth="1"/>
    <col min="6" max="6" width="8.140625" style="0" customWidth="1"/>
    <col min="7" max="7" width="8.28125" style="0" customWidth="1"/>
  </cols>
  <sheetData>
    <row r="1" spans="2:6" ht="12.75">
      <c r="B1" s="5" t="s">
        <v>36</v>
      </c>
      <c r="C1" s="9"/>
      <c r="D1" s="9"/>
      <c r="E1" s="9"/>
      <c r="F1" s="9"/>
    </row>
    <row r="2" spans="2:8" ht="12.75">
      <c r="B2" s="9"/>
      <c r="C2" s="9"/>
      <c r="D2" s="9"/>
      <c r="E2" s="31"/>
      <c r="F2" s="31"/>
      <c r="G2" s="34"/>
      <c r="H2" s="34"/>
    </row>
    <row r="3" spans="1:6" ht="12.75">
      <c r="A3" t="s">
        <v>54</v>
      </c>
      <c r="B3" s="5" t="s">
        <v>115</v>
      </c>
      <c r="C3" s="9"/>
      <c r="D3" s="9"/>
      <c r="E3" s="9"/>
      <c r="F3" s="9"/>
    </row>
    <row r="4" spans="2:8" ht="12.75">
      <c r="B4" s="5"/>
      <c r="C4" s="9"/>
      <c r="D4" s="9"/>
      <c r="E4" s="31" t="s">
        <v>75</v>
      </c>
      <c r="F4" s="31" t="s">
        <v>104</v>
      </c>
      <c r="G4" s="34" t="s">
        <v>76</v>
      </c>
      <c r="H4" s="34" t="s">
        <v>123</v>
      </c>
    </row>
    <row r="5" spans="2:8" ht="12.75">
      <c r="B5" s="9" t="s">
        <v>124</v>
      </c>
      <c r="C5" s="9" t="s">
        <v>66</v>
      </c>
      <c r="D5" s="9"/>
      <c r="H5">
        <v>1464</v>
      </c>
    </row>
    <row r="6" spans="2:8" ht="12.75">
      <c r="B6" s="9" t="s">
        <v>125</v>
      </c>
      <c r="C6" s="9" t="s">
        <v>66</v>
      </c>
      <c r="D6" s="9"/>
      <c r="H6">
        <v>1768</v>
      </c>
    </row>
    <row r="7" spans="2:8" ht="12.75">
      <c r="B7" s="9" t="s">
        <v>110</v>
      </c>
      <c r="C7" s="9" t="s">
        <v>69</v>
      </c>
      <c r="H7">
        <v>3.8</v>
      </c>
    </row>
    <row r="8" spans="2:8" ht="12.75">
      <c r="B8" s="9" t="s">
        <v>126</v>
      </c>
      <c r="C8" s="9" t="s">
        <v>130</v>
      </c>
      <c r="H8">
        <v>72</v>
      </c>
    </row>
    <row r="9" spans="2:8" ht="12.75">
      <c r="B9" t="s">
        <v>127</v>
      </c>
      <c r="C9" t="s">
        <v>131</v>
      </c>
      <c r="H9">
        <v>350</v>
      </c>
    </row>
    <row r="10" spans="2:8" ht="12.75">
      <c r="B10" t="s">
        <v>128</v>
      </c>
      <c r="C10" s="9" t="s">
        <v>130</v>
      </c>
      <c r="H10">
        <v>12</v>
      </c>
    </row>
    <row r="11" spans="2:8" ht="12.75">
      <c r="B11" t="s">
        <v>129</v>
      </c>
      <c r="C11" t="s">
        <v>69</v>
      </c>
      <c r="H11">
        <v>6.3</v>
      </c>
    </row>
    <row r="12" spans="2:8" ht="12.75">
      <c r="B12" t="s">
        <v>132</v>
      </c>
      <c r="C12" t="s">
        <v>18</v>
      </c>
      <c r="H12">
        <v>5.7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C1">
      <selection activeCell="I19" sqref="I19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6.57421875" style="0" customWidth="1"/>
  </cols>
  <sheetData>
    <row r="1" ht="12.75">
      <c r="C1" s="5" t="s">
        <v>203</v>
      </c>
    </row>
    <row r="3" spans="3:7" ht="12.75">
      <c r="C3" s="13" t="s">
        <v>114</v>
      </c>
      <c r="E3" s="34" t="s">
        <v>166</v>
      </c>
      <c r="F3" s="34" t="s">
        <v>167</v>
      </c>
      <c r="G3" s="34" t="s">
        <v>168</v>
      </c>
    </row>
    <row r="5" spans="1:31" s="65" customFormat="1" ht="12.75">
      <c r="A5" s="65" t="s">
        <v>114</v>
      </c>
      <c r="B5" s="65" t="s">
        <v>198</v>
      </c>
      <c r="C5" s="65" t="s">
        <v>199</v>
      </c>
      <c r="D5" s="65" t="s">
        <v>66</v>
      </c>
      <c r="E5" s="66">
        <v>1825</v>
      </c>
      <c r="F5" s="66">
        <v>1799</v>
      </c>
      <c r="G5" s="66">
        <v>1799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23" s="65" customFormat="1" ht="12.75">
      <c r="A6" s="65" t="s">
        <v>114</v>
      </c>
      <c r="B6" s="65" t="s">
        <v>198</v>
      </c>
      <c r="C6" s="65" t="s">
        <v>202</v>
      </c>
      <c r="D6" s="65" t="s">
        <v>200</v>
      </c>
      <c r="E6" s="66">
        <v>49.8</v>
      </c>
      <c r="F6" s="66">
        <v>50.5</v>
      </c>
      <c r="G6" s="66">
        <v>50.6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2" s="65" customFormat="1" ht="12.75">
      <c r="A7" s="65" t="s">
        <v>114</v>
      </c>
      <c r="B7" s="65" t="s">
        <v>198</v>
      </c>
      <c r="C7" s="65" t="s">
        <v>201</v>
      </c>
      <c r="E7" s="66">
        <v>3.17</v>
      </c>
      <c r="F7" s="66">
        <v>3.54</v>
      </c>
      <c r="G7" s="66">
        <v>3.21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5:22" s="65" customFormat="1" ht="12.75"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3:22" s="65" customFormat="1" ht="12.75">
      <c r="C9" s="13" t="s">
        <v>154</v>
      </c>
      <c r="E9" s="34" t="s">
        <v>166</v>
      </c>
      <c r="F9" s="34" t="s">
        <v>167</v>
      </c>
      <c r="G9" s="34" t="s">
        <v>168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5:22" s="65" customFormat="1" ht="12.75"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31" s="65" customFormat="1" ht="12.75">
      <c r="A11" s="65" t="s">
        <v>154</v>
      </c>
      <c r="B11" s="65" t="s">
        <v>198</v>
      </c>
      <c r="C11" s="65" t="s">
        <v>199</v>
      </c>
      <c r="D11" s="65" t="s">
        <v>66</v>
      </c>
      <c r="E11" s="66">
        <v>1806</v>
      </c>
      <c r="F11" s="66">
        <v>1790</v>
      </c>
      <c r="G11" s="66">
        <v>1805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23" s="65" customFormat="1" ht="12.75">
      <c r="A12" s="65" t="s">
        <v>154</v>
      </c>
      <c r="B12" s="65" t="s">
        <v>198</v>
      </c>
      <c r="C12" s="65" t="s">
        <v>202</v>
      </c>
      <c r="D12" s="65" t="s">
        <v>200</v>
      </c>
      <c r="E12" s="66">
        <v>50.1</v>
      </c>
      <c r="F12" s="66">
        <v>50</v>
      </c>
      <c r="G12" s="66">
        <v>50.7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2" s="65" customFormat="1" ht="12.75">
      <c r="A13" s="65" t="s">
        <v>154</v>
      </c>
      <c r="B13" s="65" t="s">
        <v>198</v>
      </c>
      <c r="C13" s="65" t="s">
        <v>201</v>
      </c>
      <c r="E13" s="66">
        <v>3.29</v>
      </c>
      <c r="F13" s="66">
        <v>3.51</v>
      </c>
      <c r="G13" s="66">
        <v>3.38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2004-02-25T19:28:33Z</cp:lastPrinted>
  <dcterms:created xsi:type="dcterms:W3CDTF">2000-01-10T00:44:42Z</dcterms:created>
  <dcterms:modified xsi:type="dcterms:W3CDTF">2004-02-25T19:30:04Z</dcterms:modified>
  <cp:category/>
  <cp:version/>
  <cp:contentType/>
  <cp:contentStatus/>
</cp:coreProperties>
</file>