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1970" windowHeight="657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/>
  <calcPr fullCalcOnLoad="1"/>
</workbook>
</file>

<file path=xl/sharedStrings.xml><?xml version="1.0" encoding="utf-8"?>
<sst xmlns="http://schemas.openxmlformats.org/spreadsheetml/2006/main" count="1238" uniqueCount="258">
  <si>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</si>
  <si>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</si>
  <si>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</si>
  <si>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</si>
  <si>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</si>
  <si>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</si>
  <si>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</si>
  <si>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</si>
  <si>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</si>
  <si>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</si>
  <si>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</si>
  <si>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</si>
  <si>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</si>
  <si>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</si>
  <si>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</si>
  <si>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</si>
  <si>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</si>
  <si>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</si>
  <si>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</si>
  <si>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</si>
  <si>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</si>
  <si>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</si>
  <si>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</si>
  <si>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</si>
  <si>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</si>
  <si>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</si>
  <si>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</si>
  <si>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</si>
  <si>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</si>
  <si>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</si>
  <si>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</si>
  <si>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</si>
  <si>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</si>
  <si>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</si>
  <si>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</si>
  <si>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</si>
  <si>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</si>
  <si>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</si>
  <si>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</si>
  <si>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</si>
  <si>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</si>
  <si>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</si>
  <si>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</si>
  <si>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</si>
  <si>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</si>
  <si>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</si>
  <si>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</si>
  <si>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</si>
  <si>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</si>
  <si>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</si>
  <si>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</si>
  <si>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</si>
  <si>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O2 (%)*</t>
  </si>
  <si>
    <t>PCDD/PCDF (ng/dscm @ 7% O2)</t>
  </si>
  <si>
    <t>Cond Avg</t>
  </si>
  <si>
    <t>Feedstream Description</t>
  </si>
  <si>
    <t>g/hr</t>
  </si>
  <si>
    <t>Heating Value</t>
  </si>
  <si>
    <t>Btu/lb</t>
  </si>
  <si>
    <t>Moisture</t>
  </si>
  <si>
    <t>Ash</t>
  </si>
  <si>
    <t>Chlorine</t>
  </si>
  <si>
    <t>Viscosity</t>
  </si>
  <si>
    <t>cps</t>
  </si>
  <si>
    <t>HCl</t>
  </si>
  <si>
    <t>Cl2</t>
  </si>
  <si>
    <t>Freeport</t>
  </si>
  <si>
    <t>TX</t>
  </si>
  <si>
    <t>Dow Chemical Company</t>
  </si>
  <si>
    <t>Focus Environmental, Inc.</t>
  </si>
  <si>
    <t>METCO Environmental</t>
  </si>
  <si>
    <t>DRE</t>
  </si>
  <si>
    <t>Chlorobenzene</t>
  </si>
  <si>
    <t>lb/hr</t>
  </si>
  <si>
    <t>Density</t>
  </si>
  <si>
    <t>MMBtu/hr</t>
  </si>
  <si>
    <t>Detected in sample volume (pg)</t>
  </si>
  <si>
    <t>PCDD/PCDF (pg in sample)</t>
  </si>
  <si>
    <t>PM, HCl/Cl2, Cr+6</t>
  </si>
  <si>
    <t>Run 1</t>
  </si>
  <si>
    <t>Run 2</t>
  </si>
  <si>
    <t>Run 3</t>
  </si>
  <si>
    <t>B-824</t>
  </si>
  <si>
    <t>None</t>
  </si>
  <si>
    <t>Natural Gas</t>
  </si>
  <si>
    <r>
      <t>o</t>
    </r>
    <r>
      <rPr>
        <sz val="10"/>
        <rFont val="Arial"/>
        <family val="2"/>
      </rPr>
      <t>F</t>
    </r>
  </si>
  <si>
    <t>psi</t>
  </si>
  <si>
    <t>pH</t>
  </si>
  <si>
    <t>Allyl Crude PDC</t>
  </si>
  <si>
    <t>g/ml</t>
  </si>
  <si>
    <t>November 4-5, 1997</t>
  </si>
  <si>
    <t>788C3</t>
  </si>
  <si>
    <t>Triclor-B Recycle</t>
  </si>
  <si>
    <t>Risk burn, max liq waste feed rate, normal comb temp</t>
  </si>
  <si>
    <t>Spike</t>
  </si>
  <si>
    <t>Risk burn, max liq waste feed rate, normal comb temp, November 4-5, 1997</t>
  </si>
  <si>
    <t>Stack Gas Emissions</t>
  </si>
  <si>
    <t>HW</t>
  </si>
  <si>
    <t>SVM</t>
  </si>
  <si>
    <t>LVM</t>
  </si>
  <si>
    <t>µg/dscm</t>
  </si>
  <si>
    <t>mg/dscm</t>
  </si>
  <si>
    <t>ug/dscm</t>
  </si>
  <si>
    <t>Stack Gas Flowrate</t>
  </si>
  <si>
    <t>Oxygen</t>
  </si>
  <si>
    <t>TEQ Cond Avg</t>
  </si>
  <si>
    <t>Total Cond Avg</t>
  </si>
  <si>
    <t>Liq</t>
  </si>
  <si>
    <t>Natural gas</t>
  </si>
  <si>
    <t>* The percentage of O2 level is obtained from Trial burn (average of condition 1)</t>
  </si>
  <si>
    <t>788C1</t>
  </si>
  <si>
    <t>788C2</t>
  </si>
  <si>
    <t>B-824 Trial Burn Report and Risk Burn Report, March 13, 1998</t>
  </si>
  <si>
    <t>Tier I for metals, Tier lll (Cr+6)</t>
  </si>
  <si>
    <t>Hazardous Wastes</t>
  </si>
  <si>
    <t xml:space="preserve">Trial burn, DRE, min comb temp and max stack gas flow </t>
  </si>
  <si>
    <t xml:space="preserve">    Testing Dates</t>
  </si>
  <si>
    <t>PCDD/PCDF</t>
  </si>
  <si>
    <t>Dow Chemical Company, Freeport TX</t>
  </si>
  <si>
    <t xml:space="preserve"> 1/2 ND</t>
  </si>
  <si>
    <t>1/2 ND</t>
  </si>
  <si>
    <t>Process Information</t>
  </si>
  <si>
    <t>Combustor Characteristics</t>
  </si>
  <si>
    <t>TXD008092793</t>
  </si>
  <si>
    <t>POHC DRE</t>
  </si>
  <si>
    <t>Trial burn, max feed rate and comb temp</t>
  </si>
  <si>
    <t>Feedstreams</t>
  </si>
  <si>
    <t>Vertical fired, open chamber, manufactured by Dow Chemical Proprietary Design, capacity 88 MMBtu/hr, operated @ 1100-1350C, designed to recover MgCl2</t>
  </si>
  <si>
    <t>Liquid wastes (Allyl Crude PDC, Trichlor-B-Recycle)</t>
  </si>
  <si>
    <t>7% O2</t>
  </si>
  <si>
    <t>Capacity (MMBtu/hr)</t>
  </si>
  <si>
    <t>n</t>
  </si>
  <si>
    <t>gpm</t>
  </si>
  <si>
    <t>Comb Temp</t>
  </si>
  <si>
    <t>HCl Prod</t>
  </si>
  <si>
    <t>gal/Macf</t>
  </si>
  <si>
    <t>J-3 Vent Liq Flow Pressure</t>
  </si>
  <si>
    <t>Nat Gas</t>
  </si>
  <si>
    <t>Feedrate MTEC Calculations</t>
  </si>
  <si>
    <t>cp</t>
  </si>
  <si>
    <t>Particle Size Distribution</t>
  </si>
  <si>
    <t>0.2-0.5</t>
  </si>
  <si>
    <t>0.5-0.9</t>
  </si>
  <si>
    <t>0.9-1.3</t>
  </si>
  <si>
    <t>1.3-2.7</t>
  </si>
  <si>
    <t>2.7-4.5</t>
  </si>
  <si>
    <t>4.5-6.5</t>
  </si>
  <si>
    <t>6.5-9.7</t>
  </si>
  <si>
    <t>9.7-15</t>
  </si>
  <si>
    <t>Stack gas metals, PCDD/F, other organics, PSD</t>
  </si>
  <si>
    <t>Supplemental Fuel</t>
  </si>
  <si>
    <t xml:space="preserve">    Gas Velocity (ft/sec)</t>
  </si>
  <si>
    <t xml:space="preserve">    Gas Temperature (°F)</t>
  </si>
  <si>
    <t>Phase II ID No.</t>
  </si>
  <si>
    <t>% wt</t>
  </si>
  <si>
    <t>S-30 Scrubber</t>
  </si>
  <si>
    <t xml:space="preserve">     Effluent pH</t>
  </si>
  <si>
    <t xml:space="preserve">     Effluent Flow</t>
  </si>
  <si>
    <t xml:space="preserve">     Recycle</t>
  </si>
  <si>
    <t xml:space="preserve">     L/G</t>
  </si>
  <si>
    <t>Source Description</t>
  </si>
  <si>
    <t>Soot Blowing</t>
  </si>
  <si>
    <t>Haz Waste Description</t>
  </si>
  <si>
    <t>µg/dscf</t>
  </si>
  <si>
    <t xml:space="preserve">   Temperature</t>
  </si>
  <si>
    <t xml:space="preserve">   Stack Gas Flowrate</t>
  </si>
  <si>
    <t>Antimony</t>
  </si>
  <si>
    <t>Arsenic</t>
  </si>
  <si>
    <t>Barium</t>
  </si>
  <si>
    <t>Beryllium</t>
  </si>
  <si>
    <t>Cadmium</t>
  </si>
  <si>
    <t>Lead</t>
  </si>
  <si>
    <t>Mercury</t>
  </si>
  <si>
    <t>Nickel</t>
  </si>
  <si>
    <t>Selenium</t>
  </si>
  <si>
    <t>Silver</t>
  </si>
  <si>
    <t>Thallium</t>
  </si>
  <si>
    <t>Comments</t>
  </si>
  <si>
    <t>Capacity Burn</t>
  </si>
  <si>
    <t>PM, HCl/Cl2</t>
  </si>
  <si>
    <t>Cr+6</t>
  </si>
  <si>
    <t>DRE Burn</t>
  </si>
  <si>
    <t>Risk Burn</t>
  </si>
  <si>
    <t>POHC Feedrate</t>
  </si>
  <si>
    <t>Emission Rate</t>
  </si>
  <si>
    <t xml:space="preserve">   O2</t>
  </si>
  <si>
    <t xml:space="preserve">   Moisture</t>
  </si>
  <si>
    <t>in microns</t>
  </si>
  <si>
    <t>&gt;15</t>
  </si>
  <si>
    <t>Cobalt</t>
  </si>
  <si>
    <t>Copper</t>
  </si>
  <si>
    <t>Manganese</t>
  </si>
  <si>
    <t>Molybdenum</t>
  </si>
  <si>
    <t>Vanadium</t>
  </si>
  <si>
    <t>CO (RA)</t>
  </si>
  <si>
    <t>CO (MHRA)</t>
  </si>
  <si>
    <t>Chromium</t>
  </si>
  <si>
    <t>Total Chlorine</t>
  </si>
  <si>
    <t>Sampling Train</t>
  </si>
  <si>
    <t>Zinc</t>
  </si>
  <si>
    <t xml:space="preserve">788C1 </t>
  </si>
  <si>
    <t>Capacity burn</t>
  </si>
  <si>
    <t xml:space="preserve">788C2 </t>
  </si>
  <si>
    <t>DRE burn</t>
  </si>
  <si>
    <t xml:space="preserve">788C3 </t>
  </si>
  <si>
    <t>Risk burn</t>
  </si>
  <si>
    <t>*</t>
  </si>
  <si>
    <t>Thermal Feedrate</t>
  </si>
  <si>
    <t>Feed Rate</t>
  </si>
  <si>
    <t>HWC Burn Status (Date if Terminated)</t>
  </si>
  <si>
    <t>MGCLREC/VS/SEP/DM</t>
  </si>
  <si>
    <t xml:space="preserve"> (Venturi scrubber, separator, demister) J-3 Venturi Scrubber, S-3 Separator, and inorganic reducing agent to capture HCl/Cl2. The gas passes through S-30 demister to remove entrained droplets.</t>
  </si>
  <si>
    <t xml:space="preserve">    Cond Dates</t>
  </si>
  <si>
    <t>HCl Production Furnace</t>
  </si>
  <si>
    <t>Cond Description</t>
  </si>
  <si>
    <t>Number of Sister Facilities</t>
  </si>
  <si>
    <t>APCS Detailed Acronym</t>
  </si>
  <si>
    <t>APCS General Class</t>
  </si>
  <si>
    <t>Combustor Class</t>
  </si>
  <si>
    <t>CO, DRE (chlorobenzene)</t>
  </si>
  <si>
    <t>R1</t>
  </si>
  <si>
    <t>R2</t>
  </si>
  <si>
    <t>R3</t>
  </si>
  <si>
    <t>E2</t>
  </si>
  <si>
    <t>E1</t>
  </si>
  <si>
    <t>Metals</t>
  </si>
  <si>
    <t>Combustor Type</t>
  </si>
  <si>
    <t>LEWS, HEWS,Cyclone</t>
  </si>
  <si>
    <t>Chromium (Hex)</t>
  </si>
  <si>
    <t xml:space="preserve">  Temperature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</si>
  <si>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</si>
  <si>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</si>
  <si>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</si>
  <si>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</si>
  <si>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</si>
  <si>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</si>
  <si>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</si>
  <si>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</si>
  <si>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</si>
  <si>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F3</t>
  </si>
  <si>
    <t>F2</t>
  </si>
  <si>
    <t>NG</t>
  </si>
  <si>
    <t>F4</t>
  </si>
  <si>
    <t>F5</t>
  </si>
  <si>
    <t>Feed Class 2</t>
  </si>
  <si>
    <t>MF</t>
  </si>
  <si>
    <t>Estimated Firing Rate</t>
  </si>
  <si>
    <t>df c3</t>
  </si>
  <si>
    <t>Full ND</t>
  </si>
  <si>
    <t>N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</si>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</sst>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11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7" fontId="0" fillId="0" borderId="0" xfId="0" applyNumberFormat="1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2" fontId="0" fillId="0" borderId="0" xfId="0" applyNumberFormat="1" applyFill="1" applyBorder="1" applyAlignment="1">
      <alignment/>
    </xf>
    <xf numFmtId="167" fontId="0" fillId="0" borderId="0" xfId="0" applyNumberFormat="1" applyFont="1" applyBorder="1" applyAlignment="1">
      <alignment horizontal="right"/>
    </xf>
    <xf numFmtId="1" fontId="0" fillId="0" borderId="0" xfId="21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D25" sqref="D25"/>
    </sheetView>
  </sheetViews>
  <sheetFormatPr defaultColWidth="9.140625" defaultRowHeight="12.75"/>
  <sheetData>
    <row r="1" ht="12.75">
      <c r="A1" t="s">
        <v>230</v>
      </c>
    </row>
    <row r="2" ht="12.75">
      <c r="A2" t="s">
        <v>231</v>
      </c>
    </row>
    <row r="3" ht="12.75">
      <c r="A3" t="s">
        <v>232</v>
      </c>
    </row>
    <row r="4" ht="12.75">
      <c r="A4" t="s">
        <v>233</v>
      </c>
    </row>
    <row r="5" ht="12.75">
      <c r="A5" t="s">
        <v>234</v>
      </c>
    </row>
    <row r="6" ht="12.75">
      <c r="A6" t="s">
        <v>247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workbookViewId="0" topLeftCell="B1">
      <selection activeCell="C1" sqref="C1"/>
    </sheetView>
  </sheetViews>
  <sheetFormatPr defaultColWidth="9.140625" defaultRowHeight="12.75"/>
  <cols>
    <col min="1" max="1" width="9.140625" style="18" hidden="1" customWidth="1"/>
    <col min="2" max="2" width="23.8515625" style="18" customWidth="1"/>
    <col min="3" max="3" width="63.28125" style="18" customWidth="1"/>
    <col min="4" max="16384" width="8.8515625" style="18" customWidth="1"/>
  </cols>
  <sheetData>
    <row r="1" ht="12.75">
      <c r="B1" s="2" t="s">
        <v>160</v>
      </c>
    </row>
    <row r="3" spans="2:3" ht="12.75">
      <c r="B3" s="18" t="s">
        <v>153</v>
      </c>
      <c r="C3" s="19">
        <v>788</v>
      </c>
    </row>
    <row r="4" spans="2:3" ht="12.75">
      <c r="B4" s="18" t="s">
        <v>0</v>
      </c>
      <c r="C4" s="18" t="s">
        <v>123</v>
      </c>
    </row>
    <row r="5" spans="2:3" ht="12.75">
      <c r="B5" s="18" t="s">
        <v>1</v>
      </c>
      <c r="C5" s="18" t="s">
        <v>68</v>
      </c>
    </row>
    <row r="6" ht="12.75">
      <c r="B6" s="18" t="s">
        <v>2</v>
      </c>
    </row>
    <row r="7" spans="2:3" ht="12.75">
      <c r="B7" s="18" t="s">
        <v>3</v>
      </c>
      <c r="C7" s="18" t="s">
        <v>66</v>
      </c>
    </row>
    <row r="8" spans="2:3" ht="12.75">
      <c r="B8" s="18" t="s">
        <v>4</v>
      </c>
      <c r="C8" s="18" t="s">
        <v>67</v>
      </c>
    </row>
    <row r="9" spans="2:3" ht="12.75">
      <c r="B9" s="18" t="s">
        <v>5</v>
      </c>
      <c r="C9" s="18" t="s">
        <v>82</v>
      </c>
    </row>
    <row r="10" spans="2:3" ht="12.75">
      <c r="B10" s="18" t="s">
        <v>6</v>
      </c>
      <c r="C10" s="18" t="s">
        <v>83</v>
      </c>
    </row>
    <row r="11" spans="2:3" ht="12.75">
      <c r="B11" s="18" t="s">
        <v>215</v>
      </c>
      <c r="C11" s="19">
        <v>0</v>
      </c>
    </row>
    <row r="12" spans="2:3" s="62" customFormat="1" ht="12.75">
      <c r="B12" s="62" t="s">
        <v>218</v>
      </c>
      <c r="C12" s="62" t="s">
        <v>213</v>
      </c>
    </row>
    <row r="13" s="62" customFormat="1" ht="12.75">
      <c r="B13" s="62" t="s">
        <v>226</v>
      </c>
    </row>
    <row r="14" spans="2:3" s="62" customFormat="1" ht="38.25">
      <c r="B14" s="62" t="s">
        <v>122</v>
      </c>
      <c r="C14" s="62" t="s">
        <v>127</v>
      </c>
    </row>
    <row r="15" spans="2:3" s="62" customFormat="1" ht="12.75">
      <c r="B15" s="62" t="s">
        <v>130</v>
      </c>
      <c r="C15" s="63">
        <v>88</v>
      </c>
    </row>
    <row r="16" spans="2:3" s="62" customFormat="1" ht="12.75">
      <c r="B16" s="62" t="s">
        <v>161</v>
      </c>
      <c r="C16" s="62" t="s">
        <v>83</v>
      </c>
    </row>
    <row r="17" spans="2:3" s="62" customFormat="1" ht="12.75">
      <c r="B17" s="62" t="s">
        <v>216</v>
      </c>
      <c r="C17" s="62" t="s">
        <v>210</v>
      </c>
    </row>
    <row r="18" spans="2:3" s="62" customFormat="1" ht="12.75">
      <c r="B18" s="62" t="s">
        <v>217</v>
      </c>
      <c r="C18" s="62" t="s">
        <v>227</v>
      </c>
    </row>
    <row r="19" spans="2:3" s="62" customFormat="1" ht="38.25">
      <c r="B19" s="62" t="s">
        <v>7</v>
      </c>
      <c r="C19" s="62" t="s">
        <v>211</v>
      </c>
    </row>
    <row r="20" spans="2:3" s="62" customFormat="1" ht="12.75">
      <c r="B20" s="62" t="s">
        <v>114</v>
      </c>
      <c r="C20" s="62" t="s">
        <v>107</v>
      </c>
    </row>
    <row r="21" spans="2:3" s="62" customFormat="1" ht="12.75">
      <c r="B21" s="62" t="s">
        <v>162</v>
      </c>
      <c r="C21" s="62" t="s">
        <v>128</v>
      </c>
    </row>
    <row r="22" spans="2:3" ht="12.75">
      <c r="B22" s="18" t="s">
        <v>150</v>
      </c>
      <c r="C22" s="18" t="s">
        <v>108</v>
      </c>
    </row>
    <row r="23" ht="12.75" customHeight="1"/>
    <row r="24" ht="12.75">
      <c r="B24" s="18" t="s">
        <v>8</v>
      </c>
    </row>
    <row r="25" spans="2:3" ht="12.75">
      <c r="B25" s="18" t="s">
        <v>9</v>
      </c>
      <c r="C25" s="19">
        <v>3.5</v>
      </c>
    </row>
    <row r="26" spans="2:3" ht="12.75">
      <c r="B26" s="18" t="s">
        <v>10</v>
      </c>
      <c r="C26" s="19">
        <v>150</v>
      </c>
    </row>
    <row r="27" spans="2:3" ht="12.75">
      <c r="B27" s="18" t="s">
        <v>151</v>
      </c>
      <c r="C27" s="20">
        <v>25.2</v>
      </c>
    </row>
    <row r="28" spans="2:3" ht="12.75">
      <c r="B28" s="18" t="s">
        <v>152</v>
      </c>
      <c r="C28" s="19">
        <v>99.7</v>
      </c>
    </row>
    <row r="29" ht="12.75" customHeight="1"/>
    <row r="30" spans="2:3" ht="12.75">
      <c r="B30" s="18" t="s">
        <v>11</v>
      </c>
      <c r="C30" s="18" t="s">
        <v>113</v>
      </c>
    </row>
    <row r="31" s="70" customFormat="1" ht="25.5">
      <c r="B31" s="70" t="s">
        <v>209</v>
      </c>
    </row>
    <row r="32" ht="12.75" customHeight="1"/>
    <row r="37" ht="12.75">
      <c r="C37" s="21"/>
    </row>
    <row r="38" ht="12.75">
      <c r="C38" s="68"/>
    </row>
    <row r="40" ht="12.75">
      <c r="C40" s="21"/>
    </row>
    <row r="42" ht="12.75">
      <c r="C42" s="21"/>
    </row>
    <row r="43" ht="12.75">
      <c r="C43" s="68"/>
    </row>
    <row r="45" ht="12.75">
      <c r="C45" s="21"/>
    </row>
    <row r="47" ht="12.75">
      <c r="C47" s="21"/>
    </row>
    <row r="48" ht="12.75">
      <c r="C48" s="68"/>
    </row>
    <row r="53" ht="12.75">
      <c r="C53" s="21"/>
    </row>
    <row r="57" ht="12.75">
      <c r="C57" s="21"/>
    </row>
    <row r="60" ht="12.75">
      <c r="C60" s="21"/>
    </row>
    <row r="61" ht="12.75">
      <c r="C61" s="2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3">
      <selection activeCell="C1" sqref="C1"/>
    </sheetView>
  </sheetViews>
  <sheetFormatPr defaultColWidth="9.140625" defaultRowHeight="12.75"/>
  <cols>
    <col min="1" max="1" width="9.140625" style="18" hidden="1" customWidth="1"/>
    <col min="2" max="2" width="21.421875" style="18" customWidth="1"/>
    <col min="3" max="3" width="53.7109375" style="18" customWidth="1"/>
    <col min="4" max="16384" width="9.140625" style="18" customWidth="1"/>
  </cols>
  <sheetData>
    <row r="1" ht="12.75">
      <c r="B1" s="2" t="s">
        <v>214</v>
      </c>
    </row>
    <row r="3" ht="12.75">
      <c r="B3" s="69" t="s">
        <v>110</v>
      </c>
    </row>
    <row r="4" ht="12.75">
      <c r="B4" s="69"/>
    </row>
    <row r="5" spans="2:3" ht="12.75">
      <c r="B5" s="18" t="s">
        <v>12</v>
      </c>
      <c r="C5" s="18" t="s">
        <v>112</v>
      </c>
    </row>
    <row r="6" spans="2:3" ht="12.75">
      <c r="B6" s="18" t="s">
        <v>13</v>
      </c>
      <c r="C6" s="18" t="s">
        <v>69</v>
      </c>
    </row>
    <row r="7" spans="2:3" ht="12.75">
      <c r="B7" s="18" t="s">
        <v>14</v>
      </c>
      <c r="C7" s="18" t="s">
        <v>70</v>
      </c>
    </row>
    <row r="8" spans="2:3" ht="12.75">
      <c r="B8" s="18" t="s">
        <v>116</v>
      </c>
      <c r="C8" s="21">
        <v>35741</v>
      </c>
    </row>
    <row r="9" spans="2:3" ht="12.75">
      <c r="B9" s="18" t="s">
        <v>212</v>
      </c>
      <c r="C9" s="68">
        <v>35735</v>
      </c>
    </row>
    <row r="10" spans="2:3" ht="12.75">
      <c r="B10" s="18" t="s">
        <v>15</v>
      </c>
      <c r="C10" s="18" t="s">
        <v>125</v>
      </c>
    </row>
    <row r="11" spans="2:3" ht="12.75">
      <c r="B11" s="18" t="s">
        <v>16</v>
      </c>
      <c r="C11" s="21" t="s">
        <v>78</v>
      </c>
    </row>
    <row r="12" ht="12.75">
      <c r="C12" s="21"/>
    </row>
    <row r="13" ht="12.75">
      <c r="B13" s="69" t="s">
        <v>111</v>
      </c>
    </row>
    <row r="14" ht="12.75">
      <c r="B14" s="69"/>
    </row>
    <row r="15" spans="2:3" ht="12.75">
      <c r="B15" s="18" t="s">
        <v>12</v>
      </c>
      <c r="C15" s="18" t="s">
        <v>112</v>
      </c>
    </row>
    <row r="16" spans="2:3" ht="12.75">
      <c r="B16" s="18" t="s">
        <v>13</v>
      </c>
      <c r="C16" s="18" t="s">
        <v>69</v>
      </c>
    </row>
    <row r="17" spans="2:3" ht="12.75">
      <c r="B17" s="18" t="s">
        <v>14</v>
      </c>
      <c r="C17" s="18" t="s">
        <v>70</v>
      </c>
    </row>
    <row r="18" spans="2:3" ht="12.75">
      <c r="B18" s="18" t="s">
        <v>116</v>
      </c>
      <c r="C18" s="21">
        <v>35740</v>
      </c>
    </row>
    <row r="19" spans="2:3" ht="12.75">
      <c r="B19" s="18" t="s">
        <v>212</v>
      </c>
      <c r="C19" s="68">
        <v>35735</v>
      </c>
    </row>
    <row r="20" spans="2:3" ht="12.75">
      <c r="B20" s="18" t="s">
        <v>15</v>
      </c>
      <c r="C20" s="18" t="s">
        <v>115</v>
      </c>
    </row>
    <row r="21" spans="2:3" ht="12.75">
      <c r="B21" s="18" t="s">
        <v>16</v>
      </c>
      <c r="C21" s="21" t="s">
        <v>219</v>
      </c>
    </row>
    <row r="22" ht="12.75">
      <c r="C22" s="21"/>
    </row>
    <row r="23" ht="12.75">
      <c r="B23" s="69" t="s">
        <v>91</v>
      </c>
    </row>
    <row r="24" ht="12.75">
      <c r="B24" s="69"/>
    </row>
    <row r="25" spans="2:3" ht="12.75">
      <c r="B25" s="18" t="s">
        <v>12</v>
      </c>
      <c r="C25" s="18" t="s">
        <v>112</v>
      </c>
    </row>
    <row r="26" spans="2:3" ht="12.75">
      <c r="B26" s="18" t="s">
        <v>13</v>
      </c>
      <c r="C26" s="18" t="s">
        <v>69</v>
      </c>
    </row>
    <row r="27" spans="2:3" ht="12.75">
      <c r="B27" s="18" t="s">
        <v>14</v>
      </c>
      <c r="C27" s="18" t="s">
        <v>70</v>
      </c>
    </row>
    <row r="28" spans="2:3" ht="12.75">
      <c r="B28" s="18" t="s">
        <v>116</v>
      </c>
      <c r="C28" s="21" t="s">
        <v>90</v>
      </c>
    </row>
    <row r="29" spans="2:3" ht="12.75">
      <c r="B29" s="18" t="s">
        <v>212</v>
      </c>
      <c r="C29" s="68">
        <v>35735</v>
      </c>
    </row>
    <row r="30" spans="2:3" ht="12.75">
      <c r="B30" s="18" t="s">
        <v>15</v>
      </c>
      <c r="C30" s="18" t="s">
        <v>93</v>
      </c>
    </row>
    <row r="31" spans="2:3" ht="12.75">
      <c r="B31" s="18" t="s">
        <v>16</v>
      </c>
      <c r="C31" s="18" t="s">
        <v>149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67"/>
  <sheetViews>
    <sheetView zoomScale="75" zoomScaleNormal="75" workbookViewId="0" topLeftCell="B1">
      <selection activeCell="C1" sqref="C1"/>
    </sheetView>
  </sheetViews>
  <sheetFormatPr defaultColWidth="9.140625" defaultRowHeight="12.75"/>
  <cols>
    <col min="1" max="1" width="9.140625" style="24" hidden="1" customWidth="1"/>
    <col min="2" max="2" width="21.140625" style="24" customWidth="1"/>
    <col min="3" max="3" width="12.140625" style="24" customWidth="1"/>
    <col min="4" max="4" width="8.8515625" style="7" customWidth="1"/>
    <col min="5" max="5" width="5.140625" style="7" customWidth="1"/>
    <col min="6" max="6" width="3.8515625" style="23" customWidth="1"/>
    <col min="7" max="7" width="8.8515625" style="24" customWidth="1"/>
    <col min="8" max="8" width="4.28125" style="23" customWidth="1"/>
    <col min="9" max="9" width="9.7109375" style="25" customWidth="1"/>
    <col min="10" max="10" width="4.421875" style="23" customWidth="1"/>
    <col min="11" max="11" width="10.140625" style="24" customWidth="1"/>
    <col min="12" max="12" width="4.140625" style="26" customWidth="1"/>
    <col min="13" max="13" width="10.00390625" style="24" customWidth="1"/>
    <col min="14" max="14" width="3.140625" style="24" customWidth="1"/>
    <col min="15" max="32" width="8.8515625" style="18" customWidth="1"/>
    <col min="33" max="16384" width="8.8515625" style="24" customWidth="1"/>
  </cols>
  <sheetData>
    <row r="1" spans="2:3" ht="12.75">
      <c r="B1" s="22" t="s">
        <v>96</v>
      </c>
      <c r="C1" s="22"/>
    </row>
    <row r="2" spans="2:11" ht="12.75">
      <c r="B2" s="23"/>
      <c r="C2" s="23"/>
      <c r="G2" s="23"/>
      <c r="I2" s="27"/>
      <c r="K2" s="23"/>
    </row>
    <row r="3" spans="2:13" ht="12.75">
      <c r="B3" s="18"/>
      <c r="C3" s="18" t="s">
        <v>177</v>
      </c>
      <c r="D3" s="7" t="s">
        <v>17</v>
      </c>
      <c r="E3" s="7" t="s">
        <v>129</v>
      </c>
      <c r="G3" s="23">
        <v>1</v>
      </c>
      <c r="I3" s="27">
        <v>2</v>
      </c>
      <c r="K3" s="23">
        <v>3</v>
      </c>
      <c r="M3" s="24" t="s">
        <v>54</v>
      </c>
    </row>
    <row r="4" spans="2:11" ht="12.75">
      <c r="B4" s="18"/>
      <c r="C4" s="18"/>
      <c r="G4" s="23"/>
      <c r="I4" s="27"/>
      <c r="K4" s="23"/>
    </row>
    <row r="5" spans="1:13" ht="12.75">
      <c r="A5" s="24">
        <v>1</v>
      </c>
      <c r="B5" s="28" t="s">
        <v>110</v>
      </c>
      <c r="C5" s="28" t="s">
        <v>178</v>
      </c>
      <c r="G5" s="23" t="s">
        <v>220</v>
      </c>
      <c r="I5" s="27" t="s">
        <v>221</v>
      </c>
      <c r="K5" s="23" t="s">
        <v>222</v>
      </c>
      <c r="M5" s="24" t="s">
        <v>54</v>
      </c>
    </row>
    <row r="6" spans="2:11" ht="12.75">
      <c r="B6" s="7"/>
      <c r="C6" s="7"/>
      <c r="D6" s="18"/>
      <c r="E6" s="18"/>
      <c r="F6" s="29"/>
      <c r="G6" s="18"/>
      <c r="H6" s="29"/>
      <c r="I6" s="30"/>
      <c r="J6" s="29"/>
      <c r="K6" s="18"/>
    </row>
    <row r="7" spans="2:13" ht="12.75">
      <c r="B7" s="7" t="s">
        <v>18</v>
      </c>
      <c r="C7" s="7" t="s">
        <v>224</v>
      </c>
      <c r="D7" s="7" t="s">
        <v>19</v>
      </c>
      <c r="E7" s="7" t="s">
        <v>20</v>
      </c>
      <c r="G7" s="31">
        <v>0.0034</v>
      </c>
      <c r="I7" s="32">
        <v>0.0041</v>
      </c>
      <c r="K7" s="31">
        <v>0.0038</v>
      </c>
      <c r="M7" s="24">
        <v>0.0038</v>
      </c>
    </row>
    <row r="8" spans="2:13" ht="12.75">
      <c r="B8" s="7" t="s">
        <v>195</v>
      </c>
      <c r="C8" s="7" t="s">
        <v>224</v>
      </c>
      <c r="D8" s="7" t="s">
        <v>21</v>
      </c>
      <c r="E8" s="7" t="s">
        <v>20</v>
      </c>
      <c r="G8" s="31">
        <v>45</v>
      </c>
      <c r="I8" s="32">
        <v>6</v>
      </c>
      <c r="K8" s="31">
        <v>6</v>
      </c>
      <c r="M8" s="24">
        <f>AVERAGE(G8,I8,K8)</f>
        <v>19</v>
      </c>
    </row>
    <row r="9" spans="2:13" ht="12.75">
      <c r="B9" s="7" t="s">
        <v>194</v>
      </c>
      <c r="C9" s="7" t="s">
        <v>224</v>
      </c>
      <c r="D9" s="7" t="s">
        <v>21</v>
      </c>
      <c r="E9" s="7" t="s">
        <v>20</v>
      </c>
      <c r="G9" s="31">
        <v>13.4</v>
      </c>
      <c r="I9" s="32">
        <v>5.7</v>
      </c>
      <c r="K9" s="31">
        <v>6</v>
      </c>
      <c r="M9" s="33">
        <f>AVERAGE(G9,I9,K9)</f>
        <v>8.366666666666667</v>
      </c>
    </row>
    <row r="10" spans="2:13" ht="12.75">
      <c r="B10" s="71" t="s">
        <v>228</v>
      </c>
      <c r="C10" s="7"/>
      <c r="D10" s="7" t="s">
        <v>56</v>
      </c>
      <c r="G10" s="31">
        <v>0.038</v>
      </c>
      <c r="I10" s="32">
        <v>0.23</v>
      </c>
      <c r="K10" s="31">
        <v>0.051</v>
      </c>
      <c r="M10" s="34">
        <f>AVERAGE(G10,I10,K10)</f>
        <v>0.10633333333333334</v>
      </c>
    </row>
    <row r="11" spans="2:13" ht="12.75">
      <c r="B11" s="7" t="s">
        <v>64</v>
      </c>
      <c r="C11" s="7"/>
      <c r="D11" s="7" t="s">
        <v>56</v>
      </c>
      <c r="G11" s="31">
        <v>79</v>
      </c>
      <c r="I11" s="32">
        <v>92</v>
      </c>
      <c r="K11" s="31">
        <v>75</v>
      </c>
      <c r="M11" s="24">
        <v>82</v>
      </c>
    </row>
    <row r="12" spans="2:13" ht="12.75">
      <c r="B12" s="7" t="s">
        <v>65</v>
      </c>
      <c r="C12" s="7"/>
      <c r="D12" s="7" t="s">
        <v>56</v>
      </c>
      <c r="G12" s="31">
        <v>4.7</v>
      </c>
      <c r="I12" s="32">
        <v>280</v>
      </c>
      <c r="K12" s="31">
        <v>8.7</v>
      </c>
      <c r="M12" s="24">
        <v>99</v>
      </c>
    </row>
    <row r="13" spans="2:11" ht="12.75">
      <c r="B13" s="7"/>
      <c r="C13" s="7"/>
      <c r="G13" s="31"/>
      <c r="I13" s="32"/>
      <c r="K13" s="31"/>
    </row>
    <row r="14" spans="2:13" ht="12.75">
      <c r="B14" s="71" t="s">
        <v>228</v>
      </c>
      <c r="C14" s="7" t="s">
        <v>223</v>
      </c>
      <c r="D14" s="7" t="s">
        <v>100</v>
      </c>
      <c r="E14" s="7" t="s">
        <v>20</v>
      </c>
      <c r="G14" s="5">
        <f>(G10/(G20*60*0.0283))*10^6*(14/(21-G21))</f>
        <v>1.5117217563762595</v>
      </c>
      <c r="H14" s="9"/>
      <c r="I14" s="5">
        <f>(I10/(I20*60*0.0283))*10^6*(14/(21-I21))</f>
        <v>9.996113225574662</v>
      </c>
      <c r="J14" s="9"/>
      <c r="K14" s="5">
        <f>(K10/(K20*60*0.0283))*10^6*(14/(21-K21))</f>
        <v>2.1060369126894862</v>
      </c>
      <c r="L14" s="11"/>
      <c r="M14" s="5">
        <f>(M10/(M20*60*0.0283))*10^6*(14/(21-M21))</f>
        <v>4.407603362452321</v>
      </c>
    </row>
    <row r="15" spans="2:13" ht="12.75">
      <c r="B15" s="7" t="s">
        <v>64</v>
      </c>
      <c r="C15" s="7" t="s">
        <v>224</v>
      </c>
      <c r="D15" s="7" t="s">
        <v>21</v>
      </c>
      <c r="E15" s="7" t="s">
        <v>20</v>
      </c>
      <c r="G15" s="5">
        <f>G11*(1/G20/60)*(1/0.0283)*(14/(21-G21))*667.8</f>
        <v>2.098755140098348</v>
      </c>
      <c r="H15" s="9"/>
      <c r="I15" s="5">
        <f>I11*(1/I20/60)*(1/0.0283)*(14/(21-I21))*667.8</f>
        <v>2.670161764815503</v>
      </c>
      <c r="J15" s="9"/>
      <c r="K15" s="5">
        <f>K11*(1/K20/60)*(1/0.0283)*(14/(21-K21))*667.8</f>
        <v>2.068252132785352</v>
      </c>
      <c r="L15" s="11"/>
      <c r="M15" s="5">
        <f>M11*(1/M20/60)*(1/0.0283)*(14/(21-M21))*667.8</f>
        <v>2.2698300666446154</v>
      </c>
    </row>
    <row r="16" spans="2:13" ht="12.75">
      <c r="B16" s="7" t="s">
        <v>65</v>
      </c>
      <c r="C16" s="7" t="s">
        <v>224</v>
      </c>
      <c r="D16" s="7" t="s">
        <v>21</v>
      </c>
      <c r="E16" s="7" t="s">
        <v>20</v>
      </c>
      <c r="G16" s="5">
        <f>G12*(1/G20/60)*(1/0.0283)*(14/(21-G21))*343.4</f>
        <v>0.06420759685147777</v>
      </c>
      <c r="H16" s="9"/>
      <c r="I16" s="5">
        <f>I12*(1/I20/60)*(1/0.0283)*(14/(21-I21))*343.4</f>
        <v>4.178896864632412</v>
      </c>
      <c r="J16" s="9"/>
      <c r="K16" s="5">
        <f>K12*(1/K20/60)*(1/0.0283)*(14/(21-K21))*343.4</f>
        <v>0.12337164234535011</v>
      </c>
      <c r="L16" s="11"/>
      <c r="M16" s="5">
        <f>M12*(1/M20/60)*(1/0.0283)*(14/(21-M21))*343.4</f>
        <v>1.4091867881374287</v>
      </c>
    </row>
    <row r="17" spans="2:13" ht="12.75">
      <c r="B17" s="7" t="s">
        <v>197</v>
      </c>
      <c r="C17" s="7" t="s">
        <v>224</v>
      </c>
      <c r="D17" s="7" t="s">
        <v>21</v>
      </c>
      <c r="E17" s="7" t="s">
        <v>20</v>
      </c>
      <c r="G17" s="6">
        <f>2*G16+G15</f>
        <v>2.2271703338013036</v>
      </c>
      <c r="H17" s="10"/>
      <c r="I17" s="6">
        <f>2*I16+I15</f>
        <v>11.027955494080327</v>
      </c>
      <c r="J17" s="10"/>
      <c r="K17" s="6">
        <f>2*K16+K15</f>
        <v>2.314995417476052</v>
      </c>
      <c r="L17" s="12"/>
      <c r="M17" s="5">
        <f>2*M16+M15</f>
        <v>5.088203642919472</v>
      </c>
    </row>
    <row r="18" spans="2:3" ht="12.75">
      <c r="B18" s="7"/>
      <c r="C18" s="7"/>
    </row>
    <row r="19" spans="2:4" ht="12.75">
      <c r="B19" s="7" t="s">
        <v>198</v>
      </c>
      <c r="C19" s="7" t="s">
        <v>179</v>
      </c>
      <c r="D19" s="7" t="s">
        <v>224</v>
      </c>
    </row>
    <row r="20" spans="2:13" ht="12.75">
      <c r="B20" s="7" t="s">
        <v>165</v>
      </c>
      <c r="C20" s="7"/>
      <c r="D20" s="7" t="s">
        <v>22</v>
      </c>
      <c r="G20" s="31">
        <v>15128</v>
      </c>
      <c r="I20" s="32">
        <v>13747</v>
      </c>
      <c r="J20" s="35"/>
      <c r="K20" s="31">
        <v>14681</v>
      </c>
      <c r="M20" s="24">
        <v>14519</v>
      </c>
    </row>
    <row r="21" spans="2:13" ht="12.75">
      <c r="B21" s="7" t="s">
        <v>185</v>
      </c>
      <c r="C21" s="7"/>
      <c r="D21" s="7" t="s">
        <v>23</v>
      </c>
      <c r="G21" s="31">
        <v>7.3</v>
      </c>
      <c r="I21" s="32">
        <v>7.2</v>
      </c>
      <c r="K21" s="31">
        <v>7.4</v>
      </c>
      <c r="M21" s="24">
        <v>7.3</v>
      </c>
    </row>
    <row r="22" spans="2:11" ht="12.75">
      <c r="B22" s="7" t="s">
        <v>186</v>
      </c>
      <c r="C22" s="7"/>
      <c r="D22" s="7" t="s">
        <v>23</v>
      </c>
      <c r="G22" s="31"/>
      <c r="I22" s="32"/>
      <c r="K22" s="31"/>
    </row>
    <row r="23" spans="2:11" ht="12.75">
      <c r="B23" s="7" t="s">
        <v>164</v>
      </c>
      <c r="C23" s="7"/>
      <c r="D23" s="7" t="s">
        <v>24</v>
      </c>
      <c r="G23" s="31"/>
      <c r="I23" s="32"/>
      <c r="K23" s="31"/>
    </row>
    <row r="24" spans="2:11" ht="12.75">
      <c r="B24" s="7"/>
      <c r="C24" s="7"/>
      <c r="G24" s="31"/>
      <c r="I24" s="32"/>
      <c r="K24" s="31"/>
    </row>
    <row r="25" spans="2:11" ht="12.75">
      <c r="B25" s="7" t="s">
        <v>198</v>
      </c>
      <c r="C25" s="7" t="s">
        <v>180</v>
      </c>
      <c r="D25" s="7" t="s">
        <v>223</v>
      </c>
      <c r="G25" s="31"/>
      <c r="I25" s="32"/>
      <c r="K25" s="31"/>
    </row>
    <row r="26" spans="2:13" ht="12.75">
      <c r="B26" s="7" t="s">
        <v>165</v>
      </c>
      <c r="C26" s="7"/>
      <c r="D26" s="7" t="s">
        <v>22</v>
      </c>
      <c r="G26" s="31">
        <v>15329</v>
      </c>
      <c r="I26" s="32">
        <v>14800</v>
      </c>
      <c r="K26" s="31">
        <v>14820</v>
      </c>
      <c r="M26" s="24">
        <f>AVERAGE(G26,I26,K26)</f>
        <v>14983</v>
      </c>
    </row>
    <row r="27" spans="2:11" ht="12.75">
      <c r="B27" s="7" t="s">
        <v>185</v>
      </c>
      <c r="C27" s="7"/>
      <c r="D27" s="7" t="s">
        <v>23</v>
      </c>
      <c r="G27" s="31"/>
      <c r="I27" s="32"/>
      <c r="K27" s="31"/>
    </row>
    <row r="28" spans="2:11" ht="12.75">
      <c r="B28" s="7" t="s">
        <v>186</v>
      </c>
      <c r="C28" s="7"/>
      <c r="D28" s="7" t="s">
        <v>23</v>
      </c>
      <c r="G28" s="31"/>
      <c r="I28" s="32"/>
      <c r="K28" s="31"/>
    </row>
    <row r="29" spans="2:11" ht="12.75">
      <c r="B29" s="7" t="s">
        <v>164</v>
      </c>
      <c r="C29" s="7"/>
      <c r="D29" s="7" t="s">
        <v>24</v>
      </c>
      <c r="G29" s="31"/>
      <c r="I29" s="32"/>
      <c r="K29" s="31"/>
    </row>
    <row r="30" spans="2:11" ht="13.5" customHeight="1">
      <c r="B30" s="7"/>
      <c r="C30" s="7"/>
      <c r="G30" s="31"/>
      <c r="I30" s="32"/>
      <c r="K30" s="31"/>
    </row>
    <row r="31" spans="1:13" ht="12.75">
      <c r="A31" s="24">
        <v>2</v>
      </c>
      <c r="B31" s="28" t="s">
        <v>111</v>
      </c>
      <c r="C31" s="28" t="s">
        <v>181</v>
      </c>
      <c r="G31" s="23" t="s">
        <v>220</v>
      </c>
      <c r="I31" s="27" t="s">
        <v>221</v>
      </c>
      <c r="K31" s="23" t="s">
        <v>222</v>
      </c>
      <c r="M31" s="24" t="s">
        <v>54</v>
      </c>
    </row>
    <row r="32" spans="2:11" ht="12.75">
      <c r="B32" s="7"/>
      <c r="C32" s="7"/>
      <c r="G32" s="31"/>
      <c r="I32" s="32"/>
      <c r="K32" s="31"/>
    </row>
    <row r="33" spans="2:13" ht="12.75">
      <c r="B33" s="7" t="s">
        <v>195</v>
      </c>
      <c r="C33" s="7" t="s">
        <v>224</v>
      </c>
      <c r="D33" s="7" t="s">
        <v>21</v>
      </c>
      <c r="E33" s="7" t="s">
        <v>20</v>
      </c>
      <c r="G33" s="31">
        <v>2</v>
      </c>
      <c r="I33" s="32">
        <v>2</v>
      </c>
      <c r="K33" s="31">
        <v>2</v>
      </c>
      <c r="M33" s="24">
        <v>2</v>
      </c>
    </row>
    <row r="34" spans="2:13" ht="12.75">
      <c r="B34" s="7" t="s">
        <v>194</v>
      </c>
      <c r="C34" s="7" t="s">
        <v>224</v>
      </c>
      <c r="D34" s="7" t="s">
        <v>21</v>
      </c>
      <c r="E34" s="7" t="s">
        <v>20</v>
      </c>
      <c r="G34" s="31">
        <v>1.8</v>
      </c>
      <c r="I34" s="32">
        <v>1.8</v>
      </c>
      <c r="K34" s="31">
        <v>1.7</v>
      </c>
      <c r="M34" s="24">
        <v>1.8</v>
      </c>
    </row>
    <row r="35" spans="2:11" ht="12.75">
      <c r="B35" s="7"/>
      <c r="C35" s="7"/>
      <c r="G35" s="31"/>
      <c r="I35" s="32"/>
      <c r="K35" s="31"/>
    </row>
    <row r="36" spans="2:11" ht="12.75">
      <c r="B36" s="7" t="s">
        <v>124</v>
      </c>
      <c r="C36" s="7" t="s">
        <v>72</v>
      </c>
      <c r="G36" s="31"/>
      <c r="I36" s="32"/>
      <c r="K36" s="31"/>
    </row>
    <row r="37" spans="2:13" ht="12.75">
      <c r="B37" s="7" t="s">
        <v>183</v>
      </c>
      <c r="C37" s="7"/>
      <c r="D37" s="7" t="s">
        <v>73</v>
      </c>
      <c r="G37" s="8">
        <v>500</v>
      </c>
      <c r="I37" s="8">
        <v>500</v>
      </c>
      <c r="J37" s="35"/>
      <c r="K37" s="8">
        <v>500</v>
      </c>
      <c r="L37" s="36"/>
      <c r="M37" s="37"/>
    </row>
    <row r="38" spans="2:13" ht="12.75">
      <c r="B38" s="7" t="s">
        <v>184</v>
      </c>
      <c r="C38" s="7" t="s">
        <v>224</v>
      </c>
      <c r="D38" s="7" t="s">
        <v>73</v>
      </c>
      <c r="G38" s="65">
        <v>0.000105</v>
      </c>
      <c r="H38" s="66"/>
      <c r="I38" s="65">
        <v>0.000134</v>
      </c>
      <c r="J38" s="66"/>
      <c r="K38" s="65">
        <v>0.000193</v>
      </c>
      <c r="L38" s="36"/>
      <c r="M38" s="37"/>
    </row>
    <row r="39" spans="2:11" ht="12.75">
      <c r="B39" s="7" t="s">
        <v>71</v>
      </c>
      <c r="C39" s="7" t="s">
        <v>224</v>
      </c>
      <c r="D39" s="7" t="s">
        <v>23</v>
      </c>
      <c r="G39" s="31">
        <v>99.99998</v>
      </c>
      <c r="I39" s="32">
        <v>99.99997</v>
      </c>
      <c r="K39" s="31">
        <v>99.99996</v>
      </c>
    </row>
    <row r="40" spans="2:11" ht="12.75">
      <c r="B40" s="7"/>
      <c r="C40" s="7"/>
      <c r="G40" s="31"/>
      <c r="I40" s="32"/>
      <c r="K40" s="31"/>
    </row>
    <row r="41" spans="2:11" ht="12.75">
      <c r="B41" s="7" t="s">
        <v>198</v>
      </c>
      <c r="C41" s="7" t="s">
        <v>71</v>
      </c>
      <c r="D41" s="7" t="s">
        <v>224</v>
      </c>
      <c r="G41" s="31"/>
      <c r="I41" s="32"/>
      <c r="K41" s="31"/>
    </row>
    <row r="42" spans="2:13" ht="12.75">
      <c r="B42" s="7" t="s">
        <v>165</v>
      </c>
      <c r="C42" s="7"/>
      <c r="D42" s="7" t="s">
        <v>22</v>
      </c>
      <c r="G42" s="31">
        <v>16030</v>
      </c>
      <c r="I42" s="32">
        <v>15972</v>
      </c>
      <c r="K42" s="31">
        <v>15789</v>
      </c>
      <c r="M42" s="24">
        <v>15930</v>
      </c>
    </row>
    <row r="43" spans="2:11" ht="12.75">
      <c r="B43" s="7" t="s">
        <v>185</v>
      </c>
      <c r="C43" s="7"/>
      <c r="D43" s="7" t="s">
        <v>23</v>
      </c>
      <c r="G43" s="31"/>
      <c r="I43" s="32"/>
      <c r="K43" s="31"/>
    </row>
    <row r="44" spans="2:11" ht="12.75">
      <c r="B44" s="7" t="s">
        <v>186</v>
      </c>
      <c r="C44" s="7"/>
      <c r="D44" s="7" t="s">
        <v>23</v>
      </c>
      <c r="G44" s="31"/>
      <c r="I44" s="32"/>
      <c r="K44" s="31"/>
    </row>
    <row r="45" spans="2:11" ht="12.75">
      <c r="B45" s="7" t="s">
        <v>164</v>
      </c>
      <c r="C45" s="7"/>
      <c r="D45" s="7" t="s">
        <v>24</v>
      </c>
      <c r="G45" s="31"/>
      <c r="I45" s="32"/>
      <c r="K45" s="31"/>
    </row>
    <row r="46" spans="2:11" ht="12.75">
      <c r="B46" s="7"/>
      <c r="C46" s="7"/>
      <c r="G46" s="31"/>
      <c r="I46" s="32"/>
      <c r="K46" s="31"/>
    </row>
    <row r="47" spans="2:11" ht="12.75">
      <c r="B47" s="7"/>
      <c r="C47" s="7"/>
      <c r="G47" s="31"/>
      <c r="I47" s="32"/>
      <c r="K47" s="31"/>
    </row>
    <row r="48" spans="2:11" ht="12.75">
      <c r="B48" s="7"/>
      <c r="C48" s="7"/>
      <c r="G48" s="31"/>
      <c r="I48" s="32"/>
      <c r="K48" s="31"/>
    </row>
    <row r="49" spans="1:13" ht="12.75">
      <c r="A49" s="24">
        <v>3</v>
      </c>
      <c r="B49" s="28" t="s">
        <v>91</v>
      </c>
      <c r="C49" s="28" t="s">
        <v>182</v>
      </c>
      <c r="G49" s="23" t="s">
        <v>220</v>
      </c>
      <c r="I49" s="27" t="s">
        <v>221</v>
      </c>
      <c r="K49" s="23" t="s">
        <v>222</v>
      </c>
      <c r="M49" s="24" t="s">
        <v>54</v>
      </c>
    </row>
    <row r="50" spans="2:11" ht="12.75">
      <c r="B50" s="7"/>
      <c r="C50" s="7"/>
      <c r="D50" s="18"/>
      <c r="E50" s="18"/>
      <c r="F50" s="29"/>
      <c r="G50" s="18"/>
      <c r="H50" s="29"/>
      <c r="I50" s="30"/>
      <c r="J50" s="29"/>
      <c r="K50" s="18"/>
    </row>
    <row r="51" spans="2:13" ht="12.75">
      <c r="B51" s="7" t="s">
        <v>195</v>
      </c>
      <c r="C51" s="7" t="s">
        <v>224</v>
      </c>
      <c r="D51" s="7" t="s">
        <v>21</v>
      </c>
      <c r="E51" s="7" t="s">
        <v>20</v>
      </c>
      <c r="G51" s="31">
        <v>39</v>
      </c>
      <c r="I51" s="32">
        <v>25</v>
      </c>
      <c r="K51" s="31">
        <v>36.9</v>
      </c>
      <c r="M51" s="33">
        <f>AVERAGE(G51,I51,K51)</f>
        <v>33.63333333333333</v>
      </c>
    </row>
    <row r="52" spans="2:13" ht="12.75">
      <c r="B52" s="7" t="s">
        <v>194</v>
      </c>
      <c r="C52" s="7" t="s">
        <v>224</v>
      </c>
      <c r="D52" s="7" t="s">
        <v>21</v>
      </c>
      <c r="E52" s="7" t="s">
        <v>20</v>
      </c>
      <c r="G52" s="31">
        <v>12.8</v>
      </c>
      <c r="I52" s="32">
        <v>7.2</v>
      </c>
      <c r="K52" s="31">
        <v>6.1</v>
      </c>
      <c r="M52" s="33">
        <f>AVERAGE(G52,I52,K52)</f>
        <v>8.700000000000001</v>
      </c>
    </row>
    <row r="53" spans="2:13" ht="12.75">
      <c r="B53" s="7" t="s">
        <v>166</v>
      </c>
      <c r="C53" s="7"/>
      <c r="D53" s="7" t="s">
        <v>163</v>
      </c>
      <c r="E53" s="7" t="s">
        <v>131</v>
      </c>
      <c r="F53" s="23" t="s">
        <v>34</v>
      </c>
      <c r="G53" s="31">
        <v>0.006</v>
      </c>
      <c r="H53" s="23" t="s">
        <v>34</v>
      </c>
      <c r="I53" s="32">
        <v>0.006</v>
      </c>
      <c r="J53" s="23" t="s">
        <v>34</v>
      </c>
      <c r="K53" s="31">
        <v>0.006</v>
      </c>
      <c r="M53" s="38"/>
    </row>
    <row r="54" spans="2:13" ht="12.75">
      <c r="B54" s="7" t="s">
        <v>167</v>
      </c>
      <c r="C54" s="7"/>
      <c r="D54" s="7" t="s">
        <v>163</v>
      </c>
      <c r="E54" s="7" t="s">
        <v>131</v>
      </c>
      <c r="F54" s="23" t="s">
        <v>34</v>
      </c>
      <c r="G54" s="24">
        <v>0.008</v>
      </c>
      <c r="H54" s="23" t="s">
        <v>34</v>
      </c>
      <c r="I54" s="32">
        <v>0.008</v>
      </c>
      <c r="J54" s="23" t="s">
        <v>34</v>
      </c>
      <c r="K54" s="31">
        <v>0.008</v>
      </c>
      <c r="M54" s="38"/>
    </row>
    <row r="55" spans="2:13" ht="12.75">
      <c r="B55" s="7" t="s">
        <v>168</v>
      </c>
      <c r="C55" s="7"/>
      <c r="D55" s="7" t="s">
        <v>163</v>
      </c>
      <c r="E55" s="7" t="s">
        <v>131</v>
      </c>
      <c r="G55" s="8">
        <v>0.0039</v>
      </c>
      <c r="I55" s="25">
        <v>0</v>
      </c>
      <c r="K55" s="24">
        <v>0.0039</v>
      </c>
      <c r="M55" s="38"/>
    </row>
    <row r="56" spans="2:13" ht="12.75">
      <c r="B56" s="7" t="s">
        <v>169</v>
      </c>
      <c r="C56" s="7"/>
      <c r="D56" s="7" t="s">
        <v>163</v>
      </c>
      <c r="E56" s="7" t="s">
        <v>131</v>
      </c>
      <c r="F56" s="23" t="s">
        <v>34</v>
      </c>
      <c r="G56" s="40">
        <v>0.002</v>
      </c>
      <c r="H56" s="23" t="s">
        <v>34</v>
      </c>
      <c r="I56" s="32">
        <v>0.002</v>
      </c>
      <c r="J56" s="23" t="s">
        <v>34</v>
      </c>
      <c r="K56" s="31">
        <v>0.002</v>
      </c>
      <c r="M56" s="38"/>
    </row>
    <row r="57" spans="2:13" ht="12.75">
      <c r="B57" s="7" t="s">
        <v>170</v>
      </c>
      <c r="C57" s="7"/>
      <c r="D57" s="7" t="s">
        <v>163</v>
      </c>
      <c r="E57" s="7" t="s">
        <v>131</v>
      </c>
      <c r="F57" s="23" t="s">
        <v>34</v>
      </c>
      <c r="G57" s="40">
        <v>0.003</v>
      </c>
      <c r="H57" s="23" t="s">
        <v>34</v>
      </c>
      <c r="I57" s="32">
        <v>0.003</v>
      </c>
      <c r="J57" s="35" t="s">
        <v>34</v>
      </c>
      <c r="K57" s="31">
        <v>0.003</v>
      </c>
      <c r="L57" s="36"/>
      <c r="M57" s="38"/>
    </row>
    <row r="58" spans="2:13" ht="12.75">
      <c r="B58" s="7" t="s">
        <v>196</v>
      </c>
      <c r="C58" s="7"/>
      <c r="D58" s="7" t="s">
        <v>163</v>
      </c>
      <c r="E58" s="7" t="s">
        <v>131</v>
      </c>
      <c r="G58" s="6">
        <v>0.13</v>
      </c>
      <c r="I58" s="32">
        <v>0.034</v>
      </c>
      <c r="K58" s="31">
        <v>0.079</v>
      </c>
      <c r="M58" s="38"/>
    </row>
    <row r="59" spans="2:13" ht="12.75">
      <c r="B59" s="7" t="s">
        <v>189</v>
      </c>
      <c r="C59" s="7"/>
      <c r="D59" s="7" t="s">
        <v>163</v>
      </c>
      <c r="E59" s="7" t="s">
        <v>131</v>
      </c>
      <c r="G59" s="8">
        <v>0</v>
      </c>
      <c r="I59" s="32">
        <v>0.033</v>
      </c>
      <c r="K59" s="31">
        <v>0.011</v>
      </c>
      <c r="M59" s="38"/>
    </row>
    <row r="60" spans="2:13" ht="12.75">
      <c r="B60" s="7" t="s">
        <v>190</v>
      </c>
      <c r="C60" s="7"/>
      <c r="D60" s="7" t="s">
        <v>163</v>
      </c>
      <c r="E60" s="7" t="s">
        <v>131</v>
      </c>
      <c r="G60" s="6">
        <v>0.22</v>
      </c>
      <c r="I60" s="32">
        <v>1.8</v>
      </c>
      <c r="K60" s="31">
        <v>1.7</v>
      </c>
      <c r="M60" s="34"/>
    </row>
    <row r="61" spans="2:13" ht="12.75">
      <c r="B61" s="7" t="s">
        <v>171</v>
      </c>
      <c r="C61" s="7"/>
      <c r="D61" s="7" t="s">
        <v>163</v>
      </c>
      <c r="E61" s="7" t="s">
        <v>131</v>
      </c>
      <c r="F61" s="23" t="s">
        <v>34</v>
      </c>
      <c r="G61" s="6">
        <v>0.01</v>
      </c>
      <c r="H61" s="23" t="s">
        <v>34</v>
      </c>
      <c r="I61" s="32">
        <v>0.01</v>
      </c>
      <c r="J61" s="23" t="s">
        <v>34</v>
      </c>
      <c r="K61" s="31">
        <v>0.01</v>
      </c>
      <c r="M61" s="34"/>
    </row>
    <row r="62" spans="2:13" ht="12.75">
      <c r="B62" s="7" t="s">
        <v>191</v>
      </c>
      <c r="C62" s="7"/>
      <c r="D62" s="7" t="s">
        <v>163</v>
      </c>
      <c r="E62" s="7" t="s">
        <v>131</v>
      </c>
      <c r="G62" s="8">
        <v>0</v>
      </c>
      <c r="I62" s="32">
        <v>0.053</v>
      </c>
      <c r="K62" s="31">
        <v>0.041</v>
      </c>
      <c r="M62" s="38"/>
    </row>
    <row r="63" spans="2:13" ht="12.75">
      <c r="B63" s="7" t="s">
        <v>172</v>
      </c>
      <c r="C63" s="7"/>
      <c r="D63" s="7" t="s">
        <v>163</v>
      </c>
      <c r="E63" s="7" t="s">
        <v>131</v>
      </c>
      <c r="G63" s="39">
        <v>0.0054</v>
      </c>
      <c r="I63" s="32">
        <v>0.0063</v>
      </c>
      <c r="K63" s="31">
        <v>0.003</v>
      </c>
      <c r="M63" s="38"/>
    </row>
    <row r="64" spans="2:13" ht="12.75">
      <c r="B64" s="7" t="s">
        <v>192</v>
      </c>
      <c r="C64" s="7"/>
      <c r="D64" s="7" t="s">
        <v>163</v>
      </c>
      <c r="E64" s="7" t="s">
        <v>131</v>
      </c>
      <c r="G64" s="31">
        <v>0.0038</v>
      </c>
      <c r="I64" s="32">
        <v>0</v>
      </c>
      <c r="J64" s="35"/>
      <c r="K64" s="31">
        <v>0</v>
      </c>
      <c r="L64" s="36"/>
      <c r="M64" s="38"/>
    </row>
    <row r="65" spans="2:13" ht="12.75">
      <c r="B65" s="7" t="s">
        <v>173</v>
      </c>
      <c r="C65" s="7"/>
      <c r="D65" s="7" t="s">
        <v>163</v>
      </c>
      <c r="E65" s="7" t="s">
        <v>131</v>
      </c>
      <c r="G65" s="8">
        <v>0</v>
      </c>
      <c r="I65" s="32">
        <v>0.42</v>
      </c>
      <c r="K65" s="31">
        <v>0.36</v>
      </c>
      <c r="M65" s="38"/>
    </row>
    <row r="66" spans="2:13" ht="12.75">
      <c r="B66" s="7" t="s">
        <v>174</v>
      </c>
      <c r="C66" s="7"/>
      <c r="D66" s="7" t="s">
        <v>163</v>
      </c>
      <c r="E66" s="7" t="s">
        <v>131</v>
      </c>
      <c r="F66" s="23" t="s">
        <v>34</v>
      </c>
      <c r="G66" s="31">
        <v>0.006</v>
      </c>
      <c r="H66" s="23" t="s">
        <v>34</v>
      </c>
      <c r="I66" s="32">
        <v>0.006</v>
      </c>
      <c r="J66" s="23" t="s">
        <v>34</v>
      </c>
      <c r="K66" s="31">
        <v>0.006</v>
      </c>
      <c r="M66" s="38"/>
    </row>
    <row r="67" spans="2:13" ht="12.75">
      <c r="B67" s="7" t="s">
        <v>175</v>
      </c>
      <c r="C67" s="7"/>
      <c r="D67" s="7" t="s">
        <v>163</v>
      </c>
      <c r="E67" s="7" t="s">
        <v>131</v>
      </c>
      <c r="F67" s="23" t="s">
        <v>34</v>
      </c>
      <c r="G67" s="40">
        <v>0.004</v>
      </c>
      <c r="H67" s="23" t="s">
        <v>34</v>
      </c>
      <c r="I67" s="32">
        <v>0.004</v>
      </c>
      <c r="J67" s="23" t="s">
        <v>34</v>
      </c>
      <c r="K67" s="31">
        <v>0.004</v>
      </c>
      <c r="M67" s="38"/>
    </row>
    <row r="68" spans="2:13" ht="12.75">
      <c r="B68" s="7" t="s">
        <v>176</v>
      </c>
      <c r="C68" s="7"/>
      <c r="D68" s="7" t="s">
        <v>163</v>
      </c>
      <c r="E68" s="7" t="s">
        <v>131</v>
      </c>
      <c r="F68" s="23" t="s">
        <v>34</v>
      </c>
      <c r="G68" s="24">
        <v>0.01</v>
      </c>
      <c r="H68" s="23" t="s">
        <v>34</v>
      </c>
      <c r="I68" s="25">
        <v>0.01</v>
      </c>
      <c r="J68" s="23" t="s">
        <v>34</v>
      </c>
      <c r="K68" s="24">
        <v>0.01</v>
      </c>
      <c r="M68" s="34"/>
    </row>
    <row r="69" spans="2:13" ht="12.75">
      <c r="B69" s="7" t="s">
        <v>193</v>
      </c>
      <c r="C69" s="7"/>
      <c r="D69" s="7" t="s">
        <v>163</v>
      </c>
      <c r="E69" s="7" t="s">
        <v>131</v>
      </c>
      <c r="F69" s="23" t="s">
        <v>34</v>
      </c>
      <c r="G69" s="6">
        <v>0.01</v>
      </c>
      <c r="H69" s="23" t="s">
        <v>34</v>
      </c>
      <c r="I69" s="32">
        <v>0.01</v>
      </c>
      <c r="J69" s="23" t="s">
        <v>34</v>
      </c>
      <c r="K69" s="31">
        <v>0.01</v>
      </c>
      <c r="M69" s="34"/>
    </row>
    <row r="70" spans="2:13" ht="12.75">
      <c r="B70" s="7"/>
      <c r="C70" s="7"/>
      <c r="G70" s="6"/>
      <c r="I70" s="32"/>
      <c r="K70" s="31"/>
      <c r="M70" s="34"/>
    </row>
    <row r="71" spans="2:13" ht="12.75">
      <c r="B71" s="7" t="s">
        <v>166</v>
      </c>
      <c r="C71" s="7" t="s">
        <v>224</v>
      </c>
      <c r="D71" s="7" t="s">
        <v>100</v>
      </c>
      <c r="E71" s="7" t="s">
        <v>20</v>
      </c>
      <c r="F71" s="23" t="s">
        <v>34</v>
      </c>
      <c r="G71" s="6">
        <f>(G53*(14/(21-G$21)))/0.0283</f>
        <v>0.21665677955172682</v>
      </c>
      <c r="H71" s="23" t="s">
        <v>34</v>
      </c>
      <c r="I71" s="6">
        <f>(I53*(14/(21-I$21)))/0.0283</f>
        <v>0.21508680288830848</v>
      </c>
      <c r="J71" s="23" t="s">
        <v>34</v>
      </c>
      <c r="K71" s="6">
        <f>(K53*(14/(21-K$21)))/0.0283</f>
        <v>0.21824984410725423</v>
      </c>
      <c r="L71" s="26">
        <v>100</v>
      </c>
      <c r="M71" s="6">
        <f>AVERAGE(G71,I71,K71)</f>
        <v>0.21666447551576318</v>
      </c>
    </row>
    <row r="72" spans="2:13" ht="12.75">
      <c r="B72" s="7" t="s">
        <v>167</v>
      </c>
      <c r="C72" s="7" t="s">
        <v>224</v>
      </c>
      <c r="D72" s="7" t="s">
        <v>100</v>
      </c>
      <c r="E72" s="7" t="s">
        <v>20</v>
      </c>
      <c r="F72" s="23" t="s">
        <v>34</v>
      </c>
      <c r="G72" s="6">
        <f aca="true" t="shared" si="0" ref="G72:G87">(G54*(14/(21-G$21)))/0.0283</f>
        <v>0.2888757060689691</v>
      </c>
      <c r="H72" s="23" t="s">
        <v>34</v>
      </c>
      <c r="I72" s="6">
        <f aca="true" t="shared" si="1" ref="I72:I87">(I54*(14/(21-I$21)))/0.0283</f>
        <v>0.28678240385107795</v>
      </c>
      <c r="J72" s="23" t="s">
        <v>34</v>
      </c>
      <c r="K72" s="6">
        <f aca="true" t="shared" si="2" ref="K72:K87">(K54*(14/(21-K$21)))/0.0283</f>
        <v>0.29099979214300564</v>
      </c>
      <c r="L72" s="26">
        <v>100</v>
      </c>
      <c r="M72" s="6">
        <f aca="true" t="shared" si="3" ref="M72:M89">AVERAGE(G72,I72,K72)</f>
        <v>0.2888859673543509</v>
      </c>
    </row>
    <row r="73" spans="2:13" ht="12.75">
      <c r="B73" s="7" t="s">
        <v>168</v>
      </c>
      <c r="C73" s="7" t="s">
        <v>224</v>
      </c>
      <c r="D73" s="7" t="s">
        <v>100</v>
      </c>
      <c r="E73" s="7" t="s">
        <v>20</v>
      </c>
      <c r="G73" s="6">
        <f t="shared" si="0"/>
        <v>0.14082690670862244</v>
      </c>
      <c r="I73" s="6">
        <f t="shared" si="1"/>
        <v>0</v>
      </c>
      <c r="K73" s="6">
        <f t="shared" si="2"/>
        <v>0.14186239866971523</v>
      </c>
      <c r="M73" s="6">
        <f t="shared" si="3"/>
        <v>0.0942297684594459</v>
      </c>
    </row>
    <row r="74" spans="2:13" ht="12.75">
      <c r="B74" s="7" t="s">
        <v>169</v>
      </c>
      <c r="C74" s="7" t="s">
        <v>224</v>
      </c>
      <c r="D74" s="7" t="s">
        <v>100</v>
      </c>
      <c r="E74" s="7" t="s">
        <v>20</v>
      </c>
      <c r="F74" s="23" t="s">
        <v>34</v>
      </c>
      <c r="G74" s="6">
        <f t="shared" si="0"/>
        <v>0.07221892651724228</v>
      </c>
      <c r="H74" s="23" t="s">
        <v>34</v>
      </c>
      <c r="I74" s="6">
        <f t="shared" si="1"/>
        <v>0.07169560096276949</v>
      </c>
      <c r="J74" s="23" t="s">
        <v>34</v>
      </c>
      <c r="K74" s="6">
        <f t="shared" si="2"/>
        <v>0.07274994803575141</v>
      </c>
      <c r="L74" s="26">
        <v>100</v>
      </c>
      <c r="M74" s="6">
        <f t="shared" si="3"/>
        <v>0.07222149183858773</v>
      </c>
    </row>
    <row r="75" spans="2:13" ht="12.75">
      <c r="B75" s="7" t="s">
        <v>170</v>
      </c>
      <c r="C75" s="7" t="s">
        <v>224</v>
      </c>
      <c r="D75" s="7" t="s">
        <v>100</v>
      </c>
      <c r="E75" s="7" t="s">
        <v>20</v>
      </c>
      <c r="F75" s="23" t="s">
        <v>34</v>
      </c>
      <c r="G75" s="6">
        <f t="shared" si="0"/>
        <v>0.10832838977586341</v>
      </c>
      <c r="H75" s="23" t="s">
        <v>34</v>
      </c>
      <c r="I75" s="6">
        <f t="shared" si="1"/>
        <v>0.10754340144415424</v>
      </c>
      <c r="J75" s="35" t="s">
        <v>34</v>
      </c>
      <c r="K75" s="6">
        <f t="shared" si="2"/>
        <v>0.10912492205362712</v>
      </c>
      <c r="L75" s="36">
        <v>100</v>
      </c>
      <c r="M75" s="6">
        <f t="shared" si="3"/>
        <v>0.10833223775788159</v>
      </c>
    </row>
    <row r="76" spans="2:13" ht="12.75">
      <c r="B76" s="7" t="s">
        <v>196</v>
      </c>
      <c r="C76" s="7" t="s">
        <v>224</v>
      </c>
      <c r="D76" s="7" t="s">
        <v>100</v>
      </c>
      <c r="E76" s="7" t="s">
        <v>20</v>
      </c>
      <c r="G76" s="6">
        <f t="shared" si="0"/>
        <v>4.694230223620749</v>
      </c>
      <c r="I76" s="6">
        <f t="shared" si="1"/>
        <v>1.2188252163670814</v>
      </c>
      <c r="K76" s="6">
        <f t="shared" si="2"/>
        <v>2.873622947412181</v>
      </c>
      <c r="M76" s="6">
        <f t="shared" si="3"/>
        <v>2.9288927958000035</v>
      </c>
    </row>
    <row r="77" spans="2:13" ht="12.75">
      <c r="B77" s="7" t="s">
        <v>189</v>
      </c>
      <c r="C77" s="7" t="s">
        <v>224</v>
      </c>
      <c r="D77" s="7" t="s">
        <v>100</v>
      </c>
      <c r="E77" s="7" t="s">
        <v>20</v>
      </c>
      <c r="G77" s="8">
        <f t="shared" si="0"/>
        <v>0</v>
      </c>
      <c r="I77" s="6">
        <f t="shared" si="1"/>
        <v>1.1829774158856967</v>
      </c>
      <c r="K77" s="6">
        <f t="shared" si="2"/>
        <v>0.40012471419663276</v>
      </c>
      <c r="M77" s="6">
        <f t="shared" si="3"/>
        <v>0.5277007100274432</v>
      </c>
    </row>
    <row r="78" spans="2:13" ht="12.75">
      <c r="B78" s="7" t="s">
        <v>190</v>
      </c>
      <c r="C78" s="7" t="s">
        <v>224</v>
      </c>
      <c r="D78" s="7" t="s">
        <v>100</v>
      </c>
      <c r="E78" s="7" t="s">
        <v>20</v>
      </c>
      <c r="G78" s="6">
        <f t="shared" si="0"/>
        <v>7.944081916896651</v>
      </c>
      <c r="I78" s="6">
        <f t="shared" si="1"/>
        <v>64.52604086649254</v>
      </c>
      <c r="K78" s="6">
        <f t="shared" si="2"/>
        <v>61.837455830388706</v>
      </c>
      <c r="M78" s="6">
        <f t="shared" si="3"/>
        <v>44.76919287125929</v>
      </c>
    </row>
    <row r="79" spans="2:13" ht="12.75">
      <c r="B79" s="7" t="s">
        <v>171</v>
      </c>
      <c r="C79" s="7" t="s">
        <v>224</v>
      </c>
      <c r="D79" s="7" t="s">
        <v>100</v>
      </c>
      <c r="E79" s="7" t="s">
        <v>20</v>
      </c>
      <c r="F79" s="23" t="s">
        <v>34</v>
      </c>
      <c r="G79" s="6">
        <f t="shared" si="0"/>
        <v>0.36109463258621144</v>
      </c>
      <c r="H79" s="23" t="s">
        <v>34</v>
      </c>
      <c r="I79" s="6">
        <f t="shared" si="1"/>
        <v>0.3584780048138475</v>
      </c>
      <c r="J79" s="23" t="s">
        <v>34</v>
      </c>
      <c r="K79" s="6">
        <f t="shared" si="2"/>
        <v>0.3637497401787571</v>
      </c>
      <c r="L79" s="26">
        <v>100</v>
      </c>
      <c r="M79" s="6">
        <f t="shared" si="3"/>
        <v>0.3611074591929387</v>
      </c>
    </row>
    <row r="80" spans="2:13" ht="12.75">
      <c r="B80" s="7" t="s">
        <v>191</v>
      </c>
      <c r="C80" s="7" t="s">
        <v>224</v>
      </c>
      <c r="D80" s="7" t="s">
        <v>100</v>
      </c>
      <c r="E80" s="7" t="s">
        <v>20</v>
      </c>
      <c r="G80" s="8">
        <f t="shared" si="0"/>
        <v>0</v>
      </c>
      <c r="I80" s="6">
        <f t="shared" si="1"/>
        <v>1.8999334255133913</v>
      </c>
      <c r="K80" s="6">
        <f t="shared" si="2"/>
        <v>1.491373934732904</v>
      </c>
      <c r="M80" s="6">
        <f t="shared" si="3"/>
        <v>1.130435786748765</v>
      </c>
    </row>
    <row r="81" spans="2:13" ht="12.75">
      <c r="B81" s="7" t="s">
        <v>172</v>
      </c>
      <c r="C81" s="7" t="s">
        <v>224</v>
      </c>
      <c r="D81" s="7" t="s">
        <v>100</v>
      </c>
      <c r="E81" s="7" t="s">
        <v>20</v>
      </c>
      <c r="G81" s="6">
        <f t="shared" si="0"/>
        <v>0.19499110159655414</v>
      </c>
      <c r="I81" s="6">
        <f t="shared" si="1"/>
        <v>0.2258411430327239</v>
      </c>
      <c r="K81" s="6">
        <f t="shared" si="2"/>
        <v>0.10912492205362712</v>
      </c>
      <c r="M81" s="6">
        <f t="shared" si="3"/>
        <v>0.1766523888943017</v>
      </c>
    </row>
    <row r="82" spans="2:13" ht="12.75">
      <c r="B82" s="7" t="s">
        <v>192</v>
      </c>
      <c r="C82" s="7" t="s">
        <v>224</v>
      </c>
      <c r="D82" s="7" t="s">
        <v>100</v>
      </c>
      <c r="E82" s="7" t="s">
        <v>20</v>
      </c>
      <c r="G82" s="6">
        <f t="shared" si="0"/>
        <v>0.13721596038276032</v>
      </c>
      <c r="I82" s="6">
        <f t="shared" si="1"/>
        <v>0</v>
      </c>
      <c r="J82" s="35"/>
      <c r="K82" s="6">
        <f t="shared" si="2"/>
        <v>0</v>
      </c>
      <c r="L82" s="36"/>
      <c r="M82" s="6">
        <f t="shared" si="3"/>
        <v>0.045738653460920105</v>
      </c>
    </row>
    <row r="83" spans="2:13" ht="12.75">
      <c r="B83" s="7" t="s">
        <v>173</v>
      </c>
      <c r="C83" s="7" t="s">
        <v>224</v>
      </c>
      <c r="D83" s="7" t="s">
        <v>100</v>
      </c>
      <c r="E83" s="7" t="s">
        <v>20</v>
      </c>
      <c r="G83" s="6">
        <f t="shared" si="0"/>
        <v>0</v>
      </c>
      <c r="I83" s="6">
        <f t="shared" si="1"/>
        <v>15.056076202181593</v>
      </c>
      <c r="K83" s="6">
        <f t="shared" si="2"/>
        <v>13.094990646435253</v>
      </c>
      <c r="M83" s="6">
        <f t="shared" si="3"/>
        <v>9.383688949538948</v>
      </c>
    </row>
    <row r="84" spans="2:13" ht="12.75">
      <c r="B84" s="7" t="s">
        <v>174</v>
      </c>
      <c r="C84" s="7" t="s">
        <v>224</v>
      </c>
      <c r="D84" s="7" t="s">
        <v>100</v>
      </c>
      <c r="E84" s="7" t="s">
        <v>20</v>
      </c>
      <c r="F84" s="23" t="s">
        <v>34</v>
      </c>
      <c r="G84" s="6">
        <f t="shared" si="0"/>
        <v>0.21665677955172682</v>
      </c>
      <c r="H84" s="23" t="s">
        <v>34</v>
      </c>
      <c r="I84" s="6">
        <f t="shared" si="1"/>
        <v>0.21508680288830848</v>
      </c>
      <c r="J84" s="23" t="s">
        <v>34</v>
      </c>
      <c r="K84" s="6">
        <f t="shared" si="2"/>
        <v>0.21824984410725423</v>
      </c>
      <c r="L84" s="26">
        <v>100</v>
      </c>
      <c r="M84" s="6">
        <f t="shared" si="3"/>
        <v>0.21666447551576318</v>
      </c>
    </row>
    <row r="85" spans="2:13" ht="12.75">
      <c r="B85" s="7" t="s">
        <v>175</v>
      </c>
      <c r="C85" s="7" t="s">
        <v>224</v>
      </c>
      <c r="D85" s="7" t="s">
        <v>100</v>
      </c>
      <c r="E85" s="7" t="s">
        <v>20</v>
      </c>
      <c r="F85" s="23" t="s">
        <v>34</v>
      </c>
      <c r="G85" s="6">
        <f t="shared" si="0"/>
        <v>0.14443785303448456</v>
      </c>
      <c r="H85" s="23" t="s">
        <v>34</v>
      </c>
      <c r="I85" s="6">
        <f t="shared" si="1"/>
        <v>0.14339120192553897</v>
      </c>
      <c r="J85" s="23" t="s">
        <v>34</v>
      </c>
      <c r="K85" s="6">
        <f t="shared" si="2"/>
        <v>0.14549989607150282</v>
      </c>
      <c r="L85" s="26">
        <v>100</v>
      </c>
      <c r="M85" s="6">
        <f t="shared" si="3"/>
        <v>0.14444298367717545</v>
      </c>
    </row>
    <row r="86" spans="2:13" ht="12.75">
      <c r="B86" s="7" t="s">
        <v>176</v>
      </c>
      <c r="C86" s="7" t="s">
        <v>224</v>
      </c>
      <c r="D86" s="7" t="s">
        <v>100</v>
      </c>
      <c r="E86" s="7" t="s">
        <v>20</v>
      </c>
      <c r="F86" s="23" t="s">
        <v>34</v>
      </c>
      <c r="G86" s="6">
        <f t="shared" si="0"/>
        <v>0.36109463258621144</v>
      </c>
      <c r="H86" s="23" t="s">
        <v>34</v>
      </c>
      <c r="I86" s="6">
        <f t="shared" si="1"/>
        <v>0.3584780048138475</v>
      </c>
      <c r="J86" s="23" t="s">
        <v>34</v>
      </c>
      <c r="K86" s="6">
        <f t="shared" si="2"/>
        <v>0.3637497401787571</v>
      </c>
      <c r="L86" s="26">
        <v>100</v>
      </c>
      <c r="M86" s="6">
        <f t="shared" si="3"/>
        <v>0.3611074591929387</v>
      </c>
    </row>
    <row r="87" spans="2:13" ht="12.75">
      <c r="B87" s="7" t="s">
        <v>193</v>
      </c>
      <c r="C87" s="7" t="s">
        <v>224</v>
      </c>
      <c r="D87" s="7" t="s">
        <v>100</v>
      </c>
      <c r="E87" s="7" t="s">
        <v>20</v>
      </c>
      <c r="F87" s="23" t="s">
        <v>34</v>
      </c>
      <c r="G87" s="6">
        <f t="shared" si="0"/>
        <v>0.36109463258621144</v>
      </c>
      <c r="H87" s="23" t="s">
        <v>34</v>
      </c>
      <c r="I87" s="6">
        <f t="shared" si="1"/>
        <v>0.3584780048138475</v>
      </c>
      <c r="J87" s="23" t="s">
        <v>34</v>
      </c>
      <c r="K87" s="6">
        <f t="shared" si="2"/>
        <v>0.3637497401787571</v>
      </c>
      <c r="L87" s="26">
        <v>100</v>
      </c>
      <c r="M87" s="6">
        <f t="shared" si="3"/>
        <v>0.3611074591929387</v>
      </c>
    </row>
    <row r="88" spans="2:13" ht="12.75">
      <c r="B88" s="7" t="s">
        <v>98</v>
      </c>
      <c r="C88" s="7" t="s">
        <v>224</v>
      </c>
      <c r="D88" s="7" t="s">
        <v>100</v>
      </c>
      <c r="E88" s="7" t="s">
        <v>20</v>
      </c>
      <c r="F88" s="23">
        <v>100</v>
      </c>
      <c r="G88" s="6">
        <f>(G75+G79)</f>
        <v>0.46942302236207484</v>
      </c>
      <c r="H88" s="35">
        <v>100</v>
      </c>
      <c r="I88" s="6">
        <f>(I75+I79)</f>
        <v>0.46602140625800176</v>
      </c>
      <c r="J88" s="35">
        <v>100</v>
      </c>
      <c r="K88" s="6">
        <f>(K75+K79)</f>
        <v>0.4728746622323842</v>
      </c>
      <c r="L88" s="8">
        <v>100</v>
      </c>
      <c r="M88" s="6">
        <f t="shared" si="3"/>
        <v>0.4694396969508203</v>
      </c>
    </row>
    <row r="89" spans="2:13" ht="12.75">
      <c r="B89" s="7" t="s">
        <v>99</v>
      </c>
      <c r="C89" s="7" t="s">
        <v>224</v>
      </c>
      <c r="D89" s="7" t="s">
        <v>100</v>
      </c>
      <c r="E89" s="7" t="s">
        <v>20</v>
      </c>
      <c r="F89" s="23">
        <f>(G72+G74)/G89*100</f>
        <v>7.1428571428571415</v>
      </c>
      <c r="G89" s="6">
        <f>(G72+G74+G76)</f>
        <v>5.05532485620696</v>
      </c>
      <c r="H89" s="23">
        <f>(I72+I74)/I89*100</f>
        <v>22.727272727272727</v>
      </c>
      <c r="I89" s="6">
        <f>(I72+I74+I76)</f>
        <v>1.5773032211809288</v>
      </c>
      <c r="J89" s="23">
        <f>(K72+K74)/K89*100</f>
        <v>11.235955056179776</v>
      </c>
      <c r="K89" s="6">
        <f>(K72+K74+K76)</f>
        <v>3.2373726875909377</v>
      </c>
      <c r="L89" s="23">
        <f>(M72+M74)/M89*100</f>
        <v>10.975909763074268</v>
      </c>
      <c r="M89" s="6">
        <f t="shared" si="3"/>
        <v>3.290000254992942</v>
      </c>
    </row>
    <row r="90" spans="2:13" ht="12.75">
      <c r="B90" s="7"/>
      <c r="C90" s="7"/>
      <c r="G90" s="6"/>
      <c r="I90" s="32"/>
      <c r="K90" s="31"/>
      <c r="M90" s="34"/>
    </row>
    <row r="91" spans="2:11" ht="12.75">
      <c r="B91" s="7" t="s">
        <v>198</v>
      </c>
      <c r="C91" s="7" t="s">
        <v>225</v>
      </c>
      <c r="D91" s="7" t="s">
        <v>224</v>
      </c>
      <c r="G91" s="26"/>
      <c r="I91" s="41"/>
      <c r="K91" s="26"/>
    </row>
    <row r="92" spans="2:13" ht="12.75">
      <c r="B92" s="7" t="s">
        <v>165</v>
      </c>
      <c r="C92" s="7"/>
      <c r="D92" s="7" t="s">
        <v>22</v>
      </c>
      <c r="G92" s="26">
        <v>15289</v>
      </c>
      <c r="I92" s="41">
        <v>15460</v>
      </c>
      <c r="K92" s="26">
        <v>14847</v>
      </c>
      <c r="M92" s="33">
        <f>AVERAGE(G92,I92,K92)</f>
        <v>15198.666666666666</v>
      </c>
    </row>
    <row r="93" spans="2:13" ht="12.75">
      <c r="B93" s="7" t="s">
        <v>185</v>
      </c>
      <c r="C93" s="7"/>
      <c r="D93" s="7" t="s">
        <v>23</v>
      </c>
      <c r="G93" s="26"/>
      <c r="I93" s="41"/>
      <c r="K93" s="26"/>
      <c r="M93" s="33"/>
    </row>
    <row r="94" spans="2:13" ht="12.75">
      <c r="B94" s="7" t="s">
        <v>186</v>
      </c>
      <c r="C94" s="7"/>
      <c r="D94" s="7" t="s">
        <v>23</v>
      </c>
      <c r="G94" s="31"/>
      <c r="I94" s="32"/>
      <c r="K94" s="31"/>
      <c r="M94" s="33"/>
    </row>
    <row r="95" spans="2:13" ht="12.75">
      <c r="B95" s="7" t="s">
        <v>164</v>
      </c>
      <c r="C95" s="7"/>
      <c r="D95" s="7" t="s">
        <v>24</v>
      </c>
      <c r="G95" s="31"/>
      <c r="I95" s="32"/>
      <c r="K95" s="31"/>
      <c r="M95" s="33"/>
    </row>
    <row r="96" spans="2:13" ht="12.75">
      <c r="B96" s="7"/>
      <c r="C96" s="7"/>
      <c r="G96" s="31"/>
      <c r="I96" s="32"/>
      <c r="K96" s="31"/>
      <c r="M96" s="33"/>
    </row>
    <row r="97" spans="2:13" ht="12.75">
      <c r="B97" s="7" t="s">
        <v>198</v>
      </c>
      <c r="C97" s="7" t="s">
        <v>117</v>
      </c>
      <c r="D97" s="7" t="s">
        <v>223</v>
      </c>
      <c r="G97" s="31"/>
      <c r="I97" s="32"/>
      <c r="K97" s="31"/>
      <c r="M97" s="33"/>
    </row>
    <row r="98" spans="2:13" ht="12.75">
      <c r="B98" s="7" t="s">
        <v>165</v>
      </c>
      <c r="C98" s="7"/>
      <c r="D98" s="7" t="s">
        <v>22</v>
      </c>
      <c r="G98" s="31">
        <v>15976</v>
      </c>
      <c r="I98" s="32">
        <v>15013</v>
      </c>
      <c r="K98" s="31">
        <v>14811</v>
      </c>
      <c r="M98" s="33">
        <f>AVERAGE(G98,I98,K98)</f>
        <v>15266.666666666666</v>
      </c>
    </row>
    <row r="99" spans="2:13" ht="12.75">
      <c r="B99" s="7" t="s">
        <v>185</v>
      </c>
      <c r="C99" s="7"/>
      <c r="D99" s="7" t="s">
        <v>23</v>
      </c>
      <c r="G99" s="31"/>
      <c r="I99" s="32"/>
      <c r="K99" s="31"/>
      <c r="M99" s="33"/>
    </row>
    <row r="100" spans="2:13" ht="12.75">
      <c r="B100" s="7" t="s">
        <v>186</v>
      </c>
      <c r="C100" s="7"/>
      <c r="D100" s="7" t="s">
        <v>23</v>
      </c>
      <c r="G100" s="31"/>
      <c r="I100" s="32"/>
      <c r="J100" s="35"/>
      <c r="K100" s="31"/>
      <c r="M100" s="33"/>
    </row>
    <row r="101" spans="2:13" ht="12.75">
      <c r="B101" s="7" t="s">
        <v>229</v>
      </c>
      <c r="C101" s="7"/>
      <c r="D101" s="7" t="s">
        <v>24</v>
      </c>
      <c r="G101" s="31">
        <v>100</v>
      </c>
      <c r="I101" s="32">
        <v>98</v>
      </c>
      <c r="K101" s="31">
        <v>101</v>
      </c>
      <c r="M101" s="33">
        <f>AVERAGE(G101,I101,K101)</f>
        <v>99.66666666666667</v>
      </c>
    </row>
    <row r="102" spans="2:11" ht="12.75">
      <c r="B102" s="7"/>
      <c r="C102" s="7"/>
      <c r="G102" s="31"/>
      <c r="I102" s="32"/>
      <c r="K102" s="31"/>
    </row>
    <row r="103" spans="2:21" s="43" customFormat="1" ht="12.75">
      <c r="B103" s="42" t="s">
        <v>140</v>
      </c>
      <c r="C103" s="42" t="s">
        <v>187</v>
      </c>
      <c r="D103" s="13"/>
      <c r="F103" s="44"/>
      <c r="H103" s="45"/>
      <c r="K103"/>
      <c r="L103"/>
      <c r="M103"/>
      <c r="N103"/>
      <c r="O103"/>
      <c r="P103"/>
      <c r="Q103"/>
      <c r="R103"/>
      <c r="S103"/>
      <c r="T103"/>
      <c r="U103"/>
    </row>
    <row r="104" spans="2:21" s="43" customFormat="1" ht="12.75">
      <c r="B104" s="13" t="s">
        <v>141</v>
      </c>
      <c r="C104" s="13"/>
      <c r="D104" s="13" t="s">
        <v>154</v>
      </c>
      <c r="G104" s="44">
        <v>0.2</v>
      </c>
      <c r="H104" s="45"/>
      <c r="K104"/>
      <c r="L104"/>
      <c r="M104"/>
      <c r="N104"/>
      <c r="O104"/>
      <c r="P104"/>
      <c r="Q104"/>
      <c r="R104"/>
      <c r="S104"/>
      <c r="T104"/>
      <c r="U104"/>
    </row>
    <row r="105" spans="2:21" s="43" customFormat="1" ht="12.75">
      <c r="B105" s="13" t="s">
        <v>142</v>
      </c>
      <c r="C105" s="13"/>
      <c r="D105" s="13" t="s">
        <v>154</v>
      </c>
      <c r="G105" s="44">
        <v>0.5</v>
      </c>
      <c r="H105" s="45"/>
      <c r="K105"/>
      <c r="L105"/>
      <c r="M105"/>
      <c r="N105"/>
      <c r="O105"/>
      <c r="P105"/>
      <c r="Q105"/>
      <c r="R105"/>
      <c r="S105"/>
      <c r="T105"/>
      <c r="U105"/>
    </row>
    <row r="106" spans="2:21" s="43" customFormat="1" ht="12.75">
      <c r="B106" s="13" t="s">
        <v>143</v>
      </c>
      <c r="C106" s="13"/>
      <c r="D106" s="13" t="s">
        <v>154</v>
      </c>
      <c r="G106" s="44">
        <v>0.9</v>
      </c>
      <c r="H106" s="45"/>
      <c r="K106"/>
      <c r="L106"/>
      <c r="M106"/>
      <c r="N106"/>
      <c r="O106"/>
      <c r="P106"/>
      <c r="Q106"/>
      <c r="R106"/>
      <c r="S106"/>
      <c r="T106"/>
      <c r="U106"/>
    </row>
    <row r="107" spans="2:21" s="43" customFormat="1" ht="12.75">
      <c r="B107" s="13" t="s">
        <v>144</v>
      </c>
      <c r="C107" s="13"/>
      <c r="D107" s="13" t="s">
        <v>154</v>
      </c>
      <c r="G107" s="44">
        <v>7.3</v>
      </c>
      <c r="H107" s="45"/>
      <c r="K107"/>
      <c r="L107"/>
      <c r="M107"/>
      <c r="N107"/>
      <c r="O107"/>
      <c r="P107"/>
      <c r="Q107"/>
      <c r="R107"/>
      <c r="S107"/>
      <c r="T107"/>
      <c r="U107"/>
    </row>
    <row r="108" spans="2:21" s="43" customFormat="1" ht="12.75">
      <c r="B108" s="13" t="s">
        <v>145</v>
      </c>
      <c r="C108" s="13"/>
      <c r="D108" s="13" t="s">
        <v>154</v>
      </c>
      <c r="G108" s="44">
        <v>7.4</v>
      </c>
      <c r="H108" s="45"/>
      <c r="K108"/>
      <c r="L108"/>
      <c r="M108"/>
      <c r="N108"/>
      <c r="O108"/>
      <c r="P108"/>
      <c r="Q108"/>
      <c r="R108"/>
      <c r="S108"/>
      <c r="T108"/>
      <c r="U108"/>
    </row>
    <row r="109" spans="2:21" s="43" customFormat="1" ht="12.75">
      <c r="B109" s="13" t="s">
        <v>146</v>
      </c>
      <c r="C109" s="13"/>
      <c r="D109" s="13" t="s">
        <v>154</v>
      </c>
      <c r="G109" s="44">
        <v>3.8</v>
      </c>
      <c r="H109" s="45"/>
      <c r="K109"/>
      <c r="L109"/>
      <c r="M109"/>
      <c r="N109"/>
      <c r="O109"/>
      <c r="P109"/>
      <c r="Q109"/>
      <c r="R109"/>
      <c r="S109"/>
      <c r="T109"/>
      <c r="U109"/>
    </row>
    <row r="110" spans="2:21" s="43" customFormat="1" ht="12.75">
      <c r="B110" s="13" t="s">
        <v>147</v>
      </c>
      <c r="C110" s="13"/>
      <c r="D110" s="13" t="s">
        <v>154</v>
      </c>
      <c r="G110" s="44">
        <v>8.1</v>
      </c>
      <c r="H110" s="45"/>
      <c r="K110"/>
      <c r="L110"/>
      <c r="M110"/>
      <c r="N110"/>
      <c r="O110"/>
      <c r="P110"/>
      <c r="Q110"/>
      <c r="R110"/>
      <c r="S110"/>
      <c r="T110"/>
      <c r="U110"/>
    </row>
    <row r="111" spans="2:21" s="43" customFormat="1" ht="12.75">
      <c r="B111" s="13" t="s">
        <v>148</v>
      </c>
      <c r="C111" s="13"/>
      <c r="D111" s="13" t="s">
        <v>154</v>
      </c>
      <c r="G111" s="44">
        <v>10.9</v>
      </c>
      <c r="H111" s="45"/>
      <c r="K111"/>
      <c r="L111"/>
      <c r="M111"/>
      <c r="N111"/>
      <c r="O111"/>
      <c r="P111"/>
      <c r="Q111"/>
      <c r="R111"/>
      <c r="S111"/>
      <c r="T111"/>
      <c r="U111"/>
    </row>
    <row r="112" spans="2:21" s="43" customFormat="1" ht="12.75">
      <c r="B112" s="13" t="s">
        <v>188</v>
      </c>
      <c r="C112" s="13"/>
      <c r="D112" s="13" t="s">
        <v>154</v>
      </c>
      <c r="G112" s="44">
        <v>60.8</v>
      </c>
      <c r="H112" s="45"/>
      <c r="K112"/>
      <c r="L112"/>
      <c r="M112"/>
      <c r="N112"/>
      <c r="O112"/>
      <c r="P112"/>
      <c r="Q112"/>
      <c r="R112"/>
      <c r="S112"/>
      <c r="T112"/>
      <c r="U112"/>
    </row>
    <row r="113" spans="2:11" ht="12.75">
      <c r="B113" s="7"/>
      <c r="C113" s="7"/>
      <c r="G113" s="31"/>
      <c r="I113" s="32"/>
      <c r="K113" s="31"/>
    </row>
    <row r="114" spans="2:3" ht="12.75">
      <c r="B114" s="7"/>
      <c r="C114" s="7"/>
    </row>
    <row r="115" spans="2:11" ht="12.75">
      <c r="B115" s="28"/>
      <c r="C115" s="28"/>
      <c r="G115" s="23"/>
      <c r="I115" s="27"/>
      <c r="K115" s="23"/>
    </row>
    <row r="116" spans="2:11" ht="12.75">
      <c r="B116" s="7"/>
      <c r="C116" s="7"/>
      <c r="D116" s="18"/>
      <c r="E116" s="18"/>
      <c r="F116" s="29"/>
      <c r="G116" s="18"/>
      <c r="H116" s="29"/>
      <c r="I116" s="30"/>
      <c r="J116" s="29"/>
      <c r="K116" s="18"/>
    </row>
    <row r="117" spans="2:11" ht="12.75">
      <c r="B117" s="7"/>
      <c r="C117" s="7"/>
      <c r="G117" s="31"/>
      <c r="I117" s="32"/>
      <c r="K117" s="31"/>
    </row>
    <row r="118" spans="2:11" ht="12.75">
      <c r="B118" s="7"/>
      <c r="C118" s="7"/>
      <c r="G118" s="31"/>
      <c r="I118" s="32"/>
      <c r="K118" s="31"/>
    </row>
    <row r="119" spans="2:11" ht="12.75">
      <c r="B119" s="7"/>
      <c r="C119" s="7"/>
      <c r="G119" s="31"/>
      <c r="I119" s="32"/>
      <c r="K119" s="31"/>
    </row>
    <row r="120" spans="2:11" ht="12.75">
      <c r="B120" s="7"/>
      <c r="C120" s="7"/>
      <c r="G120" s="31"/>
      <c r="I120" s="32"/>
      <c r="K120" s="31"/>
    </row>
    <row r="121" spans="2:11" ht="12.75">
      <c r="B121" s="7"/>
      <c r="C121" s="7"/>
      <c r="G121" s="31"/>
      <c r="I121" s="32"/>
      <c r="K121" s="31"/>
    </row>
    <row r="122" spans="2:11" ht="12.75">
      <c r="B122" s="7"/>
      <c r="C122" s="7"/>
      <c r="G122" s="31"/>
      <c r="I122" s="32"/>
      <c r="K122" s="31"/>
    </row>
    <row r="123" spans="2:11" ht="12.75">
      <c r="B123" s="7"/>
      <c r="C123" s="7"/>
      <c r="G123" s="31"/>
      <c r="I123" s="32"/>
      <c r="K123" s="31"/>
    </row>
    <row r="124" spans="2:11" ht="12.75">
      <c r="B124" s="7"/>
      <c r="C124" s="7"/>
      <c r="G124" s="31"/>
      <c r="I124" s="32"/>
      <c r="K124" s="31"/>
    </row>
    <row r="125" spans="2:11" ht="12.75">
      <c r="B125" s="7"/>
      <c r="C125" s="7"/>
      <c r="G125" s="31"/>
      <c r="I125" s="32"/>
      <c r="J125" s="35"/>
      <c r="K125" s="31"/>
    </row>
    <row r="126" spans="2:11" ht="12.75">
      <c r="B126" s="7"/>
      <c r="C126" s="7"/>
      <c r="G126" s="31"/>
      <c r="I126" s="32"/>
      <c r="K126" s="31"/>
    </row>
    <row r="127" spans="2:11" ht="12.75">
      <c r="B127" s="7"/>
      <c r="C127" s="7"/>
      <c r="G127" s="31"/>
      <c r="I127" s="32"/>
      <c r="K127" s="31"/>
    </row>
    <row r="128" spans="2:11" ht="12.75">
      <c r="B128" s="7"/>
      <c r="C128" s="7"/>
      <c r="G128" s="31"/>
      <c r="I128" s="32"/>
      <c r="K128" s="31"/>
    </row>
    <row r="129" spans="2:3" ht="12.75">
      <c r="B129" s="7"/>
      <c r="C129" s="7"/>
    </row>
    <row r="130" spans="2:11" ht="12.75">
      <c r="B130" s="7"/>
      <c r="C130" s="7"/>
      <c r="G130" s="31"/>
      <c r="I130" s="32"/>
      <c r="K130" s="31"/>
    </row>
    <row r="131" spans="2:11" ht="12.75">
      <c r="B131" s="7"/>
      <c r="C131" s="7"/>
      <c r="G131" s="31"/>
      <c r="I131" s="32"/>
      <c r="J131" s="35"/>
      <c r="K131" s="31"/>
    </row>
    <row r="132" spans="2:11" ht="12.75">
      <c r="B132" s="7"/>
      <c r="C132" s="7"/>
      <c r="G132" s="31"/>
      <c r="I132" s="32"/>
      <c r="K132" s="31"/>
    </row>
    <row r="133" spans="2:11" ht="12.75">
      <c r="B133" s="7"/>
      <c r="C133" s="7"/>
      <c r="G133" s="31"/>
      <c r="I133" s="32"/>
      <c r="K133" s="31"/>
    </row>
    <row r="134" spans="2:11" ht="12.75">
      <c r="B134" s="7"/>
      <c r="C134" s="7"/>
      <c r="G134" s="31"/>
      <c r="I134" s="32"/>
      <c r="K134" s="31"/>
    </row>
    <row r="135" spans="7:11" ht="12.75">
      <c r="G135" s="64"/>
      <c r="K135" s="64"/>
    </row>
    <row r="137" spans="2:3" ht="12.75">
      <c r="B137" s="22"/>
      <c r="C137" s="22"/>
    </row>
    <row r="138" spans="2:3" ht="12.75">
      <c r="B138" s="7"/>
      <c r="C138" s="7"/>
    </row>
    <row r="139" spans="2:3" ht="12.75">
      <c r="B139" s="28"/>
      <c r="C139" s="28"/>
    </row>
    <row r="140" spans="2:3" ht="12.75">
      <c r="B140" s="7"/>
      <c r="C140" s="7"/>
    </row>
    <row r="141" spans="2:9" ht="12.75">
      <c r="B141" s="7"/>
      <c r="C141" s="7"/>
      <c r="G141" s="31"/>
      <c r="I141" s="32"/>
    </row>
    <row r="142" spans="2:9" ht="12.75">
      <c r="B142" s="7"/>
      <c r="C142" s="7"/>
      <c r="G142" s="31"/>
      <c r="I142" s="32"/>
    </row>
    <row r="143" spans="7:9" ht="12.75">
      <c r="G143" s="31"/>
      <c r="I143" s="32"/>
    </row>
    <row r="144" spans="2:11" ht="12.75">
      <c r="B144" s="7"/>
      <c r="C144" s="7"/>
      <c r="G144" s="31"/>
      <c r="I144" s="32"/>
      <c r="K144" s="31"/>
    </row>
    <row r="145" spans="7:9" ht="12.75">
      <c r="G145" s="31"/>
      <c r="I145" s="32"/>
    </row>
    <row r="146" spans="2:9" ht="12.75">
      <c r="B146" s="7"/>
      <c r="C146" s="7"/>
      <c r="G146" s="31"/>
      <c r="I146" s="32"/>
    </row>
    <row r="147" spans="2:9" ht="12.75">
      <c r="B147" s="7"/>
      <c r="C147" s="7"/>
      <c r="G147" s="31"/>
      <c r="I147" s="32"/>
    </row>
    <row r="148" spans="2:9" ht="12.75">
      <c r="B148" s="7"/>
      <c r="C148" s="7"/>
      <c r="G148" s="31"/>
      <c r="I148" s="32"/>
    </row>
    <row r="149" spans="2:9" ht="12.75">
      <c r="B149" s="7"/>
      <c r="C149" s="7"/>
      <c r="G149" s="31"/>
      <c r="I149" s="32"/>
    </row>
    <row r="150" spans="7:9" ht="12.75">
      <c r="G150" s="31"/>
      <c r="I150" s="32"/>
    </row>
    <row r="151" spans="2:11" ht="12.75">
      <c r="B151" s="22"/>
      <c r="C151" s="22"/>
      <c r="G151" s="23"/>
      <c r="I151" s="27"/>
      <c r="K151" s="23"/>
    </row>
    <row r="154" spans="7:11" ht="12.75">
      <c r="G154" s="64"/>
      <c r="K154" s="64"/>
    </row>
    <row r="155" spans="7:11" ht="12.75">
      <c r="G155" s="64"/>
      <c r="K155" s="64"/>
    </row>
    <row r="156" spans="7:11" ht="12.75">
      <c r="G156" s="64"/>
      <c r="K156" s="64"/>
    </row>
    <row r="157" spans="7:11" ht="12.75">
      <c r="G157" s="64"/>
      <c r="K157" s="64"/>
    </row>
    <row r="158" spans="7:11" ht="12.75">
      <c r="G158" s="64"/>
      <c r="K158" s="64"/>
    </row>
    <row r="159" spans="7:11" ht="12.75">
      <c r="G159" s="64"/>
      <c r="K159" s="64"/>
    </row>
    <row r="160" spans="7:11" ht="12.75">
      <c r="G160" s="64"/>
      <c r="K160" s="64"/>
    </row>
    <row r="161" spans="7:11" ht="12.75">
      <c r="G161" s="64"/>
      <c r="K161" s="64"/>
    </row>
    <row r="162" spans="7:11" ht="12.75">
      <c r="G162" s="64"/>
      <c r="K162" s="64"/>
    </row>
    <row r="163" spans="7:11" ht="12.75">
      <c r="G163" s="64"/>
      <c r="K163" s="64"/>
    </row>
    <row r="164" spans="7:11" ht="12.75">
      <c r="G164" s="64"/>
      <c r="K164" s="64"/>
    </row>
    <row r="165" spans="7:11" ht="12.75">
      <c r="G165" s="64"/>
      <c r="K165" s="64"/>
    </row>
    <row r="167" spans="7:11" ht="12.75">
      <c r="G167" s="64"/>
      <c r="K167" s="6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161"/>
  <sheetViews>
    <sheetView zoomScale="75" zoomScaleNormal="75" workbookViewId="0" topLeftCell="B123">
      <selection activeCell="C1" sqref="C1"/>
    </sheetView>
  </sheetViews>
  <sheetFormatPr defaultColWidth="9.140625" defaultRowHeight="12.75"/>
  <cols>
    <col min="1" max="1" width="9.140625" style="43" hidden="1" customWidth="1"/>
    <col min="2" max="2" width="22.140625" style="13" customWidth="1"/>
    <col min="3" max="3" width="5.7109375" style="13" customWidth="1"/>
    <col min="4" max="4" width="9.28125" style="13" customWidth="1"/>
    <col min="5" max="5" width="4.140625" style="43" customWidth="1"/>
    <col min="6" max="6" width="12.140625" style="43" customWidth="1"/>
    <col min="7" max="7" width="4.140625" style="43" customWidth="1"/>
    <col min="8" max="8" width="15.140625" style="43" customWidth="1"/>
    <col min="9" max="9" width="4.140625" style="43" customWidth="1"/>
    <col min="10" max="10" width="14.00390625" style="43" customWidth="1"/>
    <col min="11" max="11" width="4.8515625" style="43" customWidth="1"/>
    <col min="12" max="12" width="15.140625" style="44" customWidth="1"/>
    <col min="13" max="13" width="3.7109375" style="43" customWidth="1"/>
    <col min="14" max="14" width="14.421875" style="43" customWidth="1"/>
    <col min="15" max="15" width="4.00390625" style="43" customWidth="1"/>
    <col min="16" max="16" width="14.421875" style="43" customWidth="1"/>
    <col min="17" max="17" width="4.140625" style="43" customWidth="1"/>
    <col min="18" max="19" width="15.7109375" style="43" customWidth="1"/>
    <col min="20" max="20" width="14.7109375" style="43" customWidth="1"/>
    <col min="21" max="21" width="5.28125" style="43" customWidth="1"/>
    <col min="22" max="22" width="10.57421875" style="43" customWidth="1"/>
    <col min="23" max="23" width="4.00390625" style="43" customWidth="1"/>
    <col min="24" max="24" width="11.421875" style="43" customWidth="1"/>
    <col min="25" max="25" width="4.28125" style="43" customWidth="1"/>
    <col min="26" max="26" width="11.421875" style="43" customWidth="1"/>
    <col min="27" max="27" width="4.140625" style="43" customWidth="1"/>
    <col min="28" max="28" width="11.8515625" style="43" customWidth="1"/>
    <col min="29" max="29" width="4.7109375" style="43" customWidth="1"/>
    <col min="30" max="30" width="12.28125" style="43" customWidth="1"/>
    <col min="31" max="31" width="4.421875" style="43" customWidth="1"/>
    <col min="32" max="32" width="12.140625" style="43" customWidth="1"/>
    <col min="33" max="33" width="4.28125" style="43" customWidth="1"/>
    <col min="34" max="34" width="11.7109375" style="43" customWidth="1"/>
    <col min="35" max="35" width="4.421875" style="43" customWidth="1"/>
    <col min="36" max="36" width="12.57421875" style="43" customWidth="1"/>
    <col min="37" max="37" width="4.8515625" style="43" customWidth="1"/>
    <col min="38" max="38" width="13.140625" style="43" customWidth="1"/>
    <col min="39" max="39" width="4.28125" style="43" customWidth="1"/>
    <col min="40" max="40" width="13.140625" style="43" customWidth="1"/>
    <col min="41" max="41" width="3.7109375" style="43" customWidth="1"/>
    <col min="42" max="42" width="11.421875" style="43" customWidth="1"/>
    <col min="43" max="43" width="3.7109375" style="43" customWidth="1"/>
    <col min="44" max="44" width="13.421875" style="0" customWidth="1"/>
    <col min="45" max="45" width="4.140625" style="0" customWidth="1"/>
    <col min="46" max="46" width="13.00390625" style="0" customWidth="1"/>
    <col min="47" max="47" width="4.00390625" style="0" customWidth="1"/>
    <col min="48" max="48" width="11.7109375" style="0" customWidth="1"/>
    <col min="49" max="49" width="4.28125" style="0" customWidth="1"/>
    <col min="50" max="50" width="11.7109375" style="0" customWidth="1"/>
    <col min="51" max="51" width="4.57421875" style="0" customWidth="1"/>
    <col min="52" max="52" width="12.57421875" style="0" customWidth="1"/>
    <col min="53" max="54" width="8.8515625" style="0" customWidth="1"/>
    <col min="55" max="16384" width="8.8515625" style="43" customWidth="1"/>
  </cols>
  <sheetData>
    <row r="1" spans="2:3" ht="12.75">
      <c r="B1" s="42" t="s">
        <v>126</v>
      </c>
      <c r="C1" s="42"/>
    </row>
    <row r="3" spans="2:3" ht="12.75">
      <c r="B3" s="43"/>
      <c r="C3" s="43"/>
    </row>
    <row r="4" spans="1:52" ht="12.75">
      <c r="A4" s="43" t="s">
        <v>206</v>
      </c>
      <c r="B4" s="42" t="s">
        <v>200</v>
      </c>
      <c r="C4" s="42" t="s">
        <v>201</v>
      </c>
      <c r="F4" s="45" t="s">
        <v>220</v>
      </c>
      <c r="G4" s="45"/>
      <c r="H4" s="45" t="s">
        <v>221</v>
      </c>
      <c r="I4" s="45"/>
      <c r="J4" s="45" t="s">
        <v>222</v>
      </c>
      <c r="K4" s="45"/>
      <c r="L4" s="45" t="s">
        <v>54</v>
      </c>
      <c r="M4" s="45"/>
      <c r="N4" s="45" t="s">
        <v>220</v>
      </c>
      <c r="O4" s="45"/>
      <c r="P4" s="45" t="s">
        <v>221</v>
      </c>
      <c r="Q4" s="45"/>
      <c r="R4" s="45" t="s">
        <v>222</v>
      </c>
      <c r="S4" s="45"/>
      <c r="T4" s="45" t="s">
        <v>54</v>
      </c>
      <c r="U4" s="45"/>
      <c r="V4" s="45" t="s">
        <v>220</v>
      </c>
      <c r="W4" s="45"/>
      <c r="X4" s="45" t="s">
        <v>221</v>
      </c>
      <c r="Y4" s="45"/>
      <c r="Z4" s="45" t="s">
        <v>222</v>
      </c>
      <c r="AA4" s="45"/>
      <c r="AB4" s="45" t="s">
        <v>54</v>
      </c>
      <c r="AC4" s="45"/>
      <c r="AD4" s="45" t="s">
        <v>220</v>
      </c>
      <c r="AE4" s="45"/>
      <c r="AF4" s="45" t="s">
        <v>221</v>
      </c>
      <c r="AG4" s="45"/>
      <c r="AH4" s="45" t="s">
        <v>222</v>
      </c>
      <c r="AI4" s="45"/>
      <c r="AJ4" s="45" t="s">
        <v>54</v>
      </c>
      <c r="AK4" s="45"/>
      <c r="AL4" s="45" t="s">
        <v>220</v>
      </c>
      <c r="AM4" s="45"/>
      <c r="AN4" s="45" t="s">
        <v>221</v>
      </c>
      <c r="AO4" s="45"/>
      <c r="AP4" s="45" t="s">
        <v>222</v>
      </c>
      <c r="AQ4" s="45"/>
      <c r="AR4" s="45" t="s">
        <v>54</v>
      </c>
      <c r="AS4" s="45"/>
      <c r="AT4" s="45" t="s">
        <v>220</v>
      </c>
      <c r="AU4" s="45"/>
      <c r="AV4" s="45" t="s">
        <v>221</v>
      </c>
      <c r="AW4" s="45"/>
      <c r="AX4" s="45" t="s">
        <v>222</v>
      </c>
      <c r="AY4" s="45"/>
      <c r="AZ4" s="45" t="s">
        <v>54</v>
      </c>
    </row>
    <row r="5" spans="44:51" ht="12.75">
      <c r="AR5" s="43"/>
      <c r="AS5" s="43"/>
      <c r="AT5" s="43"/>
      <c r="AU5" s="43"/>
      <c r="AV5" s="43"/>
      <c r="AW5" s="43"/>
      <c r="AX5" s="43"/>
      <c r="AY5" s="43"/>
    </row>
    <row r="6" spans="2:52" ht="12.75">
      <c r="B6" s="13" t="s">
        <v>235</v>
      </c>
      <c r="F6" s="43" t="s">
        <v>237</v>
      </c>
      <c r="H6" s="43" t="s">
        <v>237</v>
      </c>
      <c r="J6" s="43" t="s">
        <v>237</v>
      </c>
      <c r="L6" s="43" t="s">
        <v>237</v>
      </c>
      <c r="N6" s="43" t="s">
        <v>240</v>
      </c>
      <c r="P6" s="43" t="s">
        <v>240</v>
      </c>
      <c r="R6" s="43" t="s">
        <v>240</v>
      </c>
      <c r="T6" s="43" t="s">
        <v>240</v>
      </c>
      <c r="AD6" s="43" t="s">
        <v>239</v>
      </c>
      <c r="AF6" s="43" t="s">
        <v>239</v>
      </c>
      <c r="AH6" s="43" t="s">
        <v>239</v>
      </c>
      <c r="AJ6" s="43" t="s">
        <v>239</v>
      </c>
      <c r="AL6" s="43" t="s">
        <v>242</v>
      </c>
      <c r="AN6" s="43" t="s">
        <v>242</v>
      </c>
      <c r="AP6" s="43" t="s">
        <v>242</v>
      </c>
      <c r="AR6" s="43" t="s">
        <v>242</v>
      </c>
      <c r="AS6" s="43"/>
      <c r="AT6" s="45" t="s">
        <v>243</v>
      </c>
      <c r="AU6" s="43"/>
      <c r="AV6" s="45" t="s">
        <v>243</v>
      </c>
      <c r="AW6" s="43"/>
      <c r="AX6" s="45" t="s">
        <v>243</v>
      </c>
      <c r="AY6" s="43"/>
      <c r="AZ6" s="45" t="s">
        <v>243</v>
      </c>
    </row>
    <row r="7" spans="2:52" ht="12.75">
      <c r="B7" s="13" t="s">
        <v>236</v>
      </c>
      <c r="F7" s="43" t="s">
        <v>238</v>
      </c>
      <c r="H7" s="43" t="s">
        <v>238</v>
      </c>
      <c r="J7" s="43" t="s">
        <v>238</v>
      </c>
      <c r="L7" s="43" t="s">
        <v>238</v>
      </c>
      <c r="N7" s="43" t="s">
        <v>238</v>
      </c>
      <c r="P7" s="43" t="s">
        <v>238</v>
      </c>
      <c r="R7" s="43" t="s">
        <v>238</v>
      </c>
      <c r="T7" s="43" t="s">
        <v>238</v>
      </c>
      <c r="AD7" s="43" t="s">
        <v>241</v>
      </c>
      <c r="AF7" s="43" t="s">
        <v>241</v>
      </c>
      <c r="AH7" s="43" t="s">
        <v>241</v>
      </c>
      <c r="AJ7" s="43" t="s">
        <v>241</v>
      </c>
      <c r="AL7" s="43" t="s">
        <v>94</v>
      </c>
      <c r="AN7" s="43" t="s">
        <v>94</v>
      </c>
      <c r="AP7" s="43" t="s">
        <v>94</v>
      </c>
      <c r="AR7" s="43" t="s">
        <v>94</v>
      </c>
      <c r="AS7" s="43"/>
      <c r="AT7" s="45" t="s">
        <v>30</v>
      </c>
      <c r="AU7" s="43"/>
      <c r="AV7" s="45" t="s">
        <v>30</v>
      </c>
      <c r="AW7" s="43"/>
      <c r="AX7" s="45" t="s">
        <v>30</v>
      </c>
      <c r="AY7" s="43"/>
      <c r="AZ7" s="45" t="s">
        <v>30</v>
      </c>
    </row>
    <row r="8" spans="2:52" ht="12.75">
      <c r="B8" s="13" t="s">
        <v>244</v>
      </c>
      <c r="L8" s="43"/>
      <c r="V8" s="43" t="s">
        <v>97</v>
      </c>
      <c r="X8" s="43" t="s">
        <v>97</v>
      </c>
      <c r="Z8" s="43" t="s">
        <v>97</v>
      </c>
      <c r="AB8" s="43" t="s">
        <v>97</v>
      </c>
      <c r="AD8" s="24" t="s">
        <v>245</v>
      </c>
      <c r="AF8" s="24" t="s">
        <v>245</v>
      </c>
      <c r="AH8" s="24" t="s">
        <v>245</v>
      </c>
      <c r="AJ8" s="24" t="s">
        <v>245</v>
      </c>
      <c r="AL8" s="24" t="s">
        <v>94</v>
      </c>
      <c r="AN8" s="24" t="s">
        <v>94</v>
      </c>
      <c r="AP8" s="24" t="s">
        <v>94</v>
      </c>
      <c r="AR8" s="24" t="s">
        <v>94</v>
      </c>
      <c r="AS8" s="43"/>
      <c r="AT8" s="45" t="s">
        <v>30</v>
      </c>
      <c r="AU8" s="43"/>
      <c r="AV8" s="45" t="s">
        <v>30</v>
      </c>
      <c r="AW8" s="43"/>
      <c r="AX8" s="45" t="s">
        <v>30</v>
      </c>
      <c r="AY8" s="43"/>
      <c r="AZ8" s="45" t="s">
        <v>30</v>
      </c>
    </row>
    <row r="9" spans="2:52" ht="12.75">
      <c r="B9" s="13" t="s">
        <v>55</v>
      </c>
      <c r="F9" s="44" t="s">
        <v>88</v>
      </c>
      <c r="H9" s="44" t="s">
        <v>88</v>
      </c>
      <c r="J9" s="44" t="s">
        <v>88</v>
      </c>
      <c r="L9" s="44" t="s">
        <v>88</v>
      </c>
      <c r="M9" s="45"/>
      <c r="N9" s="44" t="s">
        <v>92</v>
      </c>
      <c r="O9" s="45"/>
      <c r="P9" s="44" t="s">
        <v>92</v>
      </c>
      <c r="Q9" s="45"/>
      <c r="R9" s="44" t="s">
        <v>92</v>
      </c>
      <c r="S9" s="45"/>
      <c r="T9" s="44" t="s">
        <v>92</v>
      </c>
      <c r="U9" s="44"/>
      <c r="AD9" s="44" t="s">
        <v>137</v>
      </c>
      <c r="AE9" s="44"/>
      <c r="AF9" s="44" t="s">
        <v>137</v>
      </c>
      <c r="AG9" s="44"/>
      <c r="AH9" s="44" t="s">
        <v>137</v>
      </c>
      <c r="AI9" s="44"/>
      <c r="AJ9" s="44" t="s">
        <v>137</v>
      </c>
      <c r="AK9" s="44"/>
      <c r="AL9" s="44" t="s">
        <v>94</v>
      </c>
      <c r="AM9" s="44"/>
      <c r="AN9" s="44" t="s">
        <v>94</v>
      </c>
      <c r="AO9" s="44"/>
      <c r="AP9" s="44" t="s">
        <v>94</v>
      </c>
      <c r="AQ9" s="44"/>
      <c r="AR9" s="44" t="s">
        <v>94</v>
      </c>
      <c r="AS9" s="44"/>
      <c r="AT9" s="45" t="s">
        <v>30</v>
      </c>
      <c r="AU9" s="44"/>
      <c r="AV9" s="45" t="s">
        <v>30</v>
      </c>
      <c r="AW9" s="44"/>
      <c r="AX9" s="45" t="s">
        <v>30</v>
      </c>
      <c r="AY9" s="44"/>
      <c r="AZ9" s="45" t="s">
        <v>30</v>
      </c>
    </row>
    <row r="10" spans="2:51" ht="12.75">
      <c r="B10" s="13" t="s">
        <v>208</v>
      </c>
      <c r="D10" s="13" t="s">
        <v>73</v>
      </c>
      <c r="F10" s="43">
        <v>5462</v>
      </c>
      <c r="H10" s="43">
        <v>5168</v>
      </c>
      <c r="J10" s="43">
        <v>5186</v>
      </c>
      <c r="L10" s="15">
        <v>5272</v>
      </c>
      <c r="N10" s="43">
        <v>13420</v>
      </c>
      <c r="P10" s="43">
        <v>13253.4</v>
      </c>
      <c r="R10" s="43">
        <v>13299</v>
      </c>
      <c r="T10" s="43">
        <v>13324</v>
      </c>
      <c r="AD10" s="46">
        <v>2.1</v>
      </c>
      <c r="AF10" s="46">
        <v>2.1</v>
      </c>
      <c r="AH10" s="46">
        <v>2.1</v>
      </c>
      <c r="AJ10" s="46">
        <v>2.1</v>
      </c>
      <c r="AK10" s="46"/>
      <c r="AL10" s="43">
        <v>1511</v>
      </c>
      <c r="AM10" s="46"/>
      <c r="AN10" s="43">
        <v>1511</v>
      </c>
      <c r="AO10" s="46"/>
      <c r="AP10" s="43">
        <v>1511</v>
      </c>
      <c r="AQ10" s="46"/>
      <c r="AR10" s="43">
        <v>1511</v>
      </c>
      <c r="AS10" s="43"/>
      <c r="AT10" s="43"/>
      <c r="AU10" s="43"/>
      <c r="AV10" s="43"/>
      <c r="AW10" s="43"/>
      <c r="AX10" s="43"/>
      <c r="AY10" s="43"/>
    </row>
    <row r="11" spans="2:51" ht="12.75">
      <c r="B11" s="13" t="s">
        <v>62</v>
      </c>
      <c r="D11" s="13" t="s">
        <v>63</v>
      </c>
      <c r="F11" s="43">
        <v>1</v>
      </c>
      <c r="H11" s="43">
        <v>1</v>
      </c>
      <c r="J11" s="43">
        <v>1</v>
      </c>
      <c r="L11" s="16">
        <v>1</v>
      </c>
      <c r="N11" s="43">
        <v>2</v>
      </c>
      <c r="P11" s="43">
        <v>2</v>
      </c>
      <c r="R11" s="43">
        <v>2</v>
      </c>
      <c r="T11" s="43">
        <v>2</v>
      </c>
      <c r="AR11" s="43"/>
      <c r="AS11" s="43"/>
      <c r="AT11" s="43"/>
      <c r="AU11" s="43"/>
      <c r="AV11" s="43"/>
      <c r="AW11" s="43"/>
      <c r="AX11" s="43"/>
      <c r="AY11" s="43"/>
    </row>
    <row r="12" spans="2:51" ht="12.75">
      <c r="B12" s="13" t="s">
        <v>57</v>
      </c>
      <c r="D12" s="13" t="s">
        <v>58</v>
      </c>
      <c r="F12" s="43">
        <v>7440</v>
      </c>
      <c r="H12" s="43">
        <v>7360</v>
      </c>
      <c r="J12" s="43">
        <v>7250</v>
      </c>
      <c r="L12" s="14">
        <v>7350</v>
      </c>
      <c r="N12" s="43">
        <v>3296.7</v>
      </c>
      <c r="P12" s="43">
        <v>3296.7</v>
      </c>
      <c r="R12" s="43">
        <v>3296.7</v>
      </c>
      <c r="T12" s="43">
        <v>3296.7</v>
      </c>
      <c r="AR12" s="43"/>
      <c r="AS12" s="43"/>
      <c r="AT12" s="43"/>
      <c r="AU12" s="43"/>
      <c r="AV12" s="43"/>
      <c r="AW12" s="43"/>
      <c r="AX12" s="43"/>
      <c r="AY12" s="43"/>
    </row>
    <row r="13" spans="2:51" ht="12.75">
      <c r="B13" s="13" t="s">
        <v>74</v>
      </c>
      <c r="D13" s="13" t="s">
        <v>89</v>
      </c>
      <c r="F13" s="24">
        <v>1.14</v>
      </c>
      <c r="H13" s="24">
        <v>1.12</v>
      </c>
      <c r="J13" s="24">
        <v>1.4</v>
      </c>
      <c r="L13" s="14">
        <v>1.22</v>
      </c>
      <c r="N13" s="47">
        <f>(1.55+1.51+1.7)/3</f>
        <v>1.5866666666666667</v>
      </c>
      <c r="P13" s="47">
        <f>(1.55+1.51+1.7)/3</f>
        <v>1.5866666666666667</v>
      </c>
      <c r="R13" s="47">
        <f>(1.55+1.51+1.7)/3</f>
        <v>1.5866666666666667</v>
      </c>
      <c r="T13" s="47">
        <f>(1.55+1.51+1.7)/3</f>
        <v>1.5866666666666667</v>
      </c>
      <c r="U13" s="47"/>
      <c r="AD13" s="47"/>
      <c r="AE13" s="47"/>
      <c r="AF13" s="47"/>
      <c r="AG13" s="47"/>
      <c r="AH13" s="47"/>
      <c r="AI13" s="47"/>
      <c r="AR13" s="43"/>
      <c r="AS13" s="43"/>
      <c r="AT13" s="43"/>
      <c r="AU13" s="43"/>
      <c r="AV13" s="43"/>
      <c r="AW13" s="43"/>
      <c r="AX13" s="43"/>
      <c r="AY13" s="43"/>
    </row>
    <row r="14" spans="2:51" ht="12.75">
      <c r="B14" s="13" t="s">
        <v>60</v>
      </c>
      <c r="D14" s="13" t="s">
        <v>73</v>
      </c>
      <c r="E14" s="45" t="s">
        <v>34</v>
      </c>
      <c r="F14" s="16">
        <v>0.02</v>
      </c>
      <c r="G14" s="45"/>
      <c r="H14" s="16">
        <v>0.02</v>
      </c>
      <c r="I14" s="45"/>
      <c r="J14" s="16">
        <v>0.02</v>
      </c>
      <c r="K14" s="45"/>
      <c r="L14" s="16">
        <v>0.02</v>
      </c>
      <c r="M14" s="45"/>
      <c r="N14" s="44">
        <v>1.9</v>
      </c>
      <c r="O14" s="45"/>
      <c r="P14" s="44">
        <v>1.9</v>
      </c>
      <c r="Q14" s="45"/>
      <c r="R14" s="44">
        <v>1.9</v>
      </c>
      <c r="S14" s="45"/>
      <c r="T14" s="44">
        <v>1.9</v>
      </c>
      <c r="U14" s="44"/>
      <c r="AD14" s="44"/>
      <c r="AE14" s="44"/>
      <c r="AF14" s="44"/>
      <c r="AG14" s="44"/>
      <c r="AH14" s="44"/>
      <c r="AI14" s="44"/>
      <c r="AJ14" s="44"/>
      <c r="AK14" s="44"/>
      <c r="AL14" s="43">
        <v>372</v>
      </c>
      <c r="AM14" s="44"/>
      <c r="AN14" s="43">
        <v>372</v>
      </c>
      <c r="AO14" s="44"/>
      <c r="AP14" s="43">
        <v>372</v>
      </c>
      <c r="AQ14" s="44"/>
      <c r="AR14" s="43">
        <v>372</v>
      </c>
      <c r="AS14" s="43"/>
      <c r="AT14" s="43"/>
      <c r="AU14" s="43"/>
      <c r="AV14" s="43"/>
      <c r="AW14" s="43"/>
      <c r="AX14" s="43"/>
      <c r="AY14" s="43"/>
    </row>
    <row r="15" spans="2:51" ht="12.75">
      <c r="B15" s="13" t="s">
        <v>61</v>
      </c>
      <c r="D15" s="13" t="s">
        <v>73</v>
      </c>
      <c r="E15" s="45"/>
      <c r="F15" s="14">
        <v>3332</v>
      </c>
      <c r="G15" s="45"/>
      <c r="H15" s="14">
        <v>3101</v>
      </c>
      <c r="I15" s="45"/>
      <c r="J15" s="14">
        <v>3163</v>
      </c>
      <c r="K15" s="45"/>
      <c r="L15" s="14">
        <v>3199</v>
      </c>
      <c r="M15" s="45"/>
      <c r="N15" s="44">
        <v>10257.3</v>
      </c>
      <c r="O15" s="45"/>
      <c r="P15" s="44">
        <v>10257.3</v>
      </c>
      <c r="Q15" s="45"/>
      <c r="R15" s="44">
        <v>10257.3</v>
      </c>
      <c r="S15" s="45"/>
      <c r="T15" s="44">
        <v>10257.3</v>
      </c>
      <c r="U15" s="44"/>
      <c r="AD15" s="44"/>
      <c r="AE15" s="44"/>
      <c r="AF15" s="44"/>
      <c r="AG15" s="44"/>
      <c r="AH15" s="44"/>
      <c r="AI15" s="44"/>
      <c r="AJ15" s="44"/>
      <c r="AK15" s="44"/>
      <c r="AL15" s="43">
        <v>225</v>
      </c>
      <c r="AM15" s="44"/>
      <c r="AN15" s="43">
        <v>225</v>
      </c>
      <c r="AO15" s="44"/>
      <c r="AP15" s="43">
        <v>225</v>
      </c>
      <c r="AQ15" s="44"/>
      <c r="AR15" s="43">
        <v>225</v>
      </c>
      <c r="AS15" s="43"/>
      <c r="AT15" s="43"/>
      <c r="AU15" s="43"/>
      <c r="AV15" s="43"/>
      <c r="AW15" s="43"/>
      <c r="AX15" s="43"/>
      <c r="AY15" s="43"/>
    </row>
    <row r="16" spans="2:51" ht="12.75">
      <c r="B16" s="13" t="s">
        <v>166</v>
      </c>
      <c r="D16" s="13" t="s">
        <v>73</v>
      </c>
      <c r="E16" s="45" t="s">
        <v>34</v>
      </c>
      <c r="F16" s="44">
        <v>0.0007</v>
      </c>
      <c r="G16" s="45" t="s">
        <v>34</v>
      </c>
      <c r="H16" s="44">
        <v>0.0006</v>
      </c>
      <c r="I16" s="45" t="s">
        <v>34</v>
      </c>
      <c r="J16" s="44">
        <v>0.0006</v>
      </c>
      <c r="K16" s="45"/>
      <c r="L16" s="44">
        <v>0.0007</v>
      </c>
      <c r="M16" s="45" t="s">
        <v>34</v>
      </c>
      <c r="N16" s="44">
        <v>0.002</v>
      </c>
      <c r="O16" s="45" t="s">
        <v>34</v>
      </c>
      <c r="P16" s="44">
        <v>0.002</v>
      </c>
      <c r="Q16" s="45" t="s">
        <v>34</v>
      </c>
      <c r="R16" s="44">
        <v>0.002</v>
      </c>
      <c r="S16" s="45"/>
      <c r="T16" s="43">
        <v>0.002</v>
      </c>
      <c r="AR16" s="43"/>
      <c r="AS16" s="43"/>
      <c r="AT16" s="43"/>
      <c r="AU16" s="43"/>
      <c r="AV16" s="43"/>
      <c r="AW16" s="43"/>
      <c r="AX16" s="43"/>
      <c r="AY16" s="43"/>
    </row>
    <row r="17" spans="2:51" ht="12.75">
      <c r="B17" s="13" t="s">
        <v>167</v>
      </c>
      <c r="D17" s="13" t="s">
        <v>73</v>
      </c>
      <c r="E17" s="45" t="s">
        <v>34</v>
      </c>
      <c r="F17" s="44">
        <v>0.0005</v>
      </c>
      <c r="G17" s="45" t="s">
        <v>34</v>
      </c>
      <c r="H17" s="44">
        <v>0.0005</v>
      </c>
      <c r="I17" s="45" t="s">
        <v>34</v>
      </c>
      <c r="J17" s="44">
        <v>0.0005</v>
      </c>
      <c r="K17" s="45"/>
      <c r="L17" s="44">
        <v>0.0005</v>
      </c>
      <c r="M17" s="45" t="s">
        <v>34</v>
      </c>
      <c r="N17" s="44">
        <v>0.001</v>
      </c>
      <c r="O17" s="45" t="s">
        <v>34</v>
      </c>
      <c r="P17" s="44">
        <v>0.001</v>
      </c>
      <c r="Q17" s="45" t="s">
        <v>34</v>
      </c>
      <c r="R17" s="44">
        <v>0.001</v>
      </c>
      <c r="S17" s="45"/>
      <c r="T17" s="44">
        <v>0.001</v>
      </c>
      <c r="U17" s="44"/>
      <c r="AD17" s="44"/>
      <c r="AE17" s="44"/>
      <c r="AF17" s="44"/>
      <c r="AG17" s="44"/>
      <c r="AH17" s="44"/>
      <c r="AI17" s="44"/>
      <c r="AR17" s="43"/>
      <c r="AS17" s="43"/>
      <c r="AT17" s="43"/>
      <c r="AU17" s="43"/>
      <c r="AV17" s="43"/>
      <c r="AW17" s="43"/>
      <c r="AX17" s="43"/>
      <c r="AY17" s="43"/>
    </row>
    <row r="18" spans="2:51" ht="12.75">
      <c r="B18" s="13" t="s">
        <v>168</v>
      </c>
      <c r="D18" s="13" t="s">
        <v>73</v>
      </c>
      <c r="E18" s="45"/>
      <c r="F18" s="44">
        <v>0.00045</v>
      </c>
      <c r="G18" s="45"/>
      <c r="H18" s="44">
        <v>0.00041</v>
      </c>
      <c r="I18" s="45"/>
      <c r="J18" s="44">
        <v>0.00042</v>
      </c>
      <c r="K18" s="45"/>
      <c r="L18" s="44">
        <v>0.00043</v>
      </c>
      <c r="M18" s="45"/>
      <c r="N18" s="44">
        <v>0.0011</v>
      </c>
      <c r="O18" s="45"/>
      <c r="P18" s="44">
        <v>0.0011</v>
      </c>
      <c r="Q18" s="45"/>
      <c r="R18" s="44">
        <v>0.0011</v>
      </c>
      <c r="S18" s="45"/>
      <c r="T18" s="44">
        <v>0.0011</v>
      </c>
      <c r="U18" s="44"/>
      <c r="AD18" s="44"/>
      <c r="AE18" s="44"/>
      <c r="AF18" s="44"/>
      <c r="AG18" s="44"/>
      <c r="AH18" s="44"/>
      <c r="AI18" s="44"/>
      <c r="AR18" s="43"/>
      <c r="AS18" s="43"/>
      <c r="AT18" s="43"/>
      <c r="AU18" s="43"/>
      <c r="AV18" s="43"/>
      <c r="AW18" s="43"/>
      <c r="AX18" s="43"/>
      <c r="AY18" s="43"/>
    </row>
    <row r="19" spans="2:51" ht="12.75">
      <c r="B19" s="13" t="s">
        <v>169</v>
      </c>
      <c r="D19" s="13" t="s">
        <v>73</v>
      </c>
      <c r="E19" s="45" t="s">
        <v>34</v>
      </c>
      <c r="F19" s="44">
        <v>0.0002</v>
      </c>
      <c r="G19" s="45" t="s">
        <v>34</v>
      </c>
      <c r="H19" s="44">
        <v>0.0002</v>
      </c>
      <c r="I19" s="45" t="s">
        <v>34</v>
      </c>
      <c r="J19" s="44">
        <v>0.0002</v>
      </c>
      <c r="K19" s="45"/>
      <c r="L19" s="44">
        <v>0.0002</v>
      </c>
      <c r="M19" s="45" t="s">
        <v>34</v>
      </c>
      <c r="N19" s="44">
        <v>0.0004</v>
      </c>
      <c r="O19" s="45" t="s">
        <v>34</v>
      </c>
      <c r="P19" s="44">
        <v>0.0004</v>
      </c>
      <c r="Q19" s="45" t="s">
        <v>34</v>
      </c>
      <c r="R19" s="44">
        <v>0.0004</v>
      </c>
      <c r="S19" s="45"/>
      <c r="T19" s="44">
        <v>0.0004</v>
      </c>
      <c r="U19" s="44"/>
      <c r="AD19" s="44"/>
      <c r="AE19" s="44"/>
      <c r="AF19" s="44"/>
      <c r="AG19" s="44"/>
      <c r="AH19" s="44"/>
      <c r="AI19" s="44"/>
      <c r="AR19" s="43"/>
      <c r="AS19" s="43"/>
      <c r="AT19" s="43"/>
      <c r="AU19" s="43"/>
      <c r="AV19" s="43"/>
      <c r="AW19" s="43"/>
      <c r="AX19" s="43"/>
      <c r="AY19" s="43"/>
    </row>
    <row r="20" spans="2:51" ht="12.75">
      <c r="B20" s="13" t="s">
        <v>170</v>
      </c>
      <c r="D20" s="13" t="s">
        <v>73</v>
      </c>
      <c r="E20" s="45" t="s">
        <v>34</v>
      </c>
      <c r="F20" s="44">
        <v>0.0007</v>
      </c>
      <c r="G20" s="45" t="s">
        <v>34</v>
      </c>
      <c r="H20" s="44">
        <v>0.0006</v>
      </c>
      <c r="I20" s="45" t="s">
        <v>34</v>
      </c>
      <c r="J20" s="44">
        <v>0.0006</v>
      </c>
      <c r="K20" s="45"/>
      <c r="L20" s="44">
        <v>0.0007</v>
      </c>
      <c r="M20" s="45" t="s">
        <v>34</v>
      </c>
      <c r="N20" s="44">
        <v>0.002</v>
      </c>
      <c r="O20" s="45" t="s">
        <v>34</v>
      </c>
      <c r="P20" s="44">
        <v>0.002</v>
      </c>
      <c r="Q20" s="45" t="s">
        <v>34</v>
      </c>
      <c r="R20" s="44">
        <v>0.002</v>
      </c>
      <c r="S20" s="45"/>
      <c r="T20" s="44">
        <v>0.002</v>
      </c>
      <c r="U20" s="44"/>
      <c r="AD20" s="44"/>
      <c r="AE20" s="44"/>
      <c r="AF20" s="44"/>
      <c r="AG20" s="44"/>
      <c r="AH20" s="44"/>
      <c r="AI20" s="44"/>
      <c r="AR20" s="43"/>
      <c r="AS20" s="43"/>
      <c r="AT20" s="43"/>
      <c r="AU20" s="43"/>
      <c r="AV20" s="43"/>
      <c r="AW20" s="43"/>
      <c r="AX20" s="43"/>
      <c r="AY20" s="43"/>
    </row>
    <row r="21" spans="2:51" ht="12.75">
      <c r="B21" s="13" t="s">
        <v>196</v>
      </c>
      <c r="D21" s="13" t="s">
        <v>73</v>
      </c>
      <c r="E21" s="45"/>
      <c r="F21" s="44">
        <v>0.0001</v>
      </c>
      <c r="G21" s="45"/>
      <c r="H21" s="44">
        <v>0.00011</v>
      </c>
      <c r="I21" s="45"/>
      <c r="J21" s="44">
        <v>0.00012</v>
      </c>
      <c r="K21" s="45"/>
      <c r="L21" s="17">
        <v>0.00011</v>
      </c>
      <c r="M21" s="45"/>
      <c r="N21" s="44">
        <v>0.0021</v>
      </c>
      <c r="O21" s="45"/>
      <c r="P21" s="44">
        <v>0.0034</v>
      </c>
      <c r="Q21" s="45"/>
      <c r="R21" s="44">
        <v>0.0018</v>
      </c>
      <c r="S21" s="45"/>
      <c r="T21" s="44">
        <v>0.002</v>
      </c>
      <c r="U21" s="44"/>
      <c r="AD21" s="44"/>
      <c r="AE21" s="44"/>
      <c r="AF21" s="44"/>
      <c r="AG21" s="44"/>
      <c r="AH21" s="44"/>
      <c r="AI21" s="44"/>
      <c r="AL21" s="43">
        <v>0.7</v>
      </c>
      <c r="AN21" s="43">
        <v>0.7</v>
      </c>
      <c r="AP21" s="43">
        <v>0.7</v>
      </c>
      <c r="AR21" s="43">
        <v>0.7</v>
      </c>
      <c r="AS21" s="43"/>
      <c r="AT21" s="43"/>
      <c r="AU21" s="43"/>
      <c r="AV21" s="43"/>
      <c r="AW21" s="43"/>
      <c r="AX21" s="43"/>
      <c r="AY21" s="43"/>
    </row>
    <row r="22" spans="2:51" ht="12.75">
      <c r="B22" s="13" t="s">
        <v>171</v>
      </c>
      <c r="D22" s="13" t="s">
        <v>73</v>
      </c>
      <c r="E22" s="45"/>
      <c r="F22" s="44">
        <v>0.001</v>
      </c>
      <c r="G22" s="45"/>
      <c r="H22" s="44">
        <v>0.0019</v>
      </c>
      <c r="I22" s="45"/>
      <c r="J22" s="44">
        <v>0.001</v>
      </c>
      <c r="K22" s="45"/>
      <c r="L22" s="44">
        <v>0.0015</v>
      </c>
      <c r="M22" s="45" t="s">
        <v>34</v>
      </c>
      <c r="N22" s="44">
        <v>0.003</v>
      </c>
      <c r="O22" s="45" t="s">
        <v>34</v>
      </c>
      <c r="P22" s="44">
        <v>0.0072</v>
      </c>
      <c r="Q22" s="45" t="s">
        <v>34</v>
      </c>
      <c r="R22" s="44">
        <v>0.003</v>
      </c>
      <c r="S22" s="45"/>
      <c r="T22" s="44">
        <v>0.004</v>
      </c>
      <c r="U22" s="44"/>
      <c r="AD22" s="44"/>
      <c r="AE22" s="44"/>
      <c r="AF22" s="44"/>
      <c r="AG22" s="44"/>
      <c r="AH22" s="44"/>
      <c r="AI22" s="44"/>
      <c r="AJ22" s="45"/>
      <c r="AK22" s="45"/>
      <c r="AL22" s="45"/>
      <c r="AM22" s="45"/>
      <c r="AN22" s="45"/>
      <c r="AO22" s="45"/>
      <c r="AP22" s="45"/>
      <c r="AQ22" s="45"/>
      <c r="AR22" s="43"/>
      <c r="AS22" s="43"/>
      <c r="AT22" s="43"/>
      <c r="AU22" s="43"/>
      <c r="AV22" s="43"/>
      <c r="AW22" s="43"/>
      <c r="AX22" s="43"/>
      <c r="AY22" s="43"/>
    </row>
    <row r="23" spans="2:51" ht="12.75">
      <c r="B23" s="13" t="s">
        <v>172</v>
      </c>
      <c r="D23" s="13" t="s">
        <v>73</v>
      </c>
      <c r="E23" s="45" t="s">
        <v>34</v>
      </c>
      <c r="F23" s="44">
        <v>0.0005</v>
      </c>
      <c r="G23" s="45" t="s">
        <v>34</v>
      </c>
      <c r="H23" s="44">
        <v>0.0005</v>
      </c>
      <c r="I23" s="45" t="s">
        <v>34</v>
      </c>
      <c r="J23" s="44">
        <v>0.0005</v>
      </c>
      <c r="K23" s="45"/>
      <c r="L23" s="44">
        <v>0.0005</v>
      </c>
      <c r="M23" s="45" t="s">
        <v>34</v>
      </c>
      <c r="N23" s="44">
        <v>0.001</v>
      </c>
      <c r="O23" s="45" t="s">
        <v>34</v>
      </c>
      <c r="P23" s="44">
        <v>0.001</v>
      </c>
      <c r="Q23" s="45" t="s">
        <v>34</v>
      </c>
      <c r="R23" s="44">
        <v>0.001</v>
      </c>
      <c r="S23" s="45"/>
      <c r="T23" s="44">
        <v>0.001</v>
      </c>
      <c r="U23" s="44"/>
      <c r="AD23" s="44"/>
      <c r="AE23" s="44"/>
      <c r="AF23" s="44"/>
      <c r="AG23" s="44"/>
      <c r="AH23" s="44"/>
      <c r="AI23" s="44"/>
      <c r="AJ23" s="45"/>
      <c r="AK23" s="45"/>
      <c r="AL23" s="45"/>
      <c r="AM23" s="45"/>
      <c r="AN23" s="45"/>
      <c r="AO23" s="45"/>
      <c r="AP23" s="45"/>
      <c r="AQ23" s="45"/>
      <c r="AR23" s="43"/>
      <c r="AS23" s="43"/>
      <c r="AT23" s="43"/>
      <c r="AU23" s="43"/>
      <c r="AV23" s="43"/>
      <c r="AW23" s="43"/>
      <c r="AX23" s="43"/>
      <c r="AY23" s="43"/>
    </row>
    <row r="24" spans="2:51" ht="12.75">
      <c r="B24" s="13" t="s">
        <v>173</v>
      </c>
      <c r="D24" s="13" t="s">
        <v>73</v>
      </c>
      <c r="E24" s="45" t="s">
        <v>34</v>
      </c>
      <c r="F24" s="44">
        <v>0.003</v>
      </c>
      <c r="G24" s="45" t="s">
        <v>34</v>
      </c>
      <c r="H24" s="44">
        <v>0.003</v>
      </c>
      <c r="I24" s="45" t="s">
        <v>34</v>
      </c>
      <c r="J24" s="44">
        <v>0.003</v>
      </c>
      <c r="K24" s="45"/>
      <c r="L24" s="44">
        <v>0.003</v>
      </c>
      <c r="M24" s="45"/>
      <c r="N24" s="44">
        <v>0.014</v>
      </c>
      <c r="O24" s="45"/>
      <c r="P24" s="44">
        <v>0.033</v>
      </c>
      <c r="Q24" s="45"/>
      <c r="R24" s="44">
        <v>0.014</v>
      </c>
      <c r="S24" s="45"/>
      <c r="T24" s="44">
        <v>0.02</v>
      </c>
      <c r="U24" s="44"/>
      <c r="AD24" s="44"/>
      <c r="AE24" s="44"/>
      <c r="AF24" s="44"/>
      <c r="AG24" s="44"/>
      <c r="AH24" s="44"/>
      <c r="AI24" s="44"/>
      <c r="AJ24" s="45"/>
      <c r="AK24" s="45"/>
      <c r="AL24" s="45"/>
      <c r="AM24" s="45"/>
      <c r="AN24" s="45"/>
      <c r="AO24" s="45"/>
      <c r="AP24" s="45"/>
      <c r="AQ24" s="45"/>
      <c r="AR24" s="43"/>
      <c r="AS24" s="43"/>
      <c r="AT24" s="43"/>
      <c r="AU24" s="43"/>
      <c r="AV24" s="43"/>
      <c r="AW24" s="43"/>
      <c r="AX24" s="43"/>
      <c r="AY24" s="43"/>
    </row>
    <row r="25" spans="2:51" ht="12.75">
      <c r="B25" s="13" t="s">
        <v>174</v>
      </c>
      <c r="D25" s="13" t="s">
        <v>73</v>
      </c>
      <c r="E25" s="45" t="s">
        <v>34</v>
      </c>
      <c r="F25" s="44">
        <v>0.001</v>
      </c>
      <c r="G25" s="45" t="s">
        <v>34</v>
      </c>
      <c r="H25" s="44">
        <v>0.001</v>
      </c>
      <c r="I25" s="45" t="s">
        <v>34</v>
      </c>
      <c r="J25" s="44">
        <v>0.001</v>
      </c>
      <c r="K25" s="45"/>
      <c r="L25" s="44">
        <v>0.001</v>
      </c>
      <c r="M25" s="45" t="s">
        <v>34</v>
      </c>
      <c r="N25" s="44">
        <v>0.003</v>
      </c>
      <c r="O25" s="45" t="s">
        <v>34</v>
      </c>
      <c r="P25" s="44">
        <v>0.003</v>
      </c>
      <c r="Q25" s="45" t="s">
        <v>34</v>
      </c>
      <c r="R25" s="44">
        <v>0.003</v>
      </c>
      <c r="S25" s="45"/>
      <c r="T25" s="44">
        <v>0.003</v>
      </c>
      <c r="U25" s="44"/>
      <c r="AD25" s="44"/>
      <c r="AE25" s="44"/>
      <c r="AF25" s="44"/>
      <c r="AG25" s="44"/>
      <c r="AH25" s="44"/>
      <c r="AI25" s="44"/>
      <c r="AJ25" s="45"/>
      <c r="AK25" s="45"/>
      <c r="AL25" s="45"/>
      <c r="AM25" s="45"/>
      <c r="AN25" s="45"/>
      <c r="AO25" s="45"/>
      <c r="AP25" s="45"/>
      <c r="AQ25" s="45"/>
      <c r="AR25" s="43"/>
      <c r="AS25" s="43"/>
      <c r="AT25" s="43"/>
      <c r="AU25" s="43"/>
      <c r="AV25" s="43"/>
      <c r="AW25" s="43"/>
      <c r="AX25" s="43"/>
      <c r="AY25" s="43"/>
    </row>
    <row r="26" spans="2:51" ht="12.75">
      <c r="B26" s="13" t="s">
        <v>175</v>
      </c>
      <c r="D26" s="13" t="s">
        <v>73</v>
      </c>
      <c r="E26" s="45" t="s">
        <v>34</v>
      </c>
      <c r="F26" s="44">
        <v>0.0007</v>
      </c>
      <c r="G26" s="45" t="s">
        <v>34</v>
      </c>
      <c r="H26" s="44">
        <v>0.0006</v>
      </c>
      <c r="I26" s="45" t="s">
        <v>34</v>
      </c>
      <c r="J26" s="44">
        <v>0.0006</v>
      </c>
      <c r="K26" s="45"/>
      <c r="L26" s="44">
        <v>0.0007</v>
      </c>
      <c r="M26" s="45" t="s">
        <v>34</v>
      </c>
      <c r="N26" s="44">
        <v>0.002</v>
      </c>
      <c r="O26" s="45" t="s">
        <v>34</v>
      </c>
      <c r="P26" s="44">
        <v>0.002</v>
      </c>
      <c r="Q26" s="45" t="s">
        <v>34</v>
      </c>
      <c r="R26" s="44">
        <v>0.002</v>
      </c>
      <c r="S26" s="45"/>
      <c r="T26" s="44">
        <v>0.002</v>
      </c>
      <c r="U26" s="44"/>
      <c r="AD26" s="44"/>
      <c r="AE26" s="44"/>
      <c r="AF26" s="44"/>
      <c r="AG26" s="44"/>
      <c r="AH26" s="44"/>
      <c r="AI26" s="44"/>
      <c r="AJ26" s="45"/>
      <c r="AK26" s="45"/>
      <c r="AL26" s="45"/>
      <c r="AM26" s="45"/>
      <c r="AN26" s="45"/>
      <c r="AO26" s="45"/>
      <c r="AP26" s="45"/>
      <c r="AQ26" s="45"/>
      <c r="AR26" s="43"/>
      <c r="AS26" s="43"/>
      <c r="AT26" s="43"/>
      <c r="AU26" s="43"/>
      <c r="AV26" s="43"/>
      <c r="AW26" s="43"/>
      <c r="AX26" s="43"/>
      <c r="AY26" s="43"/>
    </row>
    <row r="27" spans="2:51" ht="12.75">
      <c r="B27" s="13" t="s">
        <v>176</v>
      </c>
      <c r="D27" s="13" t="s">
        <v>73</v>
      </c>
      <c r="E27" s="45" t="s">
        <v>34</v>
      </c>
      <c r="F27" s="44">
        <v>0.001</v>
      </c>
      <c r="G27" s="45" t="s">
        <v>34</v>
      </c>
      <c r="H27" s="44">
        <v>0.001</v>
      </c>
      <c r="I27" s="45" t="s">
        <v>34</v>
      </c>
      <c r="J27" s="44">
        <v>0.001</v>
      </c>
      <c r="K27" s="45"/>
      <c r="L27" s="44">
        <v>0.001</v>
      </c>
      <c r="M27" s="45" t="s">
        <v>34</v>
      </c>
      <c r="N27" s="44">
        <v>0.003</v>
      </c>
      <c r="O27" s="45" t="s">
        <v>34</v>
      </c>
      <c r="P27" s="44">
        <v>0.003</v>
      </c>
      <c r="Q27" s="45" t="s">
        <v>34</v>
      </c>
      <c r="R27" s="44">
        <v>0.003</v>
      </c>
      <c r="S27" s="45"/>
      <c r="T27" s="44">
        <v>0.003</v>
      </c>
      <c r="U27" s="44"/>
      <c r="AD27" s="44"/>
      <c r="AE27" s="44"/>
      <c r="AF27" s="44"/>
      <c r="AG27" s="44"/>
      <c r="AH27" s="44"/>
      <c r="AI27" s="44"/>
      <c r="AJ27" s="45"/>
      <c r="AK27" s="45"/>
      <c r="AL27" s="45"/>
      <c r="AM27" s="45"/>
      <c r="AN27" s="45"/>
      <c r="AO27" s="45"/>
      <c r="AP27" s="45"/>
      <c r="AQ27" s="45"/>
      <c r="AR27" s="43"/>
      <c r="AS27" s="43"/>
      <c r="AT27" s="43"/>
      <c r="AU27" s="43"/>
      <c r="AV27" s="43"/>
      <c r="AW27" s="43"/>
      <c r="AX27" s="43"/>
      <c r="AY27" s="43"/>
    </row>
    <row r="28" spans="2:51" ht="12.75">
      <c r="B28" s="13" t="s">
        <v>199</v>
      </c>
      <c r="D28" s="13" t="s">
        <v>73</v>
      </c>
      <c r="E28" s="45" t="s">
        <v>34</v>
      </c>
      <c r="F28" s="44">
        <v>0.0007</v>
      </c>
      <c r="G28" s="45" t="s">
        <v>34</v>
      </c>
      <c r="H28" s="44">
        <v>0.0006</v>
      </c>
      <c r="I28" s="45" t="s">
        <v>34</v>
      </c>
      <c r="J28" s="44">
        <v>0.0006</v>
      </c>
      <c r="K28" s="45"/>
      <c r="L28" s="44">
        <v>0.0007</v>
      </c>
      <c r="M28" s="45"/>
      <c r="N28" s="44">
        <v>0.0091</v>
      </c>
      <c r="O28" s="45"/>
      <c r="P28" s="44">
        <v>0.0089</v>
      </c>
      <c r="Q28" s="45"/>
      <c r="R28" s="44">
        <v>0.0089</v>
      </c>
      <c r="S28" s="45"/>
      <c r="T28" s="44">
        <v>0.008</v>
      </c>
      <c r="U28" s="44"/>
      <c r="AD28" s="44"/>
      <c r="AE28" s="44"/>
      <c r="AF28" s="44"/>
      <c r="AG28" s="44"/>
      <c r="AH28" s="44"/>
      <c r="AI28" s="44"/>
      <c r="AJ28" s="45"/>
      <c r="AK28" s="45"/>
      <c r="AL28" s="45"/>
      <c r="AM28" s="45"/>
      <c r="AN28" s="45"/>
      <c r="AO28" s="45"/>
      <c r="AP28" s="45"/>
      <c r="AQ28" s="45"/>
      <c r="AR28" s="43"/>
      <c r="AS28" s="43"/>
      <c r="AT28" s="43"/>
      <c r="AU28" s="43"/>
      <c r="AV28" s="43"/>
      <c r="AW28" s="43"/>
      <c r="AX28" s="43"/>
      <c r="AY28" s="43"/>
    </row>
    <row r="29" spans="5:51" ht="12.75">
      <c r="E29" s="45"/>
      <c r="F29" s="45"/>
      <c r="G29" s="45"/>
      <c r="H29" s="45"/>
      <c r="I29" s="45"/>
      <c r="J29" s="45"/>
      <c r="K29" s="45"/>
      <c r="M29" s="45"/>
      <c r="N29" s="45"/>
      <c r="O29" s="45"/>
      <c r="P29" s="45"/>
      <c r="Q29" s="45"/>
      <c r="R29" s="45"/>
      <c r="S29" s="45"/>
      <c r="T29" s="44"/>
      <c r="U29" s="44"/>
      <c r="AD29" s="44"/>
      <c r="AE29" s="44"/>
      <c r="AF29" s="44"/>
      <c r="AG29" s="44"/>
      <c r="AH29" s="44"/>
      <c r="AI29" s="44"/>
      <c r="AJ29" s="45"/>
      <c r="AK29" s="45"/>
      <c r="AL29" s="45"/>
      <c r="AM29" s="45"/>
      <c r="AN29" s="45"/>
      <c r="AO29" s="45"/>
      <c r="AP29" s="45"/>
      <c r="AQ29" s="45"/>
      <c r="AR29" s="43"/>
      <c r="AS29" s="43"/>
      <c r="AT29" s="43"/>
      <c r="AU29" s="43"/>
      <c r="AV29" s="43"/>
      <c r="AW29" s="43"/>
      <c r="AX29" s="43"/>
      <c r="AY29" s="43"/>
    </row>
    <row r="30" spans="2:51" ht="12.75">
      <c r="B30" s="13" t="s">
        <v>103</v>
      </c>
      <c r="D30" s="13" t="s">
        <v>22</v>
      </c>
      <c r="E30" s="45"/>
      <c r="F30" s="44">
        <f>emiss!G20</f>
        <v>15128</v>
      </c>
      <c r="G30" s="45"/>
      <c r="H30" s="44">
        <f>emiss!I20</f>
        <v>13747</v>
      </c>
      <c r="I30" s="45"/>
      <c r="J30" s="44">
        <f>emiss!K20</f>
        <v>14681</v>
      </c>
      <c r="K30" s="45"/>
      <c r="L30" s="44">
        <f>emiss!M20</f>
        <v>14519</v>
      </c>
      <c r="M30" s="45"/>
      <c r="N30" s="45">
        <v>15128</v>
      </c>
      <c r="O30" s="45"/>
      <c r="P30" s="45">
        <v>13747</v>
      </c>
      <c r="Q30" s="45"/>
      <c r="R30" s="45">
        <v>14681</v>
      </c>
      <c r="S30" s="45"/>
      <c r="T30" s="44">
        <v>14519</v>
      </c>
      <c r="U30" s="44"/>
      <c r="AD30" s="44"/>
      <c r="AE30" s="44"/>
      <c r="AF30" s="44"/>
      <c r="AG30" s="44"/>
      <c r="AH30" s="44"/>
      <c r="AI30" s="44"/>
      <c r="AJ30" s="45"/>
      <c r="AK30" s="45"/>
      <c r="AL30" s="45"/>
      <c r="AM30" s="45"/>
      <c r="AN30" s="45"/>
      <c r="AO30" s="45"/>
      <c r="AP30" s="45"/>
      <c r="AQ30" s="45"/>
      <c r="AR30" s="43"/>
      <c r="AS30" s="43"/>
      <c r="AT30" s="43"/>
      <c r="AU30" s="43"/>
      <c r="AV30" s="43"/>
      <c r="AW30" s="43"/>
      <c r="AX30" s="43"/>
      <c r="AY30" s="43"/>
    </row>
    <row r="31" spans="2:51" ht="12.75">
      <c r="B31" s="13" t="s">
        <v>104</v>
      </c>
      <c r="D31" s="13" t="s">
        <v>23</v>
      </c>
      <c r="E31" s="45"/>
      <c r="F31" s="44">
        <f>emiss!G21</f>
        <v>7.3</v>
      </c>
      <c r="G31" s="45"/>
      <c r="H31" s="44">
        <f>emiss!I21</f>
        <v>7.2</v>
      </c>
      <c r="I31" s="45"/>
      <c r="J31" s="44">
        <f>emiss!K21</f>
        <v>7.4</v>
      </c>
      <c r="K31" s="45"/>
      <c r="L31" s="44">
        <f>emiss!M21</f>
        <v>7.3</v>
      </c>
      <c r="M31" s="45"/>
      <c r="N31" s="45">
        <v>7.3</v>
      </c>
      <c r="O31" s="45"/>
      <c r="P31" s="45">
        <v>7.2</v>
      </c>
      <c r="Q31" s="45"/>
      <c r="R31" s="45">
        <v>7.4</v>
      </c>
      <c r="S31" s="45"/>
      <c r="T31" s="44">
        <v>7.3</v>
      </c>
      <c r="U31" s="44"/>
      <c r="AD31" s="44"/>
      <c r="AE31" s="44"/>
      <c r="AF31" s="44"/>
      <c r="AG31" s="44"/>
      <c r="AH31" s="44"/>
      <c r="AI31" s="44"/>
      <c r="AJ31" s="45"/>
      <c r="AK31" s="45"/>
      <c r="AL31" s="45"/>
      <c r="AM31" s="45"/>
      <c r="AN31" s="45"/>
      <c r="AO31" s="45"/>
      <c r="AP31" s="45"/>
      <c r="AQ31" s="45"/>
      <c r="AR31" s="43"/>
      <c r="AS31" s="43"/>
      <c r="AT31" s="43"/>
      <c r="AU31" s="43"/>
      <c r="AV31" s="43"/>
      <c r="AW31" s="43"/>
      <c r="AX31" s="43"/>
      <c r="AY31" s="43"/>
    </row>
    <row r="32" spans="5:51" ht="12.75">
      <c r="E32" s="45"/>
      <c r="F32" s="45"/>
      <c r="G32" s="45"/>
      <c r="H32" s="45"/>
      <c r="I32" s="45"/>
      <c r="J32" s="45"/>
      <c r="K32" s="45"/>
      <c r="M32" s="45"/>
      <c r="N32" s="45"/>
      <c r="O32" s="45"/>
      <c r="P32" s="45"/>
      <c r="Q32" s="45"/>
      <c r="R32" s="45"/>
      <c r="S32" s="45"/>
      <c r="T32" s="44"/>
      <c r="U32" s="44"/>
      <c r="AD32" s="44"/>
      <c r="AE32" s="44"/>
      <c r="AF32" s="44"/>
      <c r="AG32" s="44"/>
      <c r="AH32" s="44"/>
      <c r="AI32" s="44"/>
      <c r="AJ32" s="45"/>
      <c r="AK32" s="45"/>
      <c r="AL32" s="45"/>
      <c r="AM32" s="45"/>
      <c r="AN32" s="45"/>
      <c r="AO32" s="45"/>
      <c r="AP32" s="45"/>
      <c r="AQ32" s="45"/>
      <c r="AR32" s="43"/>
      <c r="AS32" s="43"/>
      <c r="AT32" s="43"/>
      <c r="AU32" s="43"/>
      <c r="AV32" s="43"/>
      <c r="AW32" s="43"/>
      <c r="AX32" s="43"/>
      <c r="AY32" s="43"/>
    </row>
    <row r="33" spans="2:52" ht="12.75">
      <c r="B33" s="13" t="s">
        <v>207</v>
      </c>
      <c r="D33" s="13" t="s">
        <v>75</v>
      </c>
      <c r="E33" s="45"/>
      <c r="F33" s="14">
        <f>(F10*F12)/1000000</f>
        <v>40.63728</v>
      </c>
      <c r="G33" s="45"/>
      <c r="H33" s="14">
        <f>(H10*H12)/1000000</f>
        <v>38.03648</v>
      </c>
      <c r="I33" s="45"/>
      <c r="J33" s="14">
        <f>(J10*J12)/1000000</f>
        <v>37.5985</v>
      </c>
      <c r="K33" s="45"/>
      <c r="L33" s="14">
        <f>(L10*L12)/1000000</f>
        <v>38.7492</v>
      </c>
      <c r="M33" s="14"/>
      <c r="N33" s="14">
        <f>(N10*N12)/1000000</f>
        <v>44.241714</v>
      </c>
      <c r="O33" s="14"/>
      <c r="P33" s="14">
        <f>(P10*P12)/1000000</f>
        <v>43.692483779999996</v>
      </c>
      <c r="Q33" s="14"/>
      <c r="R33" s="14">
        <f>(R10*R12)/1000000</f>
        <v>43.842813299999996</v>
      </c>
      <c r="S33" s="14"/>
      <c r="T33" s="14">
        <f>(T10*T12)/1000000</f>
        <v>43.925230799999994</v>
      </c>
      <c r="U33" s="14"/>
      <c r="V33" s="46">
        <f>SUM(F33,N33)</f>
        <v>84.878994</v>
      </c>
      <c r="X33" s="46">
        <f>SUM(H33,P33)</f>
        <v>81.72896377999999</v>
      </c>
      <c r="Z33" s="46">
        <f>SUM(J33,R33)</f>
        <v>81.44131329999999</v>
      </c>
      <c r="AB33" s="46">
        <f>SUM(L33,T33)</f>
        <v>82.6744308</v>
      </c>
      <c r="AD33" s="72">
        <f>AD10*20000/1000000</f>
        <v>0.042</v>
      </c>
      <c r="AE33" s="14"/>
      <c r="AF33" s="72">
        <f>AF10*20000/1000000</f>
        <v>0.042</v>
      </c>
      <c r="AG33" s="14"/>
      <c r="AH33" s="72">
        <f>AH10*20000/1000000</f>
        <v>0.042</v>
      </c>
      <c r="AI33" s="14"/>
      <c r="AJ33" s="72">
        <f>AJ10*20000/1000000</f>
        <v>0.042</v>
      </c>
      <c r="AK33" s="45"/>
      <c r="AM33" s="45"/>
      <c r="AO33" s="45"/>
      <c r="AQ33" s="45"/>
      <c r="AR33" s="43"/>
      <c r="AS33" s="43"/>
      <c r="AT33" s="1">
        <f>SUM(F33,N33,AD33)</f>
        <v>84.92099400000001</v>
      </c>
      <c r="AU33" s="43"/>
      <c r="AV33" s="1">
        <f>SUM(H33,P33,AF33)</f>
        <v>81.77096377999999</v>
      </c>
      <c r="AW33" s="43"/>
      <c r="AX33" s="1">
        <f>SUM(J33,R33,AH33)</f>
        <v>81.48331329999999</v>
      </c>
      <c r="AY33" s="43"/>
      <c r="AZ33" s="1">
        <f>SUM(L33,T33,AJ33)</f>
        <v>82.7164308</v>
      </c>
    </row>
    <row r="34" spans="2:52" ht="12.75">
      <c r="B34" s="13" t="s">
        <v>246</v>
      </c>
      <c r="D34" s="13" t="s">
        <v>75</v>
      </c>
      <c r="E34" s="45"/>
      <c r="F34" s="45"/>
      <c r="G34" s="45"/>
      <c r="H34" s="45"/>
      <c r="I34" s="45"/>
      <c r="J34" s="45"/>
      <c r="K34" s="45"/>
      <c r="L34" s="43"/>
      <c r="M34" s="14"/>
      <c r="N34" s="14"/>
      <c r="O34" s="14"/>
      <c r="P34" s="14"/>
      <c r="Q34" s="14"/>
      <c r="R34" s="14"/>
      <c r="S34" s="14"/>
      <c r="T34" s="14"/>
      <c r="U34" s="14"/>
      <c r="AD34" s="14"/>
      <c r="AE34" s="14"/>
      <c r="AF34" s="14"/>
      <c r="AG34" s="14"/>
      <c r="AH34" s="14"/>
      <c r="AI34" s="14"/>
      <c r="AJ34" s="45"/>
      <c r="AK34" s="45"/>
      <c r="AM34" s="45"/>
      <c r="AO34" s="45"/>
      <c r="AQ34" s="45"/>
      <c r="AR34" s="43"/>
      <c r="AS34" s="43"/>
      <c r="AT34" s="43"/>
      <c r="AU34" s="43"/>
      <c r="AV34" s="43"/>
      <c r="AW34" s="43"/>
      <c r="AX34" s="43"/>
      <c r="AY34" s="43"/>
      <c r="AZ34" s="1">
        <f>L30/9000*(21-L31)/21*60</f>
        <v>63.14612698412697</v>
      </c>
    </row>
    <row r="35" spans="5:52" ht="12.75">
      <c r="E35" s="45"/>
      <c r="F35" s="45"/>
      <c r="G35" s="45"/>
      <c r="H35" s="45"/>
      <c r="I35" s="45"/>
      <c r="J35" s="45"/>
      <c r="K35" s="45"/>
      <c r="L35" s="43"/>
      <c r="M35" s="14"/>
      <c r="N35" s="14"/>
      <c r="O35" s="14"/>
      <c r="P35" s="14"/>
      <c r="Q35" s="14"/>
      <c r="R35" s="14"/>
      <c r="S35" s="14"/>
      <c r="T35" s="14"/>
      <c r="U35" s="14"/>
      <c r="AD35" s="14"/>
      <c r="AE35" s="14"/>
      <c r="AF35" s="14"/>
      <c r="AG35" s="14"/>
      <c r="AH35" s="14"/>
      <c r="AI35" s="14"/>
      <c r="AJ35" s="45"/>
      <c r="AK35" s="45"/>
      <c r="AM35" s="45"/>
      <c r="AO35" s="45"/>
      <c r="AQ35" s="45"/>
      <c r="AR35" s="43"/>
      <c r="AS35" s="43"/>
      <c r="AT35" s="43"/>
      <c r="AU35" s="43"/>
      <c r="AV35" s="43"/>
      <c r="AW35" s="43"/>
      <c r="AX35" s="43"/>
      <c r="AY35" s="43"/>
      <c r="AZ35" s="1"/>
    </row>
    <row r="36" spans="2:52" ht="12.75">
      <c r="B36" s="67" t="s">
        <v>138</v>
      </c>
      <c r="C36" s="67"/>
      <c r="E36" s="45"/>
      <c r="F36" s="45"/>
      <c r="G36" s="45"/>
      <c r="H36" s="45"/>
      <c r="I36" s="45"/>
      <c r="J36" s="45"/>
      <c r="K36" s="45"/>
      <c r="L36" s="43"/>
      <c r="M36" s="14"/>
      <c r="N36" s="14"/>
      <c r="O36" s="14"/>
      <c r="P36" s="14"/>
      <c r="Q36" s="14"/>
      <c r="R36" s="14"/>
      <c r="S36" s="14"/>
      <c r="T36" s="14"/>
      <c r="U36" s="14"/>
      <c r="AD36" s="14"/>
      <c r="AE36" s="14"/>
      <c r="AF36" s="14"/>
      <c r="AG36" s="14"/>
      <c r="AH36" s="14"/>
      <c r="AI36" s="14"/>
      <c r="AJ36" s="45"/>
      <c r="AK36" s="45"/>
      <c r="AM36" s="45"/>
      <c r="AO36" s="45"/>
      <c r="AQ36" s="45"/>
      <c r="AR36" s="43"/>
      <c r="AS36" s="43"/>
      <c r="AT36" s="43"/>
      <c r="AU36" s="43"/>
      <c r="AV36" s="43"/>
      <c r="AW36" s="43"/>
      <c r="AX36" s="43"/>
      <c r="AY36" s="43"/>
      <c r="AZ36" s="1"/>
    </row>
    <row r="37" spans="2:52" ht="12.75">
      <c r="B37" s="13" t="s">
        <v>60</v>
      </c>
      <c r="D37" s="13" t="s">
        <v>101</v>
      </c>
      <c r="E37" s="45">
        <v>100</v>
      </c>
      <c r="F37" s="16">
        <f>(F14*454/(F$30*60*0.0283))*(14/(21-F$31))*1000</f>
        <v>0.3612219354709588</v>
      </c>
      <c r="G37" s="45">
        <v>100</v>
      </c>
      <c r="H37" s="16">
        <f>(H14*454/(H$30*60*0.0283))*(14/(21-H$31))*1000</f>
        <v>0.3946291656009474</v>
      </c>
      <c r="I37" s="45">
        <v>100</v>
      </c>
      <c r="J37" s="16">
        <f>(J14*454/(J$30*60*0.0283))*(14/(21-J$31))*1000</f>
        <v>0.3749571601415792</v>
      </c>
      <c r="K37" s="45"/>
      <c r="L37" s="14">
        <f aca="true" t="shared" si="0" ref="L37:L51">AVERAGE(F37,H37,J37)</f>
        <v>0.37693608707116183</v>
      </c>
      <c r="M37" s="16"/>
      <c r="N37" s="16">
        <f>(N14*454/(F$30*60*0.0283))*(14/(21-F$31))*1000</f>
        <v>34.31608386974109</v>
      </c>
      <c r="O37" s="16"/>
      <c r="P37" s="16">
        <f>(P14*454/(H$30*60*0.0283))*(14/(21-H$31))*1000</f>
        <v>37.48977073209001</v>
      </c>
      <c r="Q37" s="16"/>
      <c r="R37" s="16">
        <f>(R14*454/(J$30*60*0.0283))*(14/(21-J$31))*1000</f>
        <v>35.620930213450016</v>
      </c>
      <c r="S37" s="16"/>
      <c r="T37" s="14">
        <f aca="true" t="shared" si="1" ref="T37:T51">AVERAGE(N37,P37,R37)</f>
        <v>35.80892827176037</v>
      </c>
      <c r="U37" s="15">
        <f aca="true" t="shared" si="2" ref="U37:U51">(E37*F37+M37*N37)/V37</f>
        <v>1.0416666666666665</v>
      </c>
      <c r="V37" s="46">
        <f>F37+N37</f>
        <v>34.67730580521205</v>
      </c>
      <c r="W37" s="15">
        <f aca="true" t="shared" si="3" ref="W37:W51">(G37*H37+O37*P37)/X37</f>
        <v>1.0416666666666665</v>
      </c>
      <c r="X37" s="46">
        <f>H37+P37</f>
        <v>37.884399897690955</v>
      </c>
      <c r="Y37" s="15">
        <f aca="true" t="shared" si="4" ref="Y37:Y51">(I37*J37+Q37*R37)/Z37</f>
        <v>1.041666666666667</v>
      </c>
      <c r="Z37" s="46">
        <f>J37+R37</f>
        <v>35.99588737359159</v>
      </c>
      <c r="AA37" s="43">
        <f aca="true" t="shared" si="5" ref="AA37:AA51">AVERAGE(U37*V37,W37*X37,Y37*Z37)/AB37</f>
        <v>1.0416666666666667</v>
      </c>
      <c r="AB37" s="46">
        <f aca="true" t="shared" si="6" ref="AB37:AB51">AVERAGE(V37,X37,Z37)</f>
        <v>36.18586435883153</v>
      </c>
      <c r="AD37" s="16"/>
      <c r="AE37" s="16"/>
      <c r="AF37" s="16"/>
      <c r="AG37" s="16"/>
      <c r="AH37" s="16"/>
      <c r="AI37" s="16"/>
      <c r="AJ37" s="45"/>
      <c r="AK37" s="45"/>
      <c r="AL37" s="14">
        <f>(AL14*454/(F$30*60*0.0283))*(14/(21-F$31))*1000</f>
        <v>6718.727999759836</v>
      </c>
      <c r="AM37" s="45"/>
      <c r="AN37" s="14">
        <f>(AN14*454/(H$30*60*0.0283))*(14/(21-H$31))*1000</f>
        <v>7340.102480177623</v>
      </c>
      <c r="AO37" s="45"/>
      <c r="AP37" s="14">
        <f>(AP14*454/(J$30*60*0.0283))*(14/(21-J$31))*1000</f>
        <v>6974.203178633372</v>
      </c>
      <c r="AQ37" s="45"/>
      <c r="AR37" s="14">
        <f>(AR14*454/(L$30*60*0.0283))*(14/(21-L$31))*1000</f>
        <v>7000.545297910792</v>
      </c>
      <c r="AS37" s="74">
        <f aca="true" t="shared" si="7" ref="AS37:AS51">SUM(AK37*AL37,U37*V37)/AT37</f>
        <v>0.005348737697903293</v>
      </c>
      <c r="AT37" s="1">
        <f aca="true" t="shared" si="8" ref="AT37:AT51">SUM(AL37,AD37,V37)</f>
        <v>6753.405305565048</v>
      </c>
      <c r="AU37" s="74">
        <f aca="true" t="shared" si="9" ref="AU37:AU51">SUM(AM37*AN37,W37*X37)/AV37</f>
        <v>0.005348737697903294</v>
      </c>
      <c r="AV37" s="1">
        <f>SUM(AN37,AF37,X37)</f>
        <v>7377.986880075314</v>
      </c>
      <c r="AW37" s="74">
        <f aca="true" t="shared" si="10" ref="AW37:AW51">SUM(AO37*AP37,Y37*Z37)/AX37</f>
        <v>0.005348737697903296</v>
      </c>
      <c r="AX37" s="1">
        <f>SUM(AP37,AH37,Z37)</f>
        <v>7010.199066006963</v>
      </c>
      <c r="AY37" s="74">
        <f aca="true" t="shared" si="11" ref="AY37:AY51">SUM(AQ37*AR37,AA37*AB37)/AZ37</f>
        <v>0.005348737697903295</v>
      </c>
      <c r="AZ37" s="73">
        <f aca="true" t="shared" si="12" ref="AZ37:AZ54">AVERAGE(AT37,AV37,AX37)</f>
        <v>7047.197083882442</v>
      </c>
    </row>
    <row r="38" spans="2:52" ht="12.75">
      <c r="B38" s="13" t="s">
        <v>61</v>
      </c>
      <c r="D38" s="13" t="s">
        <v>102</v>
      </c>
      <c r="E38" s="45"/>
      <c r="F38" s="15">
        <f>(F15*454/(F$30*60*0.0283))*(14/(21-F$31))*1000000</f>
        <v>60179574.44946175</v>
      </c>
      <c r="G38" s="45"/>
      <c r="H38" s="15">
        <f>(H15*454/(H$30*60*0.0283))*(14/(21-H$31))*1000000</f>
        <v>61187252.126426905</v>
      </c>
      <c r="I38" s="45"/>
      <c r="J38" s="15">
        <f aca="true" t="shared" si="13" ref="J38:J51">(J15*454/(J$30*60*0.0283))*(14/(21-J$31))*1000000</f>
        <v>59299474.87639074</v>
      </c>
      <c r="K38" s="45"/>
      <c r="L38" s="15">
        <f t="shared" si="0"/>
        <v>60222100.48409313</v>
      </c>
      <c r="M38" s="15"/>
      <c r="N38" s="15">
        <f aca="true" t="shared" si="14" ref="N38:N51">(N15*454/(F$30*60*0.0283))*(14/(21-F$31))*1000000</f>
        <v>185258087.93531328</v>
      </c>
      <c r="O38" s="15"/>
      <c r="P38" s="15">
        <f aca="true" t="shared" si="15" ref="P38:P51">(P15*454/(H$30*60*0.0283))*(14/(21-H$31))*1000000</f>
        <v>202391487.0159299</v>
      </c>
      <c r="Q38" s="15"/>
      <c r="R38" s="15">
        <f aca="true" t="shared" si="16" ref="R38:R51">(R15*454/(J$30*60*0.0283))*(14/(21-J$31))*1000000</f>
        <v>192302403.93601096</v>
      </c>
      <c r="S38" s="15"/>
      <c r="T38" s="15">
        <f t="shared" si="1"/>
        <v>193317326.29575136</v>
      </c>
      <c r="U38" s="15">
        <f t="shared" si="2"/>
        <v>0</v>
      </c>
      <c r="V38" s="56">
        <f aca="true" t="shared" si="17" ref="V38:V51">F38+N38</f>
        <v>245437662.38477504</v>
      </c>
      <c r="W38" s="15">
        <f t="shared" si="3"/>
        <v>0</v>
      </c>
      <c r="X38" s="56">
        <f aca="true" t="shared" si="18" ref="X38:X51">H38+P38</f>
        <v>263578739.1423568</v>
      </c>
      <c r="Y38" s="15">
        <f t="shared" si="4"/>
        <v>0</v>
      </c>
      <c r="Z38" s="56">
        <f aca="true" t="shared" si="19" ref="Z38:Z51">J38+R38</f>
        <v>251601878.8124017</v>
      </c>
      <c r="AA38" s="43">
        <f t="shared" si="5"/>
        <v>0</v>
      </c>
      <c r="AB38" s="56">
        <f t="shared" si="6"/>
        <v>253539426.77984452</v>
      </c>
      <c r="AD38" s="15"/>
      <c r="AE38" s="15"/>
      <c r="AF38" s="15"/>
      <c r="AG38" s="15"/>
      <c r="AH38" s="15"/>
      <c r="AI38" s="15"/>
      <c r="AJ38" s="45"/>
      <c r="AK38" s="45"/>
      <c r="AL38" s="15">
        <f>(AL15*454/(F$30*60*0.0283))*(14/(21-F$31))*1000000</f>
        <v>4063746.774048288</v>
      </c>
      <c r="AM38" s="45"/>
      <c r="AN38" s="15">
        <f>(AN15*454/(H$30*60*0.0283))*(14/(21-H$31))*1000000</f>
        <v>4439578.113010659</v>
      </c>
      <c r="AO38" s="45"/>
      <c r="AP38" s="15">
        <f>(AP15*454/(J$30*60*0.0283))*(14/(21-J$31))*1000000</f>
        <v>4218268.051592765</v>
      </c>
      <c r="AQ38" s="45"/>
      <c r="AR38" s="15">
        <f>(AR15*454/(L$30*60*0.0283))*(14/(21-L$31))*1000000</f>
        <v>4234200.785026688</v>
      </c>
      <c r="AS38" s="74">
        <f t="shared" si="7"/>
        <v>0</v>
      </c>
      <c r="AT38" s="74">
        <f t="shared" si="8"/>
        <v>249501409.15882334</v>
      </c>
      <c r="AU38" s="74">
        <f t="shared" si="9"/>
        <v>0</v>
      </c>
      <c r="AV38" s="74">
        <f aca="true" t="shared" si="20" ref="AV38:AV51">SUM(AN38,AF38,X38)</f>
        <v>268018317.25536746</v>
      </c>
      <c r="AW38" s="74">
        <f t="shared" si="10"/>
        <v>0</v>
      </c>
      <c r="AX38" s="74">
        <f aca="true" t="shared" si="21" ref="AX38:AX51">SUM(AP38,AH38,Z38)</f>
        <v>255820146.86399448</v>
      </c>
      <c r="AY38" s="74">
        <f t="shared" si="11"/>
        <v>0</v>
      </c>
      <c r="AZ38" s="73">
        <f t="shared" si="12"/>
        <v>257779957.7593951</v>
      </c>
    </row>
    <row r="39" spans="2:52" ht="12.75">
      <c r="B39" s="13" t="s">
        <v>166</v>
      </c>
      <c r="D39" s="13" t="s">
        <v>102</v>
      </c>
      <c r="E39" s="45">
        <v>100</v>
      </c>
      <c r="F39" s="14">
        <f aca="true" t="shared" si="22" ref="F39:H51">(F16*454/(F$30*60*0.0283))*(14/(21-F$31))*1000000</f>
        <v>12.64276774148356</v>
      </c>
      <c r="G39" s="45">
        <v>100</v>
      </c>
      <c r="H39" s="14">
        <f t="shared" si="22"/>
        <v>11.838874968028424</v>
      </c>
      <c r="I39" s="45">
        <v>100</v>
      </c>
      <c r="J39" s="14">
        <f t="shared" si="13"/>
        <v>11.248714804247374</v>
      </c>
      <c r="K39" s="45"/>
      <c r="L39" s="14">
        <f t="shared" si="0"/>
        <v>11.91011917125312</v>
      </c>
      <c r="M39" s="45">
        <v>100</v>
      </c>
      <c r="N39" s="14">
        <f t="shared" si="14"/>
        <v>36.12219354709589</v>
      </c>
      <c r="O39" s="45">
        <v>100</v>
      </c>
      <c r="P39" s="14">
        <f t="shared" si="15"/>
        <v>39.462916560094754</v>
      </c>
      <c r="Q39" s="45">
        <v>100</v>
      </c>
      <c r="R39" s="14">
        <f t="shared" si="16"/>
        <v>37.495716014157914</v>
      </c>
      <c r="S39" s="45"/>
      <c r="T39" s="14">
        <f t="shared" si="1"/>
        <v>37.69360870711619</v>
      </c>
      <c r="U39" s="15">
        <f t="shared" si="2"/>
        <v>100</v>
      </c>
      <c r="V39" s="46">
        <f t="shared" si="17"/>
        <v>48.76496128857945</v>
      </c>
      <c r="W39" s="15">
        <f t="shared" si="3"/>
        <v>100</v>
      </c>
      <c r="X39" s="46">
        <f t="shared" si="18"/>
        <v>51.301791528123175</v>
      </c>
      <c r="Y39" s="15">
        <f t="shared" si="4"/>
        <v>100</v>
      </c>
      <c r="Z39" s="46">
        <f t="shared" si="19"/>
        <v>48.74443081840529</v>
      </c>
      <c r="AA39" s="43">
        <f t="shared" si="5"/>
        <v>100.00000000000001</v>
      </c>
      <c r="AB39" s="46">
        <f t="shared" si="6"/>
        <v>49.603727878369305</v>
      </c>
      <c r="AD39" s="14"/>
      <c r="AE39" s="14"/>
      <c r="AF39" s="14"/>
      <c r="AG39" s="14"/>
      <c r="AH39" s="14"/>
      <c r="AI39" s="14"/>
      <c r="AJ39" s="45"/>
      <c r="AK39" s="45"/>
      <c r="AM39" s="45"/>
      <c r="AO39" s="45"/>
      <c r="AQ39" s="45"/>
      <c r="AR39" s="43"/>
      <c r="AS39" s="74">
        <f t="shared" si="7"/>
        <v>100</v>
      </c>
      <c r="AT39" s="1">
        <f t="shared" si="8"/>
        <v>48.76496128857945</v>
      </c>
      <c r="AU39" s="74">
        <f t="shared" si="9"/>
        <v>100</v>
      </c>
      <c r="AV39" s="1">
        <f t="shared" si="20"/>
        <v>51.301791528123175</v>
      </c>
      <c r="AW39" s="74">
        <f t="shared" si="10"/>
        <v>100</v>
      </c>
      <c r="AX39" s="1">
        <f t="shared" si="21"/>
        <v>48.74443081840529</v>
      </c>
      <c r="AY39" s="74">
        <f t="shared" si="11"/>
        <v>100.00000000000001</v>
      </c>
      <c r="AZ39" s="73">
        <f t="shared" si="12"/>
        <v>49.603727878369305</v>
      </c>
    </row>
    <row r="40" spans="2:52" ht="12.75">
      <c r="B40" s="13" t="s">
        <v>167</v>
      </c>
      <c r="D40" s="13" t="s">
        <v>102</v>
      </c>
      <c r="E40" s="45">
        <v>100</v>
      </c>
      <c r="F40" s="14">
        <f t="shared" si="22"/>
        <v>9.030548386773972</v>
      </c>
      <c r="G40" s="45">
        <v>100</v>
      </c>
      <c r="H40" s="14">
        <f t="shared" si="22"/>
        <v>9.865729140023689</v>
      </c>
      <c r="I40" s="45">
        <v>100</v>
      </c>
      <c r="J40" s="14">
        <f t="shared" si="13"/>
        <v>9.373929003539478</v>
      </c>
      <c r="K40" s="45"/>
      <c r="L40" s="14">
        <f t="shared" si="0"/>
        <v>9.423402176779048</v>
      </c>
      <c r="M40" s="45">
        <v>100</v>
      </c>
      <c r="N40" s="14">
        <f t="shared" si="14"/>
        <v>18.061096773547945</v>
      </c>
      <c r="O40" s="45">
        <v>100</v>
      </c>
      <c r="P40" s="14">
        <f t="shared" si="15"/>
        <v>19.731458280047377</v>
      </c>
      <c r="Q40" s="45">
        <v>100</v>
      </c>
      <c r="R40" s="14">
        <f t="shared" si="16"/>
        <v>18.747858007078957</v>
      </c>
      <c r="S40" s="45"/>
      <c r="T40" s="14">
        <f t="shared" si="1"/>
        <v>18.846804353558095</v>
      </c>
      <c r="U40" s="15">
        <f t="shared" si="2"/>
        <v>100</v>
      </c>
      <c r="V40" s="46">
        <f t="shared" si="17"/>
        <v>27.091645160321917</v>
      </c>
      <c r="W40" s="15">
        <f t="shared" si="3"/>
        <v>100.00000000000001</v>
      </c>
      <c r="X40" s="46">
        <f t="shared" si="18"/>
        <v>29.597187420071066</v>
      </c>
      <c r="Y40" s="15">
        <f t="shared" si="4"/>
        <v>100.00000000000001</v>
      </c>
      <c r="Z40" s="46">
        <f t="shared" si="19"/>
        <v>28.121787010618434</v>
      </c>
      <c r="AA40" s="43">
        <f t="shared" si="5"/>
        <v>100.00000000000001</v>
      </c>
      <c r="AB40" s="46">
        <f t="shared" si="6"/>
        <v>28.270206530337138</v>
      </c>
      <c r="AD40" s="14"/>
      <c r="AE40" s="14"/>
      <c r="AF40" s="14"/>
      <c r="AG40" s="14"/>
      <c r="AH40" s="14"/>
      <c r="AI40" s="14"/>
      <c r="AJ40" s="45"/>
      <c r="AK40" s="45"/>
      <c r="AM40" s="45"/>
      <c r="AO40" s="45"/>
      <c r="AQ40" s="45"/>
      <c r="AR40" s="43"/>
      <c r="AS40" s="74">
        <f t="shared" si="7"/>
        <v>100</v>
      </c>
      <c r="AT40" s="1">
        <f t="shared" si="8"/>
        <v>27.091645160321917</v>
      </c>
      <c r="AU40" s="74">
        <f t="shared" si="9"/>
        <v>100.00000000000001</v>
      </c>
      <c r="AV40" s="1">
        <f t="shared" si="20"/>
        <v>29.597187420071066</v>
      </c>
      <c r="AW40" s="74">
        <f t="shared" si="10"/>
        <v>100.00000000000001</v>
      </c>
      <c r="AX40" s="1">
        <f t="shared" si="21"/>
        <v>28.121787010618434</v>
      </c>
      <c r="AY40" s="74">
        <f t="shared" si="11"/>
        <v>100.00000000000001</v>
      </c>
      <c r="AZ40" s="73">
        <f t="shared" si="12"/>
        <v>28.270206530337138</v>
      </c>
    </row>
    <row r="41" spans="2:52" ht="12.75">
      <c r="B41" s="13" t="s">
        <v>168</v>
      </c>
      <c r="D41" s="13" t="s">
        <v>102</v>
      </c>
      <c r="E41" s="45"/>
      <c r="F41" s="14">
        <f t="shared" si="22"/>
        <v>8.127493548096576</v>
      </c>
      <c r="G41" s="45"/>
      <c r="H41" s="14">
        <f t="shared" si="22"/>
        <v>8.089897894819423</v>
      </c>
      <c r="I41" s="45"/>
      <c r="J41" s="14">
        <f t="shared" si="13"/>
        <v>7.874100362973162</v>
      </c>
      <c r="K41" s="45"/>
      <c r="L41" s="14">
        <f t="shared" si="0"/>
        <v>8.03049726862972</v>
      </c>
      <c r="M41" s="45"/>
      <c r="N41" s="14">
        <f t="shared" si="14"/>
        <v>19.86720645090274</v>
      </c>
      <c r="O41" s="45"/>
      <c r="P41" s="14">
        <f t="shared" si="15"/>
        <v>21.704604108052113</v>
      </c>
      <c r="Q41" s="45"/>
      <c r="R41" s="14">
        <f t="shared" si="16"/>
        <v>20.622643807786854</v>
      </c>
      <c r="S41" s="45"/>
      <c r="T41" s="14">
        <f t="shared" si="1"/>
        <v>20.731484788913903</v>
      </c>
      <c r="U41" s="15">
        <f t="shared" si="2"/>
        <v>0</v>
      </c>
      <c r="V41" s="46">
        <f t="shared" si="17"/>
        <v>27.994699998999316</v>
      </c>
      <c r="W41" s="15">
        <f t="shared" si="3"/>
        <v>0</v>
      </c>
      <c r="X41" s="46">
        <f t="shared" si="18"/>
        <v>29.794502002871535</v>
      </c>
      <c r="Y41" s="15">
        <f t="shared" si="4"/>
        <v>0</v>
      </c>
      <c r="Z41" s="46">
        <f t="shared" si="19"/>
        <v>28.496744170760017</v>
      </c>
      <c r="AA41" s="43">
        <f t="shared" si="5"/>
        <v>0</v>
      </c>
      <c r="AB41" s="46">
        <f t="shared" si="6"/>
        <v>28.761982057543623</v>
      </c>
      <c r="AD41" s="14"/>
      <c r="AE41" s="14"/>
      <c r="AF41" s="14"/>
      <c r="AG41" s="14"/>
      <c r="AH41" s="14"/>
      <c r="AI41" s="14"/>
      <c r="AJ41" s="45"/>
      <c r="AK41" s="45"/>
      <c r="AM41" s="45"/>
      <c r="AO41" s="45"/>
      <c r="AQ41" s="45"/>
      <c r="AR41" s="43"/>
      <c r="AS41" s="74">
        <f t="shared" si="7"/>
        <v>0</v>
      </c>
      <c r="AT41" s="1">
        <f t="shared" si="8"/>
        <v>27.994699998999316</v>
      </c>
      <c r="AU41" s="74">
        <f t="shared" si="9"/>
        <v>0</v>
      </c>
      <c r="AV41" s="1">
        <f t="shared" si="20"/>
        <v>29.794502002871535</v>
      </c>
      <c r="AW41" s="74">
        <f t="shared" si="10"/>
        <v>0</v>
      </c>
      <c r="AX41" s="1">
        <f t="shared" si="21"/>
        <v>28.496744170760017</v>
      </c>
      <c r="AY41" s="74">
        <f t="shared" si="11"/>
        <v>0</v>
      </c>
      <c r="AZ41" s="73">
        <f t="shared" si="12"/>
        <v>28.761982057543623</v>
      </c>
    </row>
    <row r="42" spans="2:52" ht="12.75">
      <c r="B42" s="13" t="s">
        <v>169</v>
      </c>
      <c r="D42" s="13" t="s">
        <v>102</v>
      </c>
      <c r="E42" s="45">
        <v>100</v>
      </c>
      <c r="F42" s="14">
        <f t="shared" si="22"/>
        <v>3.612219354709589</v>
      </c>
      <c r="G42" s="45">
        <v>100</v>
      </c>
      <c r="H42" s="14">
        <f t="shared" si="22"/>
        <v>3.9462916560094747</v>
      </c>
      <c r="I42" s="45">
        <v>100</v>
      </c>
      <c r="J42" s="14">
        <f t="shared" si="13"/>
        <v>3.749571601415792</v>
      </c>
      <c r="K42" s="45"/>
      <c r="L42" s="14">
        <f t="shared" si="0"/>
        <v>3.7693608707116186</v>
      </c>
      <c r="M42" s="45">
        <v>100</v>
      </c>
      <c r="N42" s="14">
        <f t="shared" si="14"/>
        <v>7.224438709419178</v>
      </c>
      <c r="O42" s="45">
        <v>100</v>
      </c>
      <c r="P42" s="14">
        <f t="shared" si="15"/>
        <v>7.8925833120189495</v>
      </c>
      <c r="Q42" s="45">
        <v>100</v>
      </c>
      <c r="R42" s="14">
        <f t="shared" si="16"/>
        <v>7.499143202831584</v>
      </c>
      <c r="S42" s="45"/>
      <c r="T42" s="14">
        <f t="shared" si="1"/>
        <v>7.538721741423237</v>
      </c>
      <c r="U42" s="15">
        <f t="shared" si="2"/>
        <v>100</v>
      </c>
      <c r="V42" s="46">
        <f t="shared" si="17"/>
        <v>10.836658064128766</v>
      </c>
      <c r="W42" s="15">
        <f t="shared" si="3"/>
        <v>100</v>
      </c>
      <c r="X42" s="46">
        <f t="shared" si="18"/>
        <v>11.838874968028424</v>
      </c>
      <c r="Y42" s="15">
        <f t="shared" si="4"/>
        <v>100.00000000000001</v>
      </c>
      <c r="Z42" s="46">
        <f t="shared" si="19"/>
        <v>11.248714804247376</v>
      </c>
      <c r="AA42" s="43">
        <f t="shared" si="5"/>
        <v>100</v>
      </c>
      <c r="AB42" s="46">
        <f t="shared" si="6"/>
        <v>11.308082612134855</v>
      </c>
      <c r="AD42" s="14"/>
      <c r="AE42" s="14"/>
      <c r="AF42" s="14"/>
      <c r="AG42" s="14"/>
      <c r="AH42" s="14"/>
      <c r="AI42" s="14"/>
      <c r="AJ42" s="45"/>
      <c r="AK42" s="45"/>
      <c r="AM42" s="45"/>
      <c r="AO42" s="45"/>
      <c r="AQ42" s="45"/>
      <c r="AR42" s="43"/>
      <c r="AS42" s="74">
        <f t="shared" si="7"/>
        <v>100</v>
      </c>
      <c r="AT42" s="1">
        <f t="shared" si="8"/>
        <v>10.836658064128766</v>
      </c>
      <c r="AU42" s="74">
        <f t="shared" si="9"/>
        <v>100</v>
      </c>
      <c r="AV42" s="1">
        <f t="shared" si="20"/>
        <v>11.838874968028424</v>
      </c>
      <c r="AW42" s="74">
        <f t="shared" si="10"/>
        <v>100.00000000000001</v>
      </c>
      <c r="AX42" s="1">
        <f t="shared" si="21"/>
        <v>11.248714804247376</v>
      </c>
      <c r="AY42" s="74">
        <f t="shared" si="11"/>
        <v>100</v>
      </c>
      <c r="AZ42" s="73">
        <f t="shared" si="12"/>
        <v>11.308082612134855</v>
      </c>
    </row>
    <row r="43" spans="2:52" ht="12.75">
      <c r="B43" s="13" t="s">
        <v>170</v>
      </c>
      <c r="D43" s="13" t="s">
        <v>102</v>
      </c>
      <c r="E43" s="45">
        <v>100</v>
      </c>
      <c r="F43" s="14">
        <f t="shared" si="22"/>
        <v>12.64276774148356</v>
      </c>
      <c r="G43" s="45">
        <v>100</v>
      </c>
      <c r="H43" s="14">
        <f t="shared" si="22"/>
        <v>11.838874968028424</v>
      </c>
      <c r="I43" s="45">
        <v>100</v>
      </c>
      <c r="J43" s="14">
        <f t="shared" si="13"/>
        <v>11.248714804247374</v>
      </c>
      <c r="K43" s="45"/>
      <c r="L43" s="14">
        <f t="shared" si="0"/>
        <v>11.91011917125312</v>
      </c>
      <c r="M43" s="45">
        <v>100</v>
      </c>
      <c r="N43" s="14">
        <f t="shared" si="14"/>
        <v>36.12219354709589</v>
      </c>
      <c r="O43" s="45">
        <v>100</v>
      </c>
      <c r="P43" s="14">
        <f t="shared" si="15"/>
        <v>39.462916560094754</v>
      </c>
      <c r="Q43" s="45">
        <v>100</v>
      </c>
      <c r="R43" s="14">
        <f t="shared" si="16"/>
        <v>37.495716014157914</v>
      </c>
      <c r="S43" s="45"/>
      <c r="T43" s="14">
        <f t="shared" si="1"/>
        <v>37.69360870711619</v>
      </c>
      <c r="U43" s="15">
        <f t="shared" si="2"/>
        <v>100</v>
      </c>
      <c r="V43" s="46">
        <f t="shared" si="17"/>
        <v>48.76496128857945</v>
      </c>
      <c r="W43" s="15">
        <f t="shared" si="3"/>
        <v>100</v>
      </c>
      <c r="X43" s="46">
        <f t="shared" si="18"/>
        <v>51.301791528123175</v>
      </c>
      <c r="Y43" s="15">
        <f t="shared" si="4"/>
        <v>100</v>
      </c>
      <c r="Z43" s="46">
        <f t="shared" si="19"/>
        <v>48.74443081840529</v>
      </c>
      <c r="AA43" s="43">
        <f t="shared" si="5"/>
        <v>100.00000000000001</v>
      </c>
      <c r="AB43" s="46">
        <f t="shared" si="6"/>
        <v>49.603727878369305</v>
      </c>
      <c r="AD43" s="14"/>
      <c r="AE43" s="14"/>
      <c r="AF43" s="14"/>
      <c r="AG43" s="14"/>
      <c r="AH43" s="14"/>
      <c r="AI43" s="14"/>
      <c r="AJ43" s="45"/>
      <c r="AK43" s="45"/>
      <c r="AM43" s="45"/>
      <c r="AO43" s="45"/>
      <c r="AQ43" s="45"/>
      <c r="AR43" s="43"/>
      <c r="AS43" s="74">
        <f t="shared" si="7"/>
        <v>100</v>
      </c>
      <c r="AT43" s="1">
        <f t="shared" si="8"/>
        <v>48.76496128857945</v>
      </c>
      <c r="AU43" s="74">
        <f t="shared" si="9"/>
        <v>100</v>
      </c>
      <c r="AV43" s="1">
        <f t="shared" si="20"/>
        <v>51.301791528123175</v>
      </c>
      <c r="AW43" s="74">
        <f t="shared" si="10"/>
        <v>100</v>
      </c>
      <c r="AX43" s="1">
        <f t="shared" si="21"/>
        <v>48.74443081840529</v>
      </c>
      <c r="AY43" s="74">
        <f t="shared" si="11"/>
        <v>100.00000000000001</v>
      </c>
      <c r="AZ43" s="73">
        <f t="shared" si="12"/>
        <v>49.603727878369305</v>
      </c>
    </row>
    <row r="44" spans="2:52" ht="12.75">
      <c r="B44" s="13" t="s">
        <v>196</v>
      </c>
      <c r="D44" s="13" t="s">
        <v>102</v>
      </c>
      <c r="E44" s="45"/>
      <c r="F44" s="14">
        <f t="shared" si="22"/>
        <v>1.8061096773547944</v>
      </c>
      <c r="G44" s="45"/>
      <c r="H44" s="14">
        <f t="shared" si="22"/>
        <v>2.170460410805211</v>
      </c>
      <c r="I44" s="45"/>
      <c r="J44" s="14">
        <f t="shared" si="13"/>
        <v>2.249742960849475</v>
      </c>
      <c r="K44" s="45"/>
      <c r="L44" s="14">
        <f t="shared" si="0"/>
        <v>2.0754376830031602</v>
      </c>
      <c r="M44" s="45"/>
      <c r="N44" s="14">
        <f t="shared" si="14"/>
        <v>37.92830322445068</v>
      </c>
      <c r="O44" s="45"/>
      <c r="P44" s="14">
        <f t="shared" si="15"/>
        <v>67.08695815216106</v>
      </c>
      <c r="Q44" s="45"/>
      <c r="R44" s="14">
        <f t="shared" si="16"/>
        <v>33.74614441274212</v>
      </c>
      <c r="S44" s="45"/>
      <c r="T44" s="14">
        <f t="shared" si="1"/>
        <v>46.25380192978462</v>
      </c>
      <c r="U44" s="15">
        <f t="shared" si="2"/>
        <v>0</v>
      </c>
      <c r="V44" s="46">
        <f t="shared" si="17"/>
        <v>39.73441290180548</v>
      </c>
      <c r="W44" s="15">
        <f t="shared" si="3"/>
        <v>0</v>
      </c>
      <c r="X44" s="46">
        <f t="shared" si="18"/>
        <v>69.25741856296627</v>
      </c>
      <c r="Y44" s="15">
        <f t="shared" si="4"/>
        <v>0</v>
      </c>
      <c r="Z44" s="46">
        <f t="shared" si="19"/>
        <v>35.99588737359159</v>
      </c>
      <c r="AA44" s="43">
        <f t="shared" si="5"/>
        <v>0</v>
      </c>
      <c r="AB44" s="46">
        <f t="shared" si="6"/>
        <v>48.329239612787774</v>
      </c>
      <c r="AD44" s="14"/>
      <c r="AE44" s="14"/>
      <c r="AF44" s="14"/>
      <c r="AG44" s="14"/>
      <c r="AH44" s="14"/>
      <c r="AI44" s="14"/>
      <c r="AJ44" s="45"/>
      <c r="AK44" s="45"/>
      <c r="AL44" s="14">
        <f>(AL21*454/(F$30*60*0.0283))*(14/(21-F$31))*1000000</f>
        <v>12642.76774148356</v>
      </c>
      <c r="AM44" s="45"/>
      <c r="AN44" s="14">
        <f>(AN21*454/(H$30*60*0.0283))*(14/(21-H$31))*1000000</f>
        <v>13812.020796033159</v>
      </c>
      <c r="AO44" s="45"/>
      <c r="AP44" s="14">
        <f>(AP21*454/(J$30*60*0.0283))*(14/(21-J$31))*1000000</f>
        <v>13123.50060495527</v>
      </c>
      <c r="AQ44" s="45"/>
      <c r="AR44" s="14">
        <f>(AR21*454/(L$30*60*0.0283))*(14/(21-L$31))*1000000</f>
        <v>13173.069108971917</v>
      </c>
      <c r="AS44" s="74">
        <f t="shared" si="7"/>
        <v>0</v>
      </c>
      <c r="AT44" s="1">
        <f t="shared" si="8"/>
        <v>12682.502154385365</v>
      </c>
      <c r="AU44" s="74">
        <f t="shared" si="9"/>
        <v>0</v>
      </c>
      <c r="AV44" s="1">
        <f t="shared" si="20"/>
        <v>13881.278214596125</v>
      </c>
      <c r="AW44" s="74">
        <f t="shared" si="10"/>
        <v>0</v>
      </c>
      <c r="AX44" s="1">
        <f t="shared" si="21"/>
        <v>13159.496492328863</v>
      </c>
      <c r="AY44" s="74">
        <f t="shared" si="11"/>
        <v>0</v>
      </c>
      <c r="AZ44" s="73">
        <f t="shared" si="12"/>
        <v>13241.09228710345</v>
      </c>
    </row>
    <row r="45" spans="2:52" ht="12.75">
      <c r="B45" s="13" t="s">
        <v>171</v>
      </c>
      <c r="D45" s="13" t="s">
        <v>102</v>
      </c>
      <c r="E45" s="45"/>
      <c r="F45" s="14">
        <f t="shared" si="22"/>
        <v>18.061096773547945</v>
      </c>
      <c r="G45" s="45"/>
      <c r="H45" s="14">
        <f t="shared" si="22"/>
        <v>37.489770732090015</v>
      </c>
      <c r="I45" s="45"/>
      <c r="J45" s="14">
        <f t="shared" si="13"/>
        <v>18.747858007078957</v>
      </c>
      <c r="K45" s="45"/>
      <c r="L45" s="14">
        <f t="shared" si="0"/>
        <v>24.766241837572306</v>
      </c>
      <c r="M45" s="45">
        <v>100</v>
      </c>
      <c r="N45" s="14">
        <f t="shared" si="14"/>
        <v>54.183290320643835</v>
      </c>
      <c r="O45" s="45">
        <v>100</v>
      </c>
      <c r="P45" s="14">
        <f t="shared" si="15"/>
        <v>142.06649961634108</v>
      </c>
      <c r="Q45" s="45">
        <v>100</v>
      </c>
      <c r="R45" s="14">
        <f t="shared" si="16"/>
        <v>56.24357402123688</v>
      </c>
      <c r="S45" s="45"/>
      <c r="T45" s="14">
        <f t="shared" si="1"/>
        <v>84.16445465274059</v>
      </c>
      <c r="U45" s="15">
        <f t="shared" si="2"/>
        <v>75</v>
      </c>
      <c r="V45" s="46">
        <f t="shared" si="17"/>
        <v>72.24438709419178</v>
      </c>
      <c r="W45" s="15">
        <f t="shared" si="3"/>
        <v>79.12087912087911</v>
      </c>
      <c r="X45" s="46">
        <f t="shared" si="18"/>
        <v>179.5562703484311</v>
      </c>
      <c r="Y45" s="15">
        <f t="shared" si="4"/>
        <v>75</v>
      </c>
      <c r="Z45" s="46">
        <f t="shared" si="19"/>
        <v>74.99143202831584</v>
      </c>
      <c r="AA45" s="43">
        <f t="shared" si="5"/>
        <v>77.26422153210527</v>
      </c>
      <c r="AB45" s="46">
        <f t="shared" si="6"/>
        <v>108.93069649031291</v>
      </c>
      <c r="AD45" s="14"/>
      <c r="AE45" s="14"/>
      <c r="AF45" s="14"/>
      <c r="AG45" s="14"/>
      <c r="AH45" s="14"/>
      <c r="AI45" s="14"/>
      <c r="AJ45" s="45"/>
      <c r="AK45" s="45"/>
      <c r="AM45" s="45"/>
      <c r="AO45" s="45"/>
      <c r="AQ45" s="45"/>
      <c r="AR45" s="43"/>
      <c r="AS45" s="74">
        <f t="shared" si="7"/>
        <v>75</v>
      </c>
      <c r="AT45" s="1">
        <f t="shared" si="8"/>
        <v>72.24438709419178</v>
      </c>
      <c r="AU45" s="74">
        <f t="shared" si="9"/>
        <v>79.12087912087911</v>
      </c>
      <c r="AV45" s="1">
        <f t="shared" si="20"/>
        <v>179.5562703484311</v>
      </c>
      <c r="AW45" s="74">
        <f t="shared" si="10"/>
        <v>75</v>
      </c>
      <c r="AX45" s="1">
        <f t="shared" si="21"/>
        <v>74.99143202831584</v>
      </c>
      <c r="AY45" s="74">
        <f t="shared" si="11"/>
        <v>77.26422153210527</v>
      </c>
      <c r="AZ45" s="73">
        <f t="shared" si="12"/>
        <v>108.93069649031291</v>
      </c>
    </row>
    <row r="46" spans="2:52" ht="12.75">
      <c r="B46" s="13" t="s">
        <v>172</v>
      </c>
      <c r="D46" s="13" t="s">
        <v>102</v>
      </c>
      <c r="E46" s="45">
        <v>100</v>
      </c>
      <c r="F46" s="14">
        <f t="shared" si="22"/>
        <v>9.030548386773972</v>
      </c>
      <c r="G46" s="45">
        <v>100</v>
      </c>
      <c r="H46" s="14">
        <f t="shared" si="22"/>
        <v>9.865729140023689</v>
      </c>
      <c r="I46" s="45">
        <v>100</v>
      </c>
      <c r="J46" s="14">
        <f t="shared" si="13"/>
        <v>9.373929003539478</v>
      </c>
      <c r="K46" s="45"/>
      <c r="L46" s="14">
        <f t="shared" si="0"/>
        <v>9.423402176779048</v>
      </c>
      <c r="M46" s="45">
        <v>100</v>
      </c>
      <c r="N46" s="14">
        <f t="shared" si="14"/>
        <v>18.061096773547945</v>
      </c>
      <c r="O46" s="45">
        <v>100</v>
      </c>
      <c r="P46" s="14">
        <f t="shared" si="15"/>
        <v>19.731458280047377</v>
      </c>
      <c r="Q46" s="45">
        <v>100</v>
      </c>
      <c r="R46" s="14">
        <f t="shared" si="16"/>
        <v>18.747858007078957</v>
      </c>
      <c r="S46" s="45"/>
      <c r="T46" s="14">
        <f t="shared" si="1"/>
        <v>18.846804353558095</v>
      </c>
      <c r="U46" s="15">
        <f t="shared" si="2"/>
        <v>100</v>
      </c>
      <c r="V46" s="46">
        <f t="shared" si="17"/>
        <v>27.091645160321917</v>
      </c>
      <c r="W46" s="15">
        <f t="shared" si="3"/>
        <v>100.00000000000001</v>
      </c>
      <c r="X46" s="46">
        <f t="shared" si="18"/>
        <v>29.597187420071066</v>
      </c>
      <c r="Y46" s="15">
        <f t="shared" si="4"/>
        <v>100.00000000000001</v>
      </c>
      <c r="Z46" s="46">
        <f t="shared" si="19"/>
        <v>28.121787010618434</v>
      </c>
      <c r="AA46" s="43">
        <f t="shared" si="5"/>
        <v>100.00000000000001</v>
      </c>
      <c r="AB46" s="46">
        <f t="shared" si="6"/>
        <v>28.270206530337138</v>
      </c>
      <c r="AD46" s="14"/>
      <c r="AE46" s="14"/>
      <c r="AF46" s="14"/>
      <c r="AG46" s="14"/>
      <c r="AH46" s="14"/>
      <c r="AI46" s="14"/>
      <c r="AJ46" s="45"/>
      <c r="AK46" s="45"/>
      <c r="AM46" s="45"/>
      <c r="AO46" s="45"/>
      <c r="AQ46" s="45"/>
      <c r="AR46" s="43"/>
      <c r="AS46" s="74">
        <f t="shared" si="7"/>
        <v>100</v>
      </c>
      <c r="AT46" s="1">
        <f t="shared" si="8"/>
        <v>27.091645160321917</v>
      </c>
      <c r="AU46" s="74">
        <f t="shared" si="9"/>
        <v>100.00000000000001</v>
      </c>
      <c r="AV46" s="1">
        <f t="shared" si="20"/>
        <v>29.597187420071066</v>
      </c>
      <c r="AW46" s="74">
        <f t="shared" si="10"/>
        <v>100.00000000000001</v>
      </c>
      <c r="AX46" s="1">
        <f t="shared" si="21"/>
        <v>28.121787010618434</v>
      </c>
      <c r="AY46" s="74">
        <f t="shared" si="11"/>
        <v>100.00000000000001</v>
      </c>
      <c r="AZ46" s="73">
        <f t="shared" si="12"/>
        <v>28.270206530337138</v>
      </c>
    </row>
    <row r="47" spans="2:52" ht="12.75">
      <c r="B47" s="13" t="s">
        <v>173</v>
      </c>
      <c r="D47" s="13" t="s">
        <v>102</v>
      </c>
      <c r="E47" s="45">
        <v>100</v>
      </c>
      <c r="F47" s="14">
        <f t="shared" si="22"/>
        <v>54.183290320643835</v>
      </c>
      <c r="G47" s="45">
        <v>100</v>
      </c>
      <c r="H47" s="14">
        <f t="shared" si="22"/>
        <v>59.194374840142125</v>
      </c>
      <c r="I47" s="45">
        <v>100</v>
      </c>
      <c r="J47" s="14">
        <f t="shared" si="13"/>
        <v>56.24357402123688</v>
      </c>
      <c r="K47" s="45"/>
      <c r="L47" s="14">
        <f t="shared" si="0"/>
        <v>56.54041306067429</v>
      </c>
      <c r="M47" s="45"/>
      <c r="N47" s="14">
        <f t="shared" si="14"/>
        <v>252.8553548296712</v>
      </c>
      <c r="O47" s="45"/>
      <c r="P47" s="14">
        <f t="shared" si="15"/>
        <v>651.1381232415633</v>
      </c>
      <c r="Q47" s="45"/>
      <c r="R47" s="14">
        <f t="shared" si="16"/>
        <v>262.4700120991054</v>
      </c>
      <c r="S47" s="45"/>
      <c r="T47" s="14">
        <f t="shared" si="1"/>
        <v>388.8211633901133</v>
      </c>
      <c r="U47" s="15">
        <f t="shared" si="2"/>
        <v>17.647058823529417</v>
      </c>
      <c r="V47" s="46">
        <f t="shared" si="17"/>
        <v>307.038645150315</v>
      </c>
      <c r="W47" s="15">
        <f t="shared" si="3"/>
        <v>8.333333333333334</v>
      </c>
      <c r="X47" s="46">
        <f t="shared" si="18"/>
        <v>710.3324980817055</v>
      </c>
      <c r="Y47" s="15">
        <f t="shared" si="4"/>
        <v>17.647058823529413</v>
      </c>
      <c r="Z47" s="46">
        <f t="shared" si="19"/>
        <v>318.7135861203423</v>
      </c>
      <c r="AA47" s="43">
        <f t="shared" si="5"/>
        <v>12.695395393392674</v>
      </c>
      <c r="AB47" s="46">
        <f t="shared" si="6"/>
        <v>445.3615764507876</v>
      </c>
      <c r="AD47" s="14"/>
      <c r="AE47" s="14"/>
      <c r="AF47" s="14"/>
      <c r="AG47" s="14"/>
      <c r="AH47" s="14"/>
      <c r="AI47" s="14"/>
      <c r="AJ47" s="45"/>
      <c r="AK47" s="45"/>
      <c r="AM47" s="45"/>
      <c r="AO47" s="45"/>
      <c r="AQ47" s="45"/>
      <c r="AR47" s="43"/>
      <c r="AS47" s="74">
        <f t="shared" si="7"/>
        <v>17.647058823529417</v>
      </c>
      <c r="AT47" s="1">
        <f t="shared" si="8"/>
        <v>307.038645150315</v>
      </c>
      <c r="AU47" s="74">
        <f t="shared" si="9"/>
        <v>8.333333333333334</v>
      </c>
      <c r="AV47" s="1">
        <f t="shared" si="20"/>
        <v>710.3324980817055</v>
      </c>
      <c r="AW47" s="74">
        <f t="shared" si="10"/>
        <v>17.647058823529413</v>
      </c>
      <c r="AX47" s="1">
        <f t="shared" si="21"/>
        <v>318.7135861203423</v>
      </c>
      <c r="AY47" s="74">
        <f t="shared" si="11"/>
        <v>12.695395393392674</v>
      </c>
      <c r="AZ47" s="73">
        <f t="shared" si="12"/>
        <v>445.3615764507876</v>
      </c>
    </row>
    <row r="48" spans="2:52" ht="12.75">
      <c r="B48" s="13" t="s">
        <v>174</v>
      </c>
      <c r="D48" s="13" t="s">
        <v>102</v>
      </c>
      <c r="E48" s="45">
        <v>100</v>
      </c>
      <c r="F48" s="14">
        <f t="shared" si="22"/>
        <v>18.061096773547945</v>
      </c>
      <c r="G48" s="45">
        <v>100</v>
      </c>
      <c r="H48" s="14">
        <f t="shared" si="22"/>
        <v>19.731458280047377</v>
      </c>
      <c r="I48" s="45">
        <v>100</v>
      </c>
      <c r="J48" s="14">
        <f t="shared" si="13"/>
        <v>18.747858007078957</v>
      </c>
      <c r="K48" s="45"/>
      <c r="L48" s="14">
        <f t="shared" si="0"/>
        <v>18.846804353558095</v>
      </c>
      <c r="M48" s="45">
        <v>100</v>
      </c>
      <c r="N48" s="14">
        <f t="shared" si="14"/>
        <v>54.183290320643835</v>
      </c>
      <c r="O48" s="45">
        <v>100</v>
      </c>
      <c r="P48" s="14">
        <f t="shared" si="15"/>
        <v>59.194374840142125</v>
      </c>
      <c r="Q48" s="45">
        <v>100</v>
      </c>
      <c r="R48" s="14">
        <f t="shared" si="16"/>
        <v>56.24357402123688</v>
      </c>
      <c r="S48" s="45"/>
      <c r="T48" s="14">
        <f t="shared" si="1"/>
        <v>56.54041306067429</v>
      </c>
      <c r="U48" s="15">
        <f t="shared" si="2"/>
        <v>100</v>
      </c>
      <c r="V48" s="46">
        <f t="shared" si="17"/>
        <v>72.24438709419178</v>
      </c>
      <c r="W48" s="15">
        <f t="shared" si="3"/>
        <v>100</v>
      </c>
      <c r="X48" s="46">
        <f t="shared" si="18"/>
        <v>78.92583312018951</v>
      </c>
      <c r="Y48" s="15">
        <f t="shared" si="4"/>
        <v>100</v>
      </c>
      <c r="Z48" s="46">
        <f t="shared" si="19"/>
        <v>74.99143202831584</v>
      </c>
      <c r="AA48" s="43">
        <f t="shared" si="5"/>
        <v>99.99999999999999</v>
      </c>
      <c r="AB48" s="46">
        <f t="shared" si="6"/>
        <v>75.38721741423238</v>
      </c>
      <c r="AD48" s="14"/>
      <c r="AE48" s="14"/>
      <c r="AF48" s="14"/>
      <c r="AG48" s="14"/>
      <c r="AH48" s="14"/>
      <c r="AI48" s="14"/>
      <c r="AJ48" s="45"/>
      <c r="AK48" s="45"/>
      <c r="AM48" s="45"/>
      <c r="AO48" s="45"/>
      <c r="AQ48" s="45"/>
      <c r="AR48" s="43"/>
      <c r="AS48" s="74">
        <f t="shared" si="7"/>
        <v>100</v>
      </c>
      <c r="AT48" s="1">
        <f t="shared" si="8"/>
        <v>72.24438709419178</v>
      </c>
      <c r="AU48" s="74">
        <f t="shared" si="9"/>
        <v>100</v>
      </c>
      <c r="AV48" s="1">
        <f t="shared" si="20"/>
        <v>78.92583312018951</v>
      </c>
      <c r="AW48" s="74">
        <f t="shared" si="10"/>
        <v>100</v>
      </c>
      <c r="AX48" s="1">
        <f t="shared" si="21"/>
        <v>74.99143202831584</v>
      </c>
      <c r="AY48" s="74">
        <f t="shared" si="11"/>
        <v>99.99999999999999</v>
      </c>
      <c r="AZ48" s="73">
        <f t="shared" si="12"/>
        <v>75.38721741423238</v>
      </c>
    </row>
    <row r="49" spans="2:52" ht="12.75">
      <c r="B49" s="13" t="s">
        <v>175</v>
      </c>
      <c r="D49" s="13" t="s">
        <v>102</v>
      </c>
      <c r="E49" s="45">
        <v>100</v>
      </c>
      <c r="F49" s="14">
        <f t="shared" si="22"/>
        <v>12.64276774148356</v>
      </c>
      <c r="G49" s="45">
        <v>100</v>
      </c>
      <c r="H49" s="14">
        <f t="shared" si="22"/>
        <v>11.838874968028424</v>
      </c>
      <c r="I49" s="45">
        <v>100</v>
      </c>
      <c r="J49" s="14">
        <f t="shared" si="13"/>
        <v>11.248714804247374</v>
      </c>
      <c r="K49" s="45"/>
      <c r="L49" s="14">
        <f t="shared" si="0"/>
        <v>11.91011917125312</v>
      </c>
      <c r="M49" s="45">
        <v>100</v>
      </c>
      <c r="N49" s="14">
        <f t="shared" si="14"/>
        <v>36.12219354709589</v>
      </c>
      <c r="O49" s="45">
        <v>100</v>
      </c>
      <c r="P49" s="14">
        <f t="shared" si="15"/>
        <v>39.462916560094754</v>
      </c>
      <c r="Q49" s="45">
        <v>100</v>
      </c>
      <c r="R49" s="14">
        <f t="shared" si="16"/>
        <v>37.495716014157914</v>
      </c>
      <c r="S49" s="45"/>
      <c r="T49" s="14">
        <f t="shared" si="1"/>
        <v>37.69360870711619</v>
      </c>
      <c r="U49" s="15">
        <f t="shared" si="2"/>
        <v>100</v>
      </c>
      <c r="V49" s="46">
        <f t="shared" si="17"/>
        <v>48.76496128857945</v>
      </c>
      <c r="W49" s="15">
        <f t="shared" si="3"/>
        <v>100</v>
      </c>
      <c r="X49" s="46">
        <f t="shared" si="18"/>
        <v>51.301791528123175</v>
      </c>
      <c r="Y49" s="15">
        <f t="shared" si="4"/>
        <v>100</v>
      </c>
      <c r="Z49" s="46">
        <f t="shared" si="19"/>
        <v>48.74443081840529</v>
      </c>
      <c r="AA49" s="43">
        <f t="shared" si="5"/>
        <v>100.00000000000001</v>
      </c>
      <c r="AB49" s="46">
        <f t="shared" si="6"/>
        <v>49.603727878369305</v>
      </c>
      <c r="AD49" s="14"/>
      <c r="AE49" s="14"/>
      <c r="AF49" s="14"/>
      <c r="AG49" s="14"/>
      <c r="AH49" s="14"/>
      <c r="AI49" s="14"/>
      <c r="AJ49" s="45"/>
      <c r="AK49" s="45"/>
      <c r="AM49" s="45"/>
      <c r="AO49" s="45"/>
      <c r="AQ49" s="45"/>
      <c r="AR49" s="43"/>
      <c r="AS49" s="74">
        <f t="shared" si="7"/>
        <v>100</v>
      </c>
      <c r="AT49" s="1">
        <f t="shared" si="8"/>
        <v>48.76496128857945</v>
      </c>
      <c r="AU49" s="74">
        <f t="shared" si="9"/>
        <v>100</v>
      </c>
      <c r="AV49" s="1">
        <f t="shared" si="20"/>
        <v>51.301791528123175</v>
      </c>
      <c r="AW49" s="74">
        <f t="shared" si="10"/>
        <v>100</v>
      </c>
      <c r="AX49" s="1">
        <f t="shared" si="21"/>
        <v>48.74443081840529</v>
      </c>
      <c r="AY49" s="74">
        <f t="shared" si="11"/>
        <v>100.00000000000001</v>
      </c>
      <c r="AZ49" s="73">
        <f t="shared" si="12"/>
        <v>49.603727878369305</v>
      </c>
    </row>
    <row r="50" spans="2:52" ht="12.75">
      <c r="B50" s="13" t="s">
        <v>176</v>
      </c>
      <c r="D50" s="13" t="s">
        <v>102</v>
      </c>
      <c r="E50" s="45">
        <v>100</v>
      </c>
      <c r="F50" s="14">
        <f t="shared" si="22"/>
        <v>18.061096773547945</v>
      </c>
      <c r="G50" s="45">
        <v>100</v>
      </c>
      <c r="H50" s="14">
        <f t="shared" si="22"/>
        <v>19.731458280047377</v>
      </c>
      <c r="I50" s="45">
        <v>100</v>
      </c>
      <c r="J50" s="14">
        <f t="shared" si="13"/>
        <v>18.747858007078957</v>
      </c>
      <c r="K50" s="45"/>
      <c r="L50" s="14">
        <f t="shared" si="0"/>
        <v>18.846804353558095</v>
      </c>
      <c r="M50" s="45">
        <v>100</v>
      </c>
      <c r="N50" s="14">
        <f t="shared" si="14"/>
        <v>54.183290320643835</v>
      </c>
      <c r="O50" s="45">
        <v>100</v>
      </c>
      <c r="P50" s="14">
        <f t="shared" si="15"/>
        <v>59.194374840142125</v>
      </c>
      <c r="Q50" s="45">
        <v>100</v>
      </c>
      <c r="R50" s="14">
        <f t="shared" si="16"/>
        <v>56.24357402123688</v>
      </c>
      <c r="S50" s="45"/>
      <c r="T50" s="14">
        <f t="shared" si="1"/>
        <v>56.54041306067429</v>
      </c>
      <c r="U50" s="15">
        <f t="shared" si="2"/>
        <v>100</v>
      </c>
      <c r="V50" s="46">
        <f t="shared" si="17"/>
        <v>72.24438709419178</v>
      </c>
      <c r="W50" s="15">
        <f t="shared" si="3"/>
        <v>100</v>
      </c>
      <c r="X50" s="46">
        <f t="shared" si="18"/>
        <v>78.92583312018951</v>
      </c>
      <c r="Y50" s="15">
        <f t="shared" si="4"/>
        <v>100</v>
      </c>
      <c r="Z50" s="46">
        <f t="shared" si="19"/>
        <v>74.99143202831584</v>
      </c>
      <c r="AA50" s="43">
        <f t="shared" si="5"/>
        <v>99.99999999999999</v>
      </c>
      <c r="AB50" s="46">
        <f t="shared" si="6"/>
        <v>75.38721741423238</v>
      </c>
      <c r="AD50" s="14"/>
      <c r="AE50" s="14"/>
      <c r="AF50" s="14"/>
      <c r="AG50" s="14"/>
      <c r="AH50" s="14"/>
      <c r="AI50" s="14"/>
      <c r="AJ50" s="45"/>
      <c r="AK50" s="45"/>
      <c r="AM50" s="45"/>
      <c r="AO50" s="45"/>
      <c r="AQ50" s="45"/>
      <c r="AR50" s="43"/>
      <c r="AS50" s="74">
        <f t="shared" si="7"/>
        <v>100</v>
      </c>
      <c r="AT50" s="1">
        <f t="shared" si="8"/>
        <v>72.24438709419178</v>
      </c>
      <c r="AU50" s="74">
        <f t="shared" si="9"/>
        <v>100</v>
      </c>
      <c r="AV50" s="1">
        <f t="shared" si="20"/>
        <v>78.92583312018951</v>
      </c>
      <c r="AW50" s="74">
        <f t="shared" si="10"/>
        <v>100</v>
      </c>
      <c r="AX50" s="1">
        <f t="shared" si="21"/>
        <v>74.99143202831584</v>
      </c>
      <c r="AY50" s="74">
        <f t="shared" si="11"/>
        <v>99.99999999999999</v>
      </c>
      <c r="AZ50" s="73">
        <f t="shared" si="12"/>
        <v>75.38721741423238</v>
      </c>
    </row>
    <row r="51" spans="2:52" ht="12.75">
      <c r="B51" s="13" t="s">
        <v>199</v>
      </c>
      <c r="D51" s="13" t="s">
        <v>102</v>
      </c>
      <c r="E51" s="45">
        <v>100</v>
      </c>
      <c r="F51" s="14">
        <f t="shared" si="22"/>
        <v>12.64276774148356</v>
      </c>
      <c r="G51" s="45">
        <v>100</v>
      </c>
      <c r="H51" s="14">
        <f t="shared" si="22"/>
        <v>11.838874968028424</v>
      </c>
      <c r="I51" s="45">
        <v>100</v>
      </c>
      <c r="J51" s="14">
        <f t="shared" si="13"/>
        <v>11.248714804247374</v>
      </c>
      <c r="K51" s="45"/>
      <c r="L51" s="14">
        <f t="shared" si="0"/>
        <v>11.91011917125312</v>
      </c>
      <c r="M51" s="45"/>
      <c r="N51" s="14">
        <f t="shared" si="14"/>
        <v>164.35598063928632</v>
      </c>
      <c r="O51" s="45"/>
      <c r="P51" s="14">
        <f t="shared" si="15"/>
        <v>175.60997869242158</v>
      </c>
      <c r="Q51" s="45"/>
      <c r="R51" s="14">
        <f t="shared" si="16"/>
        <v>166.8559362630027</v>
      </c>
      <c r="S51" s="45"/>
      <c r="T51" s="14">
        <f t="shared" si="1"/>
        <v>168.9406318649035</v>
      </c>
      <c r="U51" s="15">
        <f t="shared" si="2"/>
        <v>7.1428571428571415</v>
      </c>
      <c r="V51" s="46">
        <f t="shared" si="17"/>
        <v>176.99874838076988</v>
      </c>
      <c r="W51" s="15">
        <f t="shared" si="3"/>
        <v>6.315789473684212</v>
      </c>
      <c r="X51" s="46">
        <f t="shared" si="18"/>
        <v>187.44885366045</v>
      </c>
      <c r="Y51" s="15">
        <f t="shared" si="4"/>
        <v>6.3157894736842115</v>
      </c>
      <c r="Z51" s="46">
        <f t="shared" si="19"/>
        <v>178.10465106725007</v>
      </c>
      <c r="AA51" s="43">
        <f t="shared" si="5"/>
        <v>6.585606696691011</v>
      </c>
      <c r="AB51" s="46">
        <f t="shared" si="6"/>
        <v>180.85075103615665</v>
      </c>
      <c r="AD51" s="14"/>
      <c r="AE51" s="14"/>
      <c r="AF51" s="14"/>
      <c r="AG51" s="14"/>
      <c r="AH51" s="14"/>
      <c r="AI51" s="14"/>
      <c r="AJ51" s="45"/>
      <c r="AK51" s="45"/>
      <c r="AM51" s="45"/>
      <c r="AO51" s="45"/>
      <c r="AQ51" s="45"/>
      <c r="AR51" s="43"/>
      <c r="AS51" s="74">
        <f t="shared" si="7"/>
        <v>7.1428571428571415</v>
      </c>
      <c r="AT51" s="1">
        <f t="shared" si="8"/>
        <v>176.99874838076988</v>
      </c>
      <c r="AU51" s="74">
        <f t="shared" si="9"/>
        <v>6.315789473684212</v>
      </c>
      <c r="AV51" s="1">
        <f t="shared" si="20"/>
        <v>187.44885366045</v>
      </c>
      <c r="AW51" s="74">
        <f t="shared" si="10"/>
        <v>6.3157894736842115</v>
      </c>
      <c r="AX51" s="1">
        <f t="shared" si="21"/>
        <v>178.10465106725007</v>
      </c>
      <c r="AY51" s="74">
        <f t="shared" si="11"/>
        <v>6.585606696691011</v>
      </c>
      <c r="AZ51" s="73">
        <f t="shared" si="12"/>
        <v>180.85075103615665</v>
      </c>
    </row>
    <row r="52" spans="5:52" ht="12.75">
      <c r="E52" s="45"/>
      <c r="F52" s="14"/>
      <c r="G52" s="45"/>
      <c r="H52" s="14"/>
      <c r="I52" s="45"/>
      <c r="J52" s="14"/>
      <c r="K52" s="45"/>
      <c r="L52" s="14"/>
      <c r="M52" s="45"/>
      <c r="N52" s="14"/>
      <c r="O52" s="45"/>
      <c r="P52" s="14"/>
      <c r="Q52" s="45"/>
      <c r="R52" s="14"/>
      <c r="S52" s="45"/>
      <c r="T52" s="14"/>
      <c r="U52" s="15"/>
      <c r="V52" s="46"/>
      <c r="X52" s="46"/>
      <c r="Z52" s="46"/>
      <c r="AB52" s="46"/>
      <c r="AD52" s="14"/>
      <c r="AE52" s="14"/>
      <c r="AF52" s="14"/>
      <c r="AG52" s="14"/>
      <c r="AH52" s="14"/>
      <c r="AI52" s="14"/>
      <c r="AJ52" s="45"/>
      <c r="AK52" s="45"/>
      <c r="AM52" s="45"/>
      <c r="AO52" s="45"/>
      <c r="AQ52" s="45"/>
      <c r="AR52" s="43"/>
      <c r="AS52" s="43"/>
      <c r="AT52" s="1"/>
      <c r="AU52" s="14"/>
      <c r="AV52" s="1"/>
      <c r="AW52" s="14"/>
      <c r="AX52" s="1"/>
      <c r="AY52" s="14"/>
      <c r="AZ52" s="1"/>
    </row>
    <row r="53" spans="2:52" ht="12.75">
      <c r="B53" s="13" t="s">
        <v>98</v>
      </c>
      <c r="D53" s="13" t="s">
        <v>102</v>
      </c>
      <c r="E53" s="45"/>
      <c r="F53" s="14">
        <f>(F43+F45)</f>
        <v>30.703864515031505</v>
      </c>
      <c r="G53" s="45"/>
      <c r="H53" s="14">
        <f>(H43+H45)</f>
        <v>49.32864570011844</v>
      </c>
      <c r="I53" s="45"/>
      <c r="J53" s="14">
        <f>(J43+J45)</f>
        <v>29.99657281132633</v>
      </c>
      <c r="K53" s="45"/>
      <c r="L53" s="14">
        <f>(L43+L45)</f>
        <v>36.676361008825424</v>
      </c>
      <c r="M53" s="14"/>
      <c r="N53" s="14">
        <f>(N43+N45)</f>
        <v>90.30548386773972</v>
      </c>
      <c r="O53" s="14"/>
      <c r="P53" s="14">
        <f>(P43+P45)</f>
        <v>181.52941617643583</v>
      </c>
      <c r="Q53" s="14"/>
      <c r="R53" s="14">
        <f>(R43+R45)</f>
        <v>93.73929003539479</v>
      </c>
      <c r="S53" s="14"/>
      <c r="T53" s="14">
        <f>(T43+T45)</f>
        <v>121.85806335985677</v>
      </c>
      <c r="U53" s="15">
        <f>(U43*V43+U45*V45)/V53</f>
        <v>85.07462686567165</v>
      </c>
      <c r="V53" s="14">
        <f>(V43+V45)</f>
        <v>121.00934838277124</v>
      </c>
      <c r="W53" s="15">
        <f>(W43*X43+W45*X45)/X53</f>
        <v>83.76068376068375</v>
      </c>
      <c r="X53" s="14">
        <f>(X43+X45)</f>
        <v>230.85806187655427</v>
      </c>
      <c r="Y53" s="15">
        <f>(Y43*Z43+Y45*Z45)/Z53</f>
        <v>84.84848484848484</v>
      </c>
      <c r="Z53" s="14">
        <f>(Z43+Z45)</f>
        <v>123.73586284672113</v>
      </c>
      <c r="AA53" s="15">
        <f>(AA43*AB43+AA45*AB45)/AB53</f>
        <v>84.37800374511922</v>
      </c>
      <c r="AB53" s="46">
        <f>AVERAGE(V53,X53,Z53)</f>
        <v>158.53442436868224</v>
      </c>
      <c r="AD53" s="14"/>
      <c r="AE53" s="14"/>
      <c r="AF53" s="14"/>
      <c r="AG53" s="14"/>
      <c r="AH53" s="14"/>
      <c r="AI53" s="14"/>
      <c r="AJ53" s="45"/>
      <c r="AK53" s="45"/>
      <c r="AM53" s="45"/>
      <c r="AO53" s="45"/>
      <c r="AQ53" s="45"/>
      <c r="AR53" s="43"/>
      <c r="AS53" s="15">
        <f>(AS43*AT43+AS45*AT45)/AT53</f>
        <v>85.07462686567165</v>
      </c>
      <c r="AT53" s="1">
        <f>SUM(AL53,AD53,V53)</f>
        <v>121.00934838277124</v>
      </c>
      <c r="AU53" s="15">
        <f>(AU43*AV43+AU45*AV45)/AV53</f>
        <v>83.76068376068375</v>
      </c>
      <c r="AV53" s="1">
        <f>SUM(AN53,AF53,X53)</f>
        <v>230.85806187655427</v>
      </c>
      <c r="AW53" s="15">
        <f>(AW43*AX43+AW45*AX45)/AX53</f>
        <v>84.84848484848484</v>
      </c>
      <c r="AX53" s="1">
        <f>SUM(AP53,AH53,Z53)</f>
        <v>123.73586284672113</v>
      </c>
      <c r="AY53" s="15">
        <f>(AY43*AZ43+AY45*AZ45)/AZ53</f>
        <v>84.37800374511922</v>
      </c>
      <c r="AZ53" s="73">
        <f t="shared" si="12"/>
        <v>158.53442436868224</v>
      </c>
    </row>
    <row r="54" spans="2:52" ht="12.75">
      <c r="B54" s="13" t="s">
        <v>99</v>
      </c>
      <c r="D54" s="13" t="s">
        <v>102</v>
      </c>
      <c r="E54" s="45"/>
      <c r="F54" s="14">
        <f>(F40+F42+F44)</f>
        <v>14.448877418838356</v>
      </c>
      <c r="G54" s="45"/>
      <c r="H54" s="14">
        <f>(H40+H42+H44)</f>
        <v>15.982481206838374</v>
      </c>
      <c r="I54" s="45"/>
      <c r="J54" s="14">
        <f>(J40+J42+J44)</f>
        <v>15.373243565804746</v>
      </c>
      <c r="K54" s="45"/>
      <c r="L54" s="14">
        <f>(L40+L42+L44)</f>
        <v>15.268200730493827</v>
      </c>
      <c r="M54" s="14"/>
      <c r="N54" s="14">
        <f>(N40+N42+N44)</f>
        <v>63.21383870741781</v>
      </c>
      <c r="O54" s="14"/>
      <c r="P54" s="14">
        <f>(P40+P42+P44)</f>
        <v>94.7109997442274</v>
      </c>
      <c r="Q54" s="14"/>
      <c r="R54" s="14">
        <f>(R40+R42+R44)</f>
        <v>59.99314562265266</v>
      </c>
      <c r="S54" s="14"/>
      <c r="T54" s="14">
        <f>(T40+T42+T44)</f>
        <v>72.63932802476596</v>
      </c>
      <c r="U54" s="15">
        <f>(U40*V40+U42*V42+U44*V44)/V54</f>
        <v>48.83720930232558</v>
      </c>
      <c r="V54" s="14">
        <f>(V40+V42+V44)</f>
        <v>77.66271612625616</v>
      </c>
      <c r="W54" s="15">
        <f>(W40*X40+W42*X42+W44*X44)/X54</f>
        <v>37.433155080213915</v>
      </c>
      <c r="X54" s="14">
        <f>(X40+X42+X44)</f>
        <v>110.69348095106575</v>
      </c>
      <c r="Y54" s="15">
        <f>(Y40*Z40+Y42*Z42+Y44*Z44)/Z54</f>
        <v>52.23880597014926</v>
      </c>
      <c r="Z54" s="14">
        <f>(Z40+Z42+Z44)</f>
        <v>75.3663891884574</v>
      </c>
      <c r="AA54" s="15">
        <f>(AA40*AB40+AA42*AB42+AA44*AB44)/AB54</f>
        <v>45.02263879202032</v>
      </c>
      <c r="AB54" s="46">
        <f>AVERAGE(V54,X54,Z54)</f>
        <v>87.90752875525976</v>
      </c>
      <c r="AD54" s="14"/>
      <c r="AE54" s="14"/>
      <c r="AF54" s="14"/>
      <c r="AG54" s="14"/>
      <c r="AH54" s="14"/>
      <c r="AI54" s="14"/>
      <c r="AJ54" s="45"/>
      <c r="AK54" s="45"/>
      <c r="AL54" s="46">
        <f>AL44</f>
        <v>12642.76774148356</v>
      </c>
      <c r="AM54" s="45"/>
      <c r="AN54" s="46">
        <f>AN44</f>
        <v>13812.020796033159</v>
      </c>
      <c r="AO54" s="45"/>
      <c r="AP54" s="46">
        <f>AP44</f>
        <v>13123.50060495527</v>
      </c>
      <c r="AQ54" s="45"/>
      <c r="AR54" s="46">
        <f>AR44</f>
        <v>13173.069108971917</v>
      </c>
      <c r="AS54" s="15">
        <f>(AS40*AT40+AS42*AT42+AS44*AT44)/AT54</f>
        <v>0.2981683941502201</v>
      </c>
      <c r="AT54" s="1">
        <f>SUM(AL54,AD54,V54)</f>
        <v>12720.430457609817</v>
      </c>
      <c r="AU54" s="15">
        <f>(AU40*AV40+AU42*AV42+AU44*AV44)/AV54</f>
        <v>0.2976148297218011</v>
      </c>
      <c r="AV54" s="1">
        <f>SUM(AN54,AF54,X54)</f>
        <v>13922.714276984225</v>
      </c>
      <c r="AW54" s="15">
        <f>(AW40*AX40+AW42*AX42+AW44*AX44)/AX54</f>
        <v>0.298286980483509</v>
      </c>
      <c r="AX54" s="1">
        <f>SUM(AP54,AH54,Z54)</f>
        <v>13198.866994143727</v>
      </c>
      <c r="AY54" s="15">
        <f>(AY40*AZ40+AY42*AZ42+AY44*AZ44)/AZ54</f>
        <v>0.29801423742309013</v>
      </c>
      <c r="AZ54" s="73">
        <f t="shared" si="12"/>
        <v>13280.670576245922</v>
      </c>
    </row>
    <row r="55" spans="5:35" ht="12.75">
      <c r="E55" s="45"/>
      <c r="F55" s="45"/>
      <c r="G55" s="45"/>
      <c r="H55" s="45"/>
      <c r="I55" s="45"/>
      <c r="J55" s="45"/>
      <c r="K55" s="45"/>
      <c r="M55" s="45"/>
      <c r="N55" s="45"/>
      <c r="O55" s="45"/>
      <c r="P55" s="45"/>
      <c r="Q55" s="45"/>
      <c r="R55" s="45"/>
      <c r="S55" s="45"/>
      <c r="T55" s="44"/>
      <c r="U55" s="44"/>
      <c r="V55" s="44"/>
      <c r="W55" s="44"/>
      <c r="X55" s="44"/>
      <c r="Y55" s="44"/>
      <c r="Z55" s="44"/>
      <c r="AA55" s="44"/>
      <c r="AB55" s="45"/>
      <c r="AC55" s="45"/>
      <c r="AD55" s="45"/>
      <c r="AE55" s="45"/>
      <c r="AF55" s="45"/>
      <c r="AG55" s="45"/>
      <c r="AH55" s="45"/>
      <c r="AI55" s="45"/>
    </row>
    <row r="56" spans="5:35" ht="12.75">
      <c r="E56" s="45"/>
      <c r="F56" s="45"/>
      <c r="G56" s="45"/>
      <c r="H56" s="45"/>
      <c r="I56" s="45"/>
      <c r="J56" s="45"/>
      <c r="K56" s="45"/>
      <c r="M56" s="45"/>
      <c r="N56" s="45"/>
      <c r="O56" s="45"/>
      <c r="P56" s="45"/>
      <c r="Q56" s="45"/>
      <c r="R56" s="45"/>
      <c r="S56" s="45"/>
      <c r="T56" s="44"/>
      <c r="U56" s="44"/>
      <c r="V56" s="44"/>
      <c r="W56" s="44"/>
      <c r="X56" s="44"/>
      <c r="Y56" s="44"/>
      <c r="Z56" s="44"/>
      <c r="AA56" s="44"/>
      <c r="AB56" s="45"/>
      <c r="AC56" s="45"/>
      <c r="AD56" s="45"/>
      <c r="AE56" s="45"/>
      <c r="AF56" s="45"/>
      <c r="AG56" s="45"/>
      <c r="AH56" s="45"/>
      <c r="AI56" s="45"/>
    </row>
    <row r="57" spans="5:35" ht="12.75">
      <c r="E57" s="45"/>
      <c r="F57" s="45"/>
      <c r="G57" s="45"/>
      <c r="H57" s="45"/>
      <c r="I57" s="45"/>
      <c r="J57" s="45"/>
      <c r="K57" s="45"/>
      <c r="M57" s="45"/>
      <c r="N57" s="45"/>
      <c r="O57" s="45"/>
      <c r="P57" s="45"/>
      <c r="Q57" s="45"/>
      <c r="R57" s="45"/>
      <c r="S57" s="45"/>
      <c r="T57" s="44"/>
      <c r="U57" s="44"/>
      <c r="V57" s="44"/>
      <c r="W57" s="44"/>
      <c r="X57" s="44"/>
      <c r="Y57" s="44"/>
      <c r="Z57" s="44"/>
      <c r="AA57" s="44"/>
      <c r="AB57" s="45"/>
      <c r="AC57" s="45"/>
      <c r="AD57" s="45"/>
      <c r="AE57" s="45"/>
      <c r="AF57" s="45"/>
      <c r="AG57" s="45"/>
      <c r="AH57" s="45"/>
      <c r="AI57" s="45"/>
    </row>
    <row r="58" spans="1:36" ht="12.75">
      <c r="A58" s="43" t="s">
        <v>206</v>
      </c>
      <c r="B58" s="42" t="s">
        <v>202</v>
      </c>
      <c r="C58" s="42" t="s">
        <v>203</v>
      </c>
      <c r="F58" s="43" t="s">
        <v>220</v>
      </c>
      <c r="H58" s="43" t="s">
        <v>221</v>
      </c>
      <c r="J58" s="43" t="s">
        <v>222</v>
      </c>
      <c r="L58" s="44" t="s">
        <v>54</v>
      </c>
      <c r="N58" s="43" t="s">
        <v>220</v>
      </c>
      <c r="P58" s="43" t="s">
        <v>221</v>
      </c>
      <c r="R58" s="43" t="s">
        <v>222</v>
      </c>
      <c r="T58" s="44" t="s">
        <v>54</v>
      </c>
      <c r="U58" s="44"/>
      <c r="V58" s="43" t="s">
        <v>220</v>
      </c>
      <c r="X58" s="43" t="s">
        <v>221</v>
      </c>
      <c r="Z58" s="43" t="s">
        <v>222</v>
      </c>
      <c r="AB58" s="44" t="s">
        <v>54</v>
      </c>
      <c r="AD58" s="43" t="s">
        <v>220</v>
      </c>
      <c r="AF58" s="43" t="s">
        <v>221</v>
      </c>
      <c r="AH58" s="43" t="s">
        <v>222</v>
      </c>
      <c r="AJ58" s="44" t="s">
        <v>54</v>
      </c>
    </row>
    <row r="60" spans="2:36" ht="12.75">
      <c r="B60" s="13" t="s">
        <v>235</v>
      </c>
      <c r="F60" s="43" t="s">
        <v>237</v>
      </c>
      <c r="H60" s="43" t="s">
        <v>237</v>
      </c>
      <c r="J60" s="43" t="s">
        <v>237</v>
      </c>
      <c r="L60" s="43" t="s">
        <v>237</v>
      </c>
      <c r="N60" s="43" t="s">
        <v>240</v>
      </c>
      <c r="P60" s="43" t="s">
        <v>240</v>
      </c>
      <c r="R60" s="43" t="s">
        <v>240</v>
      </c>
      <c r="T60" s="43" t="s">
        <v>240</v>
      </c>
      <c r="V60" s="43" t="s">
        <v>239</v>
      </c>
      <c r="X60" s="43" t="s">
        <v>239</v>
      </c>
      <c r="Z60" s="43" t="s">
        <v>239</v>
      </c>
      <c r="AB60" s="43" t="s">
        <v>239</v>
      </c>
      <c r="AD60" s="43" t="s">
        <v>242</v>
      </c>
      <c r="AF60" s="43" t="s">
        <v>242</v>
      </c>
      <c r="AH60" s="43" t="s">
        <v>242</v>
      </c>
      <c r="AJ60" s="43" t="s">
        <v>242</v>
      </c>
    </row>
    <row r="61" spans="2:36" ht="12.75">
      <c r="B61" s="13" t="s">
        <v>236</v>
      </c>
      <c r="F61" s="43" t="s">
        <v>238</v>
      </c>
      <c r="H61" s="43" t="s">
        <v>238</v>
      </c>
      <c r="J61" s="43" t="s">
        <v>238</v>
      </c>
      <c r="L61" s="43" t="s">
        <v>238</v>
      </c>
      <c r="N61" s="43" t="s">
        <v>241</v>
      </c>
      <c r="P61" s="43" t="s">
        <v>241</v>
      </c>
      <c r="R61" s="43" t="s">
        <v>241</v>
      </c>
      <c r="T61" s="43" t="s">
        <v>241</v>
      </c>
      <c r="V61" s="43" t="s">
        <v>94</v>
      </c>
      <c r="X61" s="43" t="s">
        <v>94</v>
      </c>
      <c r="Z61" s="43" t="s">
        <v>94</v>
      </c>
      <c r="AB61" s="43" t="s">
        <v>94</v>
      </c>
      <c r="AD61" s="43" t="s">
        <v>30</v>
      </c>
      <c r="AF61" s="43" t="s">
        <v>30</v>
      </c>
      <c r="AH61" s="43" t="s">
        <v>30</v>
      </c>
      <c r="AJ61" s="43" t="s">
        <v>30</v>
      </c>
    </row>
    <row r="62" spans="2:36" ht="12.75">
      <c r="B62" s="13" t="s">
        <v>244</v>
      </c>
      <c r="F62" s="24" t="s">
        <v>97</v>
      </c>
      <c r="H62" s="24" t="s">
        <v>97</v>
      </c>
      <c r="J62" s="24" t="s">
        <v>97</v>
      </c>
      <c r="L62" s="24" t="s">
        <v>97</v>
      </c>
      <c r="N62" s="24" t="s">
        <v>245</v>
      </c>
      <c r="P62" s="24" t="s">
        <v>245</v>
      </c>
      <c r="R62" s="24" t="s">
        <v>245</v>
      </c>
      <c r="T62" s="24" t="s">
        <v>245</v>
      </c>
      <c r="V62" s="24" t="s">
        <v>94</v>
      </c>
      <c r="X62" s="24" t="s">
        <v>94</v>
      </c>
      <c r="Y62" s="24"/>
      <c r="Z62" s="24" t="s">
        <v>94</v>
      </c>
      <c r="AB62" s="24" t="s">
        <v>94</v>
      </c>
      <c r="AD62" s="24" t="s">
        <v>30</v>
      </c>
      <c r="AF62" s="24" t="s">
        <v>30</v>
      </c>
      <c r="AH62" s="24" t="s">
        <v>30</v>
      </c>
      <c r="AI62" s="24"/>
      <c r="AJ62" s="24" t="s">
        <v>30</v>
      </c>
    </row>
    <row r="63" spans="2:36" ht="12.75">
      <c r="B63" s="13" t="s">
        <v>55</v>
      </c>
      <c r="F63" s="44" t="s">
        <v>88</v>
      </c>
      <c r="H63" s="44" t="s">
        <v>88</v>
      </c>
      <c r="J63" s="44" t="s">
        <v>88</v>
      </c>
      <c r="L63" s="44" t="s">
        <v>88</v>
      </c>
      <c r="M63" s="45"/>
      <c r="N63" s="44" t="s">
        <v>84</v>
      </c>
      <c r="O63" s="45"/>
      <c r="P63" s="44" t="s">
        <v>84</v>
      </c>
      <c r="Q63" s="45"/>
      <c r="R63" s="44" t="s">
        <v>84</v>
      </c>
      <c r="S63" s="45"/>
      <c r="T63" s="44" t="s">
        <v>84</v>
      </c>
      <c r="U63" s="44"/>
      <c r="V63" s="44" t="s">
        <v>94</v>
      </c>
      <c r="W63" s="44"/>
      <c r="X63" s="44" t="s">
        <v>94</v>
      </c>
      <c r="Y63" s="44"/>
      <c r="Z63" s="44" t="s">
        <v>94</v>
      </c>
      <c r="AA63" s="44"/>
      <c r="AB63" s="44" t="s">
        <v>94</v>
      </c>
      <c r="AC63" s="44"/>
      <c r="AD63" s="43" t="s">
        <v>30</v>
      </c>
      <c r="AE63" s="44"/>
      <c r="AF63" s="43" t="s">
        <v>30</v>
      </c>
      <c r="AG63" s="44"/>
      <c r="AH63" s="43" t="s">
        <v>30</v>
      </c>
      <c r="AI63" s="44"/>
      <c r="AJ63" s="43" t="s">
        <v>30</v>
      </c>
    </row>
    <row r="64" spans="2:28" ht="12.75">
      <c r="B64" s="13" t="s">
        <v>208</v>
      </c>
      <c r="D64" s="13" t="s">
        <v>73</v>
      </c>
      <c r="F64" s="43">
        <v>5650</v>
      </c>
      <c r="H64" s="43">
        <v>5205</v>
      </c>
      <c r="J64" s="43">
        <v>5348</v>
      </c>
      <c r="L64" s="14">
        <v>5401</v>
      </c>
      <c r="N64" s="46">
        <v>0.3</v>
      </c>
      <c r="P64" s="46">
        <v>0.3</v>
      </c>
      <c r="R64" s="46">
        <v>0.3</v>
      </c>
      <c r="T64" s="46">
        <v>0.3</v>
      </c>
      <c r="U64" s="46"/>
      <c r="V64" s="43">
        <v>500</v>
      </c>
      <c r="W64" s="46"/>
      <c r="X64" s="43">
        <v>500</v>
      </c>
      <c r="Y64" s="46"/>
      <c r="Z64" s="43">
        <v>500</v>
      </c>
      <c r="AA64" s="46"/>
      <c r="AB64" s="43">
        <v>500</v>
      </c>
    </row>
    <row r="65" spans="2:27" ht="12.75">
      <c r="B65" s="13" t="s">
        <v>62</v>
      </c>
      <c r="D65" s="13" t="s">
        <v>63</v>
      </c>
      <c r="F65" s="44">
        <v>1</v>
      </c>
      <c r="H65" s="44">
        <v>1</v>
      </c>
      <c r="J65" s="44">
        <v>1</v>
      </c>
      <c r="L65" s="44">
        <v>1</v>
      </c>
      <c r="T65" s="44"/>
      <c r="U65" s="44"/>
      <c r="W65" s="44"/>
      <c r="Y65" s="44"/>
      <c r="AA65" s="44"/>
    </row>
    <row r="66" spans="2:12" ht="12.75">
      <c r="B66" s="13" t="s">
        <v>57</v>
      </c>
      <c r="D66" s="13" t="s">
        <v>58</v>
      </c>
      <c r="F66" s="14">
        <v>7413.3</v>
      </c>
      <c r="H66" s="14">
        <v>7413.3</v>
      </c>
      <c r="J66" s="14">
        <v>7413.3</v>
      </c>
      <c r="L66" s="14">
        <v>7413.3</v>
      </c>
    </row>
    <row r="67" spans="2:19" ht="12.75">
      <c r="B67" s="13" t="s">
        <v>74</v>
      </c>
      <c r="D67" s="13" t="s">
        <v>89</v>
      </c>
      <c r="E67" s="45"/>
      <c r="F67" s="44">
        <v>1.14</v>
      </c>
      <c r="G67" s="45"/>
      <c r="H67" s="44">
        <v>1.14</v>
      </c>
      <c r="I67" s="45"/>
      <c r="J67" s="44">
        <v>1.14</v>
      </c>
      <c r="K67" s="45"/>
      <c r="L67" s="44">
        <v>1.14</v>
      </c>
      <c r="M67" s="45"/>
      <c r="N67" s="45"/>
      <c r="O67" s="45"/>
      <c r="P67" s="45"/>
      <c r="Q67" s="45"/>
      <c r="R67" s="45"/>
      <c r="S67" s="45"/>
    </row>
    <row r="68" spans="2:19" ht="12.75">
      <c r="B68" s="13" t="s">
        <v>60</v>
      </c>
      <c r="D68" s="13" t="s">
        <v>73</v>
      </c>
      <c r="E68" s="45" t="s">
        <v>34</v>
      </c>
      <c r="F68" s="16">
        <v>0.02</v>
      </c>
      <c r="G68" s="45"/>
      <c r="H68" s="16">
        <v>0.02</v>
      </c>
      <c r="I68" s="45"/>
      <c r="J68" s="16">
        <v>0.02</v>
      </c>
      <c r="K68" s="45"/>
      <c r="L68" s="16">
        <v>0.02</v>
      </c>
      <c r="M68" s="45"/>
      <c r="N68" s="45"/>
      <c r="O68" s="45"/>
      <c r="P68" s="45"/>
      <c r="Q68" s="45"/>
      <c r="R68" s="45"/>
      <c r="S68" s="45"/>
    </row>
    <row r="69" spans="2:28" ht="12.75">
      <c r="B69" s="13" t="s">
        <v>61</v>
      </c>
      <c r="D69" s="13" t="s">
        <v>73</v>
      </c>
      <c r="E69" s="45"/>
      <c r="F69" s="14">
        <v>3446</v>
      </c>
      <c r="G69" s="45"/>
      <c r="H69" s="14">
        <v>3123</v>
      </c>
      <c r="I69" s="45"/>
      <c r="J69" s="14">
        <v>3155</v>
      </c>
      <c r="K69" s="45"/>
      <c r="L69" s="14">
        <v>3241.3</v>
      </c>
      <c r="M69" s="45"/>
      <c r="N69" s="45"/>
      <c r="O69" s="45"/>
      <c r="P69" s="45"/>
      <c r="Q69" s="45"/>
      <c r="R69" s="45"/>
      <c r="S69" s="45"/>
      <c r="V69" s="43">
        <v>158</v>
      </c>
      <c r="X69" s="43">
        <v>158</v>
      </c>
      <c r="Z69" s="43">
        <v>158</v>
      </c>
      <c r="AB69" s="43">
        <v>158</v>
      </c>
    </row>
    <row r="70" spans="2:19" ht="12.75">
      <c r="B70" s="13" t="s">
        <v>166</v>
      </c>
      <c r="D70" s="13" t="s">
        <v>73</v>
      </c>
      <c r="E70" s="45" t="s">
        <v>34</v>
      </c>
      <c r="F70" s="44">
        <v>0.0007</v>
      </c>
      <c r="G70" s="44"/>
      <c r="H70" s="44">
        <v>0.0006</v>
      </c>
      <c r="I70" s="44"/>
      <c r="J70" s="44">
        <v>0.0006</v>
      </c>
      <c r="K70" s="45"/>
      <c r="L70" s="44">
        <v>0.0007</v>
      </c>
      <c r="M70" s="45"/>
      <c r="N70" s="45"/>
      <c r="O70" s="45"/>
      <c r="P70" s="45"/>
      <c r="Q70" s="45"/>
      <c r="R70" s="45"/>
      <c r="S70" s="45"/>
    </row>
    <row r="71" spans="2:19" ht="12.75">
      <c r="B71" s="13" t="s">
        <v>167</v>
      </c>
      <c r="D71" s="13" t="s">
        <v>73</v>
      </c>
      <c r="E71" s="45" t="s">
        <v>34</v>
      </c>
      <c r="F71" s="44">
        <v>0.0005</v>
      </c>
      <c r="G71" s="44"/>
      <c r="H71" s="44">
        <v>0.005</v>
      </c>
      <c r="I71" s="44"/>
      <c r="J71" s="44">
        <v>0.0005</v>
      </c>
      <c r="K71" s="45"/>
      <c r="L71" s="44">
        <v>0.0006</v>
      </c>
      <c r="M71" s="45"/>
      <c r="N71" s="45"/>
      <c r="O71" s="45"/>
      <c r="P71" s="45"/>
      <c r="Q71" s="45"/>
      <c r="R71" s="45"/>
      <c r="S71" s="45"/>
    </row>
    <row r="72" spans="2:19" ht="12.75">
      <c r="B72" s="13" t="s">
        <v>168</v>
      </c>
      <c r="D72" s="13" t="s">
        <v>73</v>
      </c>
      <c r="E72" s="45"/>
      <c r="F72" s="44">
        <v>0.00043</v>
      </c>
      <c r="G72" s="44"/>
      <c r="H72" s="44">
        <v>0.00042</v>
      </c>
      <c r="I72" s="44"/>
      <c r="J72" s="44">
        <v>0.00044</v>
      </c>
      <c r="K72" s="45"/>
      <c r="L72" s="44">
        <v>0.00043</v>
      </c>
      <c r="M72" s="45"/>
      <c r="N72" s="45"/>
      <c r="O72" s="45"/>
      <c r="P72" s="45"/>
      <c r="Q72" s="45"/>
      <c r="R72" s="45"/>
      <c r="S72" s="45"/>
    </row>
    <row r="73" spans="2:19" ht="12.75">
      <c r="B73" s="13" t="s">
        <v>169</v>
      </c>
      <c r="D73" s="13" t="s">
        <v>73</v>
      </c>
      <c r="E73" s="45" t="s">
        <v>34</v>
      </c>
      <c r="F73" s="44">
        <v>0.0002</v>
      </c>
      <c r="G73" s="44" t="s">
        <v>34</v>
      </c>
      <c r="H73" s="44">
        <v>0.0002</v>
      </c>
      <c r="I73" s="44" t="s">
        <v>34</v>
      </c>
      <c r="J73" s="44">
        <v>0.0002</v>
      </c>
      <c r="K73" s="45"/>
      <c r="L73" s="44">
        <v>0.0002</v>
      </c>
      <c r="M73" s="45"/>
      <c r="N73" s="45"/>
      <c r="O73" s="45"/>
      <c r="P73" s="45"/>
      <c r="Q73" s="45"/>
      <c r="R73" s="45"/>
      <c r="S73" s="45"/>
    </row>
    <row r="74" spans="2:19" ht="12.75">
      <c r="B74" s="13" t="s">
        <v>170</v>
      </c>
      <c r="D74" s="13" t="s">
        <v>73</v>
      </c>
      <c r="E74" s="45" t="s">
        <v>34</v>
      </c>
      <c r="F74" s="44">
        <v>0.0007</v>
      </c>
      <c r="G74" s="44" t="s">
        <v>34</v>
      </c>
      <c r="H74" s="44">
        <v>0.0006</v>
      </c>
      <c r="I74" s="44" t="s">
        <v>34</v>
      </c>
      <c r="J74" s="44">
        <v>0.0006</v>
      </c>
      <c r="K74" s="45"/>
      <c r="L74" s="44">
        <v>0.0007</v>
      </c>
      <c r="M74" s="45"/>
      <c r="N74" s="45"/>
      <c r="O74" s="45"/>
      <c r="P74" s="45"/>
      <c r="Q74" s="45"/>
      <c r="R74" s="45"/>
      <c r="S74" s="45"/>
    </row>
    <row r="75" spans="2:19" ht="12.75">
      <c r="B75" s="13" t="s">
        <v>196</v>
      </c>
      <c r="D75" s="13" t="s">
        <v>73</v>
      </c>
      <c r="E75" s="45"/>
      <c r="F75" s="44">
        <v>0.0001</v>
      </c>
      <c r="G75" s="44"/>
      <c r="H75" s="44">
        <v>8.8E-05</v>
      </c>
      <c r="I75" s="44"/>
      <c r="J75" s="44">
        <v>9.8E-05</v>
      </c>
      <c r="K75" s="45"/>
      <c r="L75" s="44">
        <v>0.0001</v>
      </c>
      <c r="M75" s="45"/>
      <c r="N75" s="45"/>
      <c r="O75" s="45"/>
      <c r="P75" s="45"/>
      <c r="Q75" s="45"/>
      <c r="R75" s="45"/>
      <c r="S75" s="45"/>
    </row>
    <row r="76" spans="2:19" ht="12.75">
      <c r="B76" s="13" t="s">
        <v>171</v>
      </c>
      <c r="D76" s="13" t="s">
        <v>73</v>
      </c>
      <c r="E76" s="45" t="s">
        <v>34</v>
      </c>
      <c r="F76" s="44">
        <v>0.001</v>
      </c>
      <c r="G76" s="44" t="s">
        <v>34</v>
      </c>
      <c r="H76" s="44">
        <v>0.0019</v>
      </c>
      <c r="I76" s="44" t="s">
        <v>34</v>
      </c>
      <c r="J76" s="44">
        <v>0.001</v>
      </c>
      <c r="K76" s="45"/>
      <c r="L76" s="44">
        <v>0.001</v>
      </c>
      <c r="M76" s="45"/>
      <c r="N76" s="45"/>
      <c r="O76" s="45"/>
      <c r="P76" s="45"/>
      <c r="Q76" s="45"/>
      <c r="R76" s="45"/>
      <c r="S76" s="45"/>
    </row>
    <row r="77" spans="2:19" ht="12.75">
      <c r="B77" s="13" t="s">
        <v>172</v>
      </c>
      <c r="D77" s="13" t="s">
        <v>73</v>
      </c>
      <c r="E77" s="45" t="s">
        <v>34</v>
      </c>
      <c r="F77" s="44">
        <v>0.0005</v>
      </c>
      <c r="G77" s="44" t="s">
        <v>34</v>
      </c>
      <c r="H77" s="44">
        <v>0.0005</v>
      </c>
      <c r="I77" s="44" t="s">
        <v>34</v>
      </c>
      <c r="J77" s="44">
        <v>0.0005</v>
      </c>
      <c r="K77" s="45"/>
      <c r="L77" s="44">
        <v>0.0005</v>
      </c>
      <c r="M77" s="45"/>
      <c r="N77" s="45"/>
      <c r="O77" s="45"/>
      <c r="P77" s="45"/>
      <c r="Q77" s="45"/>
      <c r="R77" s="45"/>
      <c r="S77" s="45"/>
    </row>
    <row r="78" spans="2:19" ht="12.75">
      <c r="B78" s="13" t="s">
        <v>173</v>
      </c>
      <c r="D78" s="13" t="s">
        <v>73</v>
      </c>
      <c r="E78" s="45" t="s">
        <v>34</v>
      </c>
      <c r="F78" s="44">
        <v>0.003</v>
      </c>
      <c r="G78" s="44" t="s">
        <v>34</v>
      </c>
      <c r="H78" s="44">
        <v>0.003</v>
      </c>
      <c r="I78" s="44" t="s">
        <v>34</v>
      </c>
      <c r="J78" s="44">
        <v>0.003</v>
      </c>
      <c r="K78" s="45"/>
      <c r="L78" s="44">
        <v>0.003</v>
      </c>
      <c r="M78" s="45"/>
      <c r="N78" s="45"/>
      <c r="O78" s="45"/>
      <c r="P78" s="45"/>
      <c r="Q78" s="45"/>
      <c r="R78" s="45"/>
      <c r="S78" s="45"/>
    </row>
    <row r="79" spans="2:19" ht="12.75">
      <c r="B79" s="13" t="s">
        <v>174</v>
      </c>
      <c r="D79" s="13" t="s">
        <v>73</v>
      </c>
      <c r="E79" s="45" t="s">
        <v>34</v>
      </c>
      <c r="F79" s="44">
        <v>0.001</v>
      </c>
      <c r="G79" s="44" t="s">
        <v>34</v>
      </c>
      <c r="H79" s="44">
        <v>0.001</v>
      </c>
      <c r="I79" s="44" t="s">
        <v>34</v>
      </c>
      <c r="J79" s="44">
        <v>0.001</v>
      </c>
      <c r="K79" s="45"/>
      <c r="L79" s="44">
        <v>0.001</v>
      </c>
      <c r="M79" s="45"/>
      <c r="N79" s="45"/>
      <c r="O79" s="45"/>
      <c r="P79" s="45"/>
      <c r="Q79" s="45"/>
      <c r="R79" s="45"/>
      <c r="S79" s="45"/>
    </row>
    <row r="80" spans="2:35" ht="12.75">
      <c r="B80" s="13" t="s">
        <v>175</v>
      </c>
      <c r="D80" s="13" t="s">
        <v>73</v>
      </c>
      <c r="E80" s="45" t="s">
        <v>34</v>
      </c>
      <c r="F80" s="44">
        <v>0.0007</v>
      </c>
      <c r="G80" s="44" t="s">
        <v>34</v>
      </c>
      <c r="H80" s="44">
        <v>0.0006</v>
      </c>
      <c r="I80" s="44" t="s">
        <v>34</v>
      </c>
      <c r="J80" s="44">
        <v>0.0006</v>
      </c>
      <c r="K80" s="45"/>
      <c r="L80" s="44">
        <v>0.0007</v>
      </c>
      <c r="M80" s="45"/>
      <c r="N80" s="45"/>
      <c r="O80" s="45"/>
      <c r="P80" s="45"/>
      <c r="Q80" s="45"/>
      <c r="R80" s="45"/>
      <c r="S80" s="45"/>
      <c r="T80" s="44"/>
      <c r="U80" s="44"/>
      <c r="V80" s="44"/>
      <c r="W80" s="44"/>
      <c r="X80" s="44"/>
      <c r="Y80" s="44"/>
      <c r="Z80" s="44"/>
      <c r="AA80" s="44"/>
      <c r="AB80" s="45"/>
      <c r="AC80" s="45"/>
      <c r="AD80" s="45"/>
      <c r="AE80" s="45"/>
      <c r="AF80" s="45"/>
      <c r="AG80" s="45"/>
      <c r="AH80" s="45"/>
      <c r="AI80" s="45"/>
    </row>
    <row r="81" spans="2:35" ht="12.75">
      <c r="B81" s="13" t="s">
        <v>176</v>
      </c>
      <c r="D81" s="13" t="s">
        <v>73</v>
      </c>
      <c r="E81" s="45" t="s">
        <v>34</v>
      </c>
      <c r="F81" s="44">
        <v>0.001</v>
      </c>
      <c r="G81" s="44" t="s">
        <v>34</v>
      </c>
      <c r="H81" s="44">
        <v>0.001</v>
      </c>
      <c r="I81" s="44" t="s">
        <v>34</v>
      </c>
      <c r="J81" s="44">
        <v>0.001</v>
      </c>
      <c r="K81" s="45"/>
      <c r="L81" s="44">
        <v>0.001</v>
      </c>
      <c r="M81" s="45"/>
      <c r="N81" s="45"/>
      <c r="O81" s="45"/>
      <c r="P81" s="45"/>
      <c r="Q81" s="45"/>
      <c r="R81" s="45"/>
      <c r="S81" s="45"/>
      <c r="T81" s="44"/>
      <c r="U81" s="44"/>
      <c r="V81" s="44"/>
      <c r="W81" s="44"/>
      <c r="X81" s="44"/>
      <c r="Y81" s="44"/>
      <c r="Z81" s="44"/>
      <c r="AA81" s="44"/>
      <c r="AB81" s="45"/>
      <c r="AC81" s="45"/>
      <c r="AD81" s="45"/>
      <c r="AE81" s="45"/>
      <c r="AF81" s="45"/>
      <c r="AG81" s="45"/>
      <c r="AH81" s="45"/>
      <c r="AI81" s="45"/>
    </row>
    <row r="82" spans="2:35" ht="12.75">
      <c r="B82" s="13" t="s">
        <v>199</v>
      </c>
      <c r="D82" s="13" t="s">
        <v>73</v>
      </c>
      <c r="E82" s="45" t="s">
        <v>34</v>
      </c>
      <c r="F82" s="44">
        <v>0.0007</v>
      </c>
      <c r="G82" s="44" t="s">
        <v>34</v>
      </c>
      <c r="H82" s="44">
        <v>0.0006</v>
      </c>
      <c r="I82" s="44" t="s">
        <v>34</v>
      </c>
      <c r="J82" s="44">
        <v>0.0006</v>
      </c>
      <c r="K82" s="45"/>
      <c r="L82" s="44">
        <v>0.0007</v>
      </c>
      <c r="M82" s="45"/>
      <c r="N82" s="45"/>
      <c r="O82" s="45"/>
      <c r="P82" s="45"/>
      <c r="Q82" s="45"/>
      <c r="R82" s="45"/>
      <c r="S82" s="45"/>
      <c r="T82" s="44"/>
      <c r="U82" s="44"/>
      <c r="V82" s="44"/>
      <c r="W82" s="44"/>
      <c r="X82" s="44"/>
      <c r="Y82" s="44"/>
      <c r="Z82" s="44"/>
      <c r="AA82" s="44"/>
      <c r="AB82" s="45"/>
      <c r="AC82" s="45"/>
      <c r="AD82" s="45"/>
      <c r="AE82" s="45"/>
      <c r="AF82" s="45"/>
      <c r="AG82" s="45"/>
      <c r="AH82" s="45"/>
      <c r="AI82" s="45"/>
    </row>
    <row r="83" spans="5:35" ht="12.75">
      <c r="E83" s="45"/>
      <c r="F83" s="45"/>
      <c r="G83" s="45"/>
      <c r="H83" s="45"/>
      <c r="I83" s="45"/>
      <c r="J83" s="45"/>
      <c r="K83" s="45"/>
      <c r="M83" s="45"/>
      <c r="N83" s="45"/>
      <c r="O83" s="45"/>
      <c r="P83" s="45"/>
      <c r="Q83" s="45"/>
      <c r="R83" s="45"/>
      <c r="S83" s="45"/>
      <c r="T83" s="44"/>
      <c r="U83" s="44"/>
      <c r="V83" s="44"/>
      <c r="W83" s="44"/>
      <c r="X83" s="44"/>
      <c r="Y83" s="44"/>
      <c r="Z83" s="44"/>
      <c r="AA83" s="44"/>
      <c r="AB83" s="45"/>
      <c r="AC83" s="45"/>
      <c r="AD83" s="45"/>
      <c r="AE83" s="45"/>
      <c r="AF83" s="45"/>
      <c r="AG83" s="45"/>
      <c r="AH83" s="45"/>
      <c r="AI83" s="45"/>
    </row>
    <row r="84" spans="2:36" ht="12.75">
      <c r="B84" s="13" t="s">
        <v>103</v>
      </c>
      <c r="D84" s="13" t="s">
        <v>22</v>
      </c>
      <c r="E84" s="45"/>
      <c r="F84" s="44">
        <f>emiss!G42</f>
        <v>16030</v>
      </c>
      <c r="G84" s="45"/>
      <c r="H84" s="44">
        <f>emiss!I42</f>
        <v>15972</v>
      </c>
      <c r="I84" s="45"/>
      <c r="J84" s="44">
        <f>emiss!K42</f>
        <v>15789</v>
      </c>
      <c r="K84" s="45"/>
      <c r="L84" s="44">
        <f>emiss!M42</f>
        <v>15930</v>
      </c>
      <c r="M84" s="45"/>
      <c r="N84" s="45"/>
      <c r="O84" s="45"/>
      <c r="P84" s="45"/>
      <c r="Q84" s="45"/>
      <c r="R84" s="45"/>
      <c r="S84" s="45"/>
      <c r="T84" s="44"/>
      <c r="U84" s="44"/>
      <c r="V84" s="44"/>
      <c r="W84" s="44"/>
      <c r="X84" s="44"/>
      <c r="Y84" s="44"/>
      <c r="Z84" s="44"/>
      <c r="AA84" s="44"/>
      <c r="AB84" s="45"/>
      <c r="AC84" s="45"/>
      <c r="AD84" s="45"/>
      <c r="AE84" s="45"/>
      <c r="AF84" s="45"/>
      <c r="AG84" s="45"/>
      <c r="AH84" s="45"/>
      <c r="AI84" s="45"/>
      <c r="AJ84" s="44">
        <f>emiss!M42</f>
        <v>15930</v>
      </c>
    </row>
    <row r="85" spans="2:36" ht="12.75">
      <c r="B85" s="13" t="s">
        <v>104</v>
      </c>
      <c r="D85" s="13" t="s">
        <v>23</v>
      </c>
      <c r="E85" s="45"/>
      <c r="F85" s="44">
        <f>emiss!G21</f>
        <v>7.3</v>
      </c>
      <c r="G85" s="45"/>
      <c r="H85" s="44">
        <f>emiss!I21</f>
        <v>7.2</v>
      </c>
      <c r="I85" s="45"/>
      <c r="J85" s="44">
        <f>emiss!K21</f>
        <v>7.4</v>
      </c>
      <c r="K85" s="45"/>
      <c r="L85" s="44">
        <f>emiss!M21</f>
        <v>7.3</v>
      </c>
      <c r="M85" s="45"/>
      <c r="N85" s="45"/>
      <c r="O85" s="45"/>
      <c r="P85" s="45"/>
      <c r="Q85" s="45"/>
      <c r="R85" s="45"/>
      <c r="S85" s="45"/>
      <c r="T85" s="44"/>
      <c r="U85" s="44"/>
      <c r="V85" s="44"/>
      <c r="W85" s="44"/>
      <c r="X85" s="44"/>
      <c r="Y85" s="44"/>
      <c r="Z85" s="44"/>
      <c r="AA85" s="44"/>
      <c r="AB85" s="45"/>
      <c r="AC85" s="45"/>
      <c r="AD85" s="45"/>
      <c r="AE85" s="45"/>
      <c r="AF85" s="45"/>
      <c r="AG85" s="45"/>
      <c r="AH85" s="45"/>
      <c r="AI85" s="45"/>
      <c r="AJ85" s="44">
        <f>emiss!M21</f>
        <v>7.3</v>
      </c>
    </row>
    <row r="86" spans="5:35" ht="12.75">
      <c r="E86" s="45"/>
      <c r="F86" s="45"/>
      <c r="G86" s="45"/>
      <c r="H86" s="45"/>
      <c r="I86" s="45"/>
      <c r="J86" s="45"/>
      <c r="K86" s="45"/>
      <c r="M86" s="45"/>
      <c r="N86" s="45"/>
      <c r="O86" s="45"/>
      <c r="P86" s="45"/>
      <c r="Q86" s="45"/>
      <c r="R86" s="45"/>
      <c r="S86" s="45"/>
      <c r="T86" s="44"/>
      <c r="U86" s="44"/>
      <c r="V86" s="44"/>
      <c r="W86" s="44"/>
      <c r="X86" s="44"/>
      <c r="Y86" s="44"/>
      <c r="Z86" s="44"/>
      <c r="AA86" s="44"/>
      <c r="AB86" s="45"/>
      <c r="AC86" s="45"/>
      <c r="AD86" s="45"/>
      <c r="AE86" s="45"/>
      <c r="AF86" s="45"/>
      <c r="AG86" s="45"/>
      <c r="AH86" s="45"/>
      <c r="AI86" s="45"/>
    </row>
    <row r="87" spans="2:36" ht="12.75">
      <c r="B87" s="13" t="s">
        <v>207</v>
      </c>
      <c r="D87" s="13" t="s">
        <v>75</v>
      </c>
      <c r="E87" s="45"/>
      <c r="F87" s="14">
        <f>(F64*F66)/1000000</f>
        <v>41.885145</v>
      </c>
      <c r="G87" s="45"/>
      <c r="H87" s="14">
        <f>(H64*H66)/1000000</f>
        <v>38.5862265</v>
      </c>
      <c r="I87" s="45"/>
      <c r="J87" s="14">
        <f>(J64*J66)/1000000</f>
        <v>39.6463284</v>
      </c>
      <c r="K87" s="45"/>
      <c r="L87" s="14">
        <f>(L64*L66)/1000000</f>
        <v>40.03923330000001</v>
      </c>
      <c r="M87" s="45"/>
      <c r="N87" s="45">
        <f>N64*20000/1000000</f>
        <v>0.006</v>
      </c>
      <c r="O87" s="45"/>
      <c r="P87" s="45">
        <f>P64*20000/1000000</f>
        <v>0.006</v>
      </c>
      <c r="Q87" s="45"/>
      <c r="R87" s="45">
        <f>R64*20000/1000000</f>
        <v>0.006</v>
      </c>
      <c r="S87" s="45"/>
      <c r="T87" s="45">
        <f>T64*20000/1000000</f>
        <v>0.006</v>
      </c>
      <c r="U87" s="44"/>
      <c r="V87" s="44"/>
      <c r="W87" s="44"/>
      <c r="X87" s="44"/>
      <c r="Y87" s="44"/>
      <c r="Z87" s="44"/>
      <c r="AA87" s="44"/>
      <c r="AB87" s="45"/>
      <c r="AC87" s="45"/>
      <c r="AD87" s="46">
        <f>N87+F87</f>
        <v>41.891145</v>
      </c>
      <c r="AE87" s="45"/>
      <c r="AF87" s="46">
        <f>P87+H87</f>
        <v>38.5922265</v>
      </c>
      <c r="AG87" s="45"/>
      <c r="AH87" s="46">
        <f>R87+J87</f>
        <v>39.6523284</v>
      </c>
      <c r="AI87" s="45"/>
      <c r="AJ87" s="46">
        <f>T87+L87</f>
        <v>40.04523330000001</v>
      </c>
    </row>
    <row r="88" spans="2:36" ht="12.75">
      <c r="B88" s="13" t="s">
        <v>246</v>
      </c>
      <c r="D88" s="13" t="s">
        <v>75</v>
      </c>
      <c r="E88" s="45"/>
      <c r="F88" s="46"/>
      <c r="G88" s="45"/>
      <c r="H88" s="46"/>
      <c r="I88" s="45"/>
      <c r="J88" s="46"/>
      <c r="K88" s="45"/>
      <c r="L88" s="46"/>
      <c r="M88" s="45"/>
      <c r="N88" s="45"/>
      <c r="O88" s="45"/>
      <c r="P88" s="45"/>
      <c r="Q88" s="45"/>
      <c r="R88" s="45"/>
      <c r="S88" s="45"/>
      <c r="T88" s="44"/>
      <c r="U88" s="44"/>
      <c r="V88" s="44"/>
      <c r="W88" s="44"/>
      <c r="X88" s="44"/>
      <c r="Y88" s="44"/>
      <c r="Z88" s="44"/>
      <c r="AA88" s="44"/>
      <c r="AB88" s="45"/>
      <c r="AC88" s="45"/>
      <c r="AD88" s="45"/>
      <c r="AE88" s="45"/>
      <c r="AF88" s="45"/>
      <c r="AG88" s="45"/>
      <c r="AH88" s="45"/>
      <c r="AI88" s="45"/>
      <c r="AJ88" s="46">
        <f>AJ84/9000*(21-AJ85)/21*60</f>
        <v>69.28285714285714</v>
      </c>
    </row>
    <row r="89" spans="5:35" ht="12.75">
      <c r="E89" s="45"/>
      <c r="F89" s="46"/>
      <c r="G89" s="45"/>
      <c r="H89" s="46"/>
      <c r="I89" s="45"/>
      <c r="J89" s="46"/>
      <c r="K89" s="45"/>
      <c r="L89" s="46"/>
      <c r="M89" s="45"/>
      <c r="N89" s="45"/>
      <c r="O89" s="45"/>
      <c r="P89" s="45"/>
      <c r="Q89" s="45"/>
      <c r="R89" s="45"/>
      <c r="S89" s="45"/>
      <c r="T89" s="44"/>
      <c r="U89" s="44"/>
      <c r="V89" s="44"/>
      <c r="W89" s="44"/>
      <c r="X89" s="44"/>
      <c r="Y89" s="44"/>
      <c r="Z89" s="44"/>
      <c r="AA89" s="44"/>
      <c r="AB89" s="45"/>
      <c r="AC89" s="45"/>
      <c r="AD89" s="45"/>
      <c r="AE89" s="45"/>
      <c r="AF89" s="45"/>
      <c r="AG89" s="45"/>
      <c r="AH89" s="45"/>
      <c r="AI89" s="45"/>
    </row>
    <row r="90" spans="2:35" ht="12.75">
      <c r="B90" s="67" t="s">
        <v>138</v>
      </c>
      <c r="C90" s="67"/>
      <c r="E90" s="45"/>
      <c r="F90" s="46"/>
      <c r="G90" s="45"/>
      <c r="H90" s="46"/>
      <c r="I90" s="45"/>
      <c r="J90" s="46"/>
      <c r="K90" s="45"/>
      <c r="L90" s="46"/>
      <c r="M90" s="45"/>
      <c r="N90" s="45"/>
      <c r="O90" s="45"/>
      <c r="P90" s="45"/>
      <c r="Q90" s="45"/>
      <c r="R90" s="45"/>
      <c r="S90" s="45"/>
      <c r="T90" s="44"/>
      <c r="U90" s="44"/>
      <c r="V90" s="44"/>
      <c r="W90" s="44"/>
      <c r="X90" s="44"/>
      <c r="Y90" s="44"/>
      <c r="Z90" s="44"/>
      <c r="AA90" s="44"/>
      <c r="AB90" s="45"/>
      <c r="AC90" s="45"/>
      <c r="AD90" s="45"/>
      <c r="AE90" s="45"/>
      <c r="AF90" s="16"/>
      <c r="AG90" s="45"/>
      <c r="AH90" s="45"/>
      <c r="AI90" s="45"/>
    </row>
    <row r="91" spans="2:36" ht="12.75">
      <c r="B91" s="13" t="s">
        <v>60</v>
      </c>
      <c r="D91" s="13" t="s">
        <v>101</v>
      </c>
      <c r="E91" s="45">
        <v>100</v>
      </c>
      <c r="F91" s="16">
        <f>(F68*454/(F$84*60*0.0283))*(14/(21-F$85))*1000</f>
        <v>0.3408961596883759</v>
      </c>
      <c r="G91" s="45">
        <v>100</v>
      </c>
      <c r="H91" s="16">
        <f>(H68*454/(H$84*60*0.0283))*(14/(21-H$85))*1000</f>
        <v>0.3396548421936028</v>
      </c>
      <c r="I91" s="45">
        <v>100</v>
      </c>
      <c r="J91" s="16">
        <f>(J68*454/(J$84*60*0.0283))*(14/(21-J$85))*1000</f>
        <v>0.34864437697374906</v>
      </c>
      <c r="K91" s="15">
        <v>100</v>
      </c>
      <c r="L91" s="16">
        <f>AVERAGE(F91,H91,J91)</f>
        <v>0.3430651262852426</v>
      </c>
      <c r="M91" s="45"/>
      <c r="N91" s="45"/>
      <c r="O91" s="45"/>
      <c r="P91" s="45"/>
      <c r="Q91" s="45"/>
      <c r="R91" s="45"/>
      <c r="S91" s="45"/>
      <c r="T91" s="44"/>
      <c r="U91" s="44"/>
      <c r="V91" s="44"/>
      <c r="W91" s="44"/>
      <c r="X91" s="44"/>
      <c r="Y91" s="44"/>
      <c r="Z91" s="44"/>
      <c r="AA91" s="44"/>
      <c r="AB91" s="45"/>
      <c r="AC91" s="45">
        <f>E91</f>
        <v>100</v>
      </c>
      <c r="AD91" s="14">
        <f>SUM(V91,F91)</f>
        <v>0.3408961596883759</v>
      </c>
      <c r="AE91" s="45">
        <f>G91</f>
        <v>100</v>
      </c>
      <c r="AF91" s="14">
        <f>SUM(X91,H91)</f>
        <v>0.3396548421936028</v>
      </c>
      <c r="AG91" s="45">
        <f>I91</f>
        <v>100</v>
      </c>
      <c r="AH91" s="14">
        <f>SUM(Z91,J91)</f>
        <v>0.34864437697374906</v>
      </c>
      <c r="AI91" s="45">
        <f>K91</f>
        <v>100</v>
      </c>
      <c r="AJ91" s="14">
        <f>AVERAGE(AD91,AF91,AH91)</f>
        <v>0.3430651262852426</v>
      </c>
    </row>
    <row r="92" spans="2:36" ht="12.75">
      <c r="B92" s="13" t="s">
        <v>61</v>
      </c>
      <c r="D92" s="13" t="s">
        <v>102</v>
      </c>
      <c r="E92" s="45"/>
      <c r="F92" s="15">
        <f>(F69*454/(F$84*60*0.0283))*(14/(21-F$85))*1000000</f>
        <v>58736408.31430716</v>
      </c>
      <c r="G92" s="45"/>
      <c r="H92" s="15">
        <f>(H69*454/(H$84*60*0.0283))*(14/(21-H$85))*1000000</f>
        <v>53037103.60853109</v>
      </c>
      <c r="I92" s="45"/>
      <c r="J92" s="15">
        <f aca="true" t="shared" si="23" ref="J92:J105">(J69*454/(J$84*60*0.0283))*(14/(21-J$85))*1000000</f>
        <v>54998650.467608914</v>
      </c>
      <c r="K92" s="45"/>
      <c r="L92" s="15">
        <f>(L69*454/(L$84*60*0.0283))*(14/(21-L$85))*1000000</f>
        <v>55594149.278213635</v>
      </c>
      <c r="M92" s="45"/>
      <c r="N92" s="45"/>
      <c r="O92" s="45"/>
      <c r="P92" s="45"/>
      <c r="Q92" s="45"/>
      <c r="R92" s="45"/>
      <c r="S92" s="45"/>
      <c r="T92" s="44"/>
      <c r="U92" s="44"/>
      <c r="V92" s="15">
        <f>(V69*454/(F$84*60*0.0283))*(14/(21-F$85))*1000000</f>
        <v>2693079.6615381697</v>
      </c>
      <c r="W92" s="44"/>
      <c r="X92" s="15">
        <f>(X69*454/(H$84*60*0.0283))*(14/(21-H$85))*1000000</f>
        <v>2683273.253329463</v>
      </c>
      <c r="Y92" s="44"/>
      <c r="Z92" s="15">
        <f>(Z69*454/(J$84*60*0.0283))*(14/(21-J$85))*1000000</f>
        <v>2754290.5780926174</v>
      </c>
      <c r="AA92" s="44"/>
      <c r="AB92" s="15">
        <f>(AB69*454/(L$84*60*0.0283))*(14/(21-L$85))*1000000</f>
        <v>2709985.371905641</v>
      </c>
      <c r="AC92" s="45"/>
      <c r="AD92" s="15">
        <f>SUM(V92,F92)</f>
        <v>61429487.97584533</v>
      </c>
      <c r="AE92" s="45"/>
      <c r="AF92" s="15">
        <f>SUM(X92,H92)</f>
        <v>55720376.86186055</v>
      </c>
      <c r="AG92" s="45"/>
      <c r="AH92" s="15">
        <f>SUM(Z92,J92)</f>
        <v>57752941.04570153</v>
      </c>
      <c r="AI92" s="45"/>
      <c r="AJ92" s="15">
        <f>AVERAGE(AD92,AF92,AH92)</f>
        <v>58300935.29446914</v>
      </c>
    </row>
    <row r="93" spans="2:36" ht="12.75">
      <c r="B93" s="13" t="s">
        <v>166</v>
      </c>
      <c r="D93" s="13" t="s">
        <v>102</v>
      </c>
      <c r="E93" s="45">
        <v>100</v>
      </c>
      <c r="F93" s="14">
        <f>(F70*454/(F$84*60*0.0283))*(14/(21-F$85))*1000000</f>
        <v>11.931365589093156</v>
      </c>
      <c r="G93" s="45">
        <v>100</v>
      </c>
      <c r="H93" s="14">
        <f>(H70*454/(H$84*60*0.0283))*(14/(21-H$85))*1000000</f>
        <v>10.189645265808085</v>
      </c>
      <c r="I93" s="45">
        <v>100</v>
      </c>
      <c r="J93" s="14">
        <f t="shared" si="23"/>
        <v>10.459331309212471</v>
      </c>
      <c r="K93" s="15">
        <v>100</v>
      </c>
      <c r="L93" s="14">
        <f>(L70*454/(L$84*60*0.0283))*(14/(21-L$85))*1000000</f>
        <v>12.006264305911065</v>
      </c>
      <c r="M93" s="45"/>
      <c r="N93" s="45"/>
      <c r="O93" s="45"/>
      <c r="P93" s="45"/>
      <c r="Q93" s="45"/>
      <c r="R93" s="45"/>
      <c r="S93" s="45"/>
      <c r="T93" s="44"/>
      <c r="U93" s="44"/>
      <c r="V93" s="44"/>
      <c r="W93" s="44"/>
      <c r="X93" s="44"/>
      <c r="Y93" s="44"/>
      <c r="Z93" s="44"/>
      <c r="AA93" s="44"/>
      <c r="AB93" s="45"/>
      <c r="AC93" s="45">
        <f aca="true" t="shared" si="24" ref="AC93:AC105">E93</f>
        <v>100</v>
      </c>
      <c r="AD93" s="15">
        <f aca="true" t="shared" si="25" ref="AD93:AD105">SUM(V93,F93)</f>
        <v>11.931365589093156</v>
      </c>
      <c r="AE93" s="45">
        <f aca="true" t="shared" si="26" ref="AE93:AE105">G93</f>
        <v>100</v>
      </c>
      <c r="AF93" s="15">
        <f aca="true" t="shared" si="27" ref="AF93:AF105">SUM(X93,H93)</f>
        <v>10.189645265808085</v>
      </c>
      <c r="AG93" s="45">
        <f aca="true" t="shared" si="28" ref="AG93:AG105">I93</f>
        <v>100</v>
      </c>
      <c r="AH93" s="15">
        <f aca="true" t="shared" si="29" ref="AH93:AH105">SUM(Z93,J93)</f>
        <v>10.459331309212471</v>
      </c>
      <c r="AI93" s="45">
        <f aca="true" t="shared" si="30" ref="AI93:AI105">K93</f>
        <v>100</v>
      </c>
      <c r="AJ93" s="14">
        <f aca="true" t="shared" si="31" ref="AJ93:AJ105">AVERAGE(AD93,AF93,AH93)</f>
        <v>10.860114054704573</v>
      </c>
    </row>
    <row r="94" spans="2:36" ht="12.75">
      <c r="B94" s="13" t="s">
        <v>167</v>
      </c>
      <c r="D94" s="13" t="s">
        <v>102</v>
      </c>
      <c r="E94" s="45">
        <v>100</v>
      </c>
      <c r="F94" s="14">
        <f aca="true" t="shared" si="32" ref="F94:H105">(F71*454/(F$84*60*0.0283))*(14/(21-F$85))*1000000</f>
        <v>8.522403992209396</v>
      </c>
      <c r="G94" s="45">
        <v>100</v>
      </c>
      <c r="H94" s="14">
        <f t="shared" si="32"/>
        <v>84.9137105484007</v>
      </c>
      <c r="I94" s="45">
        <v>100</v>
      </c>
      <c r="J94" s="14">
        <f t="shared" si="23"/>
        <v>8.716109424343728</v>
      </c>
      <c r="K94" s="15">
        <v>100</v>
      </c>
      <c r="L94" s="14">
        <f aca="true" t="shared" si="33" ref="L94:L105">(L71*454/(L$84*60*0.0283))*(14/(21-L$85))*1000000</f>
        <v>10.291083690780914</v>
      </c>
      <c r="M94" s="45"/>
      <c r="N94" s="45"/>
      <c r="O94" s="45"/>
      <c r="P94" s="45"/>
      <c r="Q94" s="45"/>
      <c r="R94" s="45"/>
      <c r="S94" s="45"/>
      <c r="T94" s="44"/>
      <c r="U94" s="44"/>
      <c r="V94" s="44"/>
      <c r="W94" s="44"/>
      <c r="X94" s="44"/>
      <c r="Y94" s="44"/>
      <c r="Z94" s="44"/>
      <c r="AA94" s="44"/>
      <c r="AB94" s="45"/>
      <c r="AC94" s="45">
        <f t="shared" si="24"/>
        <v>100</v>
      </c>
      <c r="AD94" s="15">
        <f t="shared" si="25"/>
        <v>8.522403992209396</v>
      </c>
      <c r="AE94" s="45">
        <f t="shared" si="26"/>
        <v>100</v>
      </c>
      <c r="AF94" s="15">
        <f t="shared" si="27"/>
        <v>84.9137105484007</v>
      </c>
      <c r="AG94" s="45">
        <f t="shared" si="28"/>
        <v>100</v>
      </c>
      <c r="AH94" s="15">
        <f t="shared" si="29"/>
        <v>8.716109424343728</v>
      </c>
      <c r="AI94" s="45">
        <f t="shared" si="30"/>
        <v>100</v>
      </c>
      <c r="AJ94" s="14">
        <f t="shared" si="31"/>
        <v>34.05074132165127</v>
      </c>
    </row>
    <row r="95" spans="2:36" ht="12.75">
      <c r="B95" s="13" t="s">
        <v>168</v>
      </c>
      <c r="D95" s="13" t="s">
        <v>102</v>
      </c>
      <c r="E95" s="45"/>
      <c r="F95" s="14">
        <f t="shared" si="32"/>
        <v>7.329267433300082</v>
      </c>
      <c r="G95" s="45"/>
      <c r="H95" s="14">
        <f t="shared" si="32"/>
        <v>7.13275168606566</v>
      </c>
      <c r="I95" s="45"/>
      <c r="J95" s="14">
        <f t="shared" si="23"/>
        <v>7.67017629342248</v>
      </c>
      <c r="K95" s="45"/>
      <c r="L95" s="14">
        <f t="shared" si="33"/>
        <v>7.375276645059656</v>
      </c>
      <c r="M95" s="45"/>
      <c r="N95" s="45"/>
      <c r="O95" s="45"/>
      <c r="P95" s="45"/>
      <c r="Q95" s="45"/>
      <c r="R95" s="45"/>
      <c r="S95" s="45"/>
      <c r="T95" s="44"/>
      <c r="U95" s="44"/>
      <c r="V95" s="44"/>
      <c r="W95" s="44"/>
      <c r="X95" s="44"/>
      <c r="Y95" s="44"/>
      <c r="Z95" s="44"/>
      <c r="AA95" s="44"/>
      <c r="AB95" s="45"/>
      <c r="AC95" s="45">
        <f t="shared" si="24"/>
        <v>0</v>
      </c>
      <c r="AD95" s="15">
        <f t="shared" si="25"/>
        <v>7.329267433300082</v>
      </c>
      <c r="AE95" s="45">
        <f t="shared" si="26"/>
        <v>0</v>
      </c>
      <c r="AF95" s="15">
        <f t="shared" si="27"/>
        <v>7.13275168606566</v>
      </c>
      <c r="AG95" s="45">
        <f t="shared" si="28"/>
        <v>0</v>
      </c>
      <c r="AH95" s="15">
        <f t="shared" si="29"/>
        <v>7.67017629342248</v>
      </c>
      <c r="AI95" s="45">
        <f t="shared" si="30"/>
        <v>0</v>
      </c>
      <c r="AJ95" s="14">
        <f t="shared" si="31"/>
        <v>7.377398470929407</v>
      </c>
    </row>
    <row r="96" spans="2:36" ht="12.75">
      <c r="B96" s="13" t="s">
        <v>169</v>
      </c>
      <c r="D96" s="13" t="s">
        <v>102</v>
      </c>
      <c r="E96" s="45">
        <v>100</v>
      </c>
      <c r="F96" s="14">
        <f t="shared" si="32"/>
        <v>3.4089615968837594</v>
      </c>
      <c r="G96" s="45">
        <v>100</v>
      </c>
      <c r="H96" s="14">
        <f t="shared" si="32"/>
        <v>3.3965484219360293</v>
      </c>
      <c r="I96" s="45">
        <v>100</v>
      </c>
      <c r="J96" s="14">
        <f t="shared" si="23"/>
        <v>3.486443769737491</v>
      </c>
      <c r="K96" s="15">
        <v>100</v>
      </c>
      <c r="L96" s="14">
        <f t="shared" si="33"/>
        <v>3.430361230260305</v>
      </c>
      <c r="M96" s="45"/>
      <c r="N96" s="45"/>
      <c r="O96" s="45"/>
      <c r="P96" s="45"/>
      <c r="Q96" s="45"/>
      <c r="R96" s="45"/>
      <c r="S96" s="45"/>
      <c r="T96" s="44"/>
      <c r="U96" s="44"/>
      <c r="V96" s="44"/>
      <c r="W96" s="44"/>
      <c r="X96" s="44"/>
      <c r="Y96" s="44"/>
      <c r="Z96" s="44"/>
      <c r="AA96" s="44"/>
      <c r="AB96" s="45"/>
      <c r="AC96" s="45">
        <f t="shared" si="24"/>
        <v>100</v>
      </c>
      <c r="AD96" s="15">
        <f t="shared" si="25"/>
        <v>3.4089615968837594</v>
      </c>
      <c r="AE96" s="45">
        <f t="shared" si="26"/>
        <v>100</v>
      </c>
      <c r="AF96" s="15">
        <f t="shared" si="27"/>
        <v>3.3965484219360293</v>
      </c>
      <c r="AG96" s="45">
        <f t="shared" si="28"/>
        <v>100</v>
      </c>
      <c r="AH96" s="15">
        <f t="shared" si="29"/>
        <v>3.486443769737491</v>
      </c>
      <c r="AI96" s="45">
        <f t="shared" si="30"/>
        <v>100</v>
      </c>
      <c r="AJ96" s="14">
        <f t="shared" si="31"/>
        <v>3.4306512628524266</v>
      </c>
    </row>
    <row r="97" spans="2:36" ht="12.75">
      <c r="B97" s="13" t="s">
        <v>170</v>
      </c>
      <c r="D97" s="13" t="s">
        <v>102</v>
      </c>
      <c r="E97" s="45">
        <v>100</v>
      </c>
      <c r="F97" s="14">
        <f t="shared" si="32"/>
        <v>11.931365589093156</v>
      </c>
      <c r="G97" s="45">
        <v>100</v>
      </c>
      <c r="H97" s="14">
        <f t="shared" si="32"/>
        <v>10.189645265808085</v>
      </c>
      <c r="I97" s="45">
        <v>100</v>
      </c>
      <c r="J97" s="14">
        <f t="shared" si="23"/>
        <v>10.459331309212471</v>
      </c>
      <c r="K97" s="15">
        <v>100</v>
      </c>
      <c r="L97" s="14">
        <f t="shared" si="33"/>
        <v>12.006264305911065</v>
      </c>
      <c r="M97" s="45"/>
      <c r="N97" s="45"/>
      <c r="O97" s="45"/>
      <c r="P97" s="45"/>
      <c r="Q97" s="45"/>
      <c r="R97" s="45"/>
      <c r="S97" s="45"/>
      <c r="T97" s="44"/>
      <c r="U97" s="44"/>
      <c r="V97" s="44"/>
      <c r="W97" s="44"/>
      <c r="X97" s="44"/>
      <c r="Y97" s="44"/>
      <c r="Z97" s="44"/>
      <c r="AA97" s="44"/>
      <c r="AB97" s="45"/>
      <c r="AC97" s="45">
        <f t="shared" si="24"/>
        <v>100</v>
      </c>
      <c r="AD97" s="15">
        <f t="shared" si="25"/>
        <v>11.931365589093156</v>
      </c>
      <c r="AE97" s="45">
        <f t="shared" si="26"/>
        <v>100</v>
      </c>
      <c r="AF97" s="15">
        <f t="shared" si="27"/>
        <v>10.189645265808085</v>
      </c>
      <c r="AG97" s="45">
        <f t="shared" si="28"/>
        <v>100</v>
      </c>
      <c r="AH97" s="15">
        <f t="shared" si="29"/>
        <v>10.459331309212471</v>
      </c>
      <c r="AI97" s="45">
        <f t="shared" si="30"/>
        <v>100</v>
      </c>
      <c r="AJ97" s="14">
        <f t="shared" si="31"/>
        <v>10.860114054704573</v>
      </c>
    </row>
    <row r="98" spans="2:36" ht="12.75">
      <c r="B98" s="13" t="s">
        <v>196</v>
      </c>
      <c r="D98" s="13" t="s">
        <v>102</v>
      </c>
      <c r="E98" s="45"/>
      <c r="F98" s="14">
        <f t="shared" si="32"/>
        <v>1.7044807984418797</v>
      </c>
      <c r="G98" s="45"/>
      <c r="H98" s="14">
        <f t="shared" si="32"/>
        <v>1.4944813056518527</v>
      </c>
      <c r="I98" s="45"/>
      <c r="J98" s="14">
        <f t="shared" si="23"/>
        <v>1.70835744717137</v>
      </c>
      <c r="K98" s="45"/>
      <c r="L98" s="14">
        <f t="shared" si="33"/>
        <v>1.7151806151301525</v>
      </c>
      <c r="M98" s="45"/>
      <c r="N98" s="45"/>
      <c r="O98" s="45"/>
      <c r="P98" s="45"/>
      <c r="Q98" s="45"/>
      <c r="R98" s="45"/>
      <c r="S98" s="45"/>
      <c r="T98" s="44"/>
      <c r="U98" s="44"/>
      <c r="V98" s="44"/>
      <c r="W98" s="44"/>
      <c r="X98" s="44"/>
      <c r="Y98" s="44"/>
      <c r="Z98" s="44"/>
      <c r="AA98" s="44"/>
      <c r="AB98" s="45"/>
      <c r="AC98" s="45">
        <f t="shared" si="24"/>
        <v>0</v>
      </c>
      <c r="AD98" s="15">
        <f t="shared" si="25"/>
        <v>1.7044807984418797</v>
      </c>
      <c r="AE98" s="45">
        <f t="shared" si="26"/>
        <v>0</v>
      </c>
      <c r="AF98" s="15">
        <f t="shared" si="27"/>
        <v>1.4944813056518527</v>
      </c>
      <c r="AG98" s="45">
        <f t="shared" si="28"/>
        <v>0</v>
      </c>
      <c r="AH98" s="15">
        <f t="shared" si="29"/>
        <v>1.70835744717137</v>
      </c>
      <c r="AI98" s="45">
        <f t="shared" si="30"/>
        <v>0</v>
      </c>
      <c r="AJ98" s="14">
        <f t="shared" si="31"/>
        <v>1.635773183755034</v>
      </c>
    </row>
    <row r="99" spans="2:36" ht="12.75">
      <c r="B99" s="13" t="s">
        <v>171</v>
      </c>
      <c r="D99" s="13" t="s">
        <v>102</v>
      </c>
      <c r="E99" s="45">
        <v>100</v>
      </c>
      <c r="F99" s="14">
        <f t="shared" si="32"/>
        <v>17.044807984418792</v>
      </c>
      <c r="G99" s="45">
        <v>100</v>
      </c>
      <c r="H99" s="14">
        <f t="shared" si="32"/>
        <v>32.26721000839227</v>
      </c>
      <c r="I99" s="45">
        <v>100</v>
      </c>
      <c r="J99" s="14">
        <f t="shared" si="23"/>
        <v>17.432218848687455</v>
      </c>
      <c r="K99" s="15">
        <v>100</v>
      </c>
      <c r="L99" s="14">
        <f t="shared" si="33"/>
        <v>17.151806151301525</v>
      </c>
      <c r="M99" s="45"/>
      <c r="N99" s="45"/>
      <c r="O99" s="45"/>
      <c r="P99" s="45"/>
      <c r="Q99" s="45"/>
      <c r="R99" s="45"/>
      <c r="S99" s="45"/>
      <c r="T99" s="44"/>
      <c r="U99" s="44"/>
      <c r="V99" s="44"/>
      <c r="W99" s="44"/>
      <c r="X99" s="44"/>
      <c r="Y99" s="44"/>
      <c r="Z99" s="44"/>
      <c r="AA99" s="44"/>
      <c r="AB99" s="45"/>
      <c r="AC99" s="45">
        <f t="shared" si="24"/>
        <v>100</v>
      </c>
      <c r="AD99" s="15">
        <f t="shared" si="25"/>
        <v>17.044807984418792</v>
      </c>
      <c r="AE99" s="45">
        <f t="shared" si="26"/>
        <v>100</v>
      </c>
      <c r="AF99" s="15">
        <f t="shared" si="27"/>
        <v>32.26721000839227</v>
      </c>
      <c r="AG99" s="45">
        <f t="shared" si="28"/>
        <v>100</v>
      </c>
      <c r="AH99" s="15">
        <f t="shared" si="29"/>
        <v>17.432218848687455</v>
      </c>
      <c r="AI99" s="45">
        <f t="shared" si="30"/>
        <v>100</v>
      </c>
      <c r="AJ99" s="14">
        <f t="shared" si="31"/>
        <v>22.248078947166174</v>
      </c>
    </row>
    <row r="100" spans="2:36" ht="12.75">
      <c r="B100" s="13" t="s">
        <v>172</v>
      </c>
      <c r="D100" s="13" t="s">
        <v>102</v>
      </c>
      <c r="E100" s="45">
        <v>100</v>
      </c>
      <c r="F100" s="14">
        <f t="shared" si="32"/>
        <v>8.522403992209396</v>
      </c>
      <c r="G100" s="45">
        <v>100</v>
      </c>
      <c r="H100" s="14">
        <f t="shared" si="32"/>
        <v>8.491371054840071</v>
      </c>
      <c r="I100" s="45">
        <v>100</v>
      </c>
      <c r="J100" s="14">
        <f t="shared" si="23"/>
        <v>8.716109424343728</v>
      </c>
      <c r="K100" s="15">
        <v>100</v>
      </c>
      <c r="L100" s="14">
        <f t="shared" si="33"/>
        <v>8.575903075650762</v>
      </c>
      <c r="M100" s="45"/>
      <c r="N100" s="45"/>
      <c r="O100" s="45"/>
      <c r="P100" s="45"/>
      <c r="Q100" s="45"/>
      <c r="R100" s="45"/>
      <c r="S100" s="45"/>
      <c r="T100" s="44"/>
      <c r="U100" s="44"/>
      <c r="V100" s="44"/>
      <c r="W100" s="44"/>
      <c r="X100" s="44"/>
      <c r="Y100" s="44"/>
      <c r="Z100" s="44"/>
      <c r="AA100" s="44"/>
      <c r="AB100" s="45"/>
      <c r="AC100" s="45">
        <f t="shared" si="24"/>
        <v>100</v>
      </c>
      <c r="AD100" s="15">
        <f t="shared" si="25"/>
        <v>8.522403992209396</v>
      </c>
      <c r="AE100" s="45">
        <f t="shared" si="26"/>
        <v>100</v>
      </c>
      <c r="AF100" s="15">
        <f t="shared" si="27"/>
        <v>8.491371054840071</v>
      </c>
      <c r="AG100" s="45">
        <f t="shared" si="28"/>
        <v>100</v>
      </c>
      <c r="AH100" s="15">
        <f t="shared" si="29"/>
        <v>8.716109424343728</v>
      </c>
      <c r="AI100" s="45">
        <f t="shared" si="30"/>
        <v>100</v>
      </c>
      <c r="AJ100" s="14">
        <f t="shared" si="31"/>
        <v>8.576628157131065</v>
      </c>
    </row>
    <row r="101" spans="2:36" ht="12.75">
      <c r="B101" s="13" t="s">
        <v>173</v>
      </c>
      <c r="D101" s="13" t="s">
        <v>102</v>
      </c>
      <c r="E101" s="45">
        <v>100</v>
      </c>
      <c r="F101" s="14">
        <f t="shared" si="32"/>
        <v>51.13442395325639</v>
      </c>
      <c r="G101" s="45">
        <v>100</v>
      </c>
      <c r="H101" s="14">
        <f t="shared" si="32"/>
        <v>50.94822632904044</v>
      </c>
      <c r="I101" s="45">
        <v>100</v>
      </c>
      <c r="J101" s="14">
        <f t="shared" si="23"/>
        <v>52.296656546062366</v>
      </c>
      <c r="K101" s="15">
        <v>100</v>
      </c>
      <c r="L101" s="14">
        <f t="shared" si="33"/>
        <v>51.45541845390457</v>
      </c>
      <c r="M101" s="45"/>
      <c r="N101" s="45"/>
      <c r="O101" s="45"/>
      <c r="P101" s="45"/>
      <c r="Q101" s="45"/>
      <c r="R101" s="45"/>
      <c r="S101" s="45"/>
      <c r="T101" s="44"/>
      <c r="U101" s="44"/>
      <c r="V101" s="44"/>
      <c r="W101" s="44"/>
      <c r="X101" s="44"/>
      <c r="Y101" s="44"/>
      <c r="Z101" s="44"/>
      <c r="AA101" s="44"/>
      <c r="AB101" s="45"/>
      <c r="AC101" s="45">
        <f t="shared" si="24"/>
        <v>100</v>
      </c>
      <c r="AD101" s="15">
        <f t="shared" si="25"/>
        <v>51.13442395325639</v>
      </c>
      <c r="AE101" s="45">
        <f t="shared" si="26"/>
        <v>100</v>
      </c>
      <c r="AF101" s="15">
        <f t="shared" si="27"/>
        <v>50.94822632904044</v>
      </c>
      <c r="AG101" s="45">
        <f t="shared" si="28"/>
        <v>100</v>
      </c>
      <c r="AH101" s="15">
        <f t="shared" si="29"/>
        <v>52.296656546062366</v>
      </c>
      <c r="AI101" s="45">
        <f t="shared" si="30"/>
        <v>100</v>
      </c>
      <c r="AJ101" s="14">
        <f t="shared" si="31"/>
        <v>51.45976894278639</v>
      </c>
    </row>
    <row r="102" spans="2:36" ht="12.75">
      <c r="B102" s="13" t="s">
        <v>174</v>
      </c>
      <c r="D102" s="13" t="s">
        <v>102</v>
      </c>
      <c r="E102" s="45">
        <v>100</v>
      </c>
      <c r="F102" s="14">
        <f t="shared" si="32"/>
        <v>17.044807984418792</v>
      </c>
      <c r="G102" s="45">
        <v>100</v>
      </c>
      <c r="H102" s="14">
        <f t="shared" si="32"/>
        <v>16.982742109680142</v>
      </c>
      <c r="I102" s="45">
        <v>100</v>
      </c>
      <c r="J102" s="14">
        <f t="shared" si="23"/>
        <v>17.432218848687455</v>
      </c>
      <c r="K102" s="15">
        <v>100</v>
      </c>
      <c r="L102" s="14">
        <f t="shared" si="33"/>
        <v>17.151806151301525</v>
      </c>
      <c r="M102" s="45"/>
      <c r="N102" s="45"/>
      <c r="O102" s="45"/>
      <c r="P102" s="45"/>
      <c r="Q102" s="45"/>
      <c r="R102" s="45"/>
      <c r="S102" s="45"/>
      <c r="T102" s="44"/>
      <c r="U102" s="44"/>
      <c r="V102" s="44"/>
      <c r="W102" s="44"/>
      <c r="X102" s="44"/>
      <c r="Y102" s="44"/>
      <c r="Z102" s="44"/>
      <c r="AA102" s="44"/>
      <c r="AB102" s="45"/>
      <c r="AC102" s="45">
        <f t="shared" si="24"/>
        <v>100</v>
      </c>
      <c r="AD102" s="15">
        <f t="shared" si="25"/>
        <v>17.044807984418792</v>
      </c>
      <c r="AE102" s="45">
        <f t="shared" si="26"/>
        <v>100</v>
      </c>
      <c r="AF102" s="15">
        <f t="shared" si="27"/>
        <v>16.982742109680142</v>
      </c>
      <c r="AG102" s="45">
        <f t="shared" si="28"/>
        <v>100</v>
      </c>
      <c r="AH102" s="15">
        <f t="shared" si="29"/>
        <v>17.432218848687455</v>
      </c>
      <c r="AI102" s="45">
        <f t="shared" si="30"/>
        <v>100</v>
      </c>
      <c r="AJ102" s="14">
        <f t="shared" si="31"/>
        <v>17.15325631426213</v>
      </c>
    </row>
    <row r="103" spans="2:36" ht="12.75">
      <c r="B103" s="13" t="s">
        <v>175</v>
      </c>
      <c r="D103" s="13" t="s">
        <v>102</v>
      </c>
      <c r="E103" s="45">
        <v>100</v>
      </c>
      <c r="F103" s="14">
        <f t="shared" si="32"/>
        <v>11.931365589093156</v>
      </c>
      <c r="G103" s="45">
        <v>100</v>
      </c>
      <c r="H103" s="14">
        <f t="shared" si="32"/>
        <v>10.189645265808085</v>
      </c>
      <c r="I103" s="45">
        <v>100</v>
      </c>
      <c r="J103" s="14">
        <f t="shared" si="23"/>
        <v>10.459331309212471</v>
      </c>
      <c r="K103" s="15">
        <v>100</v>
      </c>
      <c r="L103" s="14">
        <f t="shared" si="33"/>
        <v>12.006264305911065</v>
      </c>
      <c r="M103" s="45"/>
      <c r="N103" s="45"/>
      <c r="O103" s="45"/>
      <c r="P103" s="45"/>
      <c r="Q103" s="45"/>
      <c r="R103" s="45"/>
      <c r="S103" s="45"/>
      <c r="T103" s="44"/>
      <c r="U103" s="44"/>
      <c r="V103" s="44"/>
      <c r="W103" s="44"/>
      <c r="X103" s="44"/>
      <c r="Y103" s="44"/>
      <c r="Z103" s="44"/>
      <c r="AA103" s="44"/>
      <c r="AB103" s="45"/>
      <c r="AC103" s="45">
        <f t="shared" si="24"/>
        <v>100</v>
      </c>
      <c r="AD103" s="15">
        <f t="shared" si="25"/>
        <v>11.931365589093156</v>
      </c>
      <c r="AE103" s="45">
        <f t="shared" si="26"/>
        <v>100</v>
      </c>
      <c r="AF103" s="15">
        <f t="shared" si="27"/>
        <v>10.189645265808085</v>
      </c>
      <c r="AG103" s="45">
        <f t="shared" si="28"/>
        <v>100</v>
      </c>
      <c r="AH103" s="15">
        <f t="shared" si="29"/>
        <v>10.459331309212471</v>
      </c>
      <c r="AI103" s="45">
        <f t="shared" si="30"/>
        <v>100</v>
      </c>
      <c r="AJ103" s="14">
        <f t="shared" si="31"/>
        <v>10.860114054704573</v>
      </c>
    </row>
    <row r="104" spans="2:36" ht="12.75">
      <c r="B104" s="13" t="s">
        <v>176</v>
      </c>
      <c r="D104" s="13" t="s">
        <v>102</v>
      </c>
      <c r="E104" s="45">
        <v>100</v>
      </c>
      <c r="F104" s="14">
        <f t="shared" si="32"/>
        <v>17.044807984418792</v>
      </c>
      <c r="G104" s="45">
        <v>100</v>
      </c>
      <c r="H104" s="14">
        <f t="shared" si="32"/>
        <v>16.982742109680142</v>
      </c>
      <c r="I104" s="45">
        <v>100</v>
      </c>
      <c r="J104" s="14">
        <f t="shared" si="23"/>
        <v>17.432218848687455</v>
      </c>
      <c r="K104" s="15">
        <v>100</v>
      </c>
      <c r="L104" s="14">
        <f t="shared" si="33"/>
        <v>17.151806151301525</v>
      </c>
      <c r="M104" s="45"/>
      <c r="N104" s="45"/>
      <c r="O104" s="45"/>
      <c r="P104" s="45"/>
      <c r="Q104" s="45"/>
      <c r="R104" s="45"/>
      <c r="S104" s="45"/>
      <c r="T104" s="44"/>
      <c r="U104" s="44"/>
      <c r="V104" s="44"/>
      <c r="W104" s="44"/>
      <c r="X104" s="44"/>
      <c r="Y104" s="44"/>
      <c r="Z104" s="44"/>
      <c r="AA104" s="44"/>
      <c r="AB104" s="45"/>
      <c r="AC104" s="45">
        <f t="shared" si="24"/>
        <v>100</v>
      </c>
      <c r="AD104" s="15">
        <f t="shared" si="25"/>
        <v>17.044807984418792</v>
      </c>
      <c r="AE104" s="45">
        <f t="shared" si="26"/>
        <v>100</v>
      </c>
      <c r="AF104" s="15">
        <f t="shared" si="27"/>
        <v>16.982742109680142</v>
      </c>
      <c r="AG104" s="45">
        <f t="shared" si="28"/>
        <v>100</v>
      </c>
      <c r="AH104" s="15">
        <f t="shared" si="29"/>
        <v>17.432218848687455</v>
      </c>
      <c r="AI104" s="45">
        <f t="shared" si="30"/>
        <v>100</v>
      </c>
      <c r="AJ104" s="14">
        <f t="shared" si="31"/>
        <v>17.15325631426213</v>
      </c>
    </row>
    <row r="105" spans="2:36" ht="12.75">
      <c r="B105" s="13" t="s">
        <v>199</v>
      </c>
      <c r="D105" s="13" t="s">
        <v>102</v>
      </c>
      <c r="E105" s="45">
        <v>100</v>
      </c>
      <c r="F105" s="14">
        <f t="shared" si="32"/>
        <v>11.931365589093156</v>
      </c>
      <c r="G105" s="45">
        <v>100</v>
      </c>
      <c r="H105" s="14">
        <f t="shared" si="32"/>
        <v>10.189645265808085</v>
      </c>
      <c r="I105" s="45">
        <v>100</v>
      </c>
      <c r="J105" s="14">
        <f t="shared" si="23"/>
        <v>10.459331309212471</v>
      </c>
      <c r="K105" s="15">
        <v>100</v>
      </c>
      <c r="L105" s="14">
        <f t="shared" si="33"/>
        <v>12.006264305911065</v>
      </c>
      <c r="M105" s="45"/>
      <c r="N105" s="45"/>
      <c r="O105" s="45"/>
      <c r="P105" s="45"/>
      <c r="Q105" s="45"/>
      <c r="R105" s="45"/>
      <c r="S105" s="45"/>
      <c r="T105" s="44"/>
      <c r="U105" s="44"/>
      <c r="V105" s="44"/>
      <c r="W105" s="44"/>
      <c r="X105" s="44"/>
      <c r="Y105" s="44"/>
      <c r="Z105" s="44"/>
      <c r="AA105" s="44"/>
      <c r="AB105" s="45"/>
      <c r="AC105" s="45">
        <f t="shared" si="24"/>
        <v>100</v>
      </c>
      <c r="AD105" s="15">
        <f t="shared" si="25"/>
        <v>11.931365589093156</v>
      </c>
      <c r="AE105" s="45">
        <f t="shared" si="26"/>
        <v>100</v>
      </c>
      <c r="AF105" s="15">
        <f t="shared" si="27"/>
        <v>10.189645265808085</v>
      </c>
      <c r="AG105" s="45">
        <f t="shared" si="28"/>
        <v>100</v>
      </c>
      <c r="AH105" s="15">
        <f t="shared" si="29"/>
        <v>10.459331309212471</v>
      </c>
      <c r="AI105" s="45">
        <f t="shared" si="30"/>
        <v>100</v>
      </c>
      <c r="AJ105" s="14">
        <f t="shared" si="31"/>
        <v>10.860114054704573</v>
      </c>
    </row>
    <row r="106" spans="5:36" ht="12.75">
      <c r="E106" s="45"/>
      <c r="F106" s="14"/>
      <c r="G106" s="45"/>
      <c r="H106" s="14"/>
      <c r="I106" s="45"/>
      <c r="J106" s="14"/>
      <c r="K106" s="45"/>
      <c r="L106" s="14"/>
      <c r="M106" s="45"/>
      <c r="N106" s="45"/>
      <c r="O106" s="45"/>
      <c r="P106" s="45"/>
      <c r="Q106" s="45"/>
      <c r="R106" s="45"/>
      <c r="S106" s="45"/>
      <c r="T106" s="44"/>
      <c r="U106" s="44"/>
      <c r="V106" s="44"/>
      <c r="W106" s="44"/>
      <c r="X106" s="44"/>
      <c r="Y106" s="44"/>
      <c r="Z106" s="44"/>
      <c r="AA106" s="44"/>
      <c r="AB106" s="45"/>
      <c r="AC106" s="45"/>
      <c r="AD106" s="14"/>
      <c r="AE106" s="14"/>
      <c r="AF106" s="14"/>
      <c r="AG106" s="14"/>
      <c r="AH106" s="14"/>
      <c r="AI106" s="14"/>
      <c r="AJ106" s="14"/>
    </row>
    <row r="107" spans="2:36" ht="12.75">
      <c r="B107" s="13" t="s">
        <v>98</v>
      </c>
      <c r="D107" s="13" t="s">
        <v>102</v>
      </c>
      <c r="E107" s="15">
        <f>(E97*F97+E99*F99)/F107</f>
        <v>100</v>
      </c>
      <c r="F107" s="14">
        <f>(F97+F99)</f>
        <v>28.97617357351195</v>
      </c>
      <c r="G107" s="15">
        <f>(G97*H97+G99*H99)/H107</f>
        <v>100</v>
      </c>
      <c r="H107" s="14">
        <f>(H97+H99)</f>
        <v>42.45685527420035</v>
      </c>
      <c r="I107" s="15">
        <f>(I97*J97+I99*J99)/J107</f>
        <v>100</v>
      </c>
      <c r="J107" s="14">
        <f>(J97+J99)</f>
        <v>27.89155015789993</v>
      </c>
      <c r="K107" s="15">
        <f>(K97*L97+K99*L99)/L107</f>
        <v>100</v>
      </c>
      <c r="L107" s="14">
        <f>(L97+L99)</f>
        <v>29.158070457212588</v>
      </c>
      <c r="M107" s="15"/>
      <c r="N107" s="45"/>
      <c r="O107" s="45"/>
      <c r="P107" s="45"/>
      <c r="Q107" s="45"/>
      <c r="R107" s="45"/>
      <c r="S107" s="45"/>
      <c r="T107" s="44"/>
      <c r="U107" s="44"/>
      <c r="V107" s="14">
        <f>(V97+V99)</f>
        <v>0</v>
      </c>
      <c r="W107" s="44"/>
      <c r="X107" s="14">
        <f>(X97+X99)</f>
        <v>0</v>
      </c>
      <c r="Y107" s="44"/>
      <c r="Z107" s="14">
        <f>(Z97+Z99)</f>
        <v>0</v>
      </c>
      <c r="AA107" s="44"/>
      <c r="AB107" s="14">
        <f>(AB97+AB99)</f>
        <v>0</v>
      </c>
      <c r="AC107" s="15">
        <f>(AC97*AD97+AC99*AD99)/AD107</f>
        <v>100</v>
      </c>
      <c r="AD107" s="14">
        <f>(AD97+AD99)</f>
        <v>28.97617357351195</v>
      </c>
      <c r="AE107" s="15">
        <f>(AE97*AF97+AE99*AF99)/AF107</f>
        <v>100</v>
      </c>
      <c r="AF107" s="14">
        <f>(AF97+AF99)</f>
        <v>42.45685527420035</v>
      </c>
      <c r="AG107" s="15">
        <f>(AG97*AH97+AG99*AH99)/AH107</f>
        <v>100</v>
      </c>
      <c r="AH107" s="14">
        <f>(AH97+AH99)</f>
        <v>27.89155015789993</v>
      </c>
      <c r="AI107" s="15">
        <f>(AI97*AJ97+AI99*AJ99)/AJ107</f>
        <v>100</v>
      </c>
      <c r="AJ107" s="14">
        <f>AVERAGE(AD107,AF107,AH107)</f>
        <v>33.108193001870745</v>
      </c>
    </row>
    <row r="108" spans="2:36" ht="12.75">
      <c r="B108" s="13" t="s">
        <v>99</v>
      </c>
      <c r="D108" s="13" t="s">
        <v>102</v>
      </c>
      <c r="E108" s="15">
        <f>(E94*F94+E96*F96+E98*F98)/F108</f>
        <v>87.49999999999999</v>
      </c>
      <c r="F108" s="14">
        <f>(F94+F96+F98)</f>
        <v>13.635846387535036</v>
      </c>
      <c r="G108" s="15">
        <f>(G94*H94+G96*H96+G98*H98)/H108</f>
        <v>98.3358547655068</v>
      </c>
      <c r="H108" s="14">
        <f>(H94+H96+H98)</f>
        <v>89.80474027598859</v>
      </c>
      <c r="I108" s="15">
        <f>(I94*J94+I96*J96+I98*J98)/J108</f>
        <v>87.71929824561406</v>
      </c>
      <c r="J108" s="14">
        <f>(J94+J96+J98)</f>
        <v>13.910910641252588</v>
      </c>
      <c r="K108" s="15">
        <f>(K94*L94+K96*L96+K98*L98)/L108</f>
        <v>88.88888888888889</v>
      </c>
      <c r="L108" s="14">
        <f>(L94+L96+L98)</f>
        <v>15.436625536171372</v>
      </c>
      <c r="M108" s="15"/>
      <c r="N108" s="45"/>
      <c r="O108" s="45"/>
      <c r="P108" s="45"/>
      <c r="Q108" s="45"/>
      <c r="R108" s="45"/>
      <c r="S108" s="45"/>
      <c r="T108" s="44"/>
      <c r="U108" s="44"/>
      <c r="V108" s="14">
        <f>(V94+V96+V98)</f>
        <v>0</v>
      </c>
      <c r="W108" s="44"/>
      <c r="X108" s="14">
        <f>(X94+X96+X98)</f>
        <v>0</v>
      </c>
      <c r="Y108" s="44"/>
      <c r="Z108" s="14">
        <f>(Z94+Z96+Z98)</f>
        <v>0</v>
      </c>
      <c r="AA108" s="44"/>
      <c r="AB108" s="14">
        <f>(AB94+AB96+AB98)</f>
        <v>0</v>
      </c>
      <c r="AC108" s="15">
        <f>(AC94*AD94+AC96*AD96+AC98*AD98)/AD108</f>
        <v>87.49999999999999</v>
      </c>
      <c r="AD108" s="14">
        <f>(AD94+AD96+AD98)</f>
        <v>13.635846387535036</v>
      </c>
      <c r="AE108" s="15">
        <f>(AE94*AF94+AE96*AF96+AE98*AF98)/AF108</f>
        <v>98.3358547655068</v>
      </c>
      <c r="AF108" s="14">
        <f>(AF94+AF96+AF98)</f>
        <v>89.80474027598859</v>
      </c>
      <c r="AG108" s="15">
        <f>(AG94*AH94+AG96*AH96+AG98*AH98)/AH108</f>
        <v>87.71929824561406</v>
      </c>
      <c r="AH108" s="14">
        <f>(AH94+AH96+AH98)</f>
        <v>13.910910641252588</v>
      </c>
      <c r="AI108" s="15">
        <f>(AI94*AJ94+AI96*AJ96+AI98*AJ98)/AJ108</f>
        <v>95.81827274131815</v>
      </c>
      <c r="AJ108" s="14">
        <f>AVERAGE(AD108,AF108,AH108)</f>
        <v>39.11716576825874</v>
      </c>
    </row>
    <row r="109" spans="5:35" ht="12.75">
      <c r="E109" s="45"/>
      <c r="F109" s="45"/>
      <c r="G109" s="45"/>
      <c r="H109" s="45"/>
      <c r="I109" s="45"/>
      <c r="J109" s="45"/>
      <c r="K109" s="45"/>
      <c r="M109" s="45"/>
      <c r="N109" s="45"/>
      <c r="O109" s="45"/>
      <c r="P109" s="45"/>
      <c r="Q109" s="45"/>
      <c r="R109" s="45"/>
      <c r="S109" s="45"/>
      <c r="T109" s="44"/>
      <c r="U109" s="44"/>
      <c r="V109" s="44"/>
      <c r="W109" s="44"/>
      <c r="X109" s="44"/>
      <c r="Y109" s="44"/>
      <c r="Z109" s="44"/>
      <c r="AA109" s="44"/>
      <c r="AB109" s="45"/>
      <c r="AC109" s="45"/>
      <c r="AD109" s="45"/>
      <c r="AE109" s="45"/>
      <c r="AF109" s="45"/>
      <c r="AG109" s="45"/>
      <c r="AH109" s="45"/>
      <c r="AI109" s="45"/>
    </row>
    <row r="110" spans="1:44" ht="12.75">
      <c r="A110" s="43" t="s">
        <v>206</v>
      </c>
      <c r="B110" s="42" t="s">
        <v>204</v>
      </c>
      <c r="C110" s="42" t="s">
        <v>205</v>
      </c>
      <c r="E110" s="45"/>
      <c r="F110" s="45" t="s">
        <v>220</v>
      </c>
      <c r="G110" s="45"/>
      <c r="H110" s="45" t="s">
        <v>221</v>
      </c>
      <c r="I110" s="45"/>
      <c r="J110" s="45" t="s">
        <v>222</v>
      </c>
      <c r="K110" s="45"/>
      <c r="L110" s="44" t="s">
        <v>54</v>
      </c>
      <c r="M110" s="45"/>
      <c r="N110" s="45" t="s">
        <v>220</v>
      </c>
      <c r="O110" s="45"/>
      <c r="P110" s="45" t="s">
        <v>221</v>
      </c>
      <c r="Q110" s="45"/>
      <c r="R110" s="45" t="s">
        <v>222</v>
      </c>
      <c r="S110" s="45"/>
      <c r="T110" s="44" t="s">
        <v>54</v>
      </c>
      <c r="U110" s="44"/>
      <c r="V110" s="45" t="s">
        <v>220</v>
      </c>
      <c r="W110" s="45"/>
      <c r="X110" s="45" t="s">
        <v>221</v>
      </c>
      <c r="Y110" s="45"/>
      <c r="Z110" s="45" t="s">
        <v>222</v>
      </c>
      <c r="AA110" s="45"/>
      <c r="AB110" s="44" t="s">
        <v>54</v>
      </c>
      <c r="AC110" s="45"/>
      <c r="AD110" s="45" t="s">
        <v>220</v>
      </c>
      <c r="AE110" s="45"/>
      <c r="AF110" s="45" t="s">
        <v>221</v>
      </c>
      <c r="AG110" s="45"/>
      <c r="AH110" s="45" t="s">
        <v>222</v>
      </c>
      <c r="AI110" s="45"/>
      <c r="AJ110" s="44" t="s">
        <v>54</v>
      </c>
      <c r="AL110" s="45" t="s">
        <v>220</v>
      </c>
      <c r="AM110" s="45"/>
      <c r="AN110" s="45" t="s">
        <v>221</v>
      </c>
      <c r="AO110" s="45"/>
      <c r="AP110" s="45" t="s">
        <v>222</v>
      </c>
      <c r="AQ110" s="45"/>
      <c r="AR110" s="44" t="s">
        <v>54</v>
      </c>
    </row>
    <row r="111" spans="2:35" ht="12.75">
      <c r="B111" s="42"/>
      <c r="C111" s="42"/>
      <c r="E111" s="45"/>
      <c r="F111" s="45"/>
      <c r="G111" s="45"/>
      <c r="H111" s="45"/>
      <c r="I111" s="45"/>
      <c r="J111" s="45"/>
      <c r="K111" s="45"/>
      <c r="M111" s="45"/>
      <c r="N111" s="45"/>
      <c r="O111" s="45"/>
      <c r="P111" s="45"/>
      <c r="Q111" s="45"/>
      <c r="R111" s="45"/>
      <c r="S111" s="45"/>
      <c r="T111" s="44"/>
      <c r="U111" s="44"/>
      <c r="V111" s="44"/>
      <c r="W111" s="44"/>
      <c r="X111" s="44"/>
      <c r="Y111" s="44"/>
      <c r="Z111" s="44"/>
      <c r="AA111" s="44"/>
      <c r="AB111" s="45"/>
      <c r="AC111" s="45"/>
      <c r="AD111" s="45"/>
      <c r="AE111" s="45"/>
      <c r="AF111" s="45"/>
      <c r="AG111" s="45"/>
      <c r="AH111" s="45"/>
      <c r="AI111" s="45"/>
    </row>
    <row r="112" spans="2:44" ht="12.75">
      <c r="B112" s="13" t="s">
        <v>235</v>
      </c>
      <c r="F112" s="43" t="s">
        <v>237</v>
      </c>
      <c r="H112" s="43" t="s">
        <v>237</v>
      </c>
      <c r="J112" s="43" t="s">
        <v>237</v>
      </c>
      <c r="K112" s="45"/>
      <c r="L112" s="43" t="s">
        <v>237</v>
      </c>
      <c r="M112" s="45"/>
      <c r="N112" s="43" t="s">
        <v>240</v>
      </c>
      <c r="O112" s="45"/>
      <c r="P112" s="43" t="s">
        <v>240</v>
      </c>
      <c r="Q112" s="45"/>
      <c r="R112" s="43" t="s">
        <v>240</v>
      </c>
      <c r="S112" s="45"/>
      <c r="T112" s="43" t="s">
        <v>240</v>
      </c>
      <c r="U112" s="44"/>
      <c r="AD112" s="44" t="s">
        <v>239</v>
      </c>
      <c r="AE112" s="44"/>
      <c r="AF112" s="44" t="s">
        <v>239</v>
      </c>
      <c r="AG112" s="44"/>
      <c r="AH112" s="44" t="s">
        <v>239</v>
      </c>
      <c r="AI112" s="44"/>
      <c r="AJ112" s="44" t="s">
        <v>239</v>
      </c>
      <c r="AK112" s="45"/>
      <c r="AL112" s="45" t="s">
        <v>242</v>
      </c>
      <c r="AM112" s="45"/>
      <c r="AN112" s="45" t="s">
        <v>242</v>
      </c>
      <c r="AO112" s="45"/>
      <c r="AP112" s="45" t="s">
        <v>242</v>
      </c>
      <c r="AQ112" s="45"/>
      <c r="AR112" s="45" t="s">
        <v>242</v>
      </c>
    </row>
    <row r="113" spans="2:44" ht="12.75">
      <c r="B113" s="13" t="s">
        <v>236</v>
      </c>
      <c r="F113" s="43" t="s">
        <v>238</v>
      </c>
      <c r="H113" s="43" t="s">
        <v>238</v>
      </c>
      <c r="J113" s="43" t="s">
        <v>238</v>
      </c>
      <c r="K113" s="45"/>
      <c r="L113" s="43" t="s">
        <v>238</v>
      </c>
      <c r="M113" s="45"/>
      <c r="N113" s="43" t="s">
        <v>238</v>
      </c>
      <c r="O113" s="45"/>
      <c r="P113" s="43" t="s">
        <v>238</v>
      </c>
      <c r="Q113" s="45"/>
      <c r="R113" s="43" t="s">
        <v>238</v>
      </c>
      <c r="S113" s="45"/>
      <c r="T113" s="43" t="s">
        <v>238</v>
      </c>
      <c r="U113" s="44"/>
      <c r="AD113" s="44" t="s">
        <v>241</v>
      </c>
      <c r="AE113" s="44"/>
      <c r="AF113" s="44" t="s">
        <v>241</v>
      </c>
      <c r="AG113" s="44"/>
      <c r="AH113" s="44" t="s">
        <v>241</v>
      </c>
      <c r="AI113" s="44"/>
      <c r="AJ113" s="44" t="s">
        <v>241</v>
      </c>
      <c r="AK113" s="45"/>
      <c r="AL113" s="45" t="s">
        <v>30</v>
      </c>
      <c r="AM113" s="45"/>
      <c r="AN113" s="45" t="s">
        <v>30</v>
      </c>
      <c r="AO113" s="45"/>
      <c r="AP113" s="45" t="s">
        <v>30</v>
      </c>
      <c r="AQ113" s="45"/>
      <c r="AR113" s="45" t="s">
        <v>30</v>
      </c>
    </row>
    <row r="114" spans="2:44" ht="12.75">
      <c r="B114" s="13" t="s">
        <v>244</v>
      </c>
      <c r="K114" s="45"/>
      <c r="L114" s="43"/>
      <c r="M114" s="45"/>
      <c r="O114" s="45"/>
      <c r="Q114" s="45"/>
      <c r="S114" s="45"/>
      <c r="U114" s="44"/>
      <c r="V114" s="43" t="s">
        <v>97</v>
      </c>
      <c r="X114" s="43" t="s">
        <v>97</v>
      </c>
      <c r="Z114" s="43" t="s">
        <v>97</v>
      </c>
      <c r="AB114" s="43" t="s">
        <v>97</v>
      </c>
      <c r="AD114" s="44" t="s">
        <v>245</v>
      </c>
      <c r="AE114" s="44"/>
      <c r="AF114" s="44" t="s">
        <v>245</v>
      </c>
      <c r="AG114" s="44"/>
      <c r="AH114" s="44" t="s">
        <v>245</v>
      </c>
      <c r="AI114" s="44"/>
      <c r="AJ114" s="44" t="s">
        <v>245</v>
      </c>
      <c r="AK114" s="45"/>
      <c r="AL114" s="45" t="s">
        <v>30</v>
      </c>
      <c r="AM114" s="45"/>
      <c r="AN114" s="45" t="s">
        <v>30</v>
      </c>
      <c r="AO114" s="45"/>
      <c r="AP114" s="45" t="s">
        <v>30</v>
      </c>
      <c r="AQ114" s="45"/>
      <c r="AR114" s="45" t="s">
        <v>30</v>
      </c>
    </row>
    <row r="115" spans="2:44" ht="12.75">
      <c r="B115" s="13" t="s">
        <v>55</v>
      </c>
      <c r="F115" s="44" t="s">
        <v>88</v>
      </c>
      <c r="H115" s="44" t="s">
        <v>88</v>
      </c>
      <c r="J115" s="44" t="s">
        <v>88</v>
      </c>
      <c r="L115" s="44" t="s">
        <v>88</v>
      </c>
      <c r="M115" s="45"/>
      <c r="N115" s="44" t="s">
        <v>92</v>
      </c>
      <c r="O115" s="45"/>
      <c r="P115" s="44" t="s">
        <v>92</v>
      </c>
      <c r="Q115" s="45"/>
      <c r="R115" s="44" t="s">
        <v>92</v>
      </c>
      <c r="S115" s="45"/>
      <c r="T115" s="44" t="s">
        <v>92</v>
      </c>
      <c r="U115" s="44"/>
      <c r="AD115" s="44" t="s">
        <v>84</v>
      </c>
      <c r="AE115" s="44"/>
      <c r="AF115" s="44" t="s">
        <v>84</v>
      </c>
      <c r="AG115" s="44"/>
      <c r="AH115" s="44" t="s">
        <v>84</v>
      </c>
      <c r="AI115" s="44"/>
      <c r="AJ115" s="44" t="s">
        <v>84</v>
      </c>
      <c r="AK115" s="44"/>
      <c r="AL115" s="45" t="s">
        <v>30</v>
      </c>
      <c r="AM115" s="44"/>
      <c r="AN115" s="45" t="s">
        <v>30</v>
      </c>
      <c r="AO115" s="44"/>
      <c r="AP115" s="45" t="s">
        <v>30</v>
      </c>
      <c r="AQ115" s="44"/>
      <c r="AR115" s="45" t="s">
        <v>30</v>
      </c>
    </row>
    <row r="116" spans="2:44" ht="12.75">
      <c r="B116" s="13" t="s">
        <v>208</v>
      </c>
      <c r="D116" s="13" t="s">
        <v>73</v>
      </c>
      <c r="F116" s="43">
        <f>102.91*60</f>
        <v>6174.599999999999</v>
      </c>
      <c r="H116" s="43">
        <f>68.89*60</f>
        <v>4133.4</v>
      </c>
      <c r="J116" s="43">
        <f>88.06*60</f>
        <v>5283.6</v>
      </c>
      <c r="L116" s="44">
        <v>5197.3</v>
      </c>
      <c r="N116" s="43">
        <f>242.28*60</f>
        <v>14536.8</v>
      </c>
      <c r="P116" s="43">
        <f>248.7*60</f>
        <v>14922</v>
      </c>
      <c r="R116" s="43">
        <f>262.78*60</f>
        <v>15766.8</v>
      </c>
      <c r="T116" s="44">
        <v>15075.3</v>
      </c>
      <c r="U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3"/>
    </row>
    <row r="117" spans="2:44" ht="12.75">
      <c r="B117" s="13" t="s">
        <v>57</v>
      </c>
      <c r="D117" s="13" t="s">
        <v>58</v>
      </c>
      <c r="F117" s="43">
        <v>7350</v>
      </c>
      <c r="H117" s="43">
        <v>7470</v>
      </c>
      <c r="J117" s="43">
        <v>7330</v>
      </c>
      <c r="L117" s="15">
        <v>7383.3</v>
      </c>
      <c r="M117" s="56"/>
      <c r="N117" s="56">
        <v>2900</v>
      </c>
      <c r="O117" s="56"/>
      <c r="P117" s="56">
        <v>3380</v>
      </c>
      <c r="Q117" s="56"/>
      <c r="R117" s="56">
        <v>3240</v>
      </c>
      <c r="S117" s="56"/>
      <c r="T117" s="56">
        <v>3173.3</v>
      </c>
      <c r="U117" s="56"/>
      <c r="AD117" s="56"/>
      <c r="AE117" s="56"/>
      <c r="AF117" s="56"/>
      <c r="AG117" s="56"/>
      <c r="AH117" s="56"/>
      <c r="AI117" s="56"/>
      <c r="AR117" s="43"/>
    </row>
    <row r="118" spans="2:44" ht="12.75">
      <c r="B118" s="13" t="s">
        <v>74</v>
      </c>
      <c r="D118" s="13" t="s">
        <v>89</v>
      </c>
      <c r="F118" s="43">
        <v>1.16</v>
      </c>
      <c r="H118" s="43">
        <v>1.16</v>
      </c>
      <c r="J118" s="43">
        <v>1.11</v>
      </c>
      <c r="L118" s="44">
        <v>1.14</v>
      </c>
      <c r="N118" s="43">
        <v>1.56</v>
      </c>
      <c r="P118" s="43">
        <v>1.61</v>
      </c>
      <c r="R118" s="43">
        <v>1.52</v>
      </c>
      <c r="T118" s="43">
        <v>1.56</v>
      </c>
      <c r="AR118" s="43"/>
    </row>
    <row r="119" spans="2:44" ht="12.75">
      <c r="B119" s="13" t="s">
        <v>62</v>
      </c>
      <c r="D119" s="13" t="s">
        <v>139</v>
      </c>
      <c r="F119" s="24">
        <v>228</v>
      </c>
      <c r="H119" s="24">
        <v>244</v>
      </c>
      <c r="J119" s="24">
        <v>161</v>
      </c>
      <c r="AR119" s="43"/>
    </row>
    <row r="120" spans="2:44" ht="12.75">
      <c r="B120" s="13" t="s">
        <v>59</v>
      </c>
      <c r="D120" s="13" t="s">
        <v>154</v>
      </c>
      <c r="L120" s="44">
        <v>21</v>
      </c>
      <c r="T120" s="43">
        <v>16</v>
      </c>
      <c r="AR120" s="43"/>
    </row>
    <row r="121" spans="2:44" ht="12.75">
      <c r="B121" s="13" t="s">
        <v>60</v>
      </c>
      <c r="D121" s="13" t="s">
        <v>73</v>
      </c>
      <c r="E121" s="43" t="s">
        <v>34</v>
      </c>
      <c r="F121" s="16">
        <v>0.02</v>
      </c>
      <c r="G121" s="43" t="s">
        <v>34</v>
      </c>
      <c r="H121" s="16">
        <v>0.01</v>
      </c>
      <c r="I121" s="43" t="s">
        <v>34</v>
      </c>
      <c r="J121" s="16">
        <v>0.02</v>
      </c>
      <c r="L121" s="16">
        <v>0.02</v>
      </c>
      <c r="N121" s="46">
        <f>980/454</f>
        <v>2.158590308370044</v>
      </c>
      <c r="O121" s="46"/>
      <c r="P121" s="46">
        <f>710/454</f>
        <v>1.5638766519823788</v>
      </c>
      <c r="Q121" s="46"/>
      <c r="R121" s="46">
        <f>440/454</f>
        <v>0.9691629955947136</v>
      </c>
      <c r="T121" s="44">
        <v>1.6</v>
      </c>
      <c r="U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3"/>
    </row>
    <row r="122" spans="2:44" ht="12.75">
      <c r="B122" s="13" t="s">
        <v>61</v>
      </c>
      <c r="D122" s="13" t="s">
        <v>73</v>
      </c>
      <c r="F122" s="14">
        <v>3154</v>
      </c>
      <c r="H122" s="14">
        <v>3154</v>
      </c>
      <c r="J122" s="14">
        <v>3154</v>
      </c>
      <c r="L122" s="14">
        <v>3154</v>
      </c>
      <c r="N122" s="46">
        <f>5100000/454</f>
        <v>11233.480176211453</v>
      </c>
      <c r="O122" s="46"/>
      <c r="P122" s="46">
        <f>5300000/454</f>
        <v>11674.008810572686</v>
      </c>
      <c r="Q122" s="46"/>
      <c r="R122" s="46">
        <f>5800000/454</f>
        <v>12775.33039647577</v>
      </c>
      <c r="T122" s="43">
        <v>11867.7</v>
      </c>
      <c r="AR122" s="43"/>
    </row>
    <row r="123" spans="2:44" ht="12.75">
      <c r="B123" s="13" t="s">
        <v>166</v>
      </c>
      <c r="D123" s="13" t="s">
        <v>56</v>
      </c>
      <c r="E123" s="43" t="s">
        <v>34</v>
      </c>
      <c r="F123" s="24">
        <v>0.3</v>
      </c>
      <c r="G123" s="43" t="s">
        <v>34</v>
      </c>
      <c r="H123" s="24">
        <v>0.2</v>
      </c>
      <c r="I123" s="43" t="s">
        <v>34</v>
      </c>
      <c r="J123" s="24">
        <v>0.3</v>
      </c>
      <c r="L123" s="44">
        <v>0.3</v>
      </c>
      <c r="M123" s="45" t="s">
        <v>34</v>
      </c>
      <c r="N123" s="43">
        <v>0.8</v>
      </c>
      <c r="O123" s="45" t="s">
        <v>34</v>
      </c>
      <c r="P123" s="43">
        <v>0.8</v>
      </c>
      <c r="Q123" s="45" t="s">
        <v>34</v>
      </c>
      <c r="R123" s="43">
        <v>0.9</v>
      </c>
      <c r="S123" s="45"/>
      <c r="T123" s="43">
        <v>0.8</v>
      </c>
      <c r="AR123" s="43"/>
    </row>
    <row r="124" spans="2:44" ht="12.75">
      <c r="B124" s="13" t="s">
        <v>167</v>
      </c>
      <c r="D124" s="13" t="s">
        <v>56</v>
      </c>
      <c r="E124" s="43" t="s">
        <v>34</v>
      </c>
      <c r="F124" s="24">
        <v>0.3</v>
      </c>
      <c r="G124" s="43" t="s">
        <v>34</v>
      </c>
      <c r="H124" s="24">
        <v>0.2</v>
      </c>
      <c r="I124" s="43" t="s">
        <v>34</v>
      </c>
      <c r="J124" s="24">
        <v>0.2</v>
      </c>
      <c r="L124" s="44">
        <v>0.3</v>
      </c>
      <c r="M124" s="45" t="s">
        <v>34</v>
      </c>
      <c r="N124" s="43">
        <v>0.7</v>
      </c>
      <c r="O124" s="45" t="s">
        <v>34</v>
      </c>
      <c r="P124" s="43">
        <v>0.7</v>
      </c>
      <c r="Q124" s="45" t="s">
        <v>34</v>
      </c>
      <c r="R124" s="43">
        <v>0.7</v>
      </c>
      <c r="S124" s="45"/>
      <c r="T124" s="43">
        <v>0.7</v>
      </c>
      <c r="AR124" s="43"/>
    </row>
    <row r="125" spans="2:44" ht="12.75">
      <c r="B125" s="13" t="s">
        <v>168</v>
      </c>
      <c r="D125" s="13" t="s">
        <v>56</v>
      </c>
      <c r="E125" s="45"/>
      <c r="F125" s="44">
        <v>0.24</v>
      </c>
      <c r="G125" s="45"/>
      <c r="H125" s="44">
        <v>0.15</v>
      </c>
      <c r="I125" s="45"/>
      <c r="J125" s="44">
        <v>0.2</v>
      </c>
      <c r="K125" s="45"/>
      <c r="L125" s="14">
        <v>0.197</v>
      </c>
      <c r="M125" s="45"/>
      <c r="N125" s="44">
        <v>0.54</v>
      </c>
      <c r="O125" s="45"/>
      <c r="P125" s="44">
        <v>0.56</v>
      </c>
      <c r="Q125" s="45"/>
      <c r="R125" s="44">
        <v>0.58</v>
      </c>
      <c r="S125" s="45"/>
      <c r="T125" s="44">
        <v>0.56</v>
      </c>
      <c r="U125" s="44"/>
      <c r="AD125" s="44"/>
      <c r="AE125" s="44"/>
      <c r="AF125" s="44"/>
      <c r="AG125" s="44"/>
      <c r="AH125" s="44"/>
      <c r="AI125" s="44"/>
      <c r="AR125" s="43"/>
    </row>
    <row r="126" spans="2:44" ht="12.75">
      <c r="B126" s="13" t="s">
        <v>169</v>
      </c>
      <c r="D126" s="13" t="s">
        <v>56</v>
      </c>
      <c r="E126" s="45" t="s">
        <v>34</v>
      </c>
      <c r="F126" s="44">
        <v>0.08</v>
      </c>
      <c r="G126" s="45" t="s">
        <v>34</v>
      </c>
      <c r="H126" s="44">
        <v>0.06</v>
      </c>
      <c r="I126" s="45" t="s">
        <v>34</v>
      </c>
      <c r="J126" s="44">
        <v>0.07</v>
      </c>
      <c r="K126" s="45"/>
      <c r="L126" s="44">
        <v>0.07</v>
      </c>
      <c r="M126" s="45" t="s">
        <v>34</v>
      </c>
      <c r="N126" s="44">
        <v>0.2</v>
      </c>
      <c r="O126" s="45" t="s">
        <v>34</v>
      </c>
      <c r="P126" s="44">
        <v>0.2</v>
      </c>
      <c r="Q126" s="45" t="s">
        <v>34</v>
      </c>
      <c r="R126" s="44">
        <v>0.2</v>
      </c>
      <c r="S126" s="45"/>
      <c r="T126" s="44">
        <v>0.2</v>
      </c>
      <c r="U126" s="44"/>
      <c r="AD126" s="44"/>
      <c r="AE126" s="44"/>
      <c r="AF126" s="44"/>
      <c r="AG126" s="44"/>
      <c r="AH126" s="44"/>
      <c r="AI126" s="44"/>
      <c r="AR126" s="43"/>
    </row>
    <row r="127" spans="2:44" ht="12.75">
      <c r="B127" s="13" t="s">
        <v>170</v>
      </c>
      <c r="D127" s="13" t="s">
        <v>56</v>
      </c>
      <c r="E127" s="45" t="s">
        <v>34</v>
      </c>
      <c r="F127" s="44">
        <v>0.3</v>
      </c>
      <c r="G127" s="45" t="s">
        <v>34</v>
      </c>
      <c r="H127" s="44">
        <v>0.2</v>
      </c>
      <c r="I127" s="45" t="s">
        <v>34</v>
      </c>
      <c r="J127" s="44">
        <v>0.3</v>
      </c>
      <c r="K127" s="45"/>
      <c r="L127" s="44">
        <v>0.3</v>
      </c>
      <c r="M127" s="45" t="s">
        <v>34</v>
      </c>
      <c r="N127" s="44">
        <v>0.8</v>
      </c>
      <c r="O127" s="45" t="s">
        <v>34</v>
      </c>
      <c r="P127" s="44">
        <v>0.8</v>
      </c>
      <c r="Q127" s="45" t="s">
        <v>34</v>
      </c>
      <c r="R127" s="44">
        <v>0.8</v>
      </c>
      <c r="S127" s="45"/>
      <c r="T127" s="44">
        <v>0.8</v>
      </c>
      <c r="U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3"/>
    </row>
    <row r="128" spans="2:44" ht="12.75">
      <c r="B128" s="13" t="s">
        <v>196</v>
      </c>
      <c r="D128" s="13" t="s">
        <v>56</v>
      </c>
      <c r="F128" s="31">
        <v>0.043</v>
      </c>
      <c r="H128" s="31">
        <v>0.029</v>
      </c>
      <c r="J128" s="31">
        <v>0.037</v>
      </c>
      <c r="L128" s="16">
        <v>0.035</v>
      </c>
      <c r="M128" s="45"/>
      <c r="N128" s="44">
        <v>0.76</v>
      </c>
      <c r="O128" s="45"/>
      <c r="P128" s="44">
        <v>1</v>
      </c>
      <c r="Q128" s="45"/>
      <c r="R128" s="44">
        <v>0.79</v>
      </c>
      <c r="S128" s="45"/>
      <c r="T128" s="44">
        <v>0.85</v>
      </c>
      <c r="U128" s="44"/>
      <c r="AD128" s="44"/>
      <c r="AE128" s="44"/>
      <c r="AF128" s="44"/>
      <c r="AG128" s="44"/>
      <c r="AH128" s="44"/>
      <c r="AI128" s="44"/>
      <c r="AR128" s="43"/>
    </row>
    <row r="129" spans="2:44" ht="12.75">
      <c r="B129" s="13" t="s">
        <v>171</v>
      </c>
      <c r="D129" s="13" t="s">
        <v>56</v>
      </c>
      <c r="E129" s="23" t="s">
        <v>34</v>
      </c>
      <c r="F129" s="31">
        <v>0.6</v>
      </c>
      <c r="G129" s="23" t="s">
        <v>34</v>
      </c>
      <c r="H129" s="31">
        <v>0.4</v>
      </c>
      <c r="I129" s="23" t="s">
        <v>34</v>
      </c>
      <c r="J129" s="31">
        <v>0.5</v>
      </c>
      <c r="K129" s="23"/>
      <c r="L129" s="14">
        <v>0.5</v>
      </c>
      <c r="M129" s="45" t="s">
        <v>34</v>
      </c>
      <c r="N129" s="44">
        <v>1</v>
      </c>
      <c r="O129" s="45" t="s">
        <v>34</v>
      </c>
      <c r="P129" s="44">
        <v>1</v>
      </c>
      <c r="Q129" s="45" t="s">
        <v>34</v>
      </c>
      <c r="R129" s="44">
        <v>1.5</v>
      </c>
      <c r="S129" s="45"/>
      <c r="T129" s="44">
        <v>1.17</v>
      </c>
      <c r="U129" s="44"/>
      <c r="AD129" s="44"/>
      <c r="AE129" s="44"/>
      <c r="AF129" s="44"/>
      <c r="AG129" s="44"/>
      <c r="AH129" s="44"/>
      <c r="AI129" s="44"/>
      <c r="AR129" s="43"/>
    </row>
    <row r="130" spans="2:44" ht="12.75">
      <c r="B130" s="13" t="s">
        <v>172</v>
      </c>
      <c r="D130" s="13" t="s">
        <v>56</v>
      </c>
      <c r="E130" s="43" t="s">
        <v>34</v>
      </c>
      <c r="F130" s="31">
        <v>0.3</v>
      </c>
      <c r="G130" s="43" t="s">
        <v>34</v>
      </c>
      <c r="H130" s="31">
        <v>0.2</v>
      </c>
      <c r="I130" s="43" t="s">
        <v>34</v>
      </c>
      <c r="J130" s="31">
        <v>0.2</v>
      </c>
      <c r="L130" s="44">
        <v>0.2</v>
      </c>
      <c r="M130" s="45" t="s">
        <v>34</v>
      </c>
      <c r="N130" s="43">
        <v>0.7</v>
      </c>
      <c r="O130" s="45" t="s">
        <v>34</v>
      </c>
      <c r="P130" s="43">
        <v>0.7</v>
      </c>
      <c r="Q130" s="45" t="s">
        <v>34</v>
      </c>
      <c r="R130" s="43">
        <v>0.7</v>
      </c>
      <c r="S130" s="45"/>
      <c r="T130" s="43">
        <v>0.7</v>
      </c>
      <c r="AR130" s="43"/>
    </row>
    <row r="131" spans="2:44" ht="12.75">
      <c r="B131" s="13" t="s">
        <v>173</v>
      </c>
      <c r="D131" s="13" t="s">
        <v>56</v>
      </c>
      <c r="E131" s="43" t="s">
        <v>34</v>
      </c>
      <c r="F131" s="31">
        <v>2</v>
      </c>
      <c r="G131" s="43" t="s">
        <v>34</v>
      </c>
      <c r="H131" s="31">
        <v>1</v>
      </c>
      <c r="I131" s="43" t="s">
        <v>34</v>
      </c>
      <c r="J131" s="31">
        <v>1</v>
      </c>
      <c r="L131" s="15">
        <v>1.3</v>
      </c>
      <c r="M131" s="45"/>
      <c r="N131" s="46">
        <v>8.3</v>
      </c>
      <c r="O131" s="45"/>
      <c r="P131" s="46">
        <v>5.9</v>
      </c>
      <c r="Q131" s="45"/>
      <c r="R131" s="46">
        <v>5.2</v>
      </c>
      <c r="S131" s="45"/>
      <c r="T131" s="46">
        <v>6.47</v>
      </c>
      <c r="U131" s="46"/>
      <c r="AD131" s="46"/>
      <c r="AE131" s="46"/>
      <c r="AF131" s="46"/>
      <c r="AG131" s="46"/>
      <c r="AH131" s="46"/>
      <c r="AI131" s="46"/>
      <c r="AR131" s="43"/>
    </row>
    <row r="132" spans="2:44" ht="12.75">
      <c r="B132" s="13" t="s">
        <v>174</v>
      </c>
      <c r="D132" s="13" t="s">
        <v>56</v>
      </c>
      <c r="E132" s="43" t="s">
        <v>34</v>
      </c>
      <c r="F132" s="31">
        <v>0.6</v>
      </c>
      <c r="G132" s="43" t="s">
        <v>34</v>
      </c>
      <c r="H132" s="31">
        <v>0.4</v>
      </c>
      <c r="I132" s="43" t="s">
        <v>34</v>
      </c>
      <c r="J132" s="31">
        <v>0.5</v>
      </c>
      <c r="L132" s="44">
        <v>0.5</v>
      </c>
      <c r="M132" s="45" t="s">
        <v>34</v>
      </c>
      <c r="N132" s="43">
        <v>1</v>
      </c>
      <c r="O132" s="45" t="s">
        <v>34</v>
      </c>
      <c r="P132" s="43">
        <v>1</v>
      </c>
      <c r="Q132" s="45" t="s">
        <v>34</v>
      </c>
      <c r="R132" s="43">
        <v>1</v>
      </c>
      <c r="S132" s="45"/>
      <c r="T132" s="43">
        <v>1</v>
      </c>
      <c r="AR132" s="43"/>
    </row>
    <row r="133" spans="2:44" ht="12.75">
      <c r="B133" s="13" t="s">
        <v>175</v>
      </c>
      <c r="D133" s="13" t="s">
        <v>56</v>
      </c>
      <c r="E133" s="43" t="s">
        <v>34</v>
      </c>
      <c r="F133" s="31">
        <v>0.3</v>
      </c>
      <c r="G133" s="43" t="s">
        <v>34</v>
      </c>
      <c r="H133" s="31">
        <v>0.2</v>
      </c>
      <c r="I133" s="43" t="s">
        <v>34</v>
      </c>
      <c r="J133" s="31">
        <v>0.3</v>
      </c>
      <c r="L133" s="44">
        <v>0.3</v>
      </c>
      <c r="M133" s="45" t="s">
        <v>34</v>
      </c>
      <c r="N133" s="43">
        <v>0.8</v>
      </c>
      <c r="O133" s="45" t="s">
        <v>34</v>
      </c>
      <c r="P133" s="43">
        <v>0.8</v>
      </c>
      <c r="Q133" s="45" t="s">
        <v>34</v>
      </c>
      <c r="R133" s="43">
        <v>0.9</v>
      </c>
      <c r="S133" s="45"/>
      <c r="T133" s="43">
        <v>0.8</v>
      </c>
      <c r="AR133" s="43"/>
    </row>
    <row r="134" spans="2:44" ht="12.75">
      <c r="B134" s="13" t="s">
        <v>176</v>
      </c>
      <c r="D134" s="13" t="s">
        <v>56</v>
      </c>
      <c r="E134" s="43" t="s">
        <v>34</v>
      </c>
      <c r="F134" s="31">
        <v>0.7</v>
      </c>
      <c r="G134" s="43" t="s">
        <v>34</v>
      </c>
      <c r="H134" s="31">
        <v>0.5</v>
      </c>
      <c r="I134" s="43" t="s">
        <v>34</v>
      </c>
      <c r="J134" s="31">
        <v>0.6</v>
      </c>
      <c r="L134" s="44">
        <v>0.6</v>
      </c>
      <c r="M134" s="45" t="s">
        <v>34</v>
      </c>
      <c r="N134" s="43">
        <v>2</v>
      </c>
      <c r="O134" s="45" t="s">
        <v>34</v>
      </c>
      <c r="P134" s="43">
        <v>2</v>
      </c>
      <c r="Q134" s="45" t="s">
        <v>34</v>
      </c>
      <c r="R134" s="43">
        <v>2</v>
      </c>
      <c r="S134" s="45"/>
      <c r="T134" s="43">
        <v>2</v>
      </c>
      <c r="AR134" s="43"/>
    </row>
    <row r="135" spans="2:44" ht="12.75">
      <c r="B135" s="13" t="s">
        <v>199</v>
      </c>
      <c r="D135" s="13" t="s">
        <v>56</v>
      </c>
      <c r="E135" s="43" t="s">
        <v>34</v>
      </c>
      <c r="F135" s="31">
        <v>0.3</v>
      </c>
      <c r="G135" s="43" t="s">
        <v>34</v>
      </c>
      <c r="H135" s="31">
        <v>0.2</v>
      </c>
      <c r="I135" s="43" t="s">
        <v>34</v>
      </c>
      <c r="J135" s="31">
        <v>0.3</v>
      </c>
      <c r="L135" s="14">
        <v>0.3</v>
      </c>
      <c r="M135" s="45"/>
      <c r="N135" s="14">
        <v>2.8</v>
      </c>
      <c r="O135" s="45"/>
      <c r="P135" s="14">
        <v>3.6</v>
      </c>
      <c r="Q135" s="45"/>
      <c r="R135" s="14">
        <v>3.1</v>
      </c>
      <c r="S135" s="45"/>
      <c r="T135" s="14">
        <v>3.17</v>
      </c>
      <c r="U135" s="14"/>
      <c r="AD135" s="14"/>
      <c r="AE135" s="14"/>
      <c r="AF135" s="14"/>
      <c r="AG135" s="14"/>
      <c r="AH135" s="14"/>
      <c r="AI135" s="14"/>
      <c r="AJ135" s="44"/>
      <c r="AK135" s="44"/>
      <c r="AL135" s="44"/>
      <c r="AM135" s="44"/>
      <c r="AN135" s="44"/>
      <c r="AO135" s="44"/>
      <c r="AP135" s="44"/>
      <c r="AQ135" s="44"/>
      <c r="AR135" s="43"/>
    </row>
    <row r="136" spans="20:44" ht="12.75">
      <c r="T136" s="44"/>
      <c r="U136" s="44"/>
      <c r="AD136" s="44"/>
      <c r="AE136" s="44"/>
      <c r="AF136" s="44"/>
      <c r="AG136" s="44"/>
      <c r="AH136" s="44"/>
      <c r="AI136" s="44"/>
      <c r="AR136" s="43"/>
    </row>
    <row r="137" spans="2:44" ht="12.75">
      <c r="B137" s="13" t="s">
        <v>103</v>
      </c>
      <c r="D137" s="13" t="s">
        <v>22</v>
      </c>
      <c r="F137" s="43">
        <f>emiss!G92</f>
        <v>15289</v>
      </c>
      <c r="H137" s="43">
        <f>emiss!I92</f>
        <v>15460</v>
      </c>
      <c r="J137" s="43">
        <f>emiss!K92</f>
        <v>14847</v>
      </c>
      <c r="L137" s="14">
        <f>emiss!M92</f>
        <v>15198.666666666666</v>
      </c>
      <c r="T137" s="44"/>
      <c r="U137" s="44"/>
      <c r="AD137" s="44"/>
      <c r="AE137" s="44"/>
      <c r="AF137" s="44"/>
      <c r="AG137" s="44"/>
      <c r="AH137" s="44"/>
      <c r="AI137" s="44"/>
      <c r="AL137" s="43">
        <f>emiss!G98</f>
        <v>15976</v>
      </c>
      <c r="AN137" s="43">
        <f>emiss!I98</f>
        <v>15013</v>
      </c>
      <c r="AP137" s="43">
        <f>emiss!K98</f>
        <v>14811</v>
      </c>
      <c r="AR137" s="56">
        <f>emiss!M98</f>
        <v>15266.666666666666</v>
      </c>
    </row>
    <row r="138" spans="2:44" ht="12.75">
      <c r="B138" s="13" t="s">
        <v>104</v>
      </c>
      <c r="D138" s="13" t="s">
        <v>23</v>
      </c>
      <c r="F138" s="43">
        <f>emiss!G21</f>
        <v>7.3</v>
      </c>
      <c r="H138" s="43">
        <f>emiss!I21</f>
        <v>7.2</v>
      </c>
      <c r="J138" s="43">
        <f>emiss!K21</f>
        <v>7.4</v>
      </c>
      <c r="L138" s="44">
        <f>emiss!M21</f>
        <v>7.3</v>
      </c>
      <c r="AL138" s="43">
        <f>emiss!G21</f>
        <v>7.3</v>
      </c>
      <c r="AN138" s="43">
        <f>emiss!I21</f>
        <v>7.2</v>
      </c>
      <c r="AP138" s="43">
        <f>emiss!K21</f>
        <v>7.4</v>
      </c>
      <c r="AR138" s="43">
        <f>emiss!M21</f>
        <v>7.3</v>
      </c>
    </row>
    <row r="139" ht="12.75">
      <c r="AR139" s="43"/>
    </row>
    <row r="140" spans="2:44" ht="12.75">
      <c r="B140" s="13" t="s">
        <v>207</v>
      </c>
      <c r="D140" s="13" t="s">
        <v>75</v>
      </c>
      <c r="F140" s="14">
        <f>(F116*F117)/1000000</f>
        <v>45.383309999999994</v>
      </c>
      <c r="H140" s="14">
        <f>(H116*H117)/1000000</f>
        <v>30.876497999999998</v>
      </c>
      <c r="J140" s="14">
        <f>(J116*J117)/1000000</f>
        <v>38.728788</v>
      </c>
      <c r="L140" s="14">
        <f>(L116*L117)/1000000</f>
        <v>38.373225090000005</v>
      </c>
      <c r="M140" s="14"/>
      <c r="N140" s="14">
        <f>(N116*N117)/1000000</f>
        <v>42.15672</v>
      </c>
      <c r="O140" s="14"/>
      <c r="P140" s="14">
        <f>(P116*P117)/1000000</f>
        <v>50.43636</v>
      </c>
      <c r="Q140" s="14"/>
      <c r="R140" s="14">
        <f>(R116*R117)/1000000</f>
        <v>51.084432</v>
      </c>
      <c r="S140" s="14"/>
      <c r="T140" s="14">
        <f>(T116*T117)/1000000</f>
        <v>47.83844949</v>
      </c>
      <c r="U140" s="14"/>
      <c r="V140" s="46">
        <f>SUM(F140,N140)</f>
        <v>87.54003</v>
      </c>
      <c r="X140" s="46">
        <f>SUM(H140,P140)</f>
        <v>81.312858</v>
      </c>
      <c r="Z140" s="46">
        <f>SUM(J140,R140)</f>
        <v>89.81322</v>
      </c>
      <c r="AB140" s="46">
        <f>SUM(L140,T140)</f>
        <v>86.21167458000001</v>
      </c>
      <c r="AD140" s="43">
        <v>4.2</v>
      </c>
      <c r="AE140" s="14"/>
      <c r="AF140" s="43">
        <v>4.2</v>
      </c>
      <c r="AG140" s="14"/>
      <c r="AH140" s="43">
        <v>4.2</v>
      </c>
      <c r="AI140" s="14"/>
      <c r="AJ140" s="43">
        <v>4.2</v>
      </c>
      <c r="AL140" s="46">
        <f>F140+N140+AD140</f>
        <v>91.74003</v>
      </c>
      <c r="AN140" s="46">
        <f>H140+P140+AF140</f>
        <v>85.51285800000001</v>
      </c>
      <c r="AP140" s="46">
        <f>J140+R140+AH140</f>
        <v>94.01322</v>
      </c>
      <c r="AR140" s="46">
        <f>L140+T140+AJ140</f>
        <v>90.41167458000001</v>
      </c>
    </row>
    <row r="141" spans="2:44" ht="12.75">
      <c r="B141" s="13" t="s">
        <v>246</v>
      </c>
      <c r="D141" s="13" t="s">
        <v>75</v>
      </c>
      <c r="L141" s="43"/>
      <c r="M141" s="14"/>
      <c r="N141" s="14"/>
      <c r="O141" s="14"/>
      <c r="P141" s="14"/>
      <c r="Q141" s="14"/>
      <c r="R141" s="14"/>
      <c r="S141" s="14"/>
      <c r="T141" s="14"/>
      <c r="U141" s="14"/>
      <c r="AD141" s="14"/>
      <c r="AE141" s="14"/>
      <c r="AF141" s="14"/>
      <c r="AG141" s="14"/>
      <c r="AH141" s="14"/>
      <c r="AI141" s="14"/>
      <c r="AL141" s="46">
        <f>AL137*60/9000*(21-AL138)/21</f>
        <v>69.48292063492063</v>
      </c>
      <c r="AN141" s="46">
        <f>AN137*60/9000*(21-AN138)/21</f>
        <v>65.7712380952381</v>
      </c>
      <c r="AP141" s="46">
        <f>AP137*60/9000*(21-AP138)/21</f>
        <v>63.94590476190475</v>
      </c>
      <c r="AR141" s="46">
        <f>AR137*60/9000*(21-AR138)/21</f>
        <v>66.39788359788359</v>
      </c>
    </row>
    <row r="142" spans="12:44" ht="12.75">
      <c r="L142" s="43"/>
      <c r="M142" s="14"/>
      <c r="N142" s="14"/>
      <c r="O142" s="14"/>
      <c r="P142" s="14"/>
      <c r="Q142" s="14"/>
      <c r="R142" s="14"/>
      <c r="S142" s="14"/>
      <c r="T142" s="14"/>
      <c r="U142" s="14"/>
      <c r="AD142" s="14"/>
      <c r="AE142" s="14"/>
      <c r="AF142" s="14"/>
      <c r="AG142" s="14"/>
      <c r="AH142" s="14"/>
      <c r="AI142" s="14"/>
      <c r="AR142" s="43"/>
    </row>
    <row r="143" spans="2:44" ht="12.75">
      <c r="B143" s="67" t="s">
        <v>138</v>
      </c>
      <c r="C143" s="67"/>
      <c r="L143" s="43"/>
      <c r="M143" s="14"/>
      <c r="N143" s="14"/>
      <c r="O143" s="14"/>
      <c r="P143" s="14"/>
      <c r="Q143" s="14"/>
      <c r="R143" s="14"/>
      <c r="S143" s="14"/>
      <c r="T143" s="14"/>
      <c r="U143" s="14"/>
      <c r="AD143" s="14"/>
      <c r="AE143" s="14"/>
      <c r="AF143" s="14"/>
      <c r="AG143" s="14"/>
      <c r="AH143" s="14"/>
      <c r="AI143" s="14"/>
      <c r="AR143" s="43"/>
    </row>
    <row r="144" spans="2:44" ht="12.75">
      <c r="B144" s="13" t="s">
        <v>60</v>
      </c>
      <c r="D144" s="13" t="s">
        <v>101</v>
      </c>
      <c r="E144" s="43">
        <v>100</v>
      </c>
      <c r="F144" s="16">
        <f>(F121*454/(F$137*60*0.0283))*(14/(21-F$138))*1000</f>
        <v>0.3574181071230732</v>
      </c>
      <c r="G144" s="43">
        <v>100</v>
      </c>
      <c r="H144" s="16">
        <f>(H121*454/(H$137*60*0.0283))*(14/(21-H$138))*1000</f>
        <v>0.17545171861307327</v>
      </c>
      <c r="I144" s="43">
        <v>100</v>
      </c>
      <c r="J144" s="16">
        <f>(J121*454/(J$137*60*0.0283))*(14/(21-J$138))*1000</f>
        <v>0.37076487290621163</v>
      </c>
      <c r="L144" s="16">
        <f>AVERAGE(F144,H144,J144)/2</f>
        <v>0.1506057831070597</v>
      </c>
      <c r="M144" s="16"/>
      <c r="N144" s="16">
        <f>(N121*454/(F$137*60*0.0283))*(14/(21-F$138))*1000</f>
        <v>38.5759631035916</v>
      </c>
      <c r="O144" s="16"/>
      <c r="P144" s="16">
        <f>(P121*454/(H$137*60*0.0283))*(14/(21-H$138))*1000</f>
        <v>27.438484628916743</v>
      </c>
      <c r="Q144" s="16"/>
      <c r="R144" s="16">
        <f>(R121*454/(J$137*60*0.0283))*(14/(21-J$138))*1000</f>
        <v>17.966579744353865</v>
      </c>
      <c r="S144" s="16"/>
      <c r="T144" s="16">
        <f>AVERAGE(N144,P144,R144)</f>
        <v>27.993675825620738</v>
      </c>
      <c r="U144" s="15">
        <f aca="true" t="shared" si="34" ref="U144:U158">(E144*F144+M144*N144)/V144</f>
        <v>0.918024831156226</v>
      </c>
      <c r="V144" s="47">
        <f>F144+N144</f>
        <v>38.93338121071467</v>
      </c>
      <c r="X144" s="47">
        <f>H144+P144</f>
        <v>27.613936347529815</v>
      </c>
      <c r="Z144" s="47">
        <f>J144+R144</f>
        <v>18.337344617260076</v>
      </c>
      <c r="AA144" s="43">
        <f aca="true" t="shared" si="35" ref="AA144:AA158">AVERAGE(U144*V144,W144*X144,Y144*Z144)/AB144</f>
        <v>0.4233164331473936</v>
      </c>
      <c r="AB144" s="46">
        <f>T144+L144</f>
        <v>28.1442816087278</v>
      </c>
      <c r="AD144" s="16"/>
      <c r="AE144" s="16"/>
      <c r="AF144" s="16"/>
      <c r="AG144" s="16"/>
      <c r="AH144" s="16"/>
      <c r="AI144" s="16"/>
      <c r="AK144" s="56">
        <f aca="true" t="shared" si="36" ref="AK144:AQ144">U144</f>
        <v>0.918024831156226</v>
      </c>
      <c r="AL144" s="46">
        <f t="shared" si="36"/>
        <v>38.93338121071467</v>
      </c>
      <c r="AM144" s="56">
        <f t="shared" si="36"/>
        <v>0</v>
      </c>
      <c r="AN144" s="46">
        <f t="shared" si="36"/>
        <v>27.613936347529815</v>
      </c>
      <c r="AO144" s="56">
        <f t="shared" si="36"/>
        <v>0</v>
      </c>
      <c r="AP144" s="46">
        <f t="shared" si="36"/>
        <v>18.337344617260076</v>
      </c>
      <c r="AQ144" s="56">
        <f t="shared" si="36"/>
        <v>0.4233164331473936</v>
      </c>
      <c r="AR144" s="46">
        <f>AVERAGE(AL144,AN144,AP144)</f>
        <v>28.294887391834852</v>
      </c>
    </row>
    <row r="145" spans="2:44" ht="12.75">
      <c r="B145" s="13" t="s">
        <v>61</v>
      </c>
      <c r="D145" s="13" t="s">
        <v>100</v>
      </c>
      <c r="F145" s="15">
        <f>(F122*454/(F$137*60*0.0283))*(14/(21-F$138))*1000000</f>
        <v>56364835.49330864</v>
      </c>
      <c r="H145" s="15">
        <f>(H122*454/(H$137*60*0.0283))*(14/(21-H$138))*1000000</f>
        <v>55337472.0505633</v>
      </c>
      <c r="J145" s="15">
        <f>(J122*454/(J$137*60*0.0283))*(14/(21-J$138))*1000000</f>
        <v>58469620.457309574</v>
      </c>
      <c r="L145" s="15">
        <f>AVERAGE(F145,H145,J145)</f>
        <v>56723976.00039384</v>
      </c>
      <c r="M145" s="15"/>
      <c r="N145" s="15">
        <f>(N122*454/(F$137*60*0.0283))*(14/(21-F$138))*1000000</f>
        <v>200752461.0493032</v>
      </c>
      <c r="O145" s="15"/>
      <c r="P145" s="15">
        <f>(P122*454/(H$137*60*0.0283))*(14/(21-H$138))*1000000</f>
        <v>204822490.8919137</v>
      </c>
      <c r="Q145" s="15"/>
      <c r="R145" s="15">
        <f>(R122*454/(J$137*60*0.0283))*(14/(21-J$138))*1000000</f>
        <v>236832187.53921008</v>
      </c>
      <c r="S145" s="15"/>
      <c r="T145" s="15">
        <f>AVERAGE(N145,P145,R145)</f>
        <v>214135713.16014233</v>
      </c>
      <c r="U145" s="15">
        <f t="shared" si="34"/>
        <v>0</v>
      </c>
      <c r="V145" s="56">
        <f>F145+N145</f>
        <v>257117296.54261184</v>
      </c>
      <c r="W145" s="15">
        <f aca="true" t="shared" si="37" ref="W145:W158">(G145*H145+O145*P145)/X145</f>
        <v>0</v>
      </c>
      <c r="X145" s="56">
        <f>H145+P145</f>
        <v>260159962.94247702</v>
      </c>
      <c r="Y145" s="15">
        <f aca="true" t="shared" si="38" ref="Y145:Y158">(I145*J145+Q145*R145)/Z145</f>
        <v>0</v>
      </c>
      <c r="Z145" s="56">
        <f>J145+R145</f>
        <v>295301807.9965197</v>
      </c>
      <c r="AA145" s="56">
        <f t="shared" si="35"/>
        <v>0</v>
      </c>
      <c r="AB145" s="56">
        <f>T145+L145</f>
        <v>270859689.16053617</v>
      </c>
      <c r="AD145" s="15"/>
      <c r="AE145" s="15"/>
      <c r="AF145" s="15"/>
      <c r="AG145" s="15"/>
      <c r="AH145" s="15"/>
      <c r="AI145" s="15"/>
      <c r="AK145" s="56">
        <f aca="true" t="shared" si="39" ref="AK145:AK158">U145</f>
        <v>0</v>
      </c>
      <c r="AL145" s="56">
        <f aca="true" t="shared" si="40" ref="AL145:AP161">V145</f>
        <v>257117296.54261184</v>
      </c>
      <c r="AM145" s="56">
        <f aca="true" t="shared" si="41" ref="AM145:AM158">W145</f>
        <v>0</v>
      </c>
      <c r="AN145" s="56">
        <f t="shared" si="40"/>
        <v>260159962.94247702</v>
      </c>
      <c r="AO145" s="56">
        <f aca="true" t="shared" si="42" ref="AO145:AO158">Y145</f>
        <v>0</v>
      </c>
      <c r="AP145" s="56">
        <f t="shared" si="40"/>
        <v>295301807.9965197</v>
      </c>
      <c r="AQ145" s="56">
        <f aca="true" t="shared" si="43" ref="AQ145:AQ158">AA145</f>
        <v>0</v>
      </c>
      <c r="AR145" s="56">
        <f aca="true" t="shared" si="44" ref="AR145:AR160">AVERAGE(AL145,AN145,AP145)</f>
        <v>270859689.16053617</v>
      </c>
    </row>
    <row r="146" spans="2:44" ht="12.75">
      <c r="B146" s="13" t="s">
        <v>166</v>
      </c>
      <c r="D146" s="13" t="s">
        <v>102</v>
      </c>
      <c r="E146" s="43">
        <v>100</v>
      </c>
      <c r="F146" s="14">
        <f aca="true" t="shared" si="45" ref="F146:H158">(F123/(F$137*60*0.0283))*(14/(21-F$138))*1000000</f>
        <v>11.808968297017836</v>
      </c>
      <c r="G146" s="43">
        <v>100</v>
      </c>
      <c r="H146" s="14">
        <f t="shared" si="45"/>
        <v>7.729150599694858</v>
      </c>
      <c r="I146" s="43">
        <v>100</v>
      </c>
      <c r="J146" s="14">
        <f aca="true" t="shared" si="46" ref="J146:J158">(J123/(J$137*60*0.0283))*(14/(21-J$138))*1000000</f>
        <v>12.249940734786726</v>
      </c>
      <c r="L146" s="16">
        <f>AVERAGE(F146,H146,J146)</f>
        <v>10.596019877166475</v>
      </c>
      <c r="M146" s="43">
        <v>100</v>
      </c>
      <c r="N146" s="14">
        <f aca="true" t="shared" si="47" ref="N146:N158">(N123/(F$137*60*0.0283))*(14/(21-F$138))*1000000</f>
        <v>31.490582125380897</v>
      </c>
      <c r="O146" s="43">
        <v>100</v>
      </c>
      <c r="P146" s="14">
        <f aca="true" t="shared" si="48" ref="P146:P158">(P123/(H$137*60*0.0283))*(14/(21-H$138))*1000000</f>
        <v>30.916602398779432</v>
      </c>
      <c r="Q146" s="45">
        <v>100</v>
      </c>
      <c r="R146" s="14">
        <f aca="true" t="shared" si="49" ref="R146:R158">(R123/(J$137*60*0.0283))*(14/(21-J$138))*1000000</f>
        <v>36.74982220436018</v>
      </c>
      <c r="S146" s="45"/>
      <c r="T146" s="16">
        <f>AVERAGE(N146,P146,R146)</f>
        <v>33.052335576173505</v>
      </c>
      <c r="U146" s="15">
        <f t="shared" si="34"/>
        <v>100</v>
      </c>
      <c r="V146" s="46">
        <f>F146+N146</f>
        <v>43.29955042239873</v>
      </c>
      <c r="W146" s="15">
        <f t="shared" si="37"/>
        <v>99.99999999999999</v>
      </c>
      <c r="X146" s="46">
        <f>H146+P146</f>
        <v>38.64575299847429</v>
      </c>
      <c r="Y146" s="15">
        <f t="shared" si="38"/>
        <v>100</v>
      </c>
      <c r="Z146" s="46">
        <f>J146+R146</f>
        <v>48.999762939146905</v>
      </c>
      <c r="AA146" s="43">
        <f t="shared" si="35"/>
        <v>99.99999999999999</v>
      </c>
      <c r="AB146" s="46">
        <f>L146+T146</f>
        <v>43.64835545333998</v>
      </c>
      <c r="AD146" s="14"/>
      <c r="AE146" s="14"/>
      <c r="AF146" s="14"/>
      <c r="AG146" s="14"/>
      <c r="AH146" s="14"/>
      <c r="AI146" s="14"/>
      <c r="AK146" s="56">
        <f t="shared" si="39"/>
        <v>100</v>
      </c>
      <c r="AL146" s="46">
        <f t="shared" si="40"/>
        <v>43.29955042239873</v>
      </c>
      <c r="AM146" s="56">
        <f t="shared" si="41"/>
        <v>99.99999999999999</v>
      </c>
      <c r="AN146" s="46">
        <f t="shared" si="40"/>
        <v>38.64575299847429</v>
      </c>
      <c r="AO146" s="56">
        <f t="shared" si="42"/>
        <v>100</v>
      </c>
      <c r="AP146" s="46">
        <f t="shared" si="40"/>
        <v>48.999762939146905</v>
      </c>
      <c r="AQ146" s="56">
        <f t="shared" si="43"/>
        <v>99.99999999999999</v>
      </c>
      <c r="AR146" s="46">
        <f t="shared" si="44"/>
        <v>43.648355453339974</v>
      </c>
    </row>
    <row r="147" spans="2:44" ht="12.75">
      <c r="B147" s="13" t="s">
        <v>167</v>
      </c>
      <c r="D147" s="13" t="s">
        <v>102</v>
      </c>
      <c r="E147" s="43">
        <v>100</v>
      </c>
      <c r="F147" s="14">
        <f t="shared" si="45"/>
        <v>11.808968297017836</v>
      </c>
      <c r="G147" s="43">
        <v>100</v>
      </c>
      <c r="H147" s="14">
        <f t="shared" si="45"/>
        <v>7.729150599694858</v>
      </c>
      <c r="I147" s="43">
        <v>100</v>
      </c>
      <c r="J147" s="14">
        <f t="shared" si="46"/>
        <v>8.166627156524486</v>
      </c>
      <c r="L147" s="16">
        <f aca="true" t="shared" si="50" ref="L147:L161">AVERAGE(F147,H147,J147)</f>
        <v>9.23491535107906</v>
      </c>
      <c r="M147" s="43">
        <v>100</v>
      </c>
      <c r="N147" s="14">
        <f t="shared" si="47"/>
        <v>27.554259359708286</v>
      </c>
      <c r="O147" s="43">
        <v>100</v>
      </c>
      <c r="P147" s="14">
        <f t="shared" si="48"/>
        <v>27.052027098932</v>
      </c>
      <c r="Q147" s="45">
        <v>100</v>
      </c>
      <c r="R147" s="14">
        <f t="shared" si="49"/>
        <v>28.583195047835694</v>
      </c>
      <c r="S147" s="45"/>
      <c r="T147" s="16">
        <f aca="true" t="shared" si="51" ref="T147:T161">AVERAGE(N147,P147,R147)</f>
        <v>27.729827168825324</v>
      </c>
      <c r="U147" s="15">
        <f t="shared" si="34"/>
        <v>99.99999999999999</v>
      </c>
      <c r="V147" s="46">
        <f aca="true" t="shared" si="52" ref="V147:V158">F147+N147</f>
        <v>39.363227656726124</v>
      </c>
      <c r="W147" s="15">
        <f t="shared" si="37"/>
        <v>100</v>
      </c>
      <c r="X147" s="46">
        <f aca="true" t="shared" si="53" ref="X147:X158">H147+P147</f>
        <v>34.78117769862686</v>
      </c>
      <c r="Y147" s="15">
        <f t="shared" si="38"/>
        <v>100</v>
      </c>
      <c r="Z147" s="46">
        <f aca="true" t="shared" si="54" ref="Z147:Z158">J147+R147</f>
        <v>36.74982220436018</v>
      </c>
      <c r="AA147" s="43">
        <f t="shared" si="35"/>
        <v>99.99999999999999</v>
      </c>
      <c r="AB147" s="46">
        <f aca="true" t="shared" si="55" ref="AB147:AB158">L147+T147</f>
        <v>36.964742519904384</v>
      </c>
      <c r="AD147" s="14"/>
      <c r="AE147" s="14"/>
      <c r="AF147" s="14"/>
      <c r="AG147" s="14"/>
      <c r="AH147" s="14"/>
      <c r="AI147" s="14"/>
      <c r="AK147" s="56">
        <f t="shared" si="39"/>
        <v>99.99999999999999</v>
      </c>
      <c r="AL147" s="46">
        <f t="shared" si="40"/>
        <v>39.363227656726124</v>
      </c>
      <c r="AM147" s="56">
        <f t="shared" si="41"/>
        <v>100</v>
      </c>
      <c r="AN147" s="46">
        <f t="shared" si="40"/>
        <v>34.78117769862686</v>
      </c>
      <c r="AO147" s="56">
        <f t="shared" si="42"/>
        <v>100</v>
      </c>
      <c r="AP147" s="46">
        <f t="shared" si="40"/>
        <v>36.74982220436018</v>
      </c>
      <c r="AQ147" s="56">
        <f t="shared" si="43"/>
        <v>99.99999999999999</v>
      </c>
      <c r="AR147" s="46">
        <f t="shared" si="44"/>
        <v>36.964742519904384</v>
      </c>
    </row>
    <row r="148" spans="2:44" ht="12.75">
      <c r="B148" s="13" t="s">
        <v>168</v>
      </c>
      <c r="D148" s="13" t="s">
        <v>102</v>
      </c>
      <c r="E148" s="45"/>
      <c r="F148" s="14">
        <f t="shared" si="45"/>
        <v>9.447174637614268</v>
      </c>
      <c r="G148" s="45"/>
      <c r="H148" s="14">
        <f t="shared" si="45"/>
        <v>5.796862949771143</v>
      </c>
      <c r="I148" s="45"/>
      <c r="J148" s="14">
        <f t="shared" si="46"/>
        <v>8.166627156524486</v>
      </c>
      <c r="K148" s="45"/>
      <c r="L148" s="16">
        <f t="shared" si="50"/>
        <v>7.803554914636632</v>
      </c>
      <c r="M148" s="45"/>
      <c r="N148" s="14">
        <f t="shared" si="47"/>
        <v>21.25614293463211</v>
      </c>
      <c r="O148" s="45"/>
      <c r="P148" s="14">
        <f t="shared" si="48"/>
        <v>21.6416216791456</v>
      </c>
      <c r="Q148" s="45"/>
      <c r="R148" s="14">
        <f t="shared" si="49"/>
        <v>23.683218753921004</v>
      </c>
      <c r="S148" s="45"/>
      <c r="T148" s="16">
        <f t="shared" si="51"/>
        <v>22.193661122566237</v>
      </c>
      <c r="U148" s="15">
        <f t="shared" si="34"/>
        <v>0</v>
      </c>
      <c r="V148" s="46">
        <f t="shared" si="52"/>
        <v>30.703317572246377</v>
      </c>
      <c r="W148" s="15">
        <f t="shared" si="37"/>
        <v>0</v>
      </c>
      <c r="X148" s="46">
        <f t="shared" si="53"/>
        <v>27.438484628916743</v>
      </c>
      <c r="Y148" s="15">
        <f t="shared" si="38"/>
        <v>0</v>
      </c>
      <c r="Z148" s="46">
        <f t="shared" si="54"/>
        <v>31.849845910445488</v>
      </c>
      <c r="AA148" s="43">
        <f t="shared" si="35"/>
        <v>0</v>
      </c>
      <c r="AB148" s="46">
        <f t="shared" si="55"/>
        <v>29.997216037202868</v>
      </c>
      <c r="AD148" s="14"/>
      <c r="AE148" s="14"/>
      <c r="AF148" s="14"/>
      <c r="AG148" s="14"/>
      <c r="AH148" s="14"/>
      <c r="AI148" s="14"/>
      <c r="AK148" s="56">
        <f t="shared" si="39"/>
        <v>0</v>
      </c>
      <c r="AL148" s="46">
        <f t="shared" si="40"/>
        <v>30.703317572246377</v>
      </c>
      <c r="AM148" s="56">
        <f t="shared" si="41"/>
        <v>0</v>
      </c>
      <c r="AN148" s="46">
        <f t="shared" si="40"/>
        <v>27.438484628916743</v>
      </c>
      <c r="AO148" s="56">
        <f t="shared" si="42"/>
        <v>0</v>
      </c>
      <c r="AP148" s="46">
        <f t="shared" si="40"/>
        <v>31.849845910445488</v>
      </c>
      <c r="AQ148" s="56">
        <f t="shared" si="43"/>
        <v>0</v>
      </c>
      <c r="AR148" s="46">
        <f t="shared" si="44"/>
        <v>29.99721603720287</v>
      </c>
    </row>
    <row r="149" spans="2:44" ht="12.75">
      <c r="B149" s="13" t="s">
        <v>169</v>
      </c>
      <c r="D149" s="13" t="s">
        <v>102</v>
      </c>
      <c r="E149" s="45">
        <v>100</v>
      </c>
      <c r="F149" s="14">
        <f t="shared" si="45"/>
        <v>3.1490582125380895</v>
      </c>
      <c r="G149" s="45">
        <v>100</v>
      </c>
      <c r="H149" s="14">
        <f t="shared" si="45"/>
        <v>2.318745179908457</v>
      </c>
      <c r="I149" s="45">
        <v>100</v>
      </c>
      <c r="J149" s="14">
        <f t="shared" si="46"/>
        <v>2.85831950478357</v>
      </c>
      <c r="K149" s="45"/>
      <c r="L149" s="16">
        <f t="shared" si="50"/>
        <v>2.7753742990767054</v>
      </c>
      <c r="M149" s="45">
        <v>100</v>
      </c>
      <c r="N149" s="14">
        <f t="shared" si="47"/>
        <v>7.872645531345224</v>
      </c>
      <c r="O149" s="45">
        <v>100</v>
      </c>
      <c r="P149" s="14">
        <f t="shared" si="48"/>
        <v>7.729150599694858</v>
      </c>
      <c r="Q149" s="45">
        <v>100</v>
      </c>
      <c r="R149" s="14">
        <f t="shared" si="49"/>
        <v>8.166627156524486</v>
      </c>
      <c r="S149" s="45"/>
      <c r="T149" s="16">
        <f t="shared" si="51"/>
        <v>7.922807762521522</v>
      </c>
      <c r="U149" s="15">
        <f t="shared" si="34"/>
        <v>99.99999999999999</v>
      </c>
      <c r="V149" s="46">
        <f t="shared" si="52"/>
        <v>11.021703743883315</v>
      </c>
      <c r="W149" s="15">
        <f t="shared" si="37"/>
        <v>99.99999999999999</v>
      </c>
      <c r="X149" s="46">
        <f t="shared" si="53"/>
        <v>10.047895779603316</v>
      </c>
      <c r="Y149" s="15">
        <f t="shared" si="38"/>
        <v>100.00000000000001</v>
      </c>
      <c r="Z149" s="46">
        <f t="shared" si="54"/>
        <v>11.024946661308055</v>
      </c>
      <c r="AA149" s="43">
        <f t="shared" si="35"/>
        <v>99.99999999999999</v>
      </c>
      <c r="AB149" s="46">
        <f t="shared" si="55"/>
        <v>10.698182061598228</v>
      </c>
      <c r="AD149" s="14"/>
      <c r="AE149" s="14"/>
      <c r="AF149" s="14"/>
      <c r="AG149" s="14"/>
      <c r="AH149" s="14"/>
      <c r="AI149" s="14"/>
      <c r="AK149" s="56">
        <f t="shared" si="39"/>
        <v>99.99999999999999</v>
      </c>
      <c r="AL149" s="46">
        <f t="shared" si="40"/>
        <v>11.021703743883315</v>
      </c>
      <c r="AM149" s="56">
        <f t="shared" si="41"/>
        <v>99.99999999999999</v>
      </c>
      <c r="AN149" s="46">
        <f t="shared" si="40"/>
        <v>10.047895779603316</v>
      </c>
      <c r="AO149" s="56">
        <f t="shared" si="42"/>
        <v>100.00000000000001</v>
      </c>
      <c r="AP149" s="46">
        <f t="shared" si="40"/>
        <v>11.024946661308055</v>
      </c>
      <c r="AQ149" s="56">
        <f t="shared" si="43"/>
        <v>99.99999999999999</v>
      </c>
      <c r="AR149" s="46">
        <f t="shared" si="44"/>
        <v>10.69818206159823</v>
      </c>
    </row>
    <row r="150" spans="2:44" ht="12.75">
      <c r="B150" s="13" t="s">
        <v>170</v>
      </c>
      <c r="D150" s="13" t="s">
        <v>102</v>
      </c>
      <c r="E150" s="45">
        <v>100</v>
      </c>
      <c r="F150" s="14">
        <f t="shared" si="45"/>
        <v>11.808968297017836</v>
      </c>
      <c r="G150" s="45">
        <v>100</v>
      </c>
      <c r="H150" s="14">
        <f t="shared" si="45"/>
        <v>7.729150599694858</v>
      </c>
      <c r="I150" s="45">
        <v>100</v>
      </c>
      <c r="J150" s="14">
        <f t="shared" si="46"/>
        <v>12.249940734786726</v>
      </c>
      <c r="K150" s="45"/>
      <c r="L150" s="16">
        <f t="shared" si="50"/>
        <v>10.596019877166475</v>
      </c>
      <c r="M150" s="45">
        <v>100</v>
      </c>
      <c r="N150" s="14">
        <f t="shared" si="47"/>
        <v>31.490582125380897</v>
      </c>
      <c r="O150" s="45">
        <v>100</v>
      </c>
      <c r="P150" s="14">
        <f t="shared" si="48"/>
        <v>30.916602398779432</v>
      </c>
      <c r="Q150" s="45">
        <v>100</v>
      </c>
      <c r="R150" s="14">
        <f t="shared" si="49"/>
        <v>32.666508626097944</v>
      </c>
      <c r="S150" s="45"/>
      <c r="T150" s="16">
        <f t="shared" si="51"/>
        <v>31.69123105008609</v>
      </c>
      <c r="U150" s="15">
        <f t="shared" si="34"/>
        <v>100</v>
      </c>
      <c r="V150" s="46">
        <f t="shared" si="52"/>
        <v>43.29955042239873</v>
      </c>
      <c r="W150" s="15">
        <f t="shared" si="37"/>
        <v>99.99999999999999</v>
      </c>
      <c r="X150" s="46">
        <f t="shared" si="53"/>
        <v>38.64575299847429</v>
      </c>
      <c r="Y150" s="15">
        <f t="shared" si="38"/>
        <v>100</v>
      </c>
      <c r="Z150" s="46">
        <f t="shared" si="54"/>
        <v>44.91644936088467</v>
      </c>
      <c r="AA150" s="43">
        <f t="shared" si="35"/>
        <v>100</v>
      </c>
      <c r="AB150" s="46">
        <f t="shared" si="55"/>
        <v>42.287250927252565</v>
      </c>
      <c r="AD150" s="14"/>
      <c r="AE150" s="14"/>
      <c r="AF150" s="14"/>
      <c r="AG150" s="14"/>
      <c r="AH150" s="14"/>
      <c r="AI150" s="14"/>
      <c r="AK150" s="56">
        <f t="shared" si="39"/>
        <v>100</v>
      </c>
      <c r="AL150" s="46">
        <f t="shared" si="40"/>
        <v>43.29955042239873</v>
      </c>
      <c r="AM150" s="56">
        <f t="shared" si="41"/>
        <v>99.99999999999999</v>
      </c>
      <c r="AN150" s="46">
        <f t="shared" si="40"/>
        <v>38.64575299847429</v>
      </c>
      <c r="AO150" s="56">
        <f t="shared" si="42"/>
        <v>100</v>
      </c>
      <c r="AP150" s="46">
        <f t="shared" si="40"/>
        <v>44.91644936088467</v>
      </c>
      <c r="AQ150" s="56">
        <f t="shared" si="43"/>
        <v>100</v>
      </c>
      <c r="AR150" s="46">
        <f t="shared" si="44"/>
        <v>42.287250927252565</v>
      </c>
    </row>
    <row r="151" spans="2:44" ht="12.75">
      <c r="B151" s="13" t="s">
        <v>196</v>
      </c>
      <c r="D151" s="13" t="s">
        <v>102</v>
      </c>
      <c r="F151" s="14">
        <f t="shared" si="45"/>
        <v>1.692618789239223</v>
      </c>
      <c r="H151" s="14">
        <f t="shared" si="45"/>
        <v>1.1207268369557541</v>
      </c>
      <c r="J151" s="14">
        <f t="shared" si="46"/>
        <v>1.5108260239570297</v>
      </c>
      <c r="L151" s="16">
        <f t="shared" si="50"/>
        <v>1.441390550050669</v>
      </c>
      <c r="M151" s="45"/>
      <c r="N151" s="14">
        <f t="shared" si="47"/>
        <v>29.916053019111853</v>
      </c>
      <c r="O151" s="45"/>
      <c r="P151" s="14">
        <f t="shared" si="48"/>
        <v>38.64575299847429</v>
      </c>
      <c r="Q151" s="45"/>
      <c r="R151" s="14">
        <f t="shared" si="49"/>
        <v>32.258177268271716</v>
      </c>
      <c r="S151" s="45"/>
      <c r="T151" s="16">
        <f t="shared" si="51"/>
        <v>33.60666109528595</v>
      </c>
      <c r="U151" s="15">
        <f t="shared" si="34"/>
        <v>0</v>
      </c>
      <c r="V151" s="46">
        <f t="shared" si="52"/>
        <v>31.608671808351076</v>
      </c>
      <c r="W151" s="15">
        <f t="shared" si="37"/>
        <v>0</v>
      </c>
      <c r="X151" s="46">
        <f t="shared" si="53"/>
        <v>39.76647983543005</v>
      </c>
      <c r="Y151" s="15">
        <f t="shared" si="38"/>
        <v>0</v>
      </c>
      <c r="Z151" s="46">
        <f t="shared" si="54"/>
        <v>33.769003292228746</v>
      </c>
      <c r="AA151" s="43">
        <f t="shared" si="35"/>
        <v>0</v>
      </c>
      <c r="AB151" s="46">
        <f t="shared" si="55"/>
        <v>35.04805164533662</v>
      </c>
      <c r="AD151" s="14"/>
      <c r="AE151" s="14"/>
      <c r="AF151" s="14"/>
      <c r="AG151" s="14"/>
      <c r="AH151" s="14"/>
      <c r="AI151" s="14"/>
      <c r="AK151" s="56">
        <f t="shared" si="39"/>
        <v>0</v>
      </c>
      <c r="AL151" s="46">
        <f t="shared" si="40"/>
        <v>31.608671808351076</v>
      </c>
      <c r="AM151" s="56">
        <f t="shared" si="41"/>
        <v>0</v>
      </c>
      <c r="AN151" s="46">
        <f t="shared" si="40"/>
        <v>39.76647983543005</v>
      </c>
      <c r="AO151" s="56">
        <f t="shared" si="42"/>
        <v>0</v>
      </c>
      <c r="AP151" s="46">
        <f t="shared" si="40"/>
        <v>33.769003292228746</v>
      </c>
      <c r="AQ151" s="56">
        <f t="shared" si="43"/>
        <v>0</v>
      </c>
      <c r="AR151" s="46">
        <f t="shared" si="44"/>
        <v>35.04805164533662</v>
      </c>
    </row>
    <row r="152" spans="2:44" ht="12.75">
      <c r="B152" s="13" t="s">
        <v>171</v>
      </c>
      <c r="D152" s="13" t="s">
        <v>102</v>
      </c>
      <c r="E152" s="45">
        <v>100</v>
      </c>
      <c r="F152" s="14">
        <f t="shared" si="45"/>
        <v>23.617936594035672</v>
      </c>
      <c r="G152" s="45">
        <v>100</v>
      </c>
      <c r="H152" s="14">
        <f t="shared" si="45"/>
        <v>15.458301199389716</v>
      </c>
      <c r="I152" s="45">
        <v>100</v>
      </c>
      <c r="J152" s="14">
        <f t="shared" si="46"/>
        <v>20.41656789131121</v>
      </c>
      <c r="K152" s="23"/>
      <c r="L152" s="16">
        <f t="shared" si="50"/>
        <v>19.830935228245533</v>
      </c>
      <c r="M152" s="45">
        <v>100</v>
      </c>
      <c r="N152" s="14">
        <f t="shared" si="47"/>
        <v>39.363227656726124</v>
      </c>
      <c r="O152" s="45">
        <v>100</v>
      </c>
      <c r="P152" s="14">
        <f t="shared" si="48"/>
        <v>38.64575299847429</v>
      </c>
      <c r="Q152" s="45">
        <v>100</v>
      </c>
      <c r="R152" s="14">
        <f t="shared" si="49"/>
        <v>61.24970367393364</v>
      </c>
      <c r="S152" s="45"/>
      <c r="T152" s="16">
        <f t="shared" si="51"/>
        <v>46.41956144304468</v>
      </c>
      <c r="U152" s="15">
        <f t="shared" si="34"/>
        <v>100</v>
      </c>
      <c r="V152" s="46">
        <f t="shared" si="52"/>
        <v>62.98116425076179</v>
      </c>
      <c r="W152" s="15">
        <f t="shared" si="37"/>
        <v>100</v>
      </c>
      <c r="X152" s="46">
        <f t="shared" si="53"/>
        <v>54.10405419786401</v>
      </c>
      <c r="Y152" s="15">
        <f t="shared" si="38"/>
        <v>100</v>
      </c>
      <c r="Z152" s="46">
        <f t="shared" si="54"/>
        <v>81.66627156524484</v>
      </c>
      <c r="AA152" s="43">
        <f t="shared" si="35"/>
        <v>100</v>
      </c>
      <c r="AB152" s="46">
        <f t="shared" si="55"/>
        <v>66.25049667129021</v>
      </c>
      <c r="AD152" s="14"/>
      <c r="AE152" s="14"/>
      <c r="AF152" s="14"/>
      <c r="AG152" s="14"/>
      <c r="AH152" s="14"/>
      <c r="AI152" s="14"/>
      <c r="AK152" s="56">
        <f t="shared" si="39"/>
        <v>100</v>
      </c>
      <c r="AL152" s="46">
        <f t="shared" si="40"/>
        <v>62.98116425076179</v>
      </c>
      <c r="AM152" s="56">
        <f t="shared" si="41"/>
        <v>100</v>
      </c>
      <c r="AN152" s="46">
        <f t="shared" si="40"/>
        <v>54.10405419786401</v>
      </c>
      <c r="AO152" s="56">
        <f t="shared" si="42"/>
        <v>100</v>
      </c>
      <c r="AP152" s="46">
        <f t="shared" si="40"/>
        <v>81.66627156524484</v>
      </c>
      <c r="AQ152" s="56">
        <f t="shared" si="43"/>
        <v>100</v>
      </c>
      <c r="AR152" s="46">
        <f t="shared" si="44"/>
        <v>66.25049667129021</v>
      </c>
    </row>
    <row r="153" spans="2:44" ht="12.75">
      <c r="B153" s="13" t="s">
        <v>172</v>
      </c>
      <c r="D153" s="13" t="s">
        <v>102</v>
      </c>
      <c r="E153" s="45">
        <v>100</v>
      </c>
      <c r="F153" s="14">
        <f t="shared" si="45"/>
        <v>11.808968297017836</v>
      </c>
      <c r="G153" s="45">
        <v>100</v>
      </c>
      <c r="H153" s="14">
        <f t="shared" si="45"/>
        <v>7.729150599694858</v>
      </c>
      <c r="I153" s="45">
        <v>100</v>
      </c>
      <c r="J153" s="14">
        <f t="shared" si="46"/>
        <v>8.166627156524486</v>
      </c>
      <c r="L153" s="16">
        <f t="shared" si="50"/>
        <v>9.23491535107906</v>
      </c>
      <c r="M153" s="45">
        <v>100</v>
      </c>
      <c r="N153" s="14">
        <f t="shared" si="47"/>
        <v>27.554259359708286</v>
      </c>
      <c r="O153" s="45">
        <v>100</v>
      </c>
      <c r="P153" s="14">
        <f t="shared" si="48"/>
        <v>27.052027098932</v>
      </c>
      <c r="Q153" s="45">
        <v>100</v>
      </c>
      <c r="R153" s="14">
        <f t="shared" si="49"/>
        <v>28.583195047835694</v>
      </c>
      <c r="S153" s="45"/>
      <c r="T153" s="16">
        <f t="shared" si="51"/>
        <v>27.729827168825324</v>
      </c>
      <c r="U153" s="15">
        <f t="shared" si="34"/>
        <v>99.99999999999999</v>
      </c>
      <c r="V153" s="46">
        <f t="shared" si="52"/>
        <v>39.363227656726124</v>
      </c>
      <c r="W153" s="15">
        <f t="shared" si="37"/>
        <v>100</v>
      </c>
      <c r="X153" s="46">
        <f t="shared" si="53"/>
        <v>34.78117769862686</v>
      </c>
      <c r="Y153" s="15">
        <f t="shared" si="38"/>
        <v>100</v>
      </c>
      <c r="Z153" s="46">
        <f t="shared" si="54"/>
        <v>36.74982220436018</v>
      </c>
      <c r="AA153" s="43">
        <f t="shared" si="35"/>
        <v>99.99999999999999</v>
      </c>
      <c r="AB153" s="46">
        <f t="shared" si="55"/>
        <v>36.964742519904384</v>
      </c>
      <c r="AD153" s="14"/>
      <c r="AE153" s="14"/>
      <c r="AF153" s="14"/>
      <c r="AG153" s="14"/>
      <c r="AH153" s="14"/>
      <c r="AI153" s="14"/>
      <c r="AK153" s="56">
        <f t="shared" si="39"/>
        <v>99.99999999999999</v>
      </c>
      <c r="AL153" s="46">
        <f t="shared" si="40"/>
        <v>39.363227656726124</v>
      </c>
      <c r="AM153" s="56">
        <f t="shared" si="41"/>
        <v>100</v>
      </c>
      <c r="AN153" s="46">
        <f t="shared" si="40"/>
        <v>34.78117769862686</v>
      </c>
      <c r="AO153" s="56">
        <f t="shared" si="42"/>
        <v>100</v>
      </c>
      <c r="AP153" s="46">
        <f t="shared" si="40"/>
        <v>36.74982220436018</v>
      </c>
      <c r="AQ153" s="56">
        <f t="shared" si="43"/>
        <v>99.99999999999999</v>
      </c>
      <c r="AR153" s="46">
        <f t="shared" si="44"/>
        <v>36.964742519904384</v>
      </c>
    </row>
    <row r="154" spans="2:44" ht="12.75">
      <c r="B154" s="13" t="s">
        <v>173</v>
      </c>
      <c r="D154" s="13" t="s">
        <v>102</v>
      </c>
      <c r="E154" s="45">
        <v>100</v>
      </c>
      <c r="F154" s="14">
        <f t="shared" si="45"/>
        <v>78.72645531345225</v>
      </c>
      <c r="G154" s="45">
        <v>100</v>
      </c>
      <c r="H154" s="14">
        <f t="shared" si="45"/>
        <v>38.64575299847429</v>
      </c>
      <c r="I154" s="45">
        <v>100</v>
      </c>
      <c r="J154" s="14">
        <f t="shared" si="46"/>
        <v>40.83313578262242</v>
      </c>
      <c r="L154" s="16">
        <f t="shared" si="50"/>
        <v>52.73511469818299</v>
      </c>
      <c r="M154" s="45"/>
      <c r="N154" s="14">
        <f t="shared" si="47"/>
        <v>326.7147895508269</v>
      </c>
      <c r="O154" s="45"/>
      <c r="P154" s="14">
        <f t="shared" si="48"/>
        <v>228.00994269099832</v>
      </c>
      <c r="Q154" s="45"/>
      <c r="R154" s="14">
        <f t="shared" si="49"/>
        <v>212.3323060696366</v>
      </c>
      <c r="S154" s="45"/>
      <c r="T154" s="16">
        <f t="shared" si="51"/>
        <v>255.68567943715394</v>
      </c>
      <c r="U154" s="15">
        <f t="shared" si="34"/>
        <v>19.41747572815534</v>
      </c>
      <c r="V154" s="46">
        <f t="shared" si="52"/>
        <v>405.44124486427916</v>
      </c>
      <c r="W154" s="15">
        <f t="shared" si="37"/>
        <v>14.492753623188406</v>
      </c>
      <c r="X154" s="46">
        <f t="shared" si="53"/>
        <v>266.6556956894726</v>
      </c>
      <c r="Y154" s="15">
        <f t="shared" si="38"/>
        <v>16.129032258064516</v>
      </c>
      <c r="Z154" s="46">
        <f t="shared" si="54"/>
        <v>253.165441852259</v>
      </c>
      <c r="AA154" s="43">
        <f t="shared" si="35"/>
        <v>17.098430359090024</v>
      </c>
      <c r="AB154" s="46">
        <f t="shared" si="55"/>
        <v>308.4207941353369</v>
      </c>
      <c r="AD154" s="14"/>
      <c r="AE154" s="14"/>
      <c r="AF154" s="14"/>
      <c r="AG154" s="14"/>
      <c r="AH154" s="14"/>
      <c r="AI154" s="14"/>
      <c r="AK154" s="56">
        <f t="shared" si="39"/>
        <v>19.41747572815534</v>
      </c>
      <c r="AL154" s="46">
        <f t="shared" si="40"/>
        <v>405.44124486427916</v>
      </c>
      <c r="AM154" s="56">
        <f t="shared" si="41"/>
        <v>14.492753623188406</v>
      </c>
      <c r="AN154" s="46">
        <f t="shared" si="40"/>
        <v>266.6556956894726</v>
      </c>
      <c r="AO154" s="56">
        <f t="shared" si="42"/>
        <v>16.129032258064516</v>
      </c>
      <c r="AP154" s="46">
        <f t="shared" si="40"/>
        <v>253.165441852259</v>
      </c>
      <c r="AQ154" s="56">
        <f t="shared" si="43"/>
        <v>17.098430359090024</v>
      </c>
      <c r="AR154" s="46">
        <f t="shared" si="44"/>
        <v>308.42079413533696</v>
      </c>
    </row>
    <row r="155" spans="2:44" ht="12.75">
      <c r="B155" s="13" t="s">
        <v>174</v>
      </c>
      <c r="D155" s="13" t="s">
        <v>102</v>
      </c>
      <c r="E155" s="45">
        <v>100</v>
      </c>
      <c r="F155" s="14">
        <f t="shared" si="45"/>
        <v>23.617936594035672</v>
      </c>
      <c r="G155" s="45">
        <v>100</v>
      </c>
      <c r="H155" s="14">
        <f t="shared" si="45"/>
        <v>15.458301199389716</v>
      </c>
      <c r="I155" s="45">
        <v>100</v>
      </c>
      <c r="J155" s="14">
        <f t="shared" si="46"/>
        <v>20.41656789131121</v>
      </c>
      <c r="L155" s="16">
        <f t="shared" si="50"/>
        <v>19.830935228245533</v>
      </c>
      <c r="M155" s="45">
        <v>100</v>
      </c>
      <c r="N155" s="14">
        <f t="shared" si="47"/>
        <v>39.363227656726124</v>
      </c>
      <c r="O155" s="45">
        <v>100</v>
      </c>
      <c r="P155" s="14">
        <f t="shared" si="48"/>
        <v>38.64575299847429</v>
      </c>
      <c r="Q155" s="45">
        <v>100</v>
      </c>
      <c r="R155" s="14">
        <f t="shared" si="49"/>
        <v>40.83313578262242</v>
      </c>
      <c r="S155" s="45"/>
      <c r="T155" s="16">
        <f t="shared" si="51"/>
        <v>39.61403881260761</v>
      </c>
      <c r="U155" s="15">
        <f t="shared" si="34"/>
        <v>100</v>
      </c>
      <c r="V155" s="46">
        <f t="shared" si="52"/>
        <v>62.98116425076179</v>
      </c>
      <c r="W155" s="15">
        <f t="shared" si="37"/>
        <v>100</v>
      </c>
      <c r="X155" s="46">
        <f t="shared" si="53"/>
        <v>54.10405419786401</v>
      </c>
      <c r="Y155" s="15">
        <f t="shared" si="38"/>
        <v>100.00000000000001</v>
      </c>
      <c r="Z155" s="46">
        <f t="shared" si="54"/>
        <v>61.24970367393363</v>
      </c>
      <c r="AA155" s="43">
        <f t="shared" si="35"/>
        <v>100.00000000000001</v>
      </c>
      <c r="AB155" s="46">
        <f t="shared" si="55"/>
        <v>59.44497404085314</v>
      </c>
      <c r="AD155" s="14"/>
      <c r="AE155" s="14"/>
      <c r="AF155" s="14"/>
      <c r="AG155" s="14"/>
      <c r="AH155" s="14"/>
      <c r="AI155" s="14"/>
      <c r="AK155" s="56">
        <f t="shared" si="39"/>
        <v>100</v>
      </c>
      <c r="AL155" s="46">
        <f t="shared" si="40"/>
        <v>62.98116425076179</v>
      </c>
      <c r="AM155" s="56">
        <f t="shared" si="41"/>
        <v>100</v>
      </c>
      <c r="AN155" s="46">
        <f t="shared" si="40"/>
        <v>54.10405419786401</v>
      </c>
      <c r="AO155" s="56">
        <f t="shared" si="42"/>
        <v>100.00000000000001</v>
      </c>
      <c r="AP155" s="46">
        <f t="shared" si="40"/>
        <v>61.24970367393363</v>
      </c>
      <c r="AQ155" s="56">
        <f t="shared" si="43"/>
        <v>100.00000000000001</v>
      </c>
      <c r="AR155" s="46">
        <f t="shared" si="44"/>
        <v>59.44497404085314</v>
      </c>
    </row>
    <row r="156" spans="2:44" ht="12.75">
      <c r="B156" s="13" t="s">
        <v>175</v>
      </c>
      <c r="D156" s="13" t="s">
        <v>102</v>
      </c>
      <c r="E156" s="45">
        <v>100</v>
      </c>
      <c r="F156" s="14">
        <f t="shared" si="45"/>
        <v>11.808968297017836</v>
      </c>
      <c r="G156" s="45">
        <v>100</v>
      </c>
      <c r="H156" s="14">
        <f t="shared" si="45"/>
        <v>7.729150599694858</v>
      </c>
      <c r="I156" s="45">
        <v>100</v>
      </c>
      <c r="J156" s="14">
        <f t="shared" si="46"/>
        <v>12.249940734786726</v>
      </c>
      <c r="L156" s="16">
        <f t="shared" si="50"/>
        <v>10.596019877166475</v>
      </c>
      <c r="M156" s="45">
        <v>100</v>
      </c>
      <c r="N156" s="14">
        <f t="shared" si="47"/>
        <v>31.490582125380897</v>
      </c>
      <c r="O156" s="45">
        <v>100</v>
      </c>
      <c r="P156" s="14">
        <f t="shared" si="48"/>
        <v>30.916602398779432</v>
      </c>
      <c r="Q156" s="45">
        <v>100</v>
      </c>
      <c r="R156" s="14">
        <f t="shared" si="49"/>
        <v>36.74982220436018</v>
      </c>
      <c r="S156" s="45"/>
      <c r="T156" s="16">
        <f t="shared" si="51"/>
        <v>33.052335576173505</v>
      </c>
      <c r="U156" s="15">
        <f t="shared" si="34"/>
        <v>100</v>
      </c>
      <c r="V156" s="46">
        <f t="shared" si="52"/>
        <v>43.29955042239873</v>
      </c>
      <c r="W156" s="15">
        <f t="shared" si="37"/>
        <v>99.99999999999999</v>
      </c>
      <c r="X156" s="46">
        <f t="shared" si="53"/>
        <v>38.64575299847429</v>
      </c>
      <c r="Y156" s="15">
        <f t="shared" si="38"/>
        <v>100</v>
      </c>
      <c r="Z156" s="46">
        <f t="shared" si="54"/>
        <v>48.999762939146905</v>
      </c>
      <c r="AA156" s="43">
        <f t="shared" si="35"/>
        <v>99.99999999999999</v>
      </c>
      <c r="AB156" s="46">
        <f t="shared" si="55"/>
        <v>43.64835545333998</v>
      </c>
      <c r="AD156" s="14"/>
      <c r="AE156" s="14"/>
      <c r="AF156" s="14"/>
      <c r="AG156" s="14"/>
      <c r="AH156" s="14"/>
      <c r="AI156" s="14"/>
      <c r="AK156" s="56">
        <f t="shared" si="39"/>
        <v>100</v>
      </c>
      <c r="AL156" s="46">
        <f t="shared" si="40"/>
        <v>43.29955042239873</v>
      </c>
      <c r="AM156" s="56">
        <f t="shared" si="41"/>
        <v>99.99999999999999</v>
      </c>
      <c r="AN156" s="46">
        <f t="shared" si="40"/>
        <v>38.64575299847429</v>
      </c>
      <c r="AO156" s="56">
        <f t="shared" si="42"/>
        <v>100</v>
      </c>
      <c r="AP156" s="46">
        <f t="shared" si="40"/>
        <v>48.999762939146905</v>
      </c>
      <c r="AQ156" s="56">
        <f t="shared" si="43"/>
        <v>99.99999999999999</v>
      </c>
      <c r="AR156" s="46">
        <f t="shared" si="44"/>
        <v>43.648355453339974</v>
      </c>
    </row>
    <row r="157" spans="2:44" ht="12.75">
      <c r="B157" s="13" t="s">
        <v>176</v>
      </c>
      <c r="D157" s="13" t="s">
        <v>102</v>
      </c>
      <c r="E157" s="45">
        <v>100</v>
      </c>
      <c r="F157" s="14">
        <f t="shared" si="45"/>
        <v>27.554259359708286</v>
      </c>
      <c r="G157" s="45">
        <v>100</v>
      </c>
      <c r="H157" s="14">
        <f t="shared" si="45"/>
        <v>19.322876499237147</v>
      </c>
      <c r="I157" s="45">
        <v>100</v>
      </c>
      <c r="J157" s="14">
        <f t="shared" si="46"/>
        <v>24.499881469573452</v>
      </c>
      <c r="L157" s="16">
        <f t="shared" si="50"/>
        <v>23.792339109506297</v>
      </c>
      <c r="M157" s="45">
        <v>100</v>
      </c>
      <c r="N157" s="14">
        <f t="shared" si="47"/>
        <v>78.72645531345225</v>
      </c>
      <c r="O157" s="45">
        <v>100</v>
      </c>
      <c r="P157" s="14">
        <f t="shared" si="48"/>
        <v>77.29150599694859</v>
      </c>
      <c r="Q157" s="45">
        <v>100</v>
      </c>
      <c r="R157" s="14">
        <f t="shared" si="49"/>
        <v>81.66627156524484</v>
      </c>
      <c r="S157" s="45"/>
      <c r="T157" s="16">
        <f t="shared" si="51"/>
        <v>79.22807762521522</v>
      </c>
      <c r="U157" s="15">
        <f t="shared" si="34"/>
        <v>100.00000000000001</v>
      </c>
      <c r="V157" s="46">
        <f t="shared" si="52"/>
        <v>106.28071467316053</v>
      </c>
      <c r="W157" s="15">
        <f t="shared" si="37"/>
        <v>100.00000000000001</v>
      </c>
      <c r="X157" s="46">
        <f t="shared" si="53"/>
        <v>96.61438249618573</v>
      </c>
      <c r="Y157" s="15">
        <f t="shared" si="38"/>
        <v>100</v>
      </c>
      <c r="Z157" s="46">
        <f t="shared" si="54"/>
        <v>106.1661530348183</v>
      </c>
      <c r="AA157" s="43">
        <f t="shared" si="35"/>
        <v>99.99999999999999</v>
      </c>
      <c r="AB157" s="46">
        <f t="shared" si="55"/>
        <v>103.02041673472152</v>
      </c>
      <c r="AD157" s="14"/>
      <c r="AE157" s="14"/>
      <c r="AF157" s="14"/>
      <c r="AG157" s="14"/>
      <c r="AH157" s="14"/>
      <c r="AI157" s="14"/>
      <c r="AK157" s="56">
        <f t="shared" si="39"/>
        <v>100.00000000000001</v>
      </c>
      <c r="AL157" s="46">
        <f t="shared" si="40"/>
        <v>106.28071467316053</v>
      </c>
      <c r="AM157" s="56">
        <f t="shared" si="41"/>
        <v>100.00000000000001</v>
      </c>
      <c r="AN157" s="46">
        <f t="shared" si="40"/>
        <v>96.61438249618573</v>
      </c>
      <c r="AO157" s="56">
        <f t="shared" si="42"/>
        <v>100</v>
      </c>
      <c r="AP157" s="46">
        <f t="shared" si="40"/>
        <v>106.1661530348183</v>
      </c>
      <c r="AQ157" s="56">
        <f t="shared" si="43"/>
        <v>99.99999999999999</v>
      </c>
      <c r="AR157" s="46">
        <f t="shared" si="44"/>
        <v>103.02041673472151</v>
      </c>
    </row>
    <row r="158" spans="2:44" ht="12.75">
      <c r="B158" s="13" t="s">
        <v>199</v>
      </c>
      <c r="D158" s="13" t="s">
        <v>102</v>
      </c>
      <c r="E158" s="45">
        <v>100</v>
      </c>
      <c r="F158" s="14">
        <f t="shared" si="45"/>
        <v>11.808968297017836</v>
      </c>
      <c r="G158" s="45">
        <v>100</v>
      </c>
      <c r="H158" s="14">
        <f t="shared" si="45"/>
        <v>7.729150599694858</v>
      </c>
      <c r="I158" s="45">
        <v>100</v>
      </c>
      <c r="J158" s="14">
        <f t="shared" si="46"/>
        <v>12.249940734786726</v>
      </c>
      <c r="L158" s="16">
        <f t="shared" si="50"/>
        <v>10.596019877166475</v>
      </c>
      <c r="M158" s="45">
        <v>100</v>
      </c>
      <c r="N158" s="14">
        <f t="shared" si="47"/>
        <v>110.21703743883315</v>
      </c>
      <c r="O158" s="45">
        <v>100</v>
      </c>
      <c r="P158" s="14">
        <f t="shared" si="48"/>
        <v>139.12471079450745</v>
      </c>
      <c r="Q158" s="45">
        <v>100</v>
      </c>
      <c r="R158" s="14">
        <f t="shared" si="49"/>
        <v>126.58272092612954</v>
      </c>
      <c r="S158" s="45"/>
      <c r="T158" s="16">
        <f t="shared" si="51"/>
        <v>125.30815638649004</v>
      </c>
      <c r="U158" s="15">
        <f t="shared" si="34"/>
        <v>99.99999999999999</v>
      </c>
      <c r="V158" s="46">
        <f t="shared" si="52"/>
        <v>122.02600573585099</v>
      </c>
      <c r="W158" s="15">
        <f t="shared" si="37"/>
        <v>100</v>
      </c>
      <c r="X158" s="46">
        <f t="shared" si="53"/>
        <v>146.8538613942023</v>
      </c>
      <c r="Y158" s="15">
        <f t="shared" si="38"/>
        <v>99.99999999999999</v>
      </c>
      <c r="Z158" s="46">
        <f t="shared" si="54"/>
        <v>138.83266166091627</v>
      </c>
      <c r="AA158" s="43">
        <f t="shared" si="35"/>
        <v>99.99999999999999</v>
      </c>
      <c r="AB158" s="46">
        <f t="shared" si="55"/>
        <v>135.90417626365652</v>
      </c>
      <c r="AD158" s="14"/>
      <c r="AE158" s="14"/>
      <c r="AF158" s="14"/>
      <c r="AG158" s="14"/>
      <c r="AH158" s="14"/>
      <c r="AI158" s="14"/>
      <c r="AK158" s="56">
        <f t="shared" si="39"/>
        <v>99.99999999999999</v>
      </c>
      <c r="AL158" s="46">
        <f t="shared" si="40"/>
        <v>122.02600573585099</v>
      </c>
      <c r="AM158" s="56">
        <f t="shared" si="41"/>
        <v>100</v>
      </c>
      <c r="AN158" s="46">
        <f t="shared" si="40"/>
        <v>146.8538613942023</v>
      </c>
      <c r="AO158" s="56">
        <f t="shared" si="42"/>
        <v>99.99999999999999</v>
      </c>
      <c r="AP158" s="46">
        <f t="shared" si="40"/>
        <v>138.83266166091627</v>
      </c>
      <c r="AQ158" s="56">
        <f t="shared" si="43"/>
        <v>99.99999999999999</v>
      </c>
      <c r="AR158" s="46">
        <f t="shared" si="44"/>
        <v>135.90417626365652</v>
      </c>
    </row>
    <row r="159" spans="5:44" ht="12.75">
      <c r="E159" s="45"/>
      <c r="F159" s="14"/>
      <c r="G159" s="45"/>
      <c r="H159" s="14"/>
      <c r="I159" s="45"/>
      <c r="J159" s="14"/>
      <c r="L159" s="16"/>
      <c r="M159" s="45"/>
      <c r="N159" s="14"/>
      <c r="O159" s="45"/>
      <c r="P159" s="14"/>
      <c r="Q159" s="45"/>
      <c r="R159" s="14"/>
      <c r="S159" s="45"/>
      <c r="T159" s="16"/>
      <c r="U159" s="15"/>
      <c r="V159" s="46"/>
      <c r="X159" s="46"/>
      <c r="Z159" s="46"/>
      <c r="AB159" s="46"/>
      <c r="AD159" s="14"/>
      <c r="AE159" s="14"/>
      <c r="AF159" s="14"/>
      <c r="AG159" s="14"/>
      <c r="AH159" s="14"/>
      <c r="AI159" s="14"/>
      <c r="AL159" s="46"/>
      <c r="AN159" s="46"/>
      <c r="AP159" s="46"/>
      <c r="AR159" s="46"/>
    </row>
    <row r="160" spans="2:44" ht="12.75">
      <c r="B160" s="13" t="s">
        <v>98</v>
      </c>
      <c r="D160" s="13" t="s">
        <v>102</v>
      </c>
      <c r="F160" s="14">
        <f>(F150+F152)</f>
        <v>35.42690489105351</v>
      </c>
      <c r="H160" s="14">
        <f>(H150+H152)</f>
        <v>23.187451799084574</v>
      </c>
      <c r="J160" s="14">
        <f>(J150+J152)</f>
        <v>32.66650862609794</v>
      </c>
      <c r="L160" s="16">
        <f t="shared" si="50"/>
        <v>30.426955105412006</v>
      </c>
      <c r="M160" s="14"/>
      <c r="N160" s="14">
        <f>(N150+N152)</f>
        <v>70.85380978210702</v>
      </c>
      <c r="O160" s="14"/>
      <c r="P160" s="14">
        <f>(P150+P152)</f>
        <v>69.56235539725373</v>
      </c>
      <c r="Q160" s="14"/>
      <c r="R160" s="14">
        <f>(R150+R152)</f>
        <v>93.91621230003159</v>
      </c>
      <c r="S160" s="14"/>
      <c r="T160" s="16">
        <f t="shared" si="51"/>
        <v>78.11079249313077</v>
      </c>
      <c r="U160" s="15">
        <f>(U150*V150+U152*V152)/V160</f>
        <v>100</v>
      </c>
      <c r="V160" s="46">
        <f>F160+N160</f>
        <v>106.28071467316053</v>
      </c>
      <c r="W160" s="15">
        <f>(W150*X150+W152*X152)/X160</f>
        <v>100</v>
      </c>
      <c r="X160" s="46">
        <f>H160+P160</f>
        <v>92.7498071963383</v>
      </c>
      <c r="Y160" s="15">
        <f>(Y150*Z150+Y152*Z152)/Z160</f>
        <v>99.99999999999999</v>
      </c>
      <c r="Z160" s="46">
        <f>J160+R160</f>
        <v>126.58272092612953</v>
      </c>
      <c r="AA160" s="15">
        <f>(AA150*AB150+AA152*AB152)/AB160</f>
        <v>100</v>
      </c>
      <c r="AB160" s="46">
        <f>T160+L160</f>
        <v>108.53774759854278</v>
      </c>
      <c r="AD160" s="14"/>
      <c r="AE160" s="14"/>
      <c r="AF160" s="14"/>
      <c r="AG160" s="14"/>
      <c r="AH160" s="14"/>
      <c r="AI160" s="14"/>
      <c r="AK160" s="56">
        <f>U160</f>
        <v>100</v>
      </c>
      <c r="AL160" s="46">
        <f t="shared" si="40"/>
        <v>106.28071467316053</v>
      </c>
      <c r="AM160" s="56">
        <f>W160</f>
        <v>100</v>
      </c>
      <c r="AN160" s="46">
        <f t="shared" si="40"/>
        <v>92.7498071963383</v>
      </c>
      <c r="AO160" s="56">
        <f>Y160</f>
        <v>99.99999999999999</v>
      </c>
      <c r="AP160" s="46">
        <f t="shared" si="40"/>
        <v>126.58272092612953</v>
      </c>
      <c r="AQ160" s="56">
        <f>AA160</f>
        <v>100</v>
      </c>
      <c r="AR160" s="46">
        <f t="shared" si="44"/>
        <v>108.5377475985428</v>
      </c>
    </row>
    <row r="161" spans="2:44" ht="12.75">
      <c r="B161" s="13" t="s">
        <v>99</v>
      </c>
      <c r="D161" s="13" t="s">
        <v>102</v>
      </c>
      <c r="F161" s="14">
        <f>(F147+F149+F151)</f>
        <v>16.650645298795148</v>
      </c>
      <c r="H161" s="14">
        <f>(H147+H149+H151)</f>
        <v>11.16862261655907</v>
      </c>
      <c r="J161" s="14">
        <f>(J147+J149+J151)</f>
        <v>12.535772685265085</v>
      </c>
      <c r="L161" s="16">
        <f t="shared" si="50"/>
        <v>13.451680200206434</v>
      </c>
      <c r="M161" s="14"/>
      <c r="N161" s="14">
        <f>(N147+N149+N151)</f>
        <v>65.34295791016537</v>
      </c>
      <c r="O161" s="14"/>
      <c r="P161" s="14">
        <f>(P147+P149+P151)</f>
        <v>73.42693069710116</v>
      </c>
      <c r="Q161" s="14"/>
      <c r="R161" s="14">
        <f>(R147+R149+R151)</f>
        <v>69.0079994726319</v>
      </c>
      <c r="S161" s="14"/>
      <c r="T161" s="16">
        <f t="shared" si="51"/>
        <v>69.25929602663281</v>
      </c>
      <c r="U161" s="15">
        <f>(U147*V147+U149*V149+U151*V151)/V161</f>
        <v>61.44983197311569</v>
      </c>
      <c r="V161" s="46">
        <f>F161+N161</f>
        <v>81.99360320896051</v>
      </c>
      <c r="W161" s="15">
        <f>(W147*X147+W149*X149+W151*X151)/X161</f>
        <v>52.99223389675651</v>
      </c>
      <c r="X161" s="46">
        <f>H161+P161</f>
        <v>84.59555331366022</v>
      </c>
      <c r="Y161" s="15">
        <f>(Y147*Z147+Y149*Z149+Y151*Z151)/Z161</f>
        <v>58.587881822734104</v>
      </c>
      <c r="Z161" s="46">
        <f>J161+R161</f>
        <v>81.54377215789698</v>
      </c>
      <c r="AA161" s="15">
        <f>(AA147*AB147+AA149*AB149+AA151*AB151)/AB161</f>
        <v>57.625875979004896</v>
      </c>
      <c r="AB161" s="46">
        <f>T161+L161</f>
        <v>82.71097622683925</v>
      </c>
      <c r="AD161" s="14"/>
      <c r="AE161" s="14"/>
      <c r="AF161" s="14"/>
      <c r="AG161" s="14"/>
      <c r="AH161" s="14"/>
      <c r="AI161" s="14"/>
      <c r="AK161" s="56">
        <f>U161</f>
        <v>61.44983197311569</v>
      </c>
      <c r="AL161" s="46">
        <f t="shared" si="40"/>
        <v>81.99360320896051</v>
      </c>
      <c r="AM161" s="56">
        <f>W161</f>
        <v>52.99223389675651</v>
      </c>
      <c r="AN161" s="46">
        <f t="shared" si="40"/>
        <v>84.59555331366022</v>
      </c>
      <c r="AO161" s="56">
        <f>Y161</f>
        <v>58.587881822734104</v>
      </c>
      <c r="AP161" s="46">
        <f t="shared" si="40"/>
        <v>81.54377215789698</v>
      </c>
      <c r="AQ161" s="56">
        <f>AA161</f>
        <v>57.625875979004896</v>
      </c>
      <c r="AR161" s="46">
        <f>AVERAGE(AL161,AN161,AP161)</f>
        <v>82.71097622683924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7">
      <selection activeCell="C1" sqref="C1"/>
    </sheetView>
  </sheetViews>
  <sheetFormatPr defaultColWidth="9.140625" defaultRowHeight="12.75"/>
  <cols>
    <col min="1" max="1" width="25.28125" style="0" customWidth="1"/>
    <col min="2" max="2" width="13.00390625" style="0" customWidth="1"/>
  </cols>
  <sheetData>
    <row r="1" spans="1:4" ht="12.75">
      <c r="A1" s="2" t="s">
        <v>121</v>
      </c>
      <c r="B1" s="18"/>
      <c r="C1" s="18"/>
      <c r="D1" s="18"/>
    </row>
    <row r="2" spans="1:4" ht="12.75">
      <c r="A2" s="18"/>
      <c r="B2" s="18"/>
      <c r="C2" s="18"/>
      <c r="D2" s="18"/>
    </row>
    <row r="3" spans="1:4" ht="12.75">
      <c r="A3" s="2" t="s">
        <v>110</v>
      </c>
      <c r="B3" s="18" t="s">
        <v>201</v>
      </c>
      <c r="C3" s="29" t="s">
        <v>54</v>
      </c>
      <c r="D3" s="18"/>
    </row>
    <row r="4" spans="1:4" ht="12.75">
      <c r="A4" s="18"/>
      <c r="B4" s="18"/>
      <c r="C4" s="18"/>
      <c r="D4" s="18"/>
    </row>
    <row r="5" spans="1:4" ht="14.25">
      <c r="A5" s="18" t="s">
        <v>133</v>
      </c>
      <c r="B5" s="3" t="s">
        <v>85</v>
      </c>
      <c r="C5" s="18">
        <v>2452.4</v>
      </c>
      <c r="D5" s="18"/>
    </row>
    <row r="6" spans="1:4" ht="12.75">
      <c r="A6" s="13" t="s">
        <v>134</v>
      </c>
      <c r="B6" s="18" t="s">
        <v>73</v>
      </c>
      <c r="C6" s="18">
        <f>197.1*60</f>
        <v>11826</v>
      </c>
      <c r="D6" s="18"/>
    </row>
    <row r="7" spans="1:4" ht="12.75">
      <c r="A7" s="13" t="s">
        <v>136</v>
      </c>
      <c r="B7" s="18" t="s">
        <v>86</v>
      </c>
      <c r="C7" s="18">
        <v>13.1</v>
      </c>
      <c r="D7" s="18"/>
    </row>
    <row r="8" spans="1:4" ht="12.75">
      <c r="A8" s="13" t="s">
        <v>155</v>
      </c>
      <c r="B8" s="18"/>
      <c r="C8" s="18"/>
      <c r="D8" s="18"/>
    </row>
    <row r="9" spans="1:4" ht="12.75">
      <c r="A9" s="13" t="s">
        <v>156</v>
      </c>
      <c r="B9" s="18" t="s">
        <v>87</v>
      </c>
      <c r="C9" s="18">
        <v>7.2</v>
      </c>
      <c r="D9" s="18"/>
    </row>
    <row r="10" spans="1:4" ht="12.75">
      <c r="A10" s="13" t="s">
        <v>157</v>
      </c>
      <c r="B10" s="18" t="s">
        <v>132</v>
      </c>
      <c r="C10" s="18">
        <v>29.3</v>
      </c>
      <c r="D10" s="18"/>
    </row>
    <row r="11" spans="1:4" ht="12.75">
      <c r="A11" s="13" t="s">
        <v>158</v>
      </c>
      <c r="B11" s="18" t="s">
        <v>132</v>
      </c>
      <c r="C11" s="18">
        <v>94.9</v>
      </c>
      <c r="D11" s="18"/>
    </row>
    <row r="12" spans="1:4" ht="12.75">
      <c r="A12" s="13" t="s">
        <v>159</v>
      </c>
      <c r="B12" s="18" t="s">
        <v>135</v>
      </c>
      <c r="C12" s="18">
        <v>6.4</v>
      </c>
      <c r="D12" s="18"/>
    </row>
    <row r="13" spans="1:4" ht="12.75">
      <c r="A13" s="13"/>
      <c r="B13" s="18"/>
      <c r="C13" s="18"/>
      <c r="D13" s="18"/>
    </row>
    <row r="14" spans="1:4" ht="12.75">
      <c r="A14" s="2" t="s">
        <v>111</v>
      </c>
      <c r="B14" s="18" t="s">
        <v>203</v>
      </c>
      <c r="C14" s="29" t="s">
        <v>54</v>
      </c>
      <c r="D14" s="18"/>
    </row>
    <row r="15" spans="1:4" ht="12.75">
      <c r="A15" s="18"/>
      <c r="B15" s="18"/>
      <c r="C15" s="18"/>
      <c r="D15" s="18"/>
    </row>
    <row r="16" spans="1:4" ht="14.25">
      <c r="A16" s="18" t="s">
        <v>133</v>
      </c>
      <c r="B16" s="3" t="s">
        <v>85</v>
      </c>
      <c r="C16" s="48">
        <v>2012</v>
      </c>
      <c r="D16" s="18"/>
    </row>
    <row r="17" spans="1:4" ht="12.75">
      <c r="A17" s="13" t="s">
        <v>134</v>
      </c>
      <c r="B17" s="18" t="s">
        <v>73</v>
      </c>
      <c r="C17" s="18">
        <f>38.17*60</f>
        <v>2290.2000000000003</v>
      </c>
      <c r="D17" s="18"/>
    </row>
    <row r="18" spans="1:4" ht="12.75">
      <c r="A18" s="13" t="s">
        <v>136</v>
      </c>
      <c r="B18" s="18" t="s">
        <v>86</v>
      </c>
      <c r="C18" s="18">
        <v>13.6</v>
      </c>
      <c r="D18" s="18"/>
    </row>
    <row r="19" spans="1:4" ht="12.75">
      <c r="A19" s="13" t="s">
        <v>155</v>
      </c>
      <c r="B19" s="18"/>
      <c r="C19" s="18"/>
      <c r="D19" s="18"/>
    </row>
    <row r="20" spans="1:4" ht="12.75">
      <c r="A20" s="13" t="s">
        <v>156</v>
      </c>
      <c r="B20" s="18" t="s">
        <v>87</v>
      </c>
      <c r="C20" s="48">
        <v>8</v>
      </c>
      <c r="D20" s="18"/>
    </row>
    <row r="21" spans="1:4" ht="12.75">
      <c r="A21" s="13" t="s">
        <v>157</v>
      </c>
      <c r="B21" s="18" t="s">
        <v>132</v>
      </c>
      <c r="C21" s="18">
        <v>30.7</v>
      </c>
      <c r="D21" s="18"/>
    </row>
    <row r="22" spans="1:4" ht="12.75">
      <c r="A22" s="13" t="s">
        <v>158</v>
      </c>
      <c r="B22" s="18" t="s">
        <v>132</v>
      </c>
      <c r="C22" s="48">
        <v>95</v>
      </c>
      <c r="D22" s="18"/>
    </row>
    <row r="23" spans="1:4" ht="12.75">
      <c r="A23" s="13" t="s">
        <v>159</v>
      </c>
      <c r="B23" s="18" t="s">
        <v>135</v>
      </c>
      <c r="C23" s="18">
        <v>5.9</v>
      </c>
      <c r="D23" s="18"/>
    </row>
    <row r="24" spans="1:4" ht="12.75">
      <c r="A24" s="13"/>
      <c r="B24" s="18"/>
      <c r="C24" s="18"/>
      <c r="D24" s="18"/>
    </row>
    <row r="25" spans="1:4" ht="12.75">
      <c r="A25" s="2" t="s">
        <v>91</v>
      </c>
      <c r="B25" s="18" t="s">
        <v>205</v>
      </c>
      <c r="C25" s="29" t="s">
        <v>54</v>
      </c>
      <c r="D25" s="18"/>
    </row>
    <row r="26" spans="1:4" ht="12.75">
      <c r="A26" s="18"/>
      <c r="B26" s="18"/>
      <c r="C26" s="18"/>
      <c r="D26" s="18"/>
    </row>
    <row r="27" spans="1:4" ht="14.25">
      <c r="A27" s="18" t="s">
        <v>133</v>
      </c>
      <c r="B27" s="3" t="s">
        <v>85</v>
      </c>
      <c r="C27" s="18">
        <f>(1272*1.8)+32</f>
        <v>2321.6</v>
      </c>
      <c r="D27" s="18"/>
    </row>
    <row r="28" spans="1:4" ht="12.75">
      <c r="A28" s="13" t="s">
        <v>134</v>
      </c>
      <c r="B28" s="18" t="s">
        <v>73</v>
      </c>
      <c r="C28" s="18">
        <f>219*60</f>
        <v>13140</v>
      </c>
      <c r="D28" s="18"/>
    </row>
    <row r="29" spans="1:4" ht="12.75">
      <c r="A29" s="13" t="s">
        <v>136</v>
      </c>
      <c r="B29" s="18" t="s">
        <v>86</v>
      </c>
      <c r="C29" s="18">
        <v>16.1</v>
      </c>
      <c r="D29" s="18"/>
    </row>
    <row r="30" spans="1:4" ht="12.75">
      <c r="A30" s="13" t="s">
        <v>155</v>
      </c>
      <c r="B30" s="18"/>
      <c r="C30" s="18"/>
      <c r="D30" s="18"/>
    </row>
    <row r="31" spans="1:4" ht="12.75">
      <c r="A31" s="13" t="s">
        <v>156</v>
      </c>
      <c r="B31" s="18" t="s">
        <v>87</v>
      </c>
      <c r="C31" s="18">
        <v>7.9</v>
      </c>
      <c r="D31" s="18"/>
    </row>
    <row r="32" spans="1:4" ht="12.75">
      <c r="A32" s="13" t="s">
        <v>157</v>
      </c>
      <c r="B32" s="18" t="s">
        <v>132</v>
      </c>
      <c r="C32" s="18">
        <v>31.2</v>
      </c>
      <c r="D32" s="18"/>
    </row>
    <row r="33" spans="1:4" ht="12.75">
      <c r="A33" s="13" t="s">
        <v>158</v>
      </c>
      <c r="B33" s="18" t="s">
        <v>132</v>
      </c>
      <c r="C33" s="18">
        <v>94.8</v>
      </c>
      <c r="D33" s="18"/>
    </row>
    <row r="34" spans="1:4" ht="12.75">
      <c r="A34" s="13" t="s">
        <v>159</v>
      </c>
      <c r="B34" s="18" t="s">
        <v>135</v>
      </c>
      <c r="C34" s="18">
        <v>6.1</v>
      </c>
      <c r="D34" s="18"/>
    </row>
    <row r="35" spans="1:4" ht="12.75">
      <c r="A35" s="18"/>
      <c r="B35" s="18"/>
      <c r="C35" s="18"/>
      <c r="D35" s="1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21"/>
  <sheetViews>
    <sheetView workbookViewId="0" topLeftCell="A34">
      <selection activeCell="C1" sqref="C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8515625" style="0" customWidth="1"/>
    <col min="4" max="4" width="6.140625" style="4" customWidth="1"/>
    <col min="5" max="5" width="8.7109375" style="0" customWidth="1"/>
    <col min="6" max="6" width="8.140625" style="0" customWidth="1"/>
    <col min="8" max="8" width="8.140625" style="0" customWidth="1"/>
    <col min="9" max="9" width="3.7109375" style="4" customWidth="1"/>
    <col min="11" max="11" width="8.140625" style="0" customWidth="1"/>
    <col min="12" max="12" width="8.8515625" style="0" customWidth="1"/>
    <col min="13" max="13" width="8.140625" style="0" customWidth="1"/>
    <col min="14" max="14" width="5.57421875" style="4" customWidth="1"/>
    <col min="15" max="15" width="8.140625" style="0" customWidth="1"/>
    <col min="16" max="16" width="8.7109375" style="0" customWidth="1"/>
    <col min="18" max="18" width="8.7109375" style="0" customWidth="1"/>
  </cols>
  <sheetData>
    <row r="1" spans="1:18" ht="12.75">
      <c r="A1" s="61" t="s">
        <v>117</v>
      </c>
      <c r="B1" s="43"/>
      <c r="C1" s="43"/>
      <c r="D1" s="45"/>
      <c r="E1" s="49"/>
      <c r="F1" s="50"/>
      <c r="G1" s="49"/>
      <c r="H1" s="50"/>
      <c r="I1" s="53"/>
      <c r="J1" s="49"/>
      <c r="K1" s="49"/>
      <c r="L1" s="49"/>
      <c r="M1" s="49"/>
      <c r="N1" s="53"/>
      <c r="O1" s="49"/>
      <c r="P1" s="49"/>
      <c r="Q1" s="49"/>
      <c r="R1" s="49"/>
    </row>
    <row r="2" spans="1:18" ht="11.25" customHeight="1">
      <c r="A2" s="43" t="s">
        <v>249</v>
      </c>
      <c r="B2" s="43"/>
      <c r="C2" s="43"/>
      <c r="D2" s="45"/>
      <c r="E2" s="49"/>
      <c r="F2" s="50"/>
      <c r="G2" s="49"/>
      <c r="H2" s="50"/>
      <c r="I2" s="53"/>
      <c r="J2" s="49"/>
      <c r="K2" s="49"/>
      <c r="L2" s="49"/>
      <c r="M2" s="49"/>
      <c r="N2" s="53"/>
      <c r="O2" s="49"/>
      <c r="P2" s="49"/>
      <c r="Q2" s="49"/>
      <c r="R2" s="49"/>
    </row>
    <row r="3" spans="1:18" ht="12.75">
      <c r="A3" s="43" t="s">
        <v>25</v>
      </c>
      <c r="B3" s="43"/>
      <c r="C3" s="13" t="s">
        <v>118</v>
      </c>
      <c r="D3" s="45"/>
      <c r="E3" s="49"/>
      <c r="F3" s="50"/>
      <c r="G3" s="49"/>
      <c r="H3" s="50"/>
      <c r="I3" s="53"/>
      <c r="J3" s="49"/>
      <c r="K3" s="49"/>
      <c r="L3" s="49"/>
      <c r="M3" s="49"/>
      <c r="N3" s="53"/>
      <c r="O3" s="49"/>
      <c r="P3" s="49"/>
      <c r="Q3" s="49"/>
      <c r="R3" s="49"/>
    </row>
    <row r="4" spans="1:18" ht="12.75">
      <c r="A4" s="43" t="s">
        <v>26</v>
      </c>
      <c r="B4" s="43"/>
      <c r="C4" s="13" t="s">
        <v>91</v>
      </c>
      <c r="D4" s="45"/>
      <c r="E4" s="51"/>
      <c r="F4" s="52"/>
      <c r="G4" s="51"/>
      <c r="H4" s="52"/>
      <c r="I4" s="53"/>
      <c r="J4" s="51"/>
      <c r="K4" s="51"/>
      <c r="L4" s="51"/>
      <c r="M4" s="51"/>
      <c r="N4" s="53"/>
      <c r="O4" s="51"/>
      <c r="P4" s="51"/>
      <c r="Q4" s="51"/>
      <c r="R4" s="51"/>
    </row>
    <row r="5" spans="1:18" ht="12.75">
      <c r="A5" s="43" t="s">
        <v>27</v>
      </c>
      <c r="B5" s="43"/>
      <c r="C5" s="18" t="s">
        <v>95</v>
      </c>
      <c r="D5" s="29"/>
      <c r="E5" s="18"/>
      <c r="F5" s="18"/>
      <c r="G5" s="18"/>
      <c r="H5" s="18"/>
      <c r="I5" s="29"/>
      <c r="J5" s="18"/>
      <c r="K5" s="49"/>
      <c r="L5" s="49"/>
      <c r="M5" s="49"/>
      <c r="N5" s="53"/>
      <c r="O5" s="49"/>
      <c r="P5" s="49"/>
      <c r="Q5" s="49"/>
      <c r="R5" s="49"/>
    </row>
    <row r="6" spans="1:18" ht="12.75">
      <c r="A6" s="43"/>
      <c r="B6" s="43"/>
      <c r="C6" s="45"/>
      <c r="D6" s="45"/>
      <c r="E6" s="53"/>
      <c r="F6" s="50"/>
      <c r="G6" s="53"/>
      <c r="H6" s="50"/>
      <c r="I6" s="53"/>
      <c r="J6" s="53"/>
      <c r="K6" s="49"/>
      <c r="L6" s="53"/>
      <c r="M6" s="49"/>
      <c r="N6" s="53"/>
      <c r="O6" s="53"/>
      <c r="P6" s="49"/>
      <c r="Q6" s="53"/>
      <c r="R6" s="49"/>
    </row>
    <row r="7" spans="1:18" ht="12.75">
      <c r="A7" s="43"/>
      <c r="B7" s="43"/>
      <c r="C7" s="45" t="s">
        <v>28</v>
      </c>
      <c r="D7" s="45"/>
      <c r="E7" s="54" t="s">
        <v>79</v>
      </c>
      <c r="F7" s="54"/>
      <c r="G7" s="54"/>
      <c r="H7" s="54"/>
      <c r="I7" s="55"/>
      <c r="J7" s="54" t="s">
        <v>80</v>
      </c>
      <c r="K7" s="54"/>
      <c r="L7" s="54"/>
      <c r="M7" s="54"/>
      <c r="N7" s="55"/>
      <c r="O7" s="54" t="s">
        <v>81</v>
      </c>
      <c r="P7" s="54"/>
      <c r="Q7" s="54"/>
      <c r="R7" s="54"/>
    </row>
    <row r="8" spans="1:18" ht="12.75">
      <c r="A8" s="43"/>
      <c r="B8" s="43"/>
      <c r="C8" s="45" t="s">
        <v>29</v>
      </c>
      <c r="D8" s="45"/>
      <c r="E8" s="53" t="s">
        <v>30</v>
      </c>
      <c r="F8" s="52" t="s">
        <v>31</v>
      </c>
      <c r="G8" s="53" t="s">
        <v>30</v>
      </c>
      <c r="H8" s="52" t="s">
        <v>31</v>
      </c>
      <c r="I8" s="53"/>
      <c r="J8" s="53" t="s">
        <v>30</v>
      </c>
      <c r="K8" s="53" t="s">
        <v>32</v>
      </c>
      <c r="L8" s="53" t="s">
        <v>30</v>
      </c>
      <c r="M8" s="53" t="s">
        <v>32</v>
      </c>
      <c r="N8" s="53"/>
      <c r="O8" s="53" t="s">
        <v>30</v>
      </c>
      <c r="P8" s="53" t="s">
        <v>32</v>
      </c>
      <c r="Q8" s="53" t="s">
        <v>30</v>
      </c>
      <c r="R8" s="53" t="s">
        <v>32</v>
      </c>
    </row>
    <row r="9" spans="1:18" s="75" customFormat="1" ht="12.75">
      <c r="A9" s="43"/>
      <c r="B9" s="43"/>
      <c r="C9" s="45"/>
      <c r="D9" s="45"/>
      <c r="E9" s="53" t="s">
        <v>248</v>
      </c>
      <c r="F9" s="53" t="s">
        <v>248</v>
      </c>
      <c r="G9" s="53" t="s">
        <v>119</v>
      </c>
      <c r="H9" s="52" t="s">
        <v>120</v>
      </c>
      <c r="I9" s="53"/>
      <c r="J9" s="53" t="s">
        <v>248</v>
      </c>
      <c r="K9" s="53" t="s">
        <v>248</v>
      </c>
      <c r="L9" s="53" t="s">
        <v>120</v>
      </c>
      <c r="M9" s="52" t="s">
        <v>120</v>
      </c>
      <c r="N9" s="53"/>
      <c r="O9" s="53" t="s">
        <v>248</v>
      </c>
      <c r="P9" s="53" t="s">
        <v>248</v>
      </c>
      <c r="Q9" s="53" t="s">
        <v>120</v>
      </c>
      <c r="R9" s="52" t="s">
        <v>120</v>
      </c>
    </row>
    <row r="10" spans="1:18" ht="12.75">
      <c r="A10" s="43" t="s">
        <v>76</v>
      </c>
      <c r="B10" s="43"/>
      <c r="C10" s="43"/>
      <c r="D10" s="45"/>
      <c r="E10" s="49"/>
      <c r="F10" s="50"/>
      <c r="G10" s="49"/>
      <c r="H10" s="50"/>
      <c r="I10" s="53"/>
      <c r="J10" s="49"/>
      <c r="K10" s="49"/>
      <c r="L10" s="49"/>
      <c r="M10" s="49"/>
      <c r="N10" s="53"/>
      <c r="O10" s="46"/>
      <c r="P10" s="49"/>
      <c r="Q10" s="49"/>
      <c r="R10" s="49"/>
    </row>
    <row r="11" spans="1:18" ht="12.75">
      <c r="A11" s="43"/>
      <c r="B11" s="43" t="s">
        <v>33</v>
      </c>
      <c r="C11" s="45">
        <v>1</v>
      </c>
      <c r="D11" s="52" t="s">
        <v>34</v>
      </c>
      <c r="E11" s="46">
        <v>3.2</v>
      </c>
      <c r="F11" s="46">
        <f aca="true" t="shared" si="0" ref="F11:H35">IF(E11="","",E11*$C11)</f>
        <v>3.2</v>
      </c>
      <c r="G11" s="56">
        <f aca="true" t="shared" si="1" ref="G11:G30">IF(E11=0,"",IF(D11="nd",E11/2,E11))</f>
        <v>1.6</v>
      </c>
      <c r="H11" s="46">
        <f t="shared" si="0"/>
        <v>1.6</v>
      </c>
      <c r="I11" s="52" t="s">
        <v>34</v>
      </c>
      <c r="J11" s="46">
        <v>2.9</v>
      </c>
      <c r="K11" s="46">
        <f aca="true" t="shared" si="2" ref="K11:M35">IF(J11="","",J11*$C11)</f>
        <v>2.9</v>
      </c>
      <c r="L11" s="46">
        <f>IF(J11=0,"",IF(I11="nd",J11/2,J11))</f>
        <v>1.45</v>
      </c>
      <c r="M11" s="46">
        <f t="shared" si="2"/>
        <v>1.45</v>
      </c>
      <c r="N11" s="52" t="s">
        <v>34</v>
      </c>
      <c r="O11" s="56">
        <v>2.1</v>
      </c>
      <c r="P11" s="46">
        <f aca="true" t="shared" si="3" ref="P11:R35">IF(O11="","",O11*$C11)</f>
        <v>2.1</v>
      </c>
      <c r="Q11" s="56">
        <f>IF(O11=0,"",IF(N11="nd",O11/2,O11))</f>
        <v>1.05</v>
      </c>
      <c r="R11" s="46">
        <f t="shared" si="3"/>
        <v>1.05</v>
      </c>
    </row>
    <row r="12" spans="1:18" ht="12.75">
      <c r="A12" s="43"/>
      <c r="B12" s="43" t="s">
        <v>250</v>
      </c>
      <c r="C12" s="45">
        <v>0</v>
      </c>
      <c r="D12" s="52"/>
      <c r="E12" s="56">
        <v>62</v>
      </c>
      <c r="F12" s="46">
        <f t="shared" si="0"/>
        <v>0</v>
      </c>
      <c r="G12" s="56">
        <f t="shared" si="1"/>
        <v>62</v>
      </c>
      <c r="H12" s="46">
        <f t="shared" si="0"/>
        <v>0</v>
      </c>
      <c r="I12" s="52"/>
      <c r="J12" s="56">
        <v>73</v>
      </c>
      <c r="K12" s="56">
        <f t="shared" si="2"/>
        <v>0</v>
      </c>
      <c r="L12" s="46">
        <f aca="true" t="shared" si="4" ref="L12:L35">IF(J12=0,"",IF(I12="nd",J12/2,J12))</f>
        <v>73</v>
      </c>
      <c r="M12" s="56">
        <f t="shared" si="2"/>
        <v>0</v>
      </c>
      <c r="N12" s="59"/>
      <c r="O12" s="56">
        <v>74</v>
      </c>
      <c r="P12" s="46">
        <f t="shared" si="3"/>
        <v>0</v>
      </c>
      <c r="Q12" s="56">
        <f aca="true" t="shared" si="5" ref="Q12:Q35">IF(O12=0,"",IF(N12="nd",O12/2,O12))</f>
        <v>74</v>
      </c>
      <c r="R12" s="46">
        <f t="shared" si="3"/>
        <v>0</v>
      </c>
    </row>
    <row r="13" spans="1:18" ht="12.75">
      <c r="A13" s="43"/>
      <c r="B13" s="43" t="s">
        <v>35</v>
      </c>
      <c r="C13" s="45">
        <v>0.5</v>
      </c>
      <c r="D13" s="52"/>
      <c r="E13" s="46">
        <v>3.1</v>
      </c>
      <c r="F13" s="47">
        <f t="shared" si="0"/>
        <v>1.55</v>
      </c>
      <c r="G13" s="56">
        <f t="shared" si="1"/>
        <v>3.1</v>
      </c>
      <c r="H13" s="47">
        <f t="shared" si="0"/>
        <v>1.55</v>
      </c>
      <c r="I13" s="52"/>
      <c r="J13" s="47">
        <v>3.3</v>
      </c>
      <c r="K13" s="47">
        <f t="shared" si="2"/>
        <v>1.65</v>
      </c>
      <c r="L13" s="46">
        <f t="shared" si="4"/>
        <v>3.3</v>
      </c>
      <c r="M13" s="47">
        <f t="shared" si="2"/>
        <v>1.65</v>
      </c>
      <c r="N13" s="52"/>
      <c r="O13" s="57">
        <v>2.4</v>
      </c>
      <c r="P13" s="46">
        <f t="shared" si="3"/>
        <v>1.2</v>
      </c>
      <c r="Q13" s="56">
        <f t="shared" si="5"/>
        <v>2.4</v>
      </c>
      <c r="R13" s="46">
        <f t="shared" si="3"/>
        <v>1.2</v>
      </c>
    </row>
    <row r="14" spans="1:18" ht="12.75">
      <c r="A14" s="43"/>
      <c r="B14" s="43" t="s">
        <v>251</v>
      </c>
      <c r="C14" s="45">
        <v>0</v>
      </c>
      <c r="D14" s="52"/>
      <c r="E14" s="56">
        <v>53</v>
      </c>
      <c r="F14" s="56">
        <f t="shared" si="0"/>
        <v>0</v>
      </c>
      <c r="G14" s="56">
        <f t="shared" si="1"/>
        <v>53</v>
      </c>
      <c r="H14" s="56">
        <f t="shared" si="0"/>
        <v>0</v>
      </c>
      <c r="I14" s="52"/>
      <c r="J14" s="56">
        <v>56</v>
      </c>
      <c r="K14" s="56">
        <f t="shared" si="2"/>
        <v>0</v>
      </c>
      <c r="L14" s="46">
        <f t="shared" si="4"/>
        <v>56</v>
      </c>
      <c r="M14" s="56">
        <f t="shared" si="2"/>
        <v>0</v>
      </c>
      <c r="N14" s="52"/>
      <c r="O14" s="57">
        <v>64</v>
      </c>
      <c r="P14" s="46">
        <f t="shared" si="3"/>
        <v>0</v>
      </c>
      <c r="Q14" s="56">
        <f t="shared" si="5"/>
        <v>64</v>
      </c>
      <c r="R14" s="46">
        <f t="shared" si="3"/>
        <v>0</v>
      </c>
    </row>
    <row r="15" spans="1:18" ht="12.75">
      <c r="A15" s="43"/>
      <c r="B15" s="43" t="s">
        <v>36</v>
      </c>
      <c r="C15" s="45">
        <v>0.1</v>
      </c>
      <c r="D15" s="52"/>
      <c r="E15" s="46">
        <v>4.2</v>
      </c>
      <c r="F15" s="47">
        <f t="shared" si="0"/>
        <v>0.42000000000000004</v>
      </c>
      <c r="G15" s="56">
        <f t="shared" si="1"/>
        <v>4.2</v>
      </c>
      <c r="H15" s="47">
        <f t="shared" si="0"/>
        <v>0.42000000000000004</v>
      </c>
      <c r="I15" s="52" t="s">
        <v>34</v>
      </c>
      <c r="J15" s="46">
        <v>2.6</v>
      </c>
      <c r="K15" s="47">
        <f t="shared" si="2"/>
        <v>0.26</v>
      </c>
      <c r="L15" s="46">
        <f t="shared" si="4"/>
        <v>1.3</v>
      </c>
      <c r="M15" s="47">
        <f t="shared" si="2"/>
        <v>0.13</v>
      </c>
      <c r="N15" s="52" t="s">
        <v>34</v>
      </c>
      <c r="O15" s="48">
        <v>1.9</v>
      </c>
      <c r="P15" s="47">
        <f t="shared" si="3"/>
        <v>0.19</v>
      </c>
      <c r="Q15" s="56">
        <f t="shared" si="5"/>
        <v>0.95</v>
      </c>
      <c r="R15" s="47">
        <f t="shared" si="3"/>
        <v>0.095</v>
      </c>
    </row>
    <row r="16" spans="1:18" ht="12.75">
      <c r="A16" s="43"/>
      <c r="B16" s="43" t="s">
        <v>37</v>
      </c>
      <c r="C16" s="45">
        <v>0.1</v>
      </c>
      <c r="D16" s="52"/>
      <c r="E16" s="46">
        <v>8.6</v>
      </c>
      <c r="F16" s="47">
        <f t="shared" si="0"/>
        <v>0.86</v>
      </c>
      <c r="G16" s="56">
        <f t="shared" si="1"/>
        <v>8.6</v>
      </c>
      <c r="H16" s="47">
        <f t="shared" si="0"/>
        <v>0.86</v>
      </c>
      <c r="I16" s="52"/>
      <c r="J16" s="46">
        <v>3.6</v>
      </c>
      <c r="K16" s="47">
        <f t="shared" si="2"/>
        <v>0.36000000000000004</v>
      </c>
      <c r="L16" s="46">
        <f t="shared" si="4"/>
        <v>3.6</v>
      </c>
      <c r="M16" s="47">
        <f t="shared" si="2"/>
        <v>0.36000000000000004</v>
      </c>
      <c r="N16" s="52"/>
      <c r="O16" s="48">
        <v>2.8</v>
      </c>
      <c r="P16" s="46">
        <f t="shared" si="3"/>
        <v>0.27999999999999997</v>
      </c>
      <c r="Q16" s="56">
        <f t="shared" si="5"/>
        <v>2.8</v>
      </c>
      <c r="R16" s="46">
        <f t="shared" si="3"/>
        <v>0.27999999999999997</v>
      </c>
    </row>
    <row r="17" spans="1:18" ht="12.75">
      <c r="A17" s="43"/>
      <c r="B17" s="43" t="s">
        <v>38</v>
      </c>
      <c r="C17" s="45">
        <v>0.1</v>
      </c>
      <c r="D17" s="52"/>
      <c r="E17" s="46">
        <v>5.1</v>
      </c>
      <c r="F17" s="47">
        <f t="shared" si="0"/>
        <v>0.51</v>
      </c>
      <c r="G17" s="56">
        <f t="shared" si="1"/>
        <v>5.1</v>
      </c>
      <c r="H17" s="47">
        <f t="shared" si="0"/>
        <v>0.51</v>
      </c>
      <c r="I17" s="52"/>
      <c r="J17" s="46">
        <v>2.7</v>
      </c>
      <c r="K17" s="47">
        <f t="shared" si="2"/>
        <v>0.27</v>
      </c>
      <c r="L17" s="46">
        <f t="shared" si="4"/>
        <v>2.7</v>
      </c>
      <c r="M17" s="47">
        <f t="shared" si="2"/>
        <v>0.27</v>
      </c>
      <c r="N17" s="52"/>
      <c r="O17" s="48">
        <v>2.2</v>
      </c>
      <c r="P17" s="46">
        <f t="shared" si="3"/>
        <v>0.22000000000000003</v>
      </c>
      <c r="Q17" s="56">
        <f t="shared" si="5"/>
        <v>2.2</v>
      </c>
      <c r="R17" s="46">
        <f t="shared" si="3"/>
        <v>0.22000000000000003</v>
      </c>
    </row>
    <row r="18" spans="1:18" ht="12.75">
      <c r="A18" s="43"/>
      <c r="B18" s="43" t="s">
        <v>252</v>
      </c>
      <c r="C18" s="45">
        <v>0</v>
      </c>
      <c r="D18" s="52"/>
      <c r="E18" s="56">
        <v>46</v>
      </c>
      <c r="F18" s="56">
        <f t="shared" si="0"/>
        <v>0</v>
      </c>
      <c r="G18" s="56">
        <f t="shared" si="1"/>
        <v>46</v>
      </c>
      <c r="H18" s="56">
        <f t="shared" si="0"/>
        <v>0</v>
      </c>
      <c r="I18" s="52"/>
      <c r="J18" s="56">
        <v>46</v>
      </c>
      <c r="K18" s="56">
        <f t="shared" si="2"/>
        <v>0</v>
      </c>
      <c r="L18" s="56">
        <f t="shared" si="4"/>
        <v>46</v>
      </c>
      <c r="M18" s="56">
        <f t="shared" si="2"/>
        <v>0</v>
      </c>
      <c r="N18" s="52"/>
      <c r="O18" s="57">
        <v>30</v>
      </c>
      <c r="P18" s="56">
        <f t="shared" si="3"/>
        <v>0</v>
      </c>
      <c r="Q18" s="56">
        <f t="shared" si="5"/>
        <v>30</v>
      </c>
      <c r="R18" s="56">
        <f t="shared" si="3"/>
        <v>0</v>
      </c>
    </row>
    <row r="19" spans="1:18" ht="12.75">
      <c r="A19" s="43"/>
      <c r="B19" s="43" t="s">
        <v>39</v>
      </c>
      <c r="C19" s="45">
        <v>0.01</v>
      </c>
      <c r="D19" s="52"/>
      <c r="E19" s="56">
        <v>38</v>
      </c>
      <c r="F19" s="47">
        <f t="shared" si="0"/>
        <v>0.38</v>
      </c>
      <c r="G19" s="56">
        <f t="shared" si="1"/>
        <v>38</v>
      </c>
      <c r="H19" s="47">
        <f t="shared" si="0"/>
        <v>0.38</v>
      </c>
      <c r="I19" s="52"/>
      <c r="J19" s="56">
        <v>14</v>
      </c>
      <c r="K19" s="47">
        <f t="shared" si="2"/>
        <v>0.14</v>
      </c>
      <c r="L19" s="56">
        <f t="shared" si="4"/>
        <v>14</v>
      </c>
      <c r="M19" s="47">
        <f t="shared" si="2"/>
        <v>0.14</v>
      </c>
      <c r="N19" s="52"/>
      <c r="O19" s="57">
        <v>11</v>
      </c>
      <c r="P19" s="47">
        <f t="shared" si="3"/>
        <v>0.11</v>
      </c>
      <c r="Q19" s="56">
        <f t="shared" si="5"/>
        <v>11</v>
      </c>
      <c r="R19" s="47">
        <f t="shared" si="3"/>
        <v>0.11</v>
      </c>
    </row>
    <row r="20" spans="1:18" ht="12.75">
      <c r="A20" s="43"/>
      <c r="B20" s="43" t="s">
        <v>253</v>
      </c>
      <c r="C20" s="45">
        <v>0</v>
      </c>
      <c r="D20" s="52"/>
      <c r="E20" s="56">
        <v>54</v>
      </c>
      <c r="F20" s="56">
        <f t="shared" si="0"/>
        <v>0</v>
      </c>
      <c r="G20" s="56">
        <f t="shared" si="1"/>
        <v>54</v>
      </c>
      <c r="H20" s="56">
        <f t="shared" si="0"/>
        <v>0</v>
      </c>
      <c r="I20" s="52"/>
      <c r="J20" s="56">
        <v>26</v>
      </c>
      <c r="K20" s="56">
        <f t="shared" si="2"/>
        <v>0</v>
      </c>
      <c r="L20" s="56">
        <f t="shared" si="4"/>
        <v>26</v>
      </c>
      <c r="M20" s="56">
        <f t="shared" si="2"/>
        <v>0</v>
      </c>
      <c r="N20" s="52"/>
      <c r="O20" s="57">
        <v>19</v>
      </c>
      <c r="P20" s="56">
        <f t="shared" si="3"/>
        <v>0</v>
      </c>
      <c r="Q20" s="56">
        <f t="shared" si="5"/>
        <v>19</v>
      </c>
      <c r="R20" s="56">
        <f t="shared" si="3"/>
        <v>0</v>
      </c>
    </row>
    <row r="21" spans="1:18" ht="12.75">
      <c r="A21" s="43"/>
      <c r="B21" s="43" t="s">
        <v>40</v>
      </c>
      <c r="C21" s="45">
        <v>0.001</v>
      </c>
      <c r="D21" s="52"/>
      <c r="E21" s="56">
        <v>76</v>
      </c>
      <c r="F21" s="58">
        <f t="shared" si="0"/>
        <v>0.076</v>
      </c>
      <c r="G21" s="56">
        <f t="shared" si="1"/>
        <v>76</v>
      </c>
      <c r="H21" s="58">
        <f t="shared" si="0"/>
        <v>0.076</v>
      </c>
      <c r="I21" s="52"/>
      <c r="J21" s="56">
        <v>31</v>
      </c>
      <c r="K21" s="47">
        <f t="shared" si="2"/>
        <v>0.031</v>
      </c>
      <c r="L21" s="56">
        <f t="shared" si="4"/>
        <v>31</v>
      </c>
      <c r="M21" s="47">
        <f t="shared" si="2"/>
        <v>0.031</v>
      </c>
      <c r="N21" s="52"/>
      <c r="O21" s="57">
        <v>35</v>
      </c>
      <c r="P21" s="58">
        <f t="shared" si="3"/>
        <v>0.035</v>
      </c>
      <c r="Q21" s="56">
        <f t="shared" si="5"/>
        <v>35</v>
      </c>
      <c r="R21" s="58">
        <f t="shared" si="3"/>
        <v>0.035</v>
      </c>
    </row>
    <row r="22" spans="1:18" ht="12.75">
      <c r="A22" s="43"/>
      <c r="B22" s="43" t="s">
        <v>41</v>
      </c>
      <c r="C22" s="45">
        <v>0.1</v>
      </c>
      <c r="D22" s="52"/>
      <c r="E22" s="56">
        <v>140</v>
      </c>
      <c r="F22" s="47">
        <f t="shared" si="0"/>
        <v>14</v>
      </c>
      <c r="G22" s="56">
        <f t="shared" si="1"/>
        <v>140</v>
      </c>
      <c r="H22" s="47">
        <f t="shared" si="0"/>
        <v>14</v>
      </c>
      <c r="I22" s="52"/>
      <c r="J22" s="56">
        <v>140</v>
      </c>
      <c r="K22" s="56">
        <f t="shared" si="2"/>
        <v>14</v>
      </c>
      <c r="L22" s="56">
        <f t="shared" si="4"/>
        <v>140</v>
      </c>
      <c r="M22" s="56">
        <f t="shared" si="2"/>
        <v>14</v>
      </c>
      <c r="N22" s="52"/>
      <c r="O22" s="57">
        <v>110</v>
      </c>
      <c r="P22" s="56">
        <f t="shared" si="3"/>
        <v>11</v>
      </c>
      <c r="Q22" s="56">
        <f t="shared" si="5"/>
        <v>110</v>
      </c>
      <c r="R22" s="56">
        <f t="shared" si="3"/>
        <v>11</v>
      </c>
    </row>
    <row r="23" spans="1:18" ht="12.75">
      <c r="A23" s="43"/>
      <c r="B23" s="43" t="s">
        <v>254</v>
      </c>
      <c r="C23" s="45">
        <v>0</v>
      </c>
      <c r="D23" s="52"/>
      <c r="E23" s="56">
        <v>4700</v>
      </c>
      <c r="F23" s="56">
        <f t="shared" si="0"/>
        <v>0</v>
      </c>
      <c r="G23" s="56">
        <f t="shared" si="1"/>
        <v>4700</v>
      </c>
      <c r="H23" s="56">
        <f t="shared" si="0"/>
        <v>0</v>
      </c>
      <c r="I23" s="52"/>
      <c r="J23" s="56">
        <v>5200</v>
      </c>
      <c r="K23" s="56">
        <f t="shared" si="2"/>
        <v>0</v>
      </c>
      <c r="L23" s="56">
        <f t="shared" si="4"/>
        <v>5200</v>
      </c>
      <c r="M23" s="56">
        <f t="shared" si="2"/>
        <v>0</v>
      </c>
      <c r="N23" s="52"/>
      <c r="O23" s="57">
        <v>4300</v>
      </c>
      <c r="P23" s="56">
        <f t="shared" si="3"/>
        <v>0</v>
      </c>
      <c r="Q23" s="56">
        <f t="shared" si="5"/>
        <v>4300</v>
      </c>
      <c r="R23" s="56">
        <f t="shared" si="3"/>
        <v>0</v>
      </c>
    </row>
    <row r="24" spans="1:18" ht="12.75">
      <c r="A24" s="43"/>
      <c r="B24" s="43" t="s">
        <v>42</v>
      </c>
      <c r="C24" s="45">
        <v>0.05</v>
      </c>
      <c r="D24" s="52"/>
      <c r="E24" s="56">
        <v>260</v>
      </c>
      <c r="F24" s="47">
        <f t="shared" si="0"/>
        <v>13</v>
      </c>
      <c r="G24" s="56">
        <f t="shared" si="1"/>
        <v>260</v>
      </c>
      <c r="H24" s="47">
        <f t="shared" si="0"/>
        <v>13</v>
      </c>
      <c r="I24" s="52"/>
      <c r="J24" s="56">
        <v>230</v>
      </c>
      <c r="K24" s="46">
        <f t="shared" si="2"/>
        <v>11.5</v>
      </c>
      <c r="L24" s="56">
        <f t="shared" si="4"/>
        <v>230</v>
      </c>
      <c r="M24" s="46">
        <f t="shared" si="2"/>
        <v>11.5</v>
      </c>
      <c r="N24" s="52"/>
      <c r="O24" s="57">
        <v>200</v>
      </c>
      <c r="P24" s="56">
        <f t="shared" si="3"/>
        <v>10</v>
      </c>
      <c r="Q24" s="56">
        <f t="shared" si="5"/>
        <v>200</v>
      </c>
      <c r="R24" s="56">
        <f t="shared" si="3"/>
        <v>10</v>
      </c>
    </row>
    <row r="25" spans="1:18" ht="12.75">
      <c r="A25" s="43"/>
      <c r="B25" s="43" t="s">
        <v>43</v>
      </c>
      <c r="C25" s="45">
        <v>0.5</v>
      </c>
      <c r="D25" s="52"/>
      <c r="E25" s="56">
        <v>89</v>
      </c>
      <c r="F25" s="47">
        <f t="shared" si="0"/>
        <v>44.5</v>
      </c>
      <c r="G25" s="56">
        <f t="shared" si="1"/>
        <v>89</v>
      </c>
      <c r="H25" s="47">
        <f t="shared" si="0"/>
        <v>44.5</v>
      </c>
      <c r="I25" s="52"/>
      <c r="J25" s="56">
        <v>80</v>
      </c>
      <c r="K25" s="56">
        <f t="shared" si="2"/>
        <v>40</v>
      </c>
      <c r="L25" s="56">
        <f t="shared" si="4"/>
        <v>80</v>
      </c>
      <c r="M25" s="56">
        <f t="shared" si="2"/>
        <v>40</v>
      </c>
      <c r="N25" s="52"/>
      <c r="O25" s="57">
        <v>71</v>
      </c>
      <c r="P25" s="46">
        <f t="shared" si="3"/>
        <v>35.5</v>
      </c>
      <c r="Q25" s="56">
        <f t="shared" si="5"/>
        <v>71</v>
      </c>
      <c r="R25" s="46">
        <f t="shared" si="3"/>
        <v>35.5</v>
      </c>
    </row>
    <row r="26" spans="1:18" ht="12.75">
      <c r="A26" s="43"/>
      <c r="B26" s="43" t="s">
        <v>255</v>
      </c>
      <c r="C26" s="45">
        <v>0</v>
      </c>
      <c r="D26" s="52"/>
      <c r="E26" s="56">
        <v>2200</v>
      </c>
      <c r="F26" s="46">
        <f t="shared" si="0"/>
        <v>0</v>
      </c>
      <c r="G26" s="56">
        <f t="shared" si="1"/>
        <v>2200</v>
      </c>
      <c r="H26" s="46">
        <f t="shared" si="0"/>
        <v>0</v>
      </c>
      <c r="I26" s="52"/>
      <c r="J26" s="56">
        <v>2300</v>
      </c>
      <c r="K26" s="56">
        <f t="shared" si="2"/>
        <v>0</v>
      </c>
      <c r="L26" s="56">
        <f t="shared" si="4"/>
        <v>2300</v>
      </c>
      <c r="M26" s="56">
        <f t="shared" si="2"/>
        <v>0</v>
      </c>
      <c r="N26" s="52"/>
      <c r="O26" s="57">
        <v>2000</v>
      </c>
      <c r="P26" s="56">
        <f t="shared" si="3"/>
        <v>0</v>
      </c>
      <c r="Q26" s="56">
        <f t="shared" si="5"/>
        <v>2000</v>
      </c>
      <c r="R26" s="56">
        <f t="shared" si="3"/>
        <v>0</v>
      </c>
    </row>
    <row r="27" spans="1:18" ht="12.75">
      <c r="A27" s="43"/>
      <c r="B27" s="43" t="s">
        <v>44</v>
      </c>
      <c r="C27" s="45">
        <v>0.1</v>
      </c>
      <c r="D27" s="52"/>
      <c r="E27" s="56">
        <v>170</v>
      </c>
      <c r="F27" s="47">
        <f t="shared" si="0"/>
        <v>17</v>
      </c>
      <c r="G27" s="56">
        <f t="shared" si="1"/>
        <v>170</v>
      </c>
      <c r="H27" s="47">
        <f t="shared" si="0"/>
        <v>17</v>
      </c>
      <c r="I27" s="52"/>
      <c r="J27" s="56">
        <v>140</v>
      </c>
      <c r="K27" s="56">
        <f t="shared" si="2"/>
        <v>14</v>
      </c>
      <c r="L27" s="56">
        <f t="shared" si="4"/>
        <v>140</v>
      </c>
      <c r="M27" s="56">
        <f t="shared" si="2"/>
        <v>14</v>
      </c>
      <c r="N27" s="52"/>
      <c r="O27" s="57">
        <v>110</v>
      </c>
      <c r="P27" s="56">
        <f t="shared" si="3"/>
        <v>11</v>
      </c>
      <c r="Q27" s="56">
        <f t="shared" si="5"/>
        <v>110</v>
      </c>
      <c r="R27" s="56">
        <f t="shared" si="3"/>
        <v>11</v>
      </c>
    </row>
    <row r="28" spans="1:18" ht="12.75">
      <c r="A28" s="43"/>
      <c r="B28" s="43" t="s">
        <v>45</v>
      </c>
      <c r="C28" s="45">
        <v>0.1</v>
      </c>
      <c r="D28" s="52"/>
      <c r="E28" s="56">
        <v>56</v>
      </c>
      <c r="F28" s="47">
        <f t="shared" si="0"/>
        <v>5.6000000000000005</v>
      </c>
      <c r="G28" s="56">
        <f t="shared" si="1"/>
        <v>56</v>
      </c>
      <c r="H28" s="47">
        <f t="shared" si="0"/>
        <v>5.6000000000000005</v>
      </c>
      <c r="I28" s="52"/>
      <c r="J28" s="56">
        <v>51</v>
      </c>
      <c r="K28" s="46">
        <f t="shared" si="2"/>
        <v>5.1000000000000005</v>
      </c>
      <c r="L28" s="56">
        <f t="shared" si="4"/>
        <v>51</v>
      </c>
      <c r="M28" s="46">
        <f t="shared" si="2"/>
        <v>5.1000000000000005</v>
      </c>
      <c r="N28" s="52"/>
      <c r="O28" s="57">
        <v>40</v>
      </c>
      <c r="P28" s="56">
        <f t="shared" si="3"/>
        <v>4</v>
      </c>
      <c r="Q28" s="56">
        <f t="shared" si="5"/>
        <v>40</v>
      </c>
      <c r="R28" s="56">
        <f t="shared" si="3"/>
        <v>4</v>
      </c>
    </row>
    <row r="29" spans="1:18" ht="12.75">
      <c r="A29" s="43"/>
      <c r="B29" s="43" t="s">
        <v>46</v>
      </c>
      <c r="C29" s="45">
        <v>0.1</v>
      </c>
      <c r="D29" s="52"/>
      <c r="E29" s="56">
        <v>19</v>
      </c>
      <c r="F29" s="47">
        <f t="shared" si="0"/>
        <v>1.9000000000000001</v>
      </c>
      <c r="G29" s="56">
        <f t="shared" si="1"/>
        <v>19</v>
      </c>
      <c r="H29" s="47">
        <f t="shared" si="0"/>
        <v>1.9000000000000001</v>
      </c>
      <c r="I29" s="52"/>
      <c r="J29" s="56">
        <v>16</v>
      </c>
      <c r="K29" s="46">
        <f t="shared" si="2"/>
        <v>1.6</v>
      </c>
      <c r="L29" s="56">
        <f t="shared" si="4"/>
        <v>16</v>
      </c>
      <c r="M29" s="46">
        <f t="shared" si="2"/>
        <v>1.6</v>
      </c>
      <c r="N29" s="52"/>
      <c r="O29" s="57">
        <v>12</v>
      </c>
      <c r="P29" s="46">
        <f t="shared" si="3"/>
        <v>1.2000000000000002</v>
      </c>
      <c r="Q29" s="56">
        <f t="shared" si="5"/>
        <v>12</v>
      </c>
      <c r="R29" s="46">
        <f t="shared" si="3"/>
        <v>1.2000000000000002</v>
      </c>
    </row>
    <row r="30" spans="1:18" ht="12.75">
      <c r="A30" s="43"/>
      <c r="B30" s="43" t="s">
        <v>47</v>
      </c>
      <c r="C30" s="45">
        <v>0.1</v>
      </c>
      <c r="D30" s="52"/>
      <c r="E30" s="56">
        <v>23</v>
      </c>
      <c r="F30" s="47">
        <f t="shared" si="0"/>
        <v>2.3000000000000003</v>
      </c>
      <c r="G30" s="56">
        <f t="shared" si="1"/>
        <v>23</v>
      </c>
      <c r="H30" s="47">
        <f t="shared" si="0"/>
        <v>2.3000000000000003</v>
      </c>
      <c r="I30" s="52"/>
      <c r="J30" s="56">
        <v>20</v>
      </c>
      <c r="K30" s="56">
        <f t="shared" si="2"/>
        <v>2</v>
      </c>
      <c r="L30" s="56">
        <f t="shared" si="4"/>
        <v>20</v>
      </c>
      <c r="M30" s="56">
        <f t="shared" si="2"/>
        <v>2</v>
      </c>
      <c r="N30" s="52"/>
      <c r="O30" s="57">
        <v>16</v>
      </c>
      <c r="P30" s="46">
        <f t="shared" si="3"/>
        <v>1.6</v>
      </c>
      <c r="Q30" s="56">
        <f t="shared" si="5"/>
        <v>16</v>
      </c>
      <c r="R30" s="46">
        <f t="shared" si="3"/>
        <v>1.6</v>
      </c>
    </row>
    <row r="31" spans="1:18" ht="12.75">
      <c r="A31" s="43"/>
      <c r="B31" s="43" t="s">
        <v>256</v>
      </c>
      <c r="C31" s="45">
        <v>0</v>
      </c>
      <c r="D31" s="52"/>
      <c r="E31" s="56">
        <v>710</v>
      </c>
      <c r="F31" s="56">
        <f t="shared" si="0"/>
        <v>0</v>
      </c>
      <c r="G31" s="46">
        <f>IF(E31=0,"",IF(D31="nd",E31/2,E31))</f>
        <v>710</v>
      </c>
      <c r="H31" s="56">
        <f t="shared" si="0"/>
        <v>0</v>
      </c>
      <c r="I31" s="52"/>
      <c r="J31" s="56">
        <v>620</v>
      </c>
      <c r="K31" s="56">
        <f t="shared" si="2"/>
        <v>0</v>
      </c>
      <c r="L31" s="56">
        <f t="shared" si="4"/>
        <v>620</v>
      </c>
      <c r="M31" s="56">
        <f t="shared" si="2"/>
        <v>0</v>
      </c>
      <c r="N31" s="52"/>
      <c r="O31" s="57">
        <v>540</v>
      </c>
      <c r="P31" s="56">
        <f t="shared" si="3"/>
        <v>0</v>
      </c>
      <c r="Q31" s="56">
        <f t="shared" si="5"/>
        <v>540</v>
      </c>
      <c r="R31" s="56">
        <f t="shared" si="3"/>
        <v>0</v>
      </c>
    </row>
    <row r="32" spans="1:18" ht="12.75">
      <c r="A32" s="43"/>
      <c r="B32" s="43" t="s">
        <v>48</v>
      </c>
      <c r="C32" s="45">
        <v>0.01</v>
      </c>
      <c r="D32" s="52"/>
      <c r="E32" s="56">
        <v>110</v>
      </c>
      <c r="F32" s="46">
        <f t="shared" si="0"/>
        <v>1.1</v>
      </c>
      <c r="G32" s="56">
        <f>IF(E32=0,"",IF(D32="nd",E32/2,E32))</f>
        <v>110</v>
      </c>
      <c r="H32" s="46">
        <f t="shared" si="0"/>
        <v>1.1</v>
      </c>
      <c r="I32" s="52"/>
      <c r="J32" s="56">
        <v>74</v>
      </c>
      <c r="K32" s="47">
        <f t="shared" si="2"/>
        <v>0.74</v>
      </c>
      <c r="L32" s="56">
        <f t="shared" si="4"/>
        <v>74</v>
      </c>
      <c r="M32" s="47">
        <f t="shared" si="2"/>
        <v>0.74</v>
      </c>
      <c r="N32" s="52"/>
      <c r="O32" s="57">
        <v>61</v>
      </c>
      <c r="P32" s="47">
        <f t="shared" si="3"/>
        <v>0.61</v>
      </c>
      <c r="Q32" s="56">
        <f t="shared" si="5"/>
        <v>61</v>
      </c>
      <c r="R32" s="47">
        <f t="shared" si="3"/>
        <v>0.61</v>
      </c>
    </row>
    <row r="33" spans="1:18" ht="12.75">
      <c r="A33" s="43"/>
      <c r="B33" s="43" t="s">
        <v>49</v>
      </c>
      <c r="C33" s="45">
        <v>0.01</v>
      </c>
      <c r="D33" s="52"/>
      <c r="E33" s="56">
        <v>28</v>
      </c>
      <c r="F33" s="47">
        <f t="shared" si="0"/>
        <v>0.28</v>
      </c>
      <c r="G33" s="56">
        <f>IF(E33=0,"",IF(D33="nd",E33/2,E33))</f>
        <v>28</v>
      </c>
      <c r="H33" s="47">
        <f t="shared" si="0"/>
        <v>0.28</v>
      </c>
      <c r="I33" s="52"/>
      <c r="J33" s="56">
        <v>13</v>
      </c>
      <c r="K33" s="47">
        <f t="shared" si="2"/>
        <v>0.13</v>
      </c>
      <c r="L33" s="56">
        <f t="shared" si="4"/>
        <v>13</v>
      </c>
      <c r="M33" s="47">
        <f t="shared" si="2"/>
        <v>0.13</v>
      </c>
      <c r="N33" s="52"/>
      <c r="O33" s="57">
        <v>8.8</v>
      </c>
      <c r="P33" s="47">
        <f t="shared" si="3"/>
        <v>0.08800000000000001</v>
      </c>
      <c r="Q33" s="56">
        <f t="shared" si="5"/>
        <v>8.8</v>
      </c>
      <c r="R33" s="47">
        <f t="shared" si="3"/>
        <v>0.08800000000000001</v>
      </c>
    </row>
    <row r="34" spans="1:18" ht="12.75">
      <c r="A34" s="43"/>
      <c r="B34" s="43" t="s">
        <v>257</v>
      </c>
      <c r="C34" s="45">
        <v>0</v>
      </c>
      <c r="D34" s="52"/>
      <c r="E34" s="56">
        <v>200</v>
      </c>
      <c r="F34" s="56">
        <f t="shared" si="0"/>
        <v>0</v>
      </c>
      <c r="G34" s="56">
        <f>IF(E34=0,"",IF(D34="nd",E34/2,E34))</f>
        <v>200</v>
      </c>
      <c r="H34" s="56">
        <f t="shared" si="0"/>
        <v>0</v>
      </c>
      <c r="I34" s="52"/>
      <c r="J34" s="56">
        <v>120</v>
      </c>
      <c r="K34" s="56">
        <f t="shared" si="2"/>
        <v>0</v>
      </c>
      <c r="L34" s="56">
        <f t="shared" si="4"/>
        <v>120</v>
      </c>
      <c r="M34" s="56">
        <f t="shared" si="2"/>
        <v>0</v>
      </c>
      <c r="N34" s="52"/>
      <c r="O34" s="57">
        <v>95</v>
      </c>
      <c r="P34" s="56">
        <f t="shared" si="3"/>
        <v>0</v>
      </c>
      <c r="Q34" s="56">
        <f t="shared" si="5"/>
        <v>95</v>
      </c>
      <c r="R34" s="56">
        <f t="shared" si="3"/>
        <v>0</v>
      </c>
    </row>
    <row r="35" spans="1:18" ht="12.75">
      <c r="A35" s="43"/>
      <c r="B35" s="43" t="s">
        <v>50</v>
      </c>
      <c r="C35" s="45">
        <v>0.001</v>
      </c>
      <c r="D35" s="52"/>
      <c r="E35" s="56">
        <v>400</v>
      </c>
      <c r="F35" s="47">
        <f t="shared" si="0"/>
        <v>0.4</v>
      </c>
      <c r="G35" s="56">
        <f>IF(E35=0,"",IF(D35="nd",E35/2,E35))</f>
        <v>400</v>
      </c>
      <c r="H35" s="47">
        <f t="shared" si="0"/>
        <v>0.4</v>
      </c>
      <c r="I35" s="52"/>
      <c r="J35" s="56">
        <v>66</v>
      </c>
      <c r="K35" s="58">
        <f t="shared" si="2"/>
        <v>0.066</v>
      </c>
      <c r="L35" s="56">
        <f t="shared" si="4"/>
        <v>66</v>
      </c>
      <c r="M35" s="58">
        <f t="shared" si="2"/>
        <v>0.066</v>
      </c>
      <c r="N35" s="52"/>
      <c r="O35" s="57">
        <v>65</v>
      </c>
      <c r="P35" s="58">
        <f t="shared" si="3"/>
        <v>0.065</v>
      </c>
      <c r="Q35" s="56">
        <f t="shared" si="5"/>
        <v>65</v>
      </c>
      <c r="R35" s="58">
        <f t="shared" si="3"/>
        <v>0.065</v>
      </c>
    </row>
    <row r="36" spans="1:18" ht="12.75">
      <c r="A36" s="43"/>
      <c r="B36" s="43"/>
      <c r="C36" s="43"/>
      <c r="D36" s="45"/>
      <c r="E36" s="47"/>
      <c r="F36" s="50"/>
      <c r="G36" s="47"/>
      <c r="H36" s="50"/>
      <c r="I36" s="59"/>
      <c r="J36" s="18"/>
      <c r="K36" s="46"/>
      <c r="L36" s="46"/>
      <c r="M36" s="46"/>
      <c r="N36" s="59"/>
      <c r="O36" s="18"/>
      <c r="P36" s="49"/>
      <c r="Q36" s="47"/>
      <c r="R36" s="49"/>
    </row>
    <row r="37" spans="1:18" ht="12.75">
      <c r="A37" s="43"/>
      <c r="B37" s="43" t="s">
        <v>51</v>
      </c>
      <c r="C37" s="43"/>
      <c r="D37" s="45"/>
      <c r="E37" s="47"/>
      <c r="F37" s="47">
        <v>165.305</v>
      </c>
      <c r="G37" s="47">
        <v>165.305</v>
      </c>
      <c r="H37" s="47">
        <v>165.305</v>
      </c>
      <c r="I37" s="59"/>
      <c r="J37" s="47"/>
      <c r="K37" s="47">
        <v>167.019</v>
      </c>
      <c r="L37" s="47">
        <v>167.019</v>
      </c>
      <c r="M37" s="47">
        <v>167.019</v>
      </c>
      <c r="N37" s="59"/>
      <c r="O37" s="47"/>
      <c r="P37" s="47">
        <v>154.888</v>
      </c>
      <c r="Q37" s="47">
        <v>154.888</v>
      </c>
      <c r="R37" s="47">
        <v>154.888</v>
      </c>
    </row>
    <row r="38" spans="1:18" ht="12.75">
      <c r="A38" s="43"/>
      <c r="B38" s="43" t="s">
        <v>52</v>
      </c>
      <c r="C38" s="43"/>
      <c r="D38" s="45"/>
      <c r="E38" s="47"/>
      <c r="F38" s="46">
        <v>7.3</v>
      </c>
      <c r="G38" s="46">
        <v>7.3</v>
      </c>
      <c r="H38" s="46">
        <v>7.3</v>
      </c>
      <c r="I38" s="59"/>
      <c r="J38" s="47"/>
      <c r="K38" s="46">
        <v>7.3</v>
      </c>
      <c r="L38" s="46">
        <v>7.3</v>
      </c>
      <c r="M38" s="46">
        <v>7.3</v>
      </c>
      <c r="N38" s="59"/>
      <c r="O38" s="47"/>
      <c r="P38" s="46">
        <v>7.3</v>
      </c>
      <c r="Q38" s="46">
        <v>7.3</v>
      </c>
      <c r="R38" s="46">
        <v>7.3</v>
      </c>
    </row>
    <row r="39" spans="1:18" ht="12.75">
      <c r="A39" s="43"/>
      <c r="B39" s="43"/>
      <c r="C39" s="43"/>
      <c r="D39" s="45"/>
      <c r="E39" s="47"/>
      <c r="F39" s="18"/>
      <c r="G39" s="47"/>
      <c r="H39" s="18"/>
      <c r="I39" s="29"/>
      <c r="J39" s="47"/>
      <c r="K39" s="48"/>
      <c r="L39" s="46"/>
      <c r="M39" s="48"/>
      <c r="N39" s="59"/>
      <c r="O39" s="47"/>
      <c r="P39" s="47"/>
      <c r="Q39" s="47"/>
      <c r="R39" s="47"/>
    </row>
    <row r="40" spans="1:18" ht="12.75">
      <c r="A40" s="43"/>
      <c r="B40" s="43" t="s">
        <v>77</v>
      </c>
      <c r="C40" s="50"/>
      <c r="D40" s="52"/>
      <c r="E40" s="46"/>
      <c r="F40" s="47">
        <f>SUM(F11:F35)</f>
        <v>107.076</v>
      </c>
      <c r="G40" s="46">
        <f>SUM(G35,G34,G31,G26,G23,G21,G20,G18,G14,G12)</f>
        <v>8501</v>
      </c>
      <c r="H40" s="47">
        <f>SUM(H11:H35)</f>
        <v>105.476</v>
      </c>
      <c r="I40" s="52"/>
      <c r="J40" s="46"/>
      <c r="K40" s="58">
        <f>SUM(K11:K35)</f>
        <v>94.74699999999997</v>
      </c>
      <c r="L40" s="46">
        <f>SUM(L35,L34,L31,L26,L23,L21,L20,L18,L14,L12)</f>
        <v>8538</v>
      </c>
      <c r="M40" s="58">
        <f>SUM(M11:M35)</f>
        <v>93.16699999999999</v>
      </c>
      <c r="N40" s="52"/>
      <c r="O40" s="47"/>
      <c r="P40" s="47">
        <f>SUM(P11:P35)</f>
        <v>79.19799999999998</v>
      </c>
      <c r="Q40" s="46">
        <f>SUM(Q35,Q34,Q31,Q26,Q23,Q21,Q20,Q18,Q14,Q12)</f>
        <v>7222</v>
      </c>
      <c r="R40" s="47">
        <f>SUM(R11:R35)</f>
        <v>78.053</v>
      </c>
    </row>
    <row r="41" spans="1:18" ht="12.75">
      <c r="A41" s="43"/>
      <c r="B41" s="43" t="s">
        <v>53</v>
      </c>
      <c r="C41" s="50"/>
      <c r="D41" s="46">
        <f>(F41-H41)*2/F41*100</f>
        <v>2.9885315103291124</v>
      </c>
      <c r="E41" s="47"/>
      <c r="F41" s="58">
        <f>(F40/F37/0.0283*(21-7)/(21-F38))/1000</f>
        <v>0.023389836289768106</v>
      </c>
      <c r="G41" s="58">
        <f>(G40/G37/0.0283*(21-7)/(21-G38))/1000</f>
        <v>1.8569707338649062</v>
      </c>
      <c r="H41" s="58">
        <f>(H40/H37/0.0283*(21-7)/(21-H38))/1000</f>
        <v>0.02304032997590105</v>
      </c>
      <c r="I41" s="46">
        <f>(K41-M41)*2/K41*100</f>
        <v>3.335197948219909</v>
      </c>
      <c r="J41" s="47"/>
      <c r="K41" s="47">
        <f>K40/K37/0.0283*(21-7)/(21-K38)/1000</f>
        <v>0.020484276132443465</v>
      </c>
      <c r="L41" s="58">
        <f>(L40/L37/0.0283*(21-7)/(21-L38))/1000</f>
        <v>1.8459133230477207</v>
      </c>
      <c r="M41" s="47">
        <f>M40/M37/0.0283*(21-7)/(21-M38)/1000</f>
        <v>0.020142680553804988</v>
      </c>
      <c r="N41" s="46">
        <f>(P41-R41)*2/P41*100</f>
        <v>2.891487158766545</v>
      </c>
      <c r="O41" s="47"/>
      <c r="P41" s="58">
        <f>P40/P37/0.0283*(21-7)/(21-P38)/1000</f>
        <v>0.018463646448764758</v>
      </c>
      <c r="Q41" s="58">
        <f>(Q40/Q37/0.0283*(21-7)/(21-Q38))/1000</f>
        <v>1.6836846214927033</v>
      </c>
      <c r="R41" s="58">
        <f>R40/R37/0.0283*(21-7)/(21-R38)/1000</f>
        <v>0.018196709465711714</v>
      </c>
    </row>
    <row r="42" spans="1:18" ht="12.75">
      <c r="A42" s="43"/>
      <c r="B42" s="43"/>
      <c r="C42" s="43"/>
      <c r="D42" s="45"/>
      <c r="E42" s="58"/>
      <c r="F42" s="50"/>
      <c r="G42" s="58"/>
      <c r="H42" s="50"/>
      <c r="I42" s="60"/>
      <c r="J42" s="58"/>
      <c r="K42" s="58"/>
      <c r="L42" s="58"/>
      <c r="M42" s="58"/>
      <c r="N42" s="60"/>
      <c r="O42" s="58"/>
      <c r="P42" s="49"/>
      <c r="Q42" s="58"/>
      <c r="R42" s="49"/>
    </row>
    <row r="43" spans="1:18" ht="12.75">
      <c r="A43" s="43"/>
      <c r="B43" s="43" t="s">
        <v>109</v>
      </c>
      <c r="C43" s="43"/>
      <c r="D43" s="45"/>
      <c r="E43" s="43"/>
      <c r="F43" s="50"/>
      <c r="G43" s="43"/>
      <c r="H43" s="50"/>
      <c r="I43" s="45"/>
      <c r="J43" s="43"/>
      <c r="K43" s="43"/>
      <c r="L43" s="43"/>
      <c r="M43" s="43"/>
      <c r="N43" s="45"/>
      <c r="O43" s="43"/>
      <c r="P43" s="43"/>
      <c r="Q43" s="43"/>
      <c r="R43" s="43"/>
    </row>
    <row r="44" spans="1:18" ht="12.75">
      <c r="A44" s="43"/>
      <c r="B44" s="43"/>
      <c r="C44" s="43"/>
      <c r="D44" s="45"/>
      <c r="E44" s="43"/>
      <c r="F44" s="50"/>
      <c r="G44" s="43"/>
      <c r="H44" s="50"/>
      <c r="I44" s="45"/>
      <c r="J44" s="43"/>
      <c r="K44" s="43"/>
      <c r="L44" s="43"/>
      <c r="M44" s="43"/>
      <c r="N44" s="45"/>
      <c r="O44" s="43"/>
      <c r="P44" s="43"/>
      <c r="Q44" s="43"/>
      <c r="R44" s="43"/>
    </row>
    <row r="45" spans="1:18" ht="12.75">
      <c r="A45" s="43"/>
      <c r="B45" s="43" t="s">
        <v>105</v>
      </c>
      <c r="C45" s="58">
        <f>AVERAGE(H41,M41,R41)</f>
        <v>0.02045990666513925</v>
      </c>
      <c r="D45" s="45"/>
      <c r="E45" s="43"/>
      <c r="F45" s="50"/>
      <c r="G45" s="43"/>
      <c r="H45" s="50"/>
      <c r="I45" s="45"/>
      <c r="J45" s="43"/>
      <c r="K45" s="43"/>
      <c r="L45" s="43"/>
      <c r="M45" s="43"/>
      <c r="N45" s="45"/>
      <c r="O45" s="43"/>
      <c r="P45" s="43"/>
      <c r="Q45" s="43"/>
      <c r="R45" s="43"/>
    </row>
    <row r="46" spans="1:18" ht="12.75">
      <c r="A46" s="43"/>
      <c r="B46" s="43" t="s">
        <v>106</v>
      </c>
      <c r="C46" s="47">
        <f>AVERAGE(G41,L41,Q41)</f>
        <v>1.7955228928017766</v>
      </c>
      <c r="D46" s="45"/>
      <c r="E46" s="49"/>
      <c r="F46" s="50"/>
      <c r="G46" s="49"/>
      <c r="H46" s="50"/>
      <c r="I46" s="45"/>
      <c r="J46" s="43"/>
      <c r="K46" s="43"/>
      <c r="L46" s="43"/>
      <c r="M46" s="43"/>
      <c r="N46" s="45"/>
      <c r="O46" s="43"/>
      <c r="P46" s="43"/>
      <c r="Q46" s="43"/>
      <c r="R46" s="43"/>
    </row>
    <row r="47" spans="4:14" ht="12.75">
      <c r="D47"/>
      <c r="I47"/>
      <c r="N47"/>
    </row>
    <row r="48" spans="4:14" ht="12.75">
      <c r="D48"/>
      <c r="I48"/>
      <c r="N48"/>
    </row>
    <row r="49" spans="4:14" ht="12.75">
      <c r="D49"/>
      <c r="I49"/>
      <c r="N49"/>
    </row>
    <row r="50" spans="4:14" ht="12.75">
      <c r="D50"/>
      <c r="I50"/>
      <c r="N50"/>
    </row>
    <row r="51" spans="4:14" ht="12.75">
      <c r="D51"/>
      <c r="I51"/>
      <c r="N51"/>
    </row>
    <row r="52" spans="4:14" ht="12.75">
      <c r="D52"/>
      <c r="I52"/>
      <c r="N52"/>
    </row>
    <row r="53" spans="4:14" ht="12.75">
      <c r="D53"/>
      <c r="I53"/>
      <c r="N53"/>
    </row>
    <row r="54" spans="4:14" ht="12.75">
      <c r="D54"/>
      <c r="I54"/>
      <c r="N54"/>
    </row>
    <row r="55" spans="4:14" ht="12.75">
      <c r="D55"/>
      <c r="I55"/>
      <c r="N55"/>
    </row>
    <row r="56" spans="4:14" ht="12.75">
      <c r="D56"/>
      <c r="I56"/>
      <c r="N56"/>
    </row>
    <row r="57" spans="4:14" ht="12.75">
      <c r="D57"/>
      <c r="I57"/>
      <c r="N57"/>
    </row>
    <row r="58" spans="4:14" ht="12.75">
      <c r="D58"/>
      <c r="I58"/>
      <c r="N58"/>
    </row>
    <row r="59" spans="4:14" ht="12.75">
      <c r="D59"/>
      <c r="I59"/>
      <c r="N59"/>
    </row>
    <row r="60" spans="4:14" ht="12.75">
      <c r="D60"/>
      <c r="I60"/>
      <c r="N60"/>
    </row>
    <row r="61" spans="1:18" ht="12.75">
      <c r="A61" s="43"/>
      <c r="B61" s="43"/>
      <c r="C61" s="45"/>
      <c r="D61" s="45"/>
      <c r="E61" s="46"/>
      <c r="F61" s="47"/>
      <c r="G61" s="46"/>
      <c r="H61" s="47"/>
      <c r="I61" s="52"/>
      <c r="J61" s="18"/>
      <c r="K61" s="46"/>
      <c r="L61" s="46"/>
      <c r="M61" s="46"/>
      <c r="N61" s="52"/>
      <c r="O61" s="48"/>
      <c r="P61" s="50"/>
      <c r="Q61" s="46"/>
      <c r="R61" s="50"/>
    </row>
    <row r="62" spans="1:18" ht="12.75">
      <c r="A62" s="43"/>
      <c r="B62" s="43"/>
      <c r="C62" s="45"/>
      <c r="D62" s="45"/>
      <c r="E62" s="46"/>
      <c r="F62" s="47"/>
      <c r="G62" s="46"/>
      <c r="H62" s="47"/>
      <c r="I62" s="52"/>
      <c r="J62" s="18"/>
      <c r="K62" s="46"/>
      <c r="L62" s="46"/>
      <c r="M62" s="46"/>
      <c r="N62" s="52"/>
      <c r="O62" s="48"/>
      <c r="P62" s="50"/>
      <c r="Q62" s="46"/>
      <c r="R62" s="50"/>
    </row>
    <row r="63" spans="1:18" ht="12.75">
      <c r="A63" s="43"/>
      <c r="B63" s="43"/>
      <c r="C63" s="45"/>
      <c r="D63" s="45"/>
      <c r="E63" s="46"/>
      <c r="F63" s="47"/>
      <c r="G63" s="46"/>
      <c r="H63" s="47"/>
      <c r="I63" s="52"/>
      <c r="J63" s="18"/>
      <c r="K63" s="46"/>
      <c r="L63" s="46"/>
      <c r="M63" s="46"/>
      <c r="N63" s="52"/>
      <c r="O63" s="48"/>
      <c r="P63" s="50"/>
      <c r="Q63" s="46"/>
      <c r="R63" s="50"/>
    </row>
    <row r="64" spans="1:18" ht="12.75">
      <c r="A64" s="43"/>
      <c r="B64" s="43"/>
      <c r="C64" s="45"/>
      <c r="D64" s="45"/>
      <c r="E64" s="46"/>
      <c r="F64" s="47"/>
      <c r="G64" s="46"/>
      <c r="H64" s="47"/>
      <c r="I64" s="52"/>
      <c r="J64" s="18"/>
      <c r="K64" s="46"/>
      <c r="L64" s="46"/>
      <c r="M64" s="46"/>
      <c r="N64" s="52"/>
      <c r="O64" s="48"/>
      <c r="P64" s="50"/>
      <c r="Q64" s="46"/>
      <c r="R64" s="50"/>
    </row>
    <row r="65" spans="1:18" ht="12.75">
      <c r="A65" s="43"/>
      <c r="B65" s="43"/>
      <c r="C65" s="45"/>
      <c r="D65" s="45"/>
      <c r="E65" s="46"/>
      <c r="F65" s="47"/>
      <c r="G65" s="46"/>
      <c r="H65" s="47"/>
      <c r="I65" s="52"/>
      <c r="J65" s="18"/>
      <c r="K65" s="46"/>
      <c r="L65" s="46"/>
      <c r="M65" s="46"/>
      <c r="N65" s="52"/>
      <c r="O65" s="48"/>
      <c r="P65" s="50"/>
      <c r="Q65" s="46"/>
      <c r="R65" s="50"/>
    </row>
    <row r="66" spans="1:18" ht="12.75">
      <c r="A66" s="43"/>
      <c r="B66" s="43"/>
      <c r="C66" s="45"/>
      <c r="D66" s="45"/>
      <c r="E66" s="46"/>
      <c r="F66" s="47"/>
      <c r="G66" s="46"/>
      <c r="H66" s="47"/>
      <c r="I66" s="52"/>
      <c r="J66" s="18"/>
      <c r="K66" s="46"/>
      <c r="L66" s="46"/>
      <c r="M66" s="46"/>
      <c r="N66" s="52"/>
      <c r="O66" s="48"/>
      <c r="P66" s="50"/>
      <c r="Q66" s="46"/>
      <c r="R66" s="50"/>
    </row>
    <row r="67" spans="1:18" ht="12.75">
      <c r="A67" s="43"/>
      <c r="B67" s="43"/>
      <c r="C67" s="45"/>
      <c r="D67" s="45"/>
      <c r="E67" s="46"/>
      <c r="F67" s="47"/>
      <c r="G67" s="46"/>
      <c r="H67" s="47"/>
      <c r="I67" s="52"/>
      <c r="J67" s="18"/>
      <c r="K67" s="46"/>
      <c r="L67" s="46"/>
      <c r="M67" s="46"/>
      <c r="N67" s="52"/>
      <c r="O67" s="48"/>
      <c r="P67" s="50"/>
      <c r="Q67" s="46"/>
      <c r="R67" s="50"/>
    </row>
    <row r="68" spans="1:18" ht="12.75">
      <c r="A68" s="43"/>
      <c r="B68" s="43"/>
      <c r="C68" s="45"/>
      <c r="D68" s="45"/>
      <c r="E68" s="46"/>
      <c r="F68" s="47"/>
      <c r="G68" s="46"/>
      <c r="H68" s="47"/>
      <c r="I68" s="52"/>
      <c r="J68" s="18"/>
      <c r="K68" s="46"/>
      <c r="L68" s="46"/>
      <c r="M68" s="46"/>
      <c r="N68" s="52"/>
      <c r="O68" s="48"/>
      <c r="P68" s="50"/>
      <c r="Q68" s="46"/>
      <c r="R68" s="50"/>
    </row>
    <row r="69" spans="1:18" ht="12.75">
      <c r="A69" s="43"/>
      <c r="B69" s="43"/>
      <c r="C69" s="45"/>
      <c r="D69" s="45"/>
      <c r="E69" s="46"/>
      <c r="F69" s="47"/>
      <c r="G69" s="46"/>
      <c r="H69" s="47"/>
      <c r="I69" s="52"/>
      <c r="J69" s="18"/>
      <c r="K69" s="46"/>
      <c r="L69" s="46"/>
      <c r="M69" s="46"/>
      <c r="N69" s="52"/>
      <c r="O69" s="48"/>
      <c r="P69" s="50"/>
      <c r="Q69" s="46"/>
      <c r="R69" s="50"/>
    </row>
    <row r="70" spans="1:18" ht="12.75">
      <c r="A70" s="43"/>
      <c r="B70" s="43"/>
      <c r="C70" s="45"/>
      <c r="D70" s="45"/>
      <c r="E70" s="46"/>
      <c r="F70" s="47"/>
      <c r="G70" s="46"/>
      <c r="H70" s="47"/>
      <c r="I70" s="52"/>
      <c r="J70" s="18"/>
      <c r="K70" s="46"/>
      <c r="L70" s="46"/>
      <c r="M70" s="46"/>
      <c r="N70" s="52"/>
      <c r="O70" s="48"/>
      <c r="P70" s="50"/>
      <c r="Q70" s="46"/>
      <c r="R70" s="50"/>
    </row>
    <row r="71" spans="1:18" ht="12.75">
      <c r="A71" s="43"/>
      <c r="B71" s="43"/>
      <c r="C71" s="45"/>
      <c r="D71" s="45"/>
      <c r="E71" s="46"/>
      <c r="F71" s="47"/>
      <c r="G71" s="46"/>
      <c r="H71" s="47"/>
      <c r="I71" s="52"/>
      <c r="J71" s="18"/>
      <c r="K71" s="46"/>
      <c r="L71" s="46"/>
      <c r="M71" s="46"/>
      <c r="N71" s="52"/>
      <c r="O71" s="48"/>
      <c r="P71" s="50"/>
      <c r="Q71" s="46"/>
      <c r="R71" s="50"/>
    </row>
    <row r="72" spans="1:18" ht="12.75">
      <c r="A72" s="43"/>
      <c r="B72" s="43"/>
      <c r="C72" s="45"/>
      <c r="D72" s="45"/>
      <c r="E72" s="46"/>
      <c r="F72" s="47"/>
      <c r="G72" s="46"/>
      <c r="H72" s="47"/>
      <c r="I72" s="52"/>
      <c r="J72" s="18"/>
      <c r="K72" s="46"/>
      <c r="L72" s="46"/>
      <c r="M72" s="46"/>
      <c r="N72" s="52"/>
      <c r="O72" s="48"/>
      <c r="P72" s="50"/>
      <c r="Q72" s="46"/>
      <c r="R72" s="50"/>
    </row>
    <row r="73" spans="1:18" ht="12.75">
      <c r="A73" s="43"/>
      <c r="B73" s="43"/>
      <c r="C73" s="45"/>
      <c r="D73" s="45"/>
      <c r="E73" s="46"/>
      <c r="F73" s="47"/>
      <c r="G73" s="46"/>
      <c r="H73" s="47"/>
      <c r="I73" s="52"/>
      <c r="J73" s="18"/>
      <c r="K73" s="46"/>
      <c r="L73" s="46"/>
      <c r="M73" s="46"/>
      <c r="N73" s="52"/>
      <c r="O73" s="48"/>
      <c r="P73" s="50"/>
      <c r="Q73" s="46"/>
      <c r="R73" s="50"/>
    </row>
    <row r="74" spans="1:18" ht="12.75">
      <c r="A74" s="43"/>
      <c r="B74" s="43"/>
      <c r="C74" s="45"/>
      <c r="D74" s="45"/>
      <c r="E74" s="46"/>
      <c r="F74" s="47"/>
      <c r="G74" s="46"/>
      <c r="H74" s="47"/>
      <c r="I74" s="52"/>
      <c r="J74" s="18"/>
      <c r="K74" s="46"/>
      <c r="L74" s="46"/>
      <c r="M74" s="46"/>
      <c r="N74" s="52"/>
      <c r="O74" s="48"/>
      <c r="P74" s="50"/>
      <c r="Q74" s="46"/>
      <c r="R74" s="50"/>
    </row>
    <row r="75" spans="1:18" ht="12.75">
      <c r="A75" s="43"/>
      <c r="B75" s="43"/>
      <c r="C75" s="45"/>
      <c r="D75" s="45"/>
      <c r="E75" s="46"/>
      <c r="F75" s="47"/>
      <c r="G75" s="46"/>
      <c r="H75" s="47"/>
      <c r="I75" s="52"/>
      <c r="J75" s="18"/>
      <c r="K75" s="46"/>
      <c r="L75" s="46"/>
      <c r="M75" s="46"/>
      <c r="N75" s="52"/>
      <c r="O75" s="48"/>
      <c r="P75" s="50"/>
      <c r="Q75" s="46"/>
      <c r="R75" s="50"/>
    </row>
    <row r="76" spans="1:18" ht="12.75">
      <c r="A76" s="43"/>
      <c r="B76" s="43"/>
      <c r="C76" s="45"/>
      <c r="D76" s="45"/>
      <c r="E76" s="46"/>
      <c r="F76" s="47"/>
      <c r="G76" s="46"/>
      <c r="H76" s="47"/>
      <c r="I76" s="52"/>
      <c r="J76" s="18"/>
      <c r="K76" s="46"/>
      <c r="L76" s="46"/>
      <c r="M76" s="46"/>
      <c r="N76" s="52"/>
      <c r="O76" s="48"/>
      <c r="P76" s="50"/>
      <c r="Q76" s="46"/>
      <c r="R76" s="50"/>
    </row>
    <row r="77" spans="1:18" ht="12.75">
      <c r="A77" s="43"/>
      <c r="B77" s="43"/>
      <c r="C77" s="45"/>
      <c r="D77" s="45"/>
      <c r="E77" s="46"/>
      <c r="F77" s="47"/>
      <c r="G77" s="46"/>
      <c r="H77" s="47"/>
      <c r="I77" s="52"/>
      <c r="J77" s="18"/>
      <c r="K77" s="46"/>
      <c r="L77" s="46"/>
      <c r="M77" s="46"/>
      <c r="N77" s="52"/>
      <c r="O77" s="48"/>
      <c r="P77" s="50"/>
      <c r="Q77" s="46"/>
      <c r="R77" s="50"/>
    </row>
    <row r="78" spans="1:18" ht="12.75">
      <c r="A78" s="43"/>
      <c r="B78" s="43"/>
      <c r="C78" s="45"/>
      <c r="D78" s="45"/>
      <c r="E78" s="46"/>
      <c r="F78" s="47"/>
      <c r="G78" s="46"/>
      <c r="H78" s="47"/>
      <c r="I78" s="52"/>
      <c r="J78" s="18"/>
      <c r="K78" s="46"/>
      <c r="L78" s="46"/>
      <c r="M78" s="46"/>
      <c r="N78" s="52"/>
      <c r="O78" s="48"/>
      <c r="P78" s="50"/>
      <c r="Q78" s="46"/>
      <c r="R78" s="50"/>
    </row>
    <row r="79" spans="1:18" ht="12.75">
      <c r="A79" s="43"/>
      <c r="B79" s="43"/>
      <c r="C79" s="45"/>
      <c r="D79" s="45"/>
      <c r="E79" s="46"/>
      <c r="F79" s="47"/>
      <c r="G79" s="46"/>
      <c r="H79" s="47"/>
      <c r="I79" s="52"/>
      <c r="J79" s="18"/>
      <c r="K79" s="46"/>
      <c r="L79" s="46"/>
      <c r="M79" s="46"/>
      <c r="N79" s="52"/>
      <c r="O79" s="48"/>
      <c r="P79" s="50"/>
      <c r="Q79" s="46"/>
      <c r="R79" s="50"/>
    </row>
    <row r="80" spans="1:18" ht="12.75">
      <c r="A80" s="43"/>
      <c r="B80" s="43"/>
      <c r="C80" s="43"/>
      <c r="D80" s="45"/>
      <c r="E80" s="47"/>
      <c r="F80" s="50"/>
      <c r="G80" s="47"/>
      <c r="H80" s="50"/>
      <c r="I80" s="59"/>
      <c r="J80" s="47"/>
      <c r="K80" s="46"/>
      <c r="L80" s="46"/>
      <c r="M80" s="46"/>
      <c r="N80" s="59"/>
      <c r="O80" s="18"/>
      <c r="P80" s="49"/>
      <c r="Q80" s="47"/>
      <c r="R80" s="49"/>
    </row>
    <row r="81" spans="1:18" ht="12.75">
      <c r="A81" s="43"/>
      <c r="B81" s="43"/>
      <c r="C81" s="43"/>
      <c r="D81" s="45"/>
      <c r="E81" s="47"/>
      <c r="F81" s="47"/>
      <c r="G81" s="47"/>
      <c r="H81" s="47"/>
      <c r="I81" s="59"/>
      <c r="J81" s="47"/>
      <c r="K81" s="46"/>
      <c r="L81" s="46"/>
      <c r="M81" s="46"/>
      <c r="N81" s="59"/>
      <c r="O81" s="47"/>
      <c r="P81" s="47"/>
      <c r="Q81" s="47"/>
      <c r="R81" s="47"/>
    </row>
    <row r="82" spans="1:18" ht="12.75">
      <c r="A82" s="43"/>
      <c r="B82" s="43"/>
      <c r="C82" s="43"/>
      <c r="D82" s="45"/>
      <c r="E82" s="47"/>
      <c r="F82" s="47"/>
      <c r="G82" s="47"/>
      <c r="H82" s="47"/>
      <c r="I82" s="59"/>
      <c r="J82" s="47"/>
      <c r="K82" s="46"/>
      <c r="L82" s="46"/>
      <c r="M82" s="46"/>
      <c r="N82" s="59"/>
      <c r="O82" s="47"/>
      <c r="P82" s="47"/>
      <c r="Q82" s="47"/>
      <c r="R82" s="47"/>
    </row>
    <row r="83" spans="1:18" ht="12.75">
      <c r="A83" s="43"/>
      <c r="B83" s="43"/>
      <c r="C83" s="43"/>
      <c r="D83" s="45"/>
      <c r="E83" s="47"/>
      <c r="F83" s="18"/>
      <c r="G83" s="47"/>
      <c r="H83" s="18"/>
      <c r="I83" s="29"/>
      <c r="J83" s="47"/>
      <c r="K83" s="48"/>
      <c r="L83" s="46"/>
      <c r="M83" s="48"/>
      <c r="N83" s="59"/>
      <c r="O83" s="47"/>
      <c r="P83" s="47"/>
      <c r="Q83" s="47"/>
      <c r="R83" s="47"/>
    </row>
    <row r="84" spans="1:18" ht="12.75">
      <c r="A84" s="43"/>
      <c r="B84" s="43"/>
      <c r="C84" s="50"/>
      <c r="D84" s="52"/>
      <c r="E84" s="46"/>
      <c r="F84" s="47"/>
      <c r="G84" s="46"/>
      <c r="H84" s="47"/>
      <c r="I84" s="52"/>
      <c r="J84" s="46"/>
      <c r="K84" s="46"/>
      <c r="L84" s="46"/>
      <c r="M84" s="46"/>
      <c r="N84" s="52"/>
      <c r="O84" s="47"/>
      <c r="P84" s="50"/>
      <c r="Q84" s="50"/>
      <c r="R84" s="50"/>
    </row>
    <row r="85" spans="1:18" ht="12.75">
      <c r="A85" s="43"/>
      <c r="B85" s="43"/>
      <c r="C85" s="50"/>
      <c r="D85" s="52"/>
      <c r="E85" s="47"/>
      <c r="F85" s="50"/>
      <c r="G85" s="58"/>
      <c r="H85" s="50"/>
      <c r="I85" s="52"/>
      <c r="J85" s="47"/>
      <c r="K85" s="50"/>
      <c r="L85" s="46"/>
      <c r="M85" s="50"/>
      <c r="N85" s="52"/>
      <c r="O85" s="47"/>
      <c r="P85" s="58"/>
      <c r="Q85" s="58"/>
      <c r="R85" s="58"/>
    </row>
    <row r="86" spans="1:18" ht="12.75">
      <c r="A86" s="18"/>
      <c r="B86" s="18"/>
      <c r="C86" s="18"/>
      <c r="D86" s="29"/>
      <c r="E86" s="18"/>
      <c r="F86" s="18"/>
      <c r="G86" s="18"/>
      <c r="H86" s="18"/>
      <c r="I86" s="29"/>
      <c r="J86" s="18"/>
      <c r="K86" s="18"/>
      <c r="L86" s="18"/>
      <c r="M86" s="18"/>
      <c r="N86" s="29"/>
      <c r="O86" s="18"/>
      <c r="P86" s="18"/>
      <c r="Q86" s="18"/>
      <c r="R86" s="18"/>
    </row>
    <row r="87" spans="1:18" ht="12.75">
      <c r="A87" s="18"/>
      <c r="B87" s="18"/>
      <c r="C87" s="18"/>
      <c r="D87" s="29"/>
      <c r="E87" s="18"/>
      <c r="F87" s="18"/>
      <c r="G87" s="18"/>
      <c r="H87" s="18"/>
      <c r="I87" s="29"/>
      <c r="J87" s="18"/>
      <c r="K87" s="18"/>
      <c r="L87" s="18"/>
      <c r="M87" s="18"/>
      <c r="N87" s="29"/>
      <c r="O87" s="18"/>
      <c r="P87" s="18"/>
      <c r="Q87" s="18"/>
      <c r="R87" s="18"/>
    </row>
    <row r="88" spans="1:18" ht="12.75">
      <c r="A88" s="18"/>
      <c r="B88" s="18"/>
      <c r="C88" s="18"/>
      <c r="D88" s="29"/>
      <c r="E88" s="18"/>
      <c r="F88" s="18"/>
      <c r="G88" s="18"/>
      <c r="H88" s="18"/>
      <c r="I88" s="29"/>
      <c r="J88" s="18"/>
      <c r="K88" s="18"/>
      <c r="L88" s="18"/>
      <c r="M88" s="18"/>
      <c r="N88" s="29"/>
      <c r="O88" s="18"/>
      <c r="P88" s="18"/>
      <c r="Q88" s="18"/>
      <c r="R88" s="18"/>
    </row>
    <row r="89" spans="1:18" ht="12.75">
      <c r="A89" s="18"/>
      <c r="B89" s="18"/>
      <c r="C89" s="18"/>
      <c r="D89" s="29"/>
      <c r="E89" s="18"/>
      <c r="F89" s="18"/>
      <c r="G89" s="18"/>
      <c r="H89" s="18"/>
      <c r="I89" s="29"/>
      <c r="J89" s="18"/>
      <c r="K89" s="18"/>
      <c r="L89" s="18"/>
      <c r="M89" s="18"/>
      <c r="N89" s="29"/>
      <c r="O89" s="18"/>
      <c r="P89" s="18"/>
      <c r="Q89" s="18"/>
      <c r="R89" s="18"/>
    </row>
    <row r="90" spans="1:18" ht="12.75">
      <c r="A90" s="18"/>
      <c r="B90" s="18"/>
      <c r="C90" s="18"/>
      <c r="D90" s="29"/>
      <c r="E90" s="18"/>
      <c r="F90" s="18"/>
      <c r="G90" s="18"/>
      <c r="H90" s="18"/>
      <c r="I90" s="29"/>
      <c r="J90" s="18"/>
      <c r="K90" s="18"/>
      <c r="L90" s="18"/>
      <c r="M90" s="18"/>
      <c r="N90" s="29"/>
      <c r="O90" s="18"/>
      <c r="P90" s="18"/>
      <c r="Q90" s="18"/>
      <c r="R90" s="18"/>
    </row>
    <row r="91" spans="1:18" ht="12.75">
      <c r="A91" s="18"/>
      <c r="B91" s="18"/>
      <c r="C91" s="18"/>
      <c r="D91" s="29"/>
      <c r="E91" s="18"/>
      <c r="F91" s="18"/>
      <c r="G91" s="18"/>
      <c r="H91" s="18"/>
      <c r="I91" s="29"/>
      <c r="J91" s="18"/>
      <c r="K91" s="18"/>
      <c r="L91" s="18"/>
      <c r="M91" s="18"/>
      <c r="N91" s="29"/>
      <c r="O91" s="18"/>
      <c r="P91" s="18"/>
      <c r="Q91" s="18"/>
      <c r="R91" s="18"/>
    </row>
    <row r="92" spans="1:18" ht="12.75">
      <c r="A92" s="18"/>
      <c r="B92" s="18"/>
      <c r="C92" s="18"/>
      <c r="D92" s="29"/>
      <c r="E92" s="18"/>
      <c r="F92" s="18"/>
      <c r="G92" s="18"/>
      <c r="H92" s="18"/>
      <c r="I92" s="29"/>
      <c r="J92" s="18"/>
      <c r="K92" s="18"/>
      <c r="L92" s="18"/>
      <c r="M92" s="18"/>
      <c r="N92" s="29"/>
      <c r="O92" s="18"/>
      <c r="P92" s="18"/>
      <c r="Q92" s="18"/>
      <c r="R92" s="18"/>
    </row>
    <row r="93" spans="1:18" ht="12.75">
      <c r="A93" s="18"/>
      <c r="B93" s="18"/>
      <c r="C93" s="18"/>
      <c r="D93" s="29"/>
      <c r="E93" s="18"/>
      <c r="F93" s="18"/>
      <c r="G93" s="18"/>
      <c r="H93" s="18"/>
      <c r="I93" s="29"/>
      <c r="J93" s="18"/>
      <c r="K93" s="18"/>
      <c r="L93" s="18"/>
      <c r="M93" s="18"/>
      <c r="N93" s="29"/>
      <c r="O93" s="18"/>
      <c r="P93" s="18"/>
      <c r="Q93" s="18"/>
      <c r="R93" s="18"/>
    </row>
    <row r="94" spans="1:18" ht="12.75">
      <c r="A94" s="18"/>
      <c r="B94" s="18"/>
      <c r="C94" s="18"/>
      <c r="D94" s="29"/>
      <c r="E94" s="18"/>
      <c r="F94" s="18"/>
      <c r="G94" s="18"/>
      <c r="H94" s="18"/>
      <c r="I94" s="29"/>
      <c r="J94" s="18"/>
      <c r="K94" s="18"/>
      <c r="L94" s="18"/>
      <c r="M94" s="18"/>
      <c r="N94" s="29"/>
      <c r="O94" s="18"/>
      <c r="P94" s="18"/>
      <c r="Q94" s="18"/>
      <c r="R94" s="18"/>
    </row>
    <row r="95" spans="1:18" ht="12.75">
      <c r="A95" s="18"/>
      <c r="B95" s="18"/>
      <c r="C95" s="18"/>
      <c r="D95" s="29"/>
      <c r="E95" s="18"/>
      <c r="F95" s="18"/>
      <c r="G95" s="18"/>
      <c r="H95" s="18"/>
      <c r="I95" s="29"/>
      <c r="J95" s="18"/>
      <c r="K95" s="18"/>
      <c r="L95" s="18"/>
      <c r="M95" s="18"/>
      <c r="N95" s="29"/>
      <c r="O95" s="18"/>
      <c r="P95" s="18"/>
      <c r="Q95" s="18"/>
      <c r="R95" s="18"/>
    </row>
    <row r="96" spans="1:18" ht="12.75">
      <c r="A96" s="18"/>
      <c r="B96" s="18"/>
      <c r="C96" s="18"/>
      <c r="D96" s="29"/>
      <c r="E96" s="18"/>
      <c r="F96" s="18"/>
      <c r="G96" s="18"/>
      <c r="H96" s="18"/>
      <c r="I96" s="29"/>
      <c r="J96" s="18"/>
      <c r="K96" s="18"/>
      <c r="L96" s="18"/>
      <c r="M96" s="18"/>
      <c r="N96" s="29"/>
      <c r="O96" s="18"/>
      <c r="P96" s="18"/>
      <c r="Q96" s="18"/>
      <c r="R96" s="18"/>
    </row>
    <row r="97" spans="1:18" ht="12.75">
      <c r="A97" s="18"/>
      <c r="B97" s="18"/>
      <c r="C97" s="18"/>
      <c r="D97" s="29"/>
      <c r="E97" s="18"/>
      <c r="F97" s="18"/>
      <c r="G97" s="18"/>
      <c r="H97" s="18"/>
      <c r="I97" s="29"/>
      <c r="J97" s="18"/>
      <c r="K97" s="18"/>
      <c r="L97" s="18"/>
      <c r="M97" s="18"/>
      <c r="N97" s="29"/>
      <c r="O97" s="18"/>
      <c r="P97" s="18"/>
      <c r="Q97" s="18"/>
      <c r="R97" s="18"/>
    </row>
    <row r="98" spans="1:18" ht="12.75">
      <c r="A98" s="18"/>
      <c r="B98" s="18"/>
      <c r="C98" s="18"/>
      <c r="D98" s="29"/>
      <c r="E98" s="18"/>
      <c r="F98" s="18"/>
      <c r="G98" s="18"/>
      <c r="H98" s="18"/>
      <c r="I98" s="29"/>
      <c r="J98" s="18"/>
      <c r="K98" s="18"/>
      <c r="L98" s="18"/>
      <c r="M98" s="18"/>
      <c r="N98" s="29"/>
      <c r="O98" s="18"/>
      <c r="P98" s="18"/>
      <c r="Q98" s="18"/>
      <c r="R98" s="18"/>
    </row>
    <row r="99" spans="1:18" ht="12.75">
      <c r="A99" s="18"/>
      <c r="B99" s="18"/>
      <c r="C99" s="18"/>
      <c r="D99" s="29"/>
      <c r="E99" s="18"/>
      <c r="F99" s="18"/>
      <c r="G99" s="18"/>
      <c r="H99" s="18"/>
      <c r="I99" s="29"/>
      <c r="J99" s="18"/>
      <c r="K99" s="18"/>
      <c r="L99" s="18"/>
      <c r="M99" s="18"/>
      <c r="N99" s="29"/>
      <c r="O99" s="18"/>
      <c r="P99" s="18"/>
      <c r="Q99" s="18"/>
      <c r="R99" s="18"/>
    </row>
    <row r="100" spans="1:18" ht="12.75">
      <c r="A100" s="18"/>
      <c r="B100" s="18"/>
      <c r="C100" s="18"/>
      <c r="D100" s="29"/>
      <c r="E100" s="18"/>
      <c r="F100" s="18"/>
      <c r="G100" s="18"/>
      <c r="H100" s="18"/>
      <c r="I100" s="29"/>
      <c r="J100" s="18"/>
      <c r="K100" s="18"/>
      <c r="L100" s="18"/>
      <c r="M100" s="18"/>
      <c r="N100" s="29"/>
      <c r="O100" s="18"/>
      <c r="P100" s="18"/>
      <c r="Q100" s="18"/>
      <c r="R100" s="18"/>
    </row>
    <row r="101" spans="1:18" ht="12.75">
      <c r="A101" s="18"/>
      <c r="B101" s="18"/>
      <c r="C101" s="18"/>
      <c r="D101" s="29"/>
      <c r="E101" s="18"/>
      <c r="F101" s="18"/>
      <c r="G101" s="18"/>
      <c r="H101" s="18"/>
      <c r="I101" s="29"/>
      <c r="J101" s="18"/>
      <c r="K101" s="18"/>
      <c r="L101" s="18"/>
      <c r="M101" s="18"/>
      <c r="N101" s="29"/>
      <c r="O101" s="18"/>
      <c r="P101" s="18"/>
      <c r="Q101" s="18"/>
      <c r="R101" s="18"/>
    </row>
    <row r="102" spans="1:18" ht="12.75">
      <c r="A102" s="18"/>
      <c r="B102" s="18"/>
      <c r="C102" s="18"/>
      <c r="D102" s="29"/>
      <c r="E102" s="18"/>
      <c r="F102" s="18"/>
      <c r="G102" s="18"/>
      <c r="H102" s="18"/>
      <c r="I102" s="29"/>
      <c r="J102" s="18"/>
      <c r="K102" s="18"/>
      <c r="L102" s="18"/>
      <c r="M102" s="18"/>
      <c r="N102" s="29"/>
      <c r="O102" s="18"/>
      <c r="P102" s="18"/>
      <c r="Q102" s="18"/>
      <c r="R102" s="18"/>
    </row>
    <row r="103" spans="1:18" ht="12.75">
      <c r="A103" s="18"/>
      <c r="B103" s="18"/>
      <c r="C103" s="18"/>
      <c r="D103" s="29"/>
      <c r="E103" s="18"/>
      <c r="F103" s="18"/>
      <c r="G103" s="18"/>
      <c r="H103" s="18"/>
      <c r="I103" s="29"/>
      <c r="J103" s="18"/>
      <c r="K103" s="18"/>
      <c r="L103" s="18"/>
      <c r="M103" s="18"/>
      <c r="N103" s="29"/>
      <c r="O103" s="18"/>
      <c r="P103" s="18"/>
      <c r="Q103" s="18"/>
      <c r="R103" s="18"/>
    </row>
    <row r="104" spans="1:18" ht="12.75">
      <c r="A104" s="18"/>
      <c r="B104" s="18"/>
      <c r="C104" s="18"/>
      <c r="D104" s="29"/>
      <c r="E104" s="18"/>
      <c r="F104" s="18"/>
      <c r="G104" s="18"/>
      <c r="H104" s="18"/>
      <c r="I104" s="29"/>
      <c r="J104" s="18"/>
      <c r="K104" s="18"/>
      <c r="L104" s="18"/>
      <c r="M104" s="18"/>
      <c r="N104" s="29"/>
      <c r="O104" s="18"/>
      <c r="P104" s="18"/>
      <c r="Q104" s="18"/>
      <c r="R104" s="18"/>
    </row>
    <row r="105" spans="1:18" ht="12.75">
      <c r="A105" s="18"/>
      <c r="B105" s="18"/>
      <c r="C105" s="18"/>
      <c r="D105" s="29"/>
      <c r="E105" s="18"/>
      <c r="F105" s="18"/>
      <c r="G105" s="18"/>
      <c r="H105" s="18"/>
      <c r="I105" s="29"/>
      <c r="J105" s="18"/>
      <c r="K105" s="18"/>
      <c r="L105" s="18"/>
      <c r="M105" s="18"/>
      <c r="N105" s="29"/>
      <c r="O105" s="18"/>
      <c r="P105" s="18"/>
      <c r="Q105" s="18"/>
      <c r="R105" s="18"/>
    </row>
    <row r="106" spans="1:18" ht="12.75">
      <c r="A106" s="18"/>
      <c r="B106" s="18"/>
      <c r="C106" s="18"/>
      <c r="D106" s="29"/>
      <c r="E106" s="18"/>
      <c r="F106" s="18"/>
      <c r="G106" s="18"/>
      <c r="H106" s="18"/>
      <c r="I106" s="29"/>
      <c r="J106" s="18"/>
      <c r="K106" s="18"/>
      <c r="L106" s="18"/>
      <c r="M106" s="18"/>
      <c r="N106" s="29"/>
      <c r="O106" s="18"/>
      <c r="P106" s="18"/>
      <c r="Q106" s="18"/>
      <c r="R106" s="18"/>
    </row>
    <row r="107" spans="1:18" ht="12.75">
      <c r="A107" s="18"/>
      <c r="B107" s="18"/>
      <c r="C107" s="18"/>
      <c r="D107" s="29"/>
      <c r="E107" s="18"/>
      <c r="F107" s="18"/>
      <c r="G107" s="18"/>
      <c r="H107" s="18"/>
      <c r="I107" s="29"/>
      <c r="J107" s="18"/>
      <c r="K107" s="18"/>
      <c r="L107" s="18"/>
      <c r="M107" s="18"/>
      <c r="N107" s="29"/>
      <c r="O107" s="18"/>
      <c r="P107" s="18"/>
      <c r="Q107" s="18"/>
      <c r="R107" s="18"/>
    </row>
    <row r="108" spans="1:18" ht="12.75">
      <c r="A108" s="18"/>
      <c r="B108" s="18"/>
      <c r="C108" s="18"/>
      <c r="D108" s="29"/>
      <c r="E108" s="18"/>
      <c r="F108" s="18"/>
      <c r="G108" s="18"/>
      <c r="H108" s="18"/>
      <c r="I108" s="29"/>
      <c r="J108" s="18"/>
      <c r="K108" s="18"/>
      <c r="L108" s="18"/>
      <c r="M108" s="18"/>
      <c r="N108" s="29"/>
      <c r="O108" s="18"/>
      <c r="P108" s="18"/>
      <c r="Q108" s="18"/>
      <c r="R108" s="18"/>
    </row>
    <row r="109" spans="1:18" ht="12.75">
      <c r="A109" s="18"/>
      <c r="B109" s="18"/>
      <c r="C109" s="18"/>
      <c r="D109" s="29"/>
      <c r="E109" s="18"/>
      <c r="F109" s="18"/>
      <c r="G109" s="18"/>
      <c r="H109" s="18"/>
      <c r="I109" s="29"/>
      <c r="J109" s="18"/>
      <c r="K109" s="18"/>
      <c r="L109" s="18"/>
      <c r="M109" s="18"/>
      <c r="N109" s="29"/>
      <c r="O109" s="18"/>
      <c r="P109" s="18"/>
      <c r="Q109" s="18"/>
      <c r="R109" s="18"/>
    </row>
    <row r="110" spans="1:18" ht="12.75">
      <c r="A110" s="18"/>
      <c r="B110" s="18"/>
      <c r="C110" s="18"/>
      <c r="D110" s="29"/>
      <c r="E110" s="18"/>
      <c r="F110" s="18"/>
      <c r="G110" s="18"/>
      <c r="H110" s="18"/>
      <c r="I110" s="29"/>
      <c r="J110" s="18"/>
      <c r="K110" s="18"/>
      <c r="L110" s="18"/>
      <c r="M110" s="18"/>
      <c r="N110" s="29"/>
      <c r="O110" s="18"/>
      <c r="P110" s="18"/>
      <c r="Q110" s="18"/>
      <c r="R110" s="18"/>
    </row>
    <row r="111" spans="1:18" ht="12.75">
      <c r="A111" s="18"/>
      <c r="B111" s="18"/>
      <c r="C111" s="18"/>
      <c r="D111" s="29"/>
      <c r="E111" s="18"/>
      <c r="F111" s="18"/>
      <c r="G111" s="18"/>
      <c r="H111" s="18"/>
      <c r="I111" s="29"/>
      <c r="J111" s="18"/>
      <c r="K111" s="18"/>
      <c r="L111" s="18"/>
      <c r="M111" s="18"/>
      <c r="N111" s="29"/>
      <c r="O111" s="18"/>
      <c r="P111" s="18"/>
      <c r="Q111" s="18"/>
      <c r="R111" s="18"/>
    </row>
    <row r="112" spans="1:18" ht="12.75">
      <c r="A112" s="18"/>
      <c r="B112" s="18"/>
      <c r="C112" s="18"/>
      <c r="D112" s="29"/>
      <c r="E112" s="18"/>
      <c r="F112" s="18"/>
      <c r="G112" s="18"/>
      <c r="H112" s="18"/>
      <c r="I112" s="29"/>
      <c r="J112" s="18"/>
      <c r="K112" s="18"/>
      <c r="L112" s="18"/>
      <c r="M112" s="18"/>
      <c r="N112" s="29"/>
      <c r="O112" s="18"/>
      <c r="P112" s="18"/>
      <c r="Q112" s="18"/>
      <c r="R112" s="18"/>
    </row>
    <row r="113" spans="1:18" ht="12.75">
      <c r="A113" s="18"/>
      <c r="B113" s="18"/>
      <c r="C113" s="18"/>
      <c r="D113" s="29"/>
      <c r="E113" s="18"/>
      <c r="F113" s="18"/>
      <c r="G113" s="18"/>
      <c r="H113" s="18"/>
      <c r="I113" s="29"/>
      <c r="J113" s="18"/>
      <c r="K113" s="18"/>
      <c r="L113" s="18"/>
      <c r="M113" s="18"/>
      <c r="N113" s="29"/>
      <c r="O113" s="18"/>
      <c r="P113" s="18"/>
      <c r="Q113" s="18"/>
      <c r="R113" s="18"/>
    </row>
    <row r="114" spans="1:18" ht="12.75">
      <c r="A114" s="18"/>
      <c r="B114" s="18"/>
      <c r="C114" s="18"/>
      <c r="D114" s="29"/>
      <c r="E114" s="18"/>
      <c r="F114" s="18"/>
      <c r="G114" s="18"/>
      <c r="H114" s="18"/>
      <c r="I114" s="29"/>
      <c r="J114" s="18"/>
      <c r="K114" s="18"/>
      <c r="L114" s="18"/>
      <c r="M114" s="18"/>
      <c r="N114" s="29"/>
      <c r="O114" s="18"/>
      <c r="P114" s="18"/>
      <c r="Q114" s="18"/>
      <c r="R114" s="18"/>
    </row>
    <row r="115" spans="1:18" ht="12.75">
      <c r="A115" s="18"/>
      <c r="B115" s="18"/>
      <c r="C115" s="18"/>
      <c r="D115" s="29"/>
      <c r="E115" s="18"/>
      <c r="F115" s="18"/>
      <c r="G115" s="18"/>
      <c r="H115" s="18"/>
      <c r="I115" s="29"/>
      <c r="J115" s="18"/>
      <c r="K115" s="18"/>
      <c r="L115" s="18"/>
      <c r="M115" s="18"/>
      <c r="N115" s="29"/>
      <c r="O115" s="18"/>
      <c r="P115" s="18"/>
      <c r="Q115" s="18"/>
      <c r="R115" s="18"/>
    </row>
    <row r="116" spans="1:18" ht="12.75">
      <c r="A116" s="18"/>
      <c r="B116" s="18"/>
      <c r="C116" s="18"/>
      <c r="D116" s="29"/>
      <c r="E116" s="18"/>
      <c r="F116" s="18"/>
      <c r="G116" s="18"/>
      <c r="H116" s="18"/>
      <c r="I116" s="29"/>
      <c r="J116" s="18"/>
      <c r="K116" s="18"/>
      <c r="L116" s="18"/>
      <c r="M116" s="18"/>
      <c r="N116" s="29"/>
      <c r="O116" s="18"/>
      <c r="P116" s="18"/>
      <c r="Q116" s="18"/>
      <c r="R116" s="18"/>
    </row>
    <row r="117" spans="1:18" ht="12.75">
      <c r="A117" s="18"/>
      <c r="B117" s="18"/>
      <c r="C117" s="18"/>
      <c r="D117" s="29"/>
      <c r="E117" s="18"/>
      <c r="F117" s="18"/>
      <c r="G117" s="18"/>
      <c r="H117" s="18"/>
      <c r="I117" s="29"/>
      <c r="J117" s="18"/>
      <c r="K117" s="18"/>
      <c r="L117" s="18"/>
      <c r="M117" s="18"/>
      <c r="N117" s="29"/>
      <c r="O117" s="18"/>
      <c r="P117" s="18"/>
      <c r="Q117" s="18"/>
      <c r="R117" s="18"/>
    </row>
    <row r="118" spans="1:18" ht="12.75">
      <c r="A118" s="18"/>
      <c r="B118" s="18"/>
      <c r="C118" s="18"/>
      <c r="D118" s="29"/>
      <c r="E118" s="18"/>
      <c r="F118" s="18"/>
      <c r="G118" s="18"/>
      <c r="H118" s="18"/>
      <c r="I118" s="29"/>
      <c r="J118" s="18"/>
      <c r="K118" s="18"/>
      <c r="L118" s="18"/>
      <c r="M118" s="18"/>
      <c r="N118" s="29"/>
      <c r="O118" s="18"/>
      <c r="P118" s="18"/>
      <c r="Q118" s="18"/>
      <c r="R118" s="18"/>
    </row>
    <row r="119" spans="1:18" ht="12.75">
      <c r="A119" s="18"/>
      <c r="B119" s="18"/>
      <c r="C119" s="18"/>
      <c r="D119" s="29"/>
      <c r="E119" s="18"/>
      <c r="F119" s="18"/>
      <c r="G119" s="18"/>
      <c r="H119" s="18"/>
      <c r="I119" s="29"/>
      <c r="J119" s="18"/>
      <c r="K119" s="18"/>
      <c r="L119" s="18"/>
      <c r="M119" s="18"/>
      <c r="N119" s="29"/>
      <c r="O119" s="18"/>
      <c r="P119" s="18"/>
      <c r="Q119" s="18"/>
      <c r="R119" s="18"/>
    </row>
    <row r="120" spans="1:18" ht="12.75">
      <c r="A120" s="18"/>
      <c r="B120" s="18"/>
      <c r="C120" s="18"/>
      <c r="D120" s="29"/>
      <c r="E120" s="18"/>
      <c r="F120" s="18"/>
      <c r="G120" s="18"/>
      <c r="H120" s="18"/>
      <c r="I120" s="29"/>
      <c r="J120" s="18"/>
      <c r="K120" s="18"/>
      <c r="L120" s="18"/>
      <c r="M120" s="18"/>
      <c r="N120" s="29"/>
      <c r="O120" s="18"/>
      <c r="P120" s="18"/>
      <c r="Q120" s="18"/>
      <c r="R120" s="18"/>
    </row>
    <row r="121" spans="1:18" ht="12.75">
      <c r="A121" s="18"/>
      <c r="B121" s="18"/>
      <c r="C121" s="18"/>
      <c r="D121" s="29"/>
      <c r="E121" s="18"/>
      <c r="F121" s="18"/>
      <c r="G121" s="18"/>
      <c r="H121" s="18"/>
      <c r="I121" s="29"/>
      <c r="J121" s="18"/>
      <c r="K121" s="18"/>
      <c r="L121" s="18"/>
      <c r="M121" s="18"/>
      <c r="N121" s="29"/>
      <c r="O121" s="18"/>
      <c r="P121" s="18"/>
      <c r="Q121" s="18"/>
      <c r="R121" s="1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2004-02-25T19:54:57Z</cp:lastPrinted>
  <dcterms:created xsi:type="dcterms:W3CDTF">2000-01-10T00:44:42Z</dcterms:created>
  <dcterms:modified xsi:type="dcterms:W3CDTF">2004-02-25T19:55:21Z</dcterms:modified>
  <cp:category/>
  <cp:version/>
  <cp:contentType/>
  <cp:contentStatus/>
</cp:coreProperties>
</file>