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1801" yWindow="4245" windowWidth="12120" windowHeight="6780" tabRatio="630" activeTab="5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<sst xmlns="http://schemas.openxmlformats.org/spreadsheetml/2006/main" count="337" uniqueCount="139">
  <si>
    <t>Stack Gas Emissions</t>
  </si>
  <si>
    <t>HW</t>
  </si>
  <si>
    <t>PM</t>
  </si>
  <si>
    <t>SVM</t>
  </si>
  <si>
    <t>LVM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</si>
  <si>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</si>
  <si>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</si>
  <si>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</si>
  <si>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</si>
  <si>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</si>
  <si>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</si>
  <si>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</si>
  <si>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</si>
  <si>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</si>
  <si>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</si>
  <si>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</si>
  <si>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</si>
  <si>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</si>
  <si>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</si>
  <si>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Combustor Characteristics</t>
  </si>
  <si>
    <t>APCS Characteristics</t>
  </si>
  <si>
    <t xml:space="preserve">     Report Name/Date</t>
  </si>
  <si>
    <t xml:space="preserve">     Testing Dates</t>
  </si>
  <si>
    <t xml:space="preserve">     Cond. Description</t>
  </si>
  <si>
    <t>Units</t>
  </si>
  <si>
    <t>Run</t>
  </si>
  <si>
    <t>Cond Avg</t>
  </si>
  <si>
    <t>Stack Gas Flowrate</t>
  </si>
  <si>
    <t>Cond ID No.</t>
  </si>
  <si>
    <t>Heat Content</t>
  </si>
  <si>
    <t>Chlorine</t>
  </si>
  <si>
    <t>Process Information</t>
  </si>
  <si>
    <t>Avg</t>
  </si>
  <si>
    <t>nd</t>
  </si>
  <si>
    <t>Raleigh</t>
  </si>
  <si>
    <t>NC</t>
  </si>
  <si>
    <t>Boiler No.1</t>
  </si>
  <si>
    <t>NCD042091975</t>
  </si>
  <si>
    <t>Mallinckrodt Inc.</t>
  </si>
  <si>
    <t>None</t>
  </si>
  <si>
    <t>Soot blow</t>
  </si>
  <si>
    <t>K083</t>
  </si>
  <si>
    <t>lb/hr</t>
  </si>
  <si>
    <t>Btu/lb</t>
  </si>
  <si>
    <t>g/hr</t>
  </si>
  <si>
    <t>Liquid, aniline, K083</t>
  </si>
  <si>
    <t>Stack Characteristics</t>
  </si>
  <si>
    <t xml:space="preserve">     Report Preparer</t>
  </si>
  <si>
    <t>Compliance Strategies &amp; Solutions</t>
  </si>
  <si>
    <t xml:space="preserve">     Testing Firm</t>
  </si>
  <si>
    <t>DEECO Inc.</t>
  </si>
  <si>
    <t>y</t>
  </si>
  <si>
    <t>CoC; min comb temperature</t>
  </si>
  <si>
    <t>CoC; max waste feedrate</t>
  </si>
  <si>
    <t>Permitting Status</t>
  </si>
  <si>
    <t>July 10, 1998 and August 19-20, 1998</t>
  </si>
  <si>
    <t>778C10</t>
  </si>
  <si>
    <t>778C11</t>
  </si>
  <si>
    <t>Liq</t>
  </si>
  <si>
    <t xml:space="preserve">     Content</t>
  </si>
  <si>
    <t>Comb Temperature</t>
  </si>
  <si>
    <t>Tier I metals, chlorine (IA for Cr)</t>
  </si>
  <si>
    <t>Total</t>
  </si>
  <si>
    <t>PM, CO, Cr/Cr+6 emissions; ash, Cl, and metals feeds</t>
  </si>
  <si>
    <t xml:space="preserve">CO </t>
  </si>
  <si>
    <t>Capacity (MMBtu/hr)</t>
  </si>
  <si>
    <t>Feedstreams</t>
  </si>
  <si>
    <t>Feedrate MTEC Calculations</t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</si>
  <si>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</si>
  <si>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</si>
  <si>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</si>
  <si>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</si>
  <si>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</si>
  <si>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</si>
  <si>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</si>
  <si>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</si>
  <si>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</si>
  <si>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</si>
  <si>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BIF Feedrate Limits</t>
  </si>
  <si>
    <t>7% O2</t>
  </si>
  <si>
    <t>Phase II ID No.</t>
  </si>
  <si>
    <t>Source Description</t>
  </si>
  <si>
    <t>Soot Blowing</t>
  </si>
  <si>
    <t>Natural gas (start up only)</t>
  </si>
  <si>
    <t xml:space="preserve">    City</t>
  </si>
  <si>
    <t xml:space="preserve">    State</t>
  </si>
  <si>
    <t>Other Sister Facilities</t>
  </si>
  <si>
    <t>Hazardous Wastes</t>
  </si>
  <si>
    <t>Haz Waste Description</t>
  </si>
  <si>
    <t>Supplemental Fuel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</si>
  <si>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</si>
  <si>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</si>
  <si>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</si>
  <si>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</si>
  <si>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 xml:space="preserve">   Stack Gas Flowrate</t>
  </si>
  <si>
    <t xml:space="preserve">   Temperature</t>
  </si>
  <si>
    <t>Comments</t>
  </si>
  <si>
    <t xml:space="preserve">   O2</t>
  </si>
  <si>
    <t xml:space="preserve">   Moisture</t>
  </si>
  <si>
    <t>CO (MHRA)</t>
  </si>
  <si>
    <t>Sampling Train</t>
  </si>
  <si>
    <t>*</t>
  </si>
  <si>
    <t>Thermal Feedrate</t>
  </si>
  <si>
    <t>Feedstream Description</t>
  </si>
  <si>
    <t>Feed Rate</t>
  </si>
  <si>
    <t>HWC Burn Status (Date if Terminated)</t>
  </si>
  <si>
    <t xml:space="preserve">     Cond Dates</t>
  </si>
  <si>
    <t>Liquid-fired boiler</t>
  </si>
  <si>
    <t>Cond Description</t>
  </si>
  <si>
    <t>Number of Sister Facilities</t>
  </si>
  <si>
    <t>APCS Detailed Acronym</t>
  </si>
  <si>
    <t>APCS General Class</t>
  </si>
  <si>
    <t>Combustor Class</t>
  </si>
  <si>
    <t>Combustor Type</t>
  </si>
  <si>
    <t xml:space="preserve">Liquid-fired </t>
  </si>
  <si>
    <t>Chromium (Hex)</t>
  </si>
  <si>
    <t>E1</t>
  </si>
  <si>
    <t>E2</t>
  </si>
  <si>
    <t>Cr+6</t>
  </si>
  <si>
    <t>source</t>
  </si>
  <si>
    <t>cond</t>
  </si>
  <si>
    <t>emiss</t>
  </si>
  <si>
    <t>feed</t>
  </si>
  <si>
    <t>process</t>
  </si>
  <si>
    <t>R1</t>
  </si>
  <si>
    <t>R2</t>
  </si>
  <si>
    <t>R3</t>
  </si>
  <si>
    <t>Feedstream Number</t>
  </si>
  <si>
    <t>Feed Class</t>
  </si>
  <si>
    <t>F1</t>
  </si>
  <si>
    <t>Liq HW</t>
  </si>
  <si>
    <t>F2</t>
  </si>
  <si>
    <t>F3</t>
  </si>
  <si>
    <t>MMBtu/hr</t>
  </si>
  <si>
    <t>Feed Class 2</t>
  </si>
  <si>
    <t>Estimated Firing Rate</t>
  </si>
  <si>
    <t>Watertube boiler. Cleaver-Brooks Model D34 water-tube boiler, John Zink LoNOx burner LN-HIV-25, 18.6 million Btu/hr heat input, 15,000 lb/hr steam production @ 125 psi, rotary soot blower</t>
  </si>
  <si>
    <t>Recertification of Compliance Test Report for Boiler No. 1, 8/27/98; Compliance Emission Test Report - Boiler No. 1, 8/21/98.</t>
  </si>
  <si>
    <t>Yes; once per day for 5 minutes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</si>
</sst>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mmmm\ d\,\ yyyy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0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D9" sqref="D9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workbookViewId="0" topLeftCell="B1">
      <selection activeCell="B29" sqref="B29"/>
    </sheetView>
  </sheetViews>
  <sheetFormatPr defaultColWidth="9.140625" defaultRowHeight="12.75"/>
  <cols>
    <col min="1" max="1" width="9.140625" style="1" hidden="1" customWidth="1"/>
    <col min="2" max="2" width="24.421875" style="1" customWidth="1"/>
    <col min="3" max="3" width="58.7109375" style="1" customWidth="1"/>
    <col min="4" max="4" width="9.00390625" style="1" customWidth="1"/>
    <col min="5" max="16384" width="11.421875" style="1" customWidth="1"/>
  </cols>
  <sheetData>
    <row r="1" ht="12.75">
      <c r="B1" s="6" t="s">
        <v>81</v>
      </c>
    </row>
    <row r="3" spans="2:3" ht="12.75">
      <c r="B3" s="1" t="s">
        <v>80</v>
      </c>
      <c r="C3" s="3">
        <v>778</v>
      </c>
    </row>
    <row r="4" spans="2:3" ht="12.75">
      <c r="B4" s="1" t="s">
        <v>15</v>
      </c>
      <c r="C4" s="1" t="s">
        <v>37</v>
      </c>
    </row>
    <row r="5" spans="2:3" ht="12.75">
      <c r="B5" s="1" t="s">
        <v>16</v>
      </c>
      <c r="C5" s="1" t="s">
        <v>38</v>
      </c>
    </row>
    <row r="6" ht="12.75">
      <c r="B6" s="1" t="s">
        <v>17</v>
      </c>
    </row>
    <row r="7" spans="2:3" ht="12.75">
      <c r="B7" s="1" t="s">
        <v>84</v>
      </c>
      <c r="C7" s="1" t="s">
        <v>34</v>
      </c>
    </row>
    <row r="8" spans="2:3" ht="12.75">
      <c r="B8" s="1" t="s">
        <v>85</v>
      </c>
      <c r="C8" s="1" t="s">
        <v>35</v>
      </c>
    </row>
    <row r="9" spans="2:3" ht="12.75">
      <c r="B9" s="1" t="s">
        <v>18</v>
      </c>
      <c r="C9" s="1" t="s">
        <v>36</v>
      </c>
    </row>
    <row r="10" spans="2:3" ht="12.75">
      <c r="B10" s="1" t="s">
        <v>86</v>
      </c>
      <c r="C10" s="1" t="s">
        <v>39</v>
      </c>
    </row>
    <row r="11" spans="2:3" ht="12.75">
      <c r="B11" s="1" t="s">
        <v>109</v>
      </c>
      <c r="C11" s="3">
        <v>0</v>
      </c>
    </row>
    <row r="12" spans="2:3" ht="12.75">
      <c r="B12" s="1" t="s">
        <v>112</v>
      </c>
      <c r="C12" s="1" t="s">
        <v>107</v>
      </c>
    </row>
    <row r="13" spans="2:3" ht="12.75">
      <c r="B13" s="1" t="s">
        <v>113</v>
      </c>
      <c r="C13" s="1" t="s">
        <v>114</v>
      </c>
    </row>
    <row r="14" spans="2:3" s="7" customFormat="1" ht="38.25">
      <c r="B14" s="7" t="s">
        <v>19</v>
      </c>
      <c r="C14" s="7" t="s">
        <v>136</v>
      </c>
    </row>
    <row r="15" spans="2:3" s="7" customFormat="1" ht="12.75">
      <c r="B15" s="7" t="s">
        <v>65</v>
      </c>
      <c r="C15" s="8">
        <v>18.6</v>
      </c>
    </row>
    <row r="16" spans="2:3" s="7" customFormat="1" ht="12.75">
      <c r="B16" s="7" t="s">
        <v>82</v>
      </c>
      <c r="C16" s="8" t="s">
        <v>138</v>
      </c>
    </row>
    <row r="17" spans="2:3" ht="12.75">
      <c r="B17" s="1" t="s">
        <v>110</v>
      </c>
      <c r="C17" s="1" t="s">
        <v>39</v>
      </c>
    </row>
    <row r="18" ht="12.75">
      <c r="B18" s="1" t="s">
        <v>111</v>
      </c>
    </row>
    <row r="19" ht="12.75">
      <c r="B19" s="1" t="s">
        <v>20</v>
      </c>
    </row>
    <row r="20" spans="2:3" ht="12.75">
      <c r="B20" s="1" t="s">
        <v>87</v>
      </c>
      <c r="C20" s="1" t="s">
        <v>58</v>
      </c>
    </row>
    <row r="21" spans="2:3" ht="12.75">
      <c r="B21" s="1" t="s">
        <v>88</v>
      </c>
      <c r="C21" s="1" t="s">
        <v>45</v>
      </c>
    </row>
    <row r="22" spans="2:3" ht="12.75">
      <c r="B22" s="1" t="s">
        <v>89</v>
      </c>
      <c r="C22" s="1" t="s">
        <v>83</v>
      </c>
    </row>
    <row r="24" ht="12.75">
      <c r="B24" s="1" t="s">
        <v>46</v>
      </c>
    </row>
    <row r="25" spans="2:3" ht="12.75">
      <c r="B25" s="1" t="s">
        <v>90</v>
      </c>
      <c r="C25" s="3">
        <f>27/12</f>
        <v>2.25</v>
      </c>
    </row>
    <row r="26" spans="2:3" ht="12.75">
      <c r="B26" s="1" t="s">
        <v>91</v>
      </c>
      <c r="C26" s="3">
        <v>50</v>
      </c>
    </row>
    <row r="27" spans="2:3" ht="12.75">
      <c r="B27" s="1" t="s">
        <v>92</v>
      </c>
      <c r="C27" s="3">
        <v>32.6</v>
      </c>
    </row>
    <row r="28" spans="2:3" ht="12.75">
      <c r="B28" s="1" t="s">
        <v>93</v>
      </c>
      <c r="C28" s="3">
        <v>636</v>
      </c>
    </row>
    <row r="30" spans="2:3" ht="12.75">
      <c r="B30" s="1" t="s">
        <v>54</v>
      </c>
      <c r="C30" s="1" t="s">
        <v>61</v>
      </c>
    </row>
    <row r="31" s="22" customFormat="1" ht="25.5">
      <c r="B31" s="22" t="s">
        <v>105</v>
      </c>
    </row>
    <row r="32" ht="12.75">
      <c r="B32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20.7109375" style="1" customWidth="1"/>
    <col min="3" max="3" width="58.8515625" style="1" customWidth="1"/>
    <col min="4" max="16384" width="9.140625" style="1" customWidth="1"/>
  </cols>
  <sheetData>
    <row r="1" ht="12.75">
      <c r="B1" s="6" t="s">
        <v>108</v>
      </c>
    </row>
    <row r="3" ht="12.75">
      <c r="B3" s="21" t="s">
        <v>56</v>
      </c>
    </row>
    <row r="4" ht="12.75">
      <c r="B4" s="21"/>
    </row>
    <row r="5" spans="2:3" s="7" customFormat="1" ht="25.5">
      <c r="B5" s="7" t="s">
        <v>21</v>
      </c>
      <c r="C5" s="7" t="s">
        <v>137</v>
      </c>
    </row>
    <row r="6" spans="2:3" ht="12.75">
      <c r="B6" s="1" t="s">
        <v>47</v>
      </c>
      <c r="C6" s="1" t="s">
        <v>48</v>
      </c>
    </row>
    <row r="7" spans="2:3" ht="12.75">
      <c r="B7" s="1" t="s">
        <v>49</v>
      </c>
      <c r="C7" s="1" t="s">
        <v>50</v>
      </c>
    </row>
    <row r="8" spans="2:3" ht="12.75">
      <c r="B8" s="1" t="s">
        <v>22</v>
      </c>
      <c r="C8" s="9">
        <v>34523</v>
      </c>
    </row>
    <row r="9" spans="2:3" ht="12.75">
      <c r="B9" s="1" t="s">
        <v>106</v>
      </c>
      <c r="C9" s="19">
        <v>34515</v>
      </c>
    </row>
    <row r="10" spans="2:3" ht="12.75">
      <c r="B10" s="1" t="s">
        <v>23</v>
      </c>
      <c r="C10" s="1" t="s">
        <v>53</v>
      </c>
    </row>
    <row r="11" spans="2:3" ht="12.75">
      <c r="B11" s="1" t="s">
        <v>59</v>
      </c>
      <c r="C11" s="1" t="s">
        <v>63</v>
      </c>
    </row>
    <row r="13" ht="12.75">
      <c r="B13" s="21" t="s">
        <v>57</v>
      </c>
    </row>
    <row r="14" ht="12.75">
      <c r="B14" s="21"/>
    </row>
    <row r="15" spans="2:3" s="7" customFormat="1" ht="25.5">
      <c r="B15" s="7" t="s">
        <v>21</v>
      </c>
      <c r="C15" s="7" t="s">
        <v>137</v>
      </c>
    </row>
    <row r="16" spans="2:3" ht="12.75">
      <c r="B16" s="1" t="s">
        <v>47</v>
      </c>
      <c r="C16" s="1" t="s">
        <v>48</v>
      </c>
    </row>
    <row r="17" spans="2:3" ht="12.75">
      <c r="B17" s="1" t="s">
        <v>49</v>
      </c>
      <c r="C17" s="1" t="s">
        <v>50</v>
      </c>
    </row>
    <row r="18" spans="2:3" ht="12.75">
      <c r="B18" s="1" t="s">
        <v>22</v>
      </c>
      <c r="C18" s="10" t="s">
        <v>55</v>
      </c>
    </row>
    <row r="19" spans="2:3" ht="12.75">
      <c r="B19" s="1" t="s">
        <v>106</v>
      </c>
      <c r="C19" s="19">
        <v>34515</v>
      </c>
    </row>
    <row r="20" spans="2:3" ht="12.75">
      <c r="B20" s="1" t="s">
        <v>23</v>
      </c>
      <c r="C20" s="1" t="s">
        <v>52</v>
      </c>
    </row>
    <row r="21" spans="2:3" ht="12.75">
      <c r="B21" s="1" t="s">
        <v>59</v>
      </c>
      <c r="C21" s="1" t="s">
        <v>64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workbookViewId="0" topLeftCell="B1">
      <selection activeCell="B5" sqref="B5"/>
    </sheetView>
  </sheetViews>
  <sheetFormatPr defaultColWidth="9.140625" defaultRowHeight="12.75"/>
  <cols>
    <col min="1" max="1" width="9.140625" style="1" hidden="1" customWidth="1"/>
    <col min="2" max="2" width="20.140625" style="1" customWidth="1"/>
    <col min="3" max="3" width="8.28125" style="1" customWidth="1"/>
    <col min="4" max="4" width="9.140625" style="1" customWidth="1"/>
    <col min="5" max="5" width="4.00390625" style="1" customWidth="1"/>
    <col min="6" max="6" width="2.57421875" style="1" customWidth="1"/>
    <col min="7" max="7" width="8.421875" style="1" customWidth="1"/>
    <col min="8" max="8" width="2.8515625" style="1" customWidth="1"/>
    <col min="9" max="9" width="7.140625" style="1" customWidth="1"/>
    <col min="10" max="10" width="2.7109375" style="1" customWidth="1"/>
    <col min="11" max="11" width="9.28125" style="1" customWidth="1"/>
    <col min="12" max="12" width="2.421875" style="1" customWidth="1"/>
    <col min="13" max="16" width="11.421875" style="1" customWidth="1"/>
    <col min="17" max="17" width="4.140625" style="1" customWidth="1"/>
    <col min="18" max="18" width="11.421875" style="1" customWidth="1"/>
    <col min="19" max="19" width="3.7109375" style="1" customWidth="1"/>
    <col min="20" max="20" width="11.421875" style="1" customWidth="1"/>
    <col min="21" max="21" width="3.421875" style="1" customWidth="1"/>
    <col min="22" max="16384" width="11.421875" style="1" customWidth="1"/>
  </cols>
  <sheetData>
    <row r="1" spans="2:3" ht="12.75">
      <c r="B1" s="6" t="s">
        <v>0</v>
      </c>
      <c r="C1" s="6"/>
    </row>
    <row r="2" ht="12.75" customHeight="1"/>
    <row r="3" spans="3:13" ht="12.75">
      <c r="C3" s="1" t="s">
        <v>96</v>
      </c>
      <c r="D3" s="1" t="s">
        <v>24</v>
      </c>
      <c r="E3" s="1" t="s">
        <v>79</v>
      </c>
      <c r="G3" s="2"/>
      <c r="H3" s="2"/>
      <c r="I3" s="2"/>
      <c r="J3" s="2"/>
      <c r="K3" s="2"/>
      <c r="L3" s="2"/>
      <c r="M3" s="2"/>
    </row>
    <row r="4" spans="2:12" ht="12.75">
      <c r="B4" s="6"/>
      <c r="C4" s="6"/>
      <c r="G4" s="2"/>
      <c r="H4" s="2"/>
      <c r="I4" s="2"/>
      <c r="J4" s="2"/>
      <c r="L4" s="2"/>
    </row>
    <row r="5" spans="2:12" ht="12.75">
      <c r="B5" s="6"/>
      <c r="C5" s="6"/>
      <c r="G5" s="2"/>
      <c r="H5" s="2"/>
      <c r="I5" s="2"/>
      <c r="J5" s="2"/>
      <c r="K5" s="2" t="s">
        <v>40</v>
      </c>
      <c r="L5" s="2"/>
    </row>
    <row r="6" spans="1:13" ht="12.75">
      <c r="A6" s="1">
        <v>10</v>
      </c>
      <c r="B6" s="6" t="s">
        <v>56</v>
      </c>
      <c r="C6" s="6"/>
      <c r="G6" s="2" t="s">
        <v>124</v>
      </c>
      <c r="H6" s="2"/>
      <c r="I6" s="2" t="s">
        <v>125</v>
      </c>
      <c r="J6" s="2"/>
      <c r="K6" s="2" t="s">
        <v>126</v>
      </c>
      <c r="L6" s="2"/>
      <c r="M6" s="1" t="s">
        <v>26</v>
      </c>
    </row>
    <row r="7" spans="2:12" ht="12.75">
      <c r="B7" s="6"/>
      <c r="C7" s="6"/>
      <c r="G7" s="2"/>
      <c r="H7" s="2"/>
      <c r="I7" s="2"/>
      <c r="J7" s="2"/>
      <c r="K7" s="2"/>
      <c r="L7" s="2"/>
    </row>
    <row r="8" spans="2:13" ht="12.75">
      <c r="B8" s="1" t="s">
        <v>2</v>
      </c>
      <c r="C8" s="1" t="s">
        <v>117</v>
      </c>
      <c r="D8" s="1" t="s">
        <v>7</v>
      </c>
      <c r="E8" s="1" t="s">
        <v>51</v>
      </c>
      <c r="G8" s="1">
        <v>0.055</v>
      </c>
      <c r="I8" s="1">
        <v>0.056</v>
      </c>
      <c r="K8" s="1">
        <v>0.138</v>
      </c>
      <c r="M8" s="1">
        <v>0.068</v>
      </c>
    </row>
    <row r="9" spans="2:13" ht="12.75">
      <c r="B9" s="1" t="s">
        <v>99</v>
      </c>
      <c r="C9" s="1" t="s">
        <v>117</v>
      </c>
      <c r="D9" s="1" t="s">
        <v>8</v>
      </c>
      <c r="E9" s="1" t="s">
        <v>51</v>
      </c>
      <c r="G9" s="1">
        <v>2.9</v>
      </c>
      <c r="I9" s="1">
        <v>2.5</v>
      </c>
      <c r="K9" s="1">
        <v>2.2</v>
      </c>
      <c r="M9" s="4">
        <f>AVERAGE(G9,I9,K9)</f>
        <v>2.5333333333333337</v>
      </c>
    </row>
    <row r="10" spans="2:13" ht="12.75">
      <c r="B10" s="1" t="s">
        <v>115</v>
      </c>
      <c r="D10" s="1" t="s">
        <v>44</v>
      </c>
      <c r="G10" s="1">
        <v>0.008</v>
      </c>
      <c r="I10" s="1">
        <v>0.037</v>
      </c>
      <c r="K10" s="1">
        <v>0.034</v>
      </c>
      <c r="M10" s="18">
        <v>0.024</v>
      </c>
    </row>
    <row r="11" spans="2:13" ht="12.75">
      <c r="B11" s="1" t="s">
        <v>73</v>
      </c>
      <c r="D11" s="1" t="s">
        <v>44</v>
      </c>
      <c r="G11" s="1">
        <v>0.245</v>
      </c>
      <c r="I11" s="1">
        <v>0.271</v>
      </c>
      <c r="K11" s="1">
        <v>4.38</v>
      </c>
      <c r="M11" s="18">
        <v>0.877</v>
      </c>
    </row>
    <row r="12" ht="12.75" customHeight="1"/>
    <row r="13" spans="2:4" ht="12" customHeight="1">
      <c r="B13" s="1" t="s">
        <v>100</v>
      </c>
      <c r="C13" s="1" t="s">
        <v>118</v>
      </c>
      <c r="D13" s="1" t="s">
        <v>116</v>
      </c>
    </row>
    <row r="14" spans="2:13" ht="12.75">
      <c r="B14" s="1" t="s">
        <v>94</v>
      </c>
      <c r="D14" s="1" t="s">
        <v>12</v>
      </c>
      <c r="G14" s="1">
        <v>3300</v>
      </c>
      <c r="I14" s="1">
        <v>3200</v>
      </c>
      <c r="K14" s="1">
        <v>3200</v>
      </c>
      <c r="M14" s="4">
        <f>(G14+I14+K14)/3</f>
        <v>3233.3333333333335</v>
      </c>
    </row>
    <row r="15" spans="2:13" ht="12.75">
      <c r="B15" s="1" t="s">
        <v>97</v>
      </c>
      <c r="D15" s="1" t="s">
        <v>13</v>
      </c>
      <c r="G15" s="1">
        <v>8.3</v>
      </c>
      <c r="I15" s="1">
        <v>8.1</v>
      </c>
      <c r="K15" s="1">
        <v>8.1</v>
      </c>
      <c r="M15" s="4">
        <f>(G15+I15+K15)/3</f>
        <v>8.166666666666666</v>
      </c>
    </row>
    <row r="16" spans="2:13" ht="12.75">
      <c r="B16" s="1" t="s">
        <v>98</v>
      </c>
      <c r="D16" s="1" t="s">
        <v>13</v>
      </c>
      <c r="G16" s="1">
        <v>13.5</v>
      </c>
      <c r="I16" s="1">
        <v>14</v>
      </c>
      <c r="K16" s="1">
        <v>13.7</v>
      </c>
      <c r="M16" s="4">
        <f aca="true" t="shared" si="0" ref="M16:M27">(G16+I16+K16)/3</f>
        <v>13.733333333333334</v>
      </c>
    </row>
    <row r="17" spans="2:13" ht="12.75">
      <c r="B17" s="1" t="s">
        <v>95</v>
      </c>
      <c r="D17" s="1" t="s">
        <v>14</v>
      </c>
      <c r="G17" s="1">
        <v>624</v>
      </c>
      <c r="I17" s="1">
        <v>639</v>
      </c>
      <c r="K17" s="1">
        <v>645</v>
      </c>
      <c r="M17" s="4">
        <f t="shared" si="0"/>
        <v>636</v>
      </c>
    </row>
    <row r="18" ht="12.75">
      <c r="M18" s="4"/>
    </row>
    <row r="19" spans="2:4" ht="12.75">
      <c r="B19" s="1" t="s">
        <v>100</v>
      </c>
      <c r="C19" s="1" t="s">
        <v>2</v>
      </c>
      <c r="D19" s="1" t="s">
        <v>117</v>
      </c>
    </row>
    <row r="20" spans="2:13" ht="12.75">
      <c r="B20" s="1" t="s">
        <v>94</v>
      </c>
      <c r="D20" s="1" t="s">
        <v>12</v>
      </c>
      <c r="G20" s="1">
        <v>3100</v>
      </c>
      <c r="I20" s="1">
        <v>3000</v>
      </c>
      <c r="K20" s="1">
        <v>3200</v>
      </c>
      <c r="M20" s="4">
        <f t="shared" si="0"/>
        <v>3100</v>
      </c>
    </row>
    <row r="21" spans="2:13" ht="12.75">
      <c r="B21" s="1" t="s">
        <v>97</v>
      </c>
      <c r="D21" s="1" t="s">
        <v>13</v>
      </c>
      <c r="G21" s="1">
        <v>8.2</v>
      </c>
      <c r="I21" s="1">
        <v>8</v>
      </c>
      <c r="K21" s="1">
        <v>8.7</v>
      </c>
      <c r="M21" s="4">
        <f t="shared" si="0"/>
        <v>8.299999999999999</v>
      </c>
    </row>
    <row r="22" spans="2:13" ht="12.75">
      <c r="B22" s="1" t="s">
        <v>98</v>
      </c>
      <c r="D22" s="1" t="s">
        <v>13</v>
      </c>
      <c r="G22" s="1">
        <v>13.3</v>
      </c>
      <c r="I22" s="1">
        <v>16.6</v>
      </c>
      <c r="K22" s="1">
        <v>12.8</v>
      </c>
      <c r="M22" s="4">
        <f t="shared" si="0"/>
        <v>14.233333333333334</v>
      </c>
    </row>
    <row r="23" spans="2:13" ht="12.75">
      <c r="B23" s="1" t="s">
        <v>95</v>
      </c>
      <c r="D23" s="1" t="s">
        <v>14</v>
      </c>
      <c r="G23" s="1">
        <v>624</v>
      </c>
      <c r="I23" s="1">
        <v>633</v>
      </c>
      <c r="K23" s="1">
        <v>652</v>
      </c>
      <c r="M23" s="4">
        <f t="shared" si="0"/>
        <v>636.3333333333334</v>
      </c>
    </row>
    <row r="24" ht="12.75" customHeight="1"/>
    <row r="25" spans="2:13" ht="12.75" customHeight="1">
      <c r="B25" s="1" t="s">
        <v>115</v>
      </c>
      <c r="C25" s="1" t="s">
        <v>116</v>
      </c>
      <c r="D25" s="1" t="s">
        <v>9</v>
      </c>
      <c r="E25" s="1" t="s">
        <v>51</v>
      </c>
      <c r="G25" s="4">
        <f>G10/60/0.0283/G$20*(21-7)/(21-G$21)*1000000</f>
        <v>1.6622971997416318</v>
      </c>
      <c r="I25" s="4">
        <f>I10/60/0.0283/I$20*(21-7)/(21-I$21)*1000000</f>
        <v>7.822173899912415</v>
      </c>
      <c r="K25" s="4">
        <f>K10/60/0.0283/K$20*(21-7)/(21-K$21)*1000000</f>
        <v>7.1222001972669915</v>
      </c>
      <c r="M25" s="4">
        <f t="shared" si="0"/>
        <v>5.53555709897368</v>
      </c>
    </row>
    <row r="26" spans="2:13" ht="12.75">
      <c r="B26" s="1" t="s">
        <v>73</v>
      </c>
      <c r="C26" s="1" t="s">
        <v>116</v>
      </c>
      <c r="D26" s="1" t="s">
        <v>9</v>
      </c>
      <c r="E26" s="1" t="s">
        <v>51</v>
      </c>
      <c r="G26" s="4">
        <f aca="true" t="shared" si="1" ref="G26:I27">G11/60/0.0283/G$20*(21-7)/(21-G$21)*1000000</f>
        <v>50.907851742087466</v>
      </c>
      <c r="I26" s="4">
        <f t="shared" si="1"/>
        <v>57.29213856422337</v>
      </c>
      <c r="J26" s="4"/>
      <c r="K26" s="4">
        <f>K11/60/0.0283/K$20*(21-7)/(21-K$21)*1000000</f>
        <v>917.5069665891006</v>
      </c>
      <c r="M26" s="4">
        <f t="shared" si="0"/>
        <v>341.9023189651371</v>
      </c>
    </row>
    <row r="27" spans="2:13" ht="12.75">
      <c r="B27" s="1" t="s">
        <v>4</v>
      </c>
      <c r="C27" s="1" t="s">
        <v>116</v>
      </c>
      <c r="D27" s="1" t="s">
        <v>9</v>
      </c>
      <c r="E27" s="1" t="s">
        <v>51</v>
      </c>
      <c r="G27" s="4">
        <f t="shared" si="1"/>
        <v>0</v>
      </c>
      <c r="I27" s="4">
        <f t="shared" si="1"/>
        <v>0</v>
      </c>
      <c r="K27" s="4">
        <f>K12/60/0.0283/K$20*(21-7)/(21-K$21)*1000000</f>
        <v>0</v>
      </c>
      <c r="M27" s="4">
        <f t="shared" si="0"/>
        <v>0</v>
      </c>
    </row>
    <row r="29" spans="1:13" ht="12.75">
      <c r="A29" s="1">
        <v>11</v>
      </c>
      <c r="B29" s="6" t="s">
        <v>57</v>
      </c>
      <c r="C29" s="6"/>
      <c r="G29" s="2" t="s">
        <v>124</v>
      </c>
      <c r="H29" s="2"/>
      <c r="I29" s="2" t="s">
        <v>125</v>
      </c>
      <c r="J29" s="2"/>
      <c r="K29" s="2" t="s">
        <v>126</v>
      </c>
      <c r="L29" s="2"/>
      <c r="M29" s="2" t="s">
        <v>26</v>
      </c>
    </row>
    <row r="30" spans="7:12" ht="12.75">
      <c r="G30" s="2"/>
      <c r="H30" s="2"/>
      <c r="I30" s="2"/>
      <c r="J30" s="2"/>
      <c r="K30" s="2"/>
      <c r="L30" s="2"/>
    </row>
    <row r="31" spans="2:13" ht="12.75">
      <c r="B31" s="1" t="s">
        <v>99</v>
      </c>
      <c r="D31" s="1" t="s">
        <v>8</v>
      </c>
      <c r="E31" s="1" t="s">
        <v>51</v>
      </c>
      <c r="G31" s="1">
        <v>12.4</v>
      </c>
      <c r="I31" s="1">
        <v>10.6</v>
      </c>
      <c r="K31" s="1">
        <v>13.5</v>
      </c>
      <c r="M31" s="4">
        <f>AVERAGE(G31,I31,K31)</f>
        <v>12.166666666666666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zoomScale="75" zoomScaleNormal="75" workbookViewId="0" topLeftCell="B29">
      <selection activeCell="Z3" sqref="Z3"/>
    </sheetView>
  </sheetViews>
  <sheetFormatPr defaultColWidth="9.140625" defaultRowHeight="12.75"/>
  <cols>
    <col min="1" max="1" width="9.140625" style="1" hidden="1" customWidth="1"/>
    <col min="2" max="2" width="18.8515625" style="1" customWidth="1"/>
    <col min="3" max="3" width="2.28125" style="1" customWidth="1"/>
    <col min="4" max="4" width="9.28125" style="1" bestFit="1" customWidth="1"/>
    <col min="5" max="5" width="4.140625" style="2" customWidth="1"/>
    <col min="6" max="6" width="7.140625" style="1" bestFit="1" customWidth="1"/>
    <col min="7" max="7" width="4.28125" style="2" customWidth="1"/>
    <col min="8" max="8" width="7.57421875" style="1" bestFit="1" customWidth="1"/>
    <col min="9" max="9" width="4.28125" style="2" customWidth="1"/>
    <col min="10" max="10" width="7.57421875" style="1" bestFit="1" customWidth="1"/>
    <col min="11" max="11" width="4.140625" style="1" bestFit="1" customWidth="1"/>
    <col min="12" max="12" width="9.28125" style="1" bestFit="1" customWidth="1"/>
    <col min="13" max="13" width="3.8515625" style="1" customWidth="1"/>
    <col min="14" max="14" width="7.57421875" style="1" customWidth="1"/>
    <col min="15" max="15" width="4.28125" style="1" customWidth="1"/>
    <col min="16" max="16" width="8.57421875" style="1" customWidth="1"/>
    <col min="17" max="17" width="4.140625" style="1" customWidth="1"/>
    <col min="18" max="18" width="7.57421875" style="1" customWidth="1"/>
    <col min="19" max="19" width="4.421875" style="1" customWidth="1"/>
    <col min="20" max="20" width="8.28125" style="1" customWidth="1"/>
    <col min="21" max="21" width="3.7109375" style="1" customWidth="1"/>
    <col min="22" max="22" width="7.8515625" style="1" customWidth="1"/>
    <col min="23" max="23" width="3.8515625" style="1" customWidth="1"/>
    <col min="24" max="24" width="9.28125" style="1" customWidth="1"/>
    <col min="25" max="25" width="3.8515625" style="1" customWidth="1"/>
    <col min="26" max="26" width="8.8515625" style="1" customWidth="1"/>
    <col min="27" max="27" width="3.8515625" style="1" customWidth="1"/>
    <col min="28" max="28" width="9.28125" style="1" bestFit="1" customWidth="1"/>
    <col min="29" max="16384" width="11.421875" style="1" customWidth="1"/>
  </cols>
  <sheetData>
    <row r="1" spans="2:3" ht="12.75">
      <c r="B1" s="6" t="s">
        <v>66</v>
      </c>
      <c r="C1" s="6"/>
    </row>
    <row r="2" spans="15:25" ht="12.75">
      <c r="O2" s="2"/>
      <c r="Q2" s="2"/>
      <c r="W2" s="2"/>
      <c r="Y2" s="2"/>
    </row>
    <row r="3" spans="15:25" ht="12.75">
      <c r="O3" s="2"/>
      <c r="Q3" s="2"/>
      <c r="W3" s="2"/>
      <c r="Y3" s="2"/>
    </row>
    <row r="4" spans="1:28" ht="12.75">
      <c r="A4" s="1" t="s">
        <v>101</v>
      </c>
      <c r="B4" s="6" t="s">
        <v>56</v>
      </c>
      <c r="C4" s="6"/>
      <c r="F4" s="2" t="s">
        <v>124</v>
      </c>
      <c r="H4" s="2" t="s">
        <v>125</v>
      </c>
      <c r="J4" s="2" t="s">
        <v>126</v>
      </c>
      <c r="K4" s="2"/>
      <c r="L4" s="2" t="s">
        <v>26</v>
      </c>
      <c r="M4" s="2"/>
      <c r="N4" s="2" t="s">
        <v>124</v>
      </c>
      <c r="O4" s="2"/>
      <c r="P4" s="2" t="s">
        <v>125</v>
      </c>
      <c r="Q4" s="2"/>
      <c r="R4" s="2" t="s">
        <v>126</v>
      </c>
      <c r="S4" s="2"/>
      <c r="T4" s="2" t="s">
        <v>26</v>
      </c>
      <c r="U4" s="2"/>
      <c r="V4" s="2" t="s">
        <v>124</v>
      </c>
      <c r="W4" s="2"/>
      <c r="X4" s="2" t="s">
        <v>125</v>
      </c>
      <c r="Y4" s="2"/>
      <c r="Z4" s="2" t="s">
        <v>126</v>
      </c>
      <c r="AA4" s="2"/>
      <c r="AB4" s="2" t="s">
        <v>26</v>
      </c>
    </row>
    <row r="6" spans="2:28" ht="12.75">
      <c r="B6" s="1" t="s">
        <v>127</v>
      </c>
      <c r="F6" s="2" t="s">
        <v>129</v>
      </c>
      <c r="H6" s="2" t="s">
        <v>129</v>
      </c>
      <c r="J6" s="2" t="s">
        <v>129</v>
      </c>
      <c r="L6" s="2" t="s">
        <v>129</v>
      </c>
      <c r="N6" s="2" t="s">
        <v>131</v>
      </c>
      <c r="P6" s="2" t="s">
        <v>131</v>
      </c>
      <c r="R6" s="2" t="s">
        <v>131</v>
      </c>
      <c r="T6" s="2" t="s">
        <v>131</v>
      </c>
      <c r="V6" s="2" t="s">
        <v>132</v>
      </c>
      <c r="X6" s="2" t="s">
        <v>132</v>
      </c>
      <c r="Z6" s="2" t="s">
        <v>132</v>
      </c>
      <c r="AB6" s="2" t="s">
        <v>132</v>
      </c>
    </row>
    <row r="7" spans="2:28" ht="12.75">
      <c r="B7" s="1" t="s">
        <v>128</v>
      </c>
      <c r="F7" s="2" t="s">
        <v>130</v>
      </c>
      <c r="H7" s="2" t="s">
        <v>130</v>
      </c>
      <c r="J7" s="2" t="s">
        <v>130</v>
      </c>
      <c r="L7" s="2" t="s">
        <v>130</v>
      </c>
      <c r="N7" s="2" t="s">
        <v>10</v>
      </c>
      <c r="P7" s="2" t="s">
        <v>10</v>
      </c>
      <c r="R7" s="2" t="s">
        <v>10</v>
      </c>
      <c r="T7" s="2" t="s">
        <v>10</v>
      </c>
      <c r="V7" s="2" t="s">
        <v>62</v>
      </c>
      <c r="X7" s="2" t="s">
        <v>62</v>
      </c>
      <c r="Z7" s="2" t="s">
        <v>62</v>
      </c>
      <c r="AB7" s="2" t="s">
        <v>62</v>
      </c>
    </row>
    <row r="8" spans="2:28" ht="12.75">
      <c r="B8" s="1" t="s">
        <v>134</v>
      </c>
      <c r="F8" s="2" t="s">
        <v>1</v>
      </c>
      <c r="H8" s="2" t="s">
        <v>1</v>
      </c>
      <c r="J8" s="2" t="s">
        <v>1</v>
      </c>
      <c r="L8" s="2" t="s">
        <v>1</v>
      </c>
      <c r="N8" s="2" t="s">
        <v>10</v>
      </c>
      <c r="P8" s="2" t="s">
        <v>10</v>
      </c>
      <c r="R8" s="2" t="s">
        <v>10</v>
      </c>
      <c r="T8" s="2" t="s">
        <v>10</v>
      </c>
      <c r="V8" s="2" t="s">
        <v>62</v>
      </c>
      <c r="X8" s="2" t="s">
        <v>62</v>
      </c>
      <c r="Z8" s="2" t="s">
        <v>62</v>
      </c>
      <c r="AB8" s="2"/>
    </row>
    <row r="9" spans="2:28" ht="12.75">
      <c r="B9" s="1" t="s">
        <v>103</v>
      </c>
      <c r="F9" s="11" t="s">
        <v>41</v>
      </c>
      <c r="G9" s="11"/>
      <c r="H9" s="11" t="s">
        <v>41</v>
      </c>
      <c r="I9" s="11"/>
      <c r="J9" s="11" t="s">
        <v>41</v>
      </c>
      <c r="L9" s="11" t="s">
        <v>41</v>
      </c>
      <c r="M9" s="11"/>
      <c r="N9" s="11" t="s">
        <v>10</v>
      </c>
      <c r="O9" s="11"/>
      <c r="P9" s="11" t="s">
        <v>10</v>
      </c>
      <c r="Q9" s="11"/>
      <c r="R9" s="11" t="s">
        <v>10</v>
      </c>
      <c r="S9" s="11"/>
      <c r="T9" s="11" t="s">
        <v>10</v>
      </c>
      <c r="U9" s="11"/>
      <c r="V9" s="11" t="s">
        <v>62</v>
      </c>
      <c r="W9" s="11"/>
      <c r="X9" s="11" t="s">
        <v>62</v>
      </c>
      <c r="Y9" s="11"/>
      <c r="Z9" s="11" t="s">
        <v>62</v>
      </c>
      <c r="AA9" s="11"/>
      <c r="AB9" s="11" t="s">
        <v>62</v>
      </c>
    </row>
    <row r="10" spans="2:20" ht="12.75">
      <c r="B10" s="1" t="s">
        <v>104</v>
      </c>
      <c r="D10" s="1" t="s">
        <v>42</v>
      </c>
      <c r="F10" s="1">
        <v>771</v>
      </c>
      <c r="H10" s="1">
        <v>771.2</v>
      </c>
      <c r="J10" s="1">
        <v>771.2</v>
      </c>
      <c r="L10" s="4">
        <v>771.13</v>
      </c>
      <c r="M10" s="4"/>
      <c r="N10" s="1">
        <v>8.57</v>
      </c>
      <c r="P10" s="1">
        <v>8.49</v>
      </c>
      <c r="R10" s="1">
        <v>8.54</v>
      </c>
      <c r="T10" s="1">
        <v>8.53</v>
      </c>
    </row>
    <row r="11" spans="2:20" ht="12.75">
      <c r="B11" s="1" t="s">
        <v>29</v>
      </c>
      <c r="D11" s="1" t="s">
        <v>43</v>
      </c>
      <c r="F11" s="12">
        <v>14476</v>
      </c>
      <c r="H11" s="12">
        <v>14642</v>
      </c>
      <c r="J11" s="12">
        <v>14570</v>
      </c>
      <c r="L11" s="5">
        <f>SUM(F11:K11)/3</f>
        <v>14562.666666666666</v>
      </c>
      <c r="M11" s="5"/>
      <c r="N11" s="1">
        <v>467</v>
      </c>
      <c r="P11" s="1">
        <v>327</v>
      </c>
      <c r="R11" s="1">
        <v>298</v>
      </c>
      <c r="T11" s="1">
        <v>364</v>
      </c>
    </row>
    <row r="12" spans="2:20" ht="12.75">
      <c r="B12" s="1" t="s">
        <v>5</v>
      </c>
      <c r="D12" s="1" t="s">
        <v>42</v>
      </c>
      <c r="F12" s="13">
        <f>174.86/454</f>
        <v>0.3851541850220265</v>
      </c>
      <c r="G12" s="14"/>
      <c r="H12" s="13">
        <f>27.98/454</f>
        <v>0.061629955947136564</v>
      </c>
      <c r="I12" s="14"/>
      <c r="J12" s="13">
        <f>34.98/454</f>
        <v>0.07704845814977973</v>
      </c>
      <c r="L12" s="13">
        <f>SUM(F12:K12)/3</f>
        <v>0.17461086637298093</v>
      </c>
      <c r="M12" s="13"/>
      <c r="N12" s="13">
        <f>791.08/454</f>
        <v>1.742466960352423</v>
      </c>
      <c r="O12" s="13"/>
      <c r="P12" s="13">
        <f>742.1/454</f>
        <v>1.634581497797357</v>
      </c>
      <c r="Q12" s="13"/>
      <c r="R12" s="13">
        <f>792.18/454</f>
        <v>1.7448898678414095</v>
      </c>
      <c r="T12" s="13">
        <f>SUM(N12:S12)/3</f>
        <v>1.7073127753303965</v>
      </c>
    </row>
    <row r="13" spans="2:20" ht="12.75">
      <c r="B13" s="1" t="s">
        <v>30</v>
      </c>
      <c r="D13" s="1" t="s">
        <v>44</v>
      </c>
      <c r="F13" s="4">
        <v>43.25</v>
      </c>
      <c r="G13" s="15"/>
      <c r="H13" s="4">
        <v>53.65</v>
      </c>
      <c r="I13" s="15"/>
      <c r="J13" s="4">
        <v>55.75</v>
      </c>
      <c r="L13" s="4">
        <f>SUM(F13:K13)/3</f>
        <v>50.88333333333333</v>
      </c>
      <c r="M13" s="4"/>
      <c r="N13" s="1">
        <v>0.2371</v>
      </c>
      <c r="O13" s="1" t="s">
        <v>33</v>
      </c>
      <c r="P13" s="1">
        <v>0.258</v>
      </c>
      <c r="Q13" s="1" t="s">
        <v>33</v>
      </c>
      <c r="R13" s="1">
        <v>0.2363</v>
      </c>
      <c r="T13" s="13">
        <f aca="true" t="shared" si="0" ref="T13:T20">SUM(N13:S13)/3</f>
        <v>0.24380000000000002</v>
      </c>
    </row>
    <row r="14" spans="2:20" ht="12.75">
      <c r="B14" s="1" t="s">
        <v>75</v>
      </c>
      <c r="D14" s="1" t="s">
        <v>44</v>
      </c>
      <c r="E14" s="2" t="s">
        <v>33</v>
      </c>
      <c r="F14" s="13">
        <v>0.03</v>
      </c>
      <c r="G14" s="16" t="s">
        <v>33</v>
      </c>
      <c r="H14" s="13">
        <v>0.03</v>
      </c>
      <c r="I14" s="16" t="s">
        <v>33</v>
      </c>
      <c r="J14" s="13">
        <v>0.03</v>
      </c>
      <c r="K14" s="2" t="s">
        <v>33</v>
      </c>
      <c r="L14" s="13">
        <v>0.015</v>
      </c>
      <c r="M14" s="13" t="s">
        <v>33</v>
      </c>
      <c r="N14" s="1">
        <v>0.0004</v>
      </c>
      <c r="O14" s="1" t="s">
        <v>33</v>
      </c>
      <c r="P14" s="1">
        <v>0.0004</v>
      </c>
      <c r="Q14" s="1" t="s">
        <v>33</v>
      </c>
      <c r="R14" s="1">
        <v>0.0004</v>
      </c>
      <c r="T14" s="20">
        <f t="shared" si="0"/>
        <v>0.0004</v>
      </c>
    </row>
    <row r="15" spans="2:20" ht="12.75">
      <c r="B15" s="1" t="s">
        <v>74</v>
      </c>
      <c r="D15" s="1" t="s">
        <v>44</v>
      </c>
      <c r="E15" s="2" t="s">
        <v>33</v>
      </c>
      <c r="F15" s="13">
        <v>0.2</v>
      </c>
      <c r="G15" s="16" t="s">
        <v>33</v>
      </c>
      <c r="H15" s="13">
        <v>0.2</v>
      </c>
      <c r="I15" s="16" t="s">
        <v>33</v>
      </c>
      <c r="J15" s="13">
        <v>0.2</v>
      </c>
      <c r="K15" s="2" t="s">
        <v>33</v>
      </c>
      <c r="L15" s="13">
        <v>0.101</v>
      </c>
      <c r="M15" s="13" t="s">
        <v>33</v>
      </c>
      <c r="N15" s="1">
        <v>0.002</v>
      </c>
      <c r="O15" s="13" t="s">
        <v>33</v>
      </c>
      <c r="P15" s="1">
        <v>0.001</v>
      </c>
      <c r="Q15" s="13" t="s">
        <v>33</v>
      </c>
      <c r="R15" s="1">
        <v>0.002</v>
      </c>
      <c r="T15" s="20">
        <f t="shared" si="0"/>
        <v>0.0016666666666666668</v>
      </c>
    </row>
    <row r="16" spans="2:20" ht="12.75">
      <c r="B16" s="1" t="s">
        <v>72</v>
      </c>
      <c r="D16" s="1" t="s">
        <v>44</v>
      </c>
      <c r="E16" s="2" t="s">
        <v>33</v>
      </c>
      <c r="F16" s="13">
        <v>0.2</v>
      </c>
      <c r="G16" s="16" t="s">
        <v>33</v>
      </c>
      <c r="H16" s="13">
        <v>0.2</v>
      </c>
      <c r="I16" s="16" t="s">
        <v>33</v>
      </c>
      <c r="J16" s="13">
        <v>0.2</v>
      </c>
      <c r="K16" s="2" t="s">
        <v>33</v>
      </c>
      <c r="L16" s="13">
        <v>0.101</v>
      </c>
      <c r="M16" s="13" t="s">
        <v>33</v>
      </c>
      <c r="N16" s="1">
        <v>0.002</v>
      </c>
      <c r="O16" s="13"/>
      <c r="P16" s="1">
        <v>0.002</v>
      </c>
      <c r="Q16" s="13" t="s">
        <v>33</v>
      </c>
      <c r="R16" s="1">
        <v>0.002</v>
      </c>
      <c r="T16" s="20">
        <f t="shared" si="0"/>
        <v>0.002</v>
      </c>
    </row>
    <row r="17" spans="2:20" ht="12.75">
      <c r="B17" s="1" t="s">
        <v>69</v>
      </c>
      <c r="D17" s="1" t="s">
        <v>44</v>
      </c>
      <c r="E17" s="2" t="s">
        <v>33</v>
      </c>
      <c r="F17" s="13">
        <v>0.2</v>
      </c>
      <c r="G17" s="16" t="s">
        <v>33</v>
      </c>
      <c r="H17" s="13">
        <v>0.2</v>
      </c>
      <c r="I17" s="16" t="s">
        <v>33</v>
      </c>
      <c r="J17" s="13">
        <v>0.2</v>
      </c>
      <c r="K17" s="2" t="s">
        <v>33</v>
      </c>
      <c r="L17" s="13">
        <v>0.101</v>
      </c>
      <c r="M17" s="13" t="s">
        <v>33</v>
      </c>
      <c r="N17" s="1">
        <v>0.002</v>
      </c>
      <c r="O17" s="13" t="s">
        <v>33</v>
      </c>
      <c r="P17" s="1">
        <v>0.002</v>
      </c>
      <c r="Q17" s="13" t="s">
        <v>33</v>
      </c>
      <c r="R17" s="1">
        <v>0.002</v>
      </c>
      <c r="T17" s="20">
        <f t="shared" si="0"/>
        <v>0.002</v>
      </c>
    </row>
    <row r="18" spans="2:20" ht="12.75">
      <c r="B18" s="1" t="s">
        <v>71</v>
      </c>
      <c r="D18" s="1" t="s">
        <v>44</v>
      </c>
      <c r="E18" s="2" t="s">
        <v>33</v>
      </c>
      <c r="F18" s="13">
        <v>0.2</v>
      </c>
      <c r="G18" s="16" t="s">
        <v>33</v>
      </c>
      <c r="H18" s="13">
        <v>0.2</v>
      </c>
      <c r="I18" s="16" t="s">
        <v>33</v>
      </c>
      <c r="J18" s="13">
        <v>0.2</v>
      </c>
      <c r="K18" s="2" t="s">
        <v>33</v>
      </c>
      <c r="L18" s="13">
        <v>0.101</v>
      </c>
      <c r="M18" s="13" t="s">
        <v>33</v>
      </c>
      <c r="N18" s="1">
        <v>0.002</v>
      </c>
      <c r="O18" s="13" t="s">
        <v>33</v>
      </c>
      <c r="P18" s="1">
        <v>0.002</v>
      </c>
      <c r="Q18" s="13" t="s">
        <v>33</v>
      </c>
      <c r="R18" s="1">
        <v>0.002</v>
      </c>
      <c r="T18" s="20">
        <f t="shared" si="0"/>
        <v>0.002</v>
      </c>
    </row>
    <row r="19" spans="2:20" ht="12.75">
      <c r="B19" s="1" t="s">
        <v>73</v>
      </c>
      <c r="D19" s="1" t="s">
        <v>44</v>
      </c>
      <c r="F19" s="13">
        <v>1.001</v>
      </c>
      <c r="G19" s="16"/>
      <c r="H19" s="13">
        <v>1.401</v>
      </c>
      <c r="I19" s="16"/>
      <c r="J19" s="13">
        <v>1.501</v>
      </c>
      <c r="K19" s="2"/>
      <c r="L19" s="13">
        <f>SUM(F19:K19)/3</f>
        <v>1.301</v>
      </c>
      <c r="M19" s="13"/>
      <c r="N19" s="1">
        <v>0.001</v>
      </c>
      <c r="O19" s="13" t="s">
        <v>33</v>
      </c>
      <c r="P19" s="1">
        <v>0.002</v>
      </c>
      <c r="Q19" s="13" t="s">
        <v>33</v>
      </c>
      <c r="R19" s="1">
        <v>0.002</v>
      </c>
      <c r="T19" s="20">
        <f t="shared" si="0"/>
        <v>0.0016666666666666668</v>
      </c>
    </row>
    <row r="20" spans="2:20" ht="12.75">
      <c r="B20" s="1" t="s">
        <v>68</v>
      </c>
      <c r="D20" s="1" t="s">
        <v>44</v>
      </c>
      <c r="E20" s="2" t="s">
        <v>33</v>
      </c>
      <c r="F20" s="13">
        <v>0.2</v>
      </c>
      <c r="G20" s="16" t="s">
        <v>33</v>
      </c>
      <c r="H20" s="13">
        <v>0.2</v>
      </c>
      <c r="I20" s="16" t="s">
        <v>33</v>
      </c>
      <c r="J20" s="13">
        <v>0.2</v>
      </c>
      <c r="K20" s="2" t="s">
        <v>33</v>
      </c>
      <c r="L20" s="13">
        <f>SUM(F20:K20)/3</f>
        <v>0.20000000000000004</v>
      </c>
      <c r="M20" s="13" t="s">
        <v>33</v>
      </c>
      <c r="N20" s="1">
        <v>0.002</v>
      </c>
      <c r="O20" s="13" t="s">
        <v>33</v>
      </c>
      <c r="P20" s="1">
        <v>0.002</v>
      </c>
      <c r="Q20" s="13" t="s">
        <v>33</v>
      </c>
      <c r="R20" s="1">
        <v>0.002</v>
      </c>
      <c r="T20" s="20">
        <f t="shared" si="0"/>
        <v>0.002</v>
      </c>
    </row>
    <row r="21" ht="12.75" customHeight="1"/>
    <row r="22" spans="2:27" ht="12.75">
      <c r="B22" s="1" t="s">
        <v>27</v>
      </c>
      <c r="D22" s="1" t="s">
        <v>12</v>
      </c>
      <c r="F22" s="1">
        <v>3200</v>
      </c>
      <c r="H22" s="1">
        <v>3100</v>
      </c>
      <c r="J22" s="1">
        <v>3200</v>
      </c>
      <c r="L22" s="4">
        <v>3233.3333333333335</v>
      </c>
      <c r="M22" s="4"/>
      <c r="N22" s="1">
        <v>3200</v>
      </c>
      <c r="O22" s="2"/>
      <c r="P22" s="1">
        <v>3100</v>
      </c>
      <c r="Q22" s="2"/>
      <c r="R22" s="1">
        <v>3200</v>
      </c>
      <c r="T22" s="4">
        <v>3233.3333333333335</v>
      </c>
      <c r="U22" s="4"/>
      <c r="V22" s="4"/>
      <c r="W22" s="4"/>
      <c r="X22" s="4"/>
      <c r="Y22" s="4"/>
      <c r="Z22" s="4"/>
      <c r="AA22" s="4"/>
    </row>
    <row r="23" spans="2:27" ht="12.75">
      <c r="B23" s="1" t="s">
        <v>6</v>
      </c>
      <c r="D23" s="1" t="s">
        <v>13</v>
      </c>
      <c r="F23" s="1">
        <v>8.25</v>
      </c>
      <c r="H23" s="1">
        <v>8.05</v>
      </c>
      <c r="J23" s="1">
        <v>8.4</v>
      </c>
      <c r="L23" s="4">
        <v>8.166666666666666</v>
      </c>
      <c r="M23" s="4"/>
      <c r="N23" s="1">
        <v>8.25</v>
      </c>
      <c r="O23" s="2"/>
      <c r="P23" s="1">
        <v>8.05</v>
      </c>
      <c r="Q23" s="2"/>
      <c r="R23" s="1">
        <v>8.4</v>
      </c>
      <c r="T23" s="4">
        <v>8.166666666666666</v>
      </c>
      <c r="U23" s="4"/>
      <c r="V23" s="4"/>
      <c r="W23" s="4"/>
      <c r="X23" s="4"/>
      <c r="Y23" s="4"/>
      <c r="Z23" s="4"/>
      <c r="AA23" s="4"/>
    </row>
    <row r="24" ht="12.75" customHeight="1"/>
    <row r="25" spans="2:28" ht="12.75">
      <c r="B25" s="1" t="s">
        <v>102</v>
      </c>
      <c r="D25" s="1" t="s">
        <v>133</v>
      </c>
      <c r="F25" s="4">
        <f>F10*F11/1000000</f>
        <v>11.160996</v>
      </c>
      <c r="G25" s="15"/>
      <c r="H25" s="4">
        <f>H10*H11/1000000</f>
        <v>11.2919104</v>
      </c>
      <c r="I25" s="15"/>
      <c r="J25" s="4">
        <f>J10*J11/1000000</f>
        <v>11.236384</v>
      </c>
      <c r="K25" s="4"/>
      <c r="L25" s="4">
        <f>SUM(F25:K25)/3</f>
        <v>11.229763466666668</v>
      </c>
      <c r="M25" s="4"/>
      <c r="N25" s="18">
        <f>N10*N11/1000000</f>
        <v>0.00400219</v>
      </c>
      <c r="O25" s="14"/>
      <c r="P25" s="18">
        <f>P10*P11/1000000</f>
        <v>0.00277623</v>
      </c>
      <c r="Q25" s="14"/>
      <c r="R25" s="18">
        <f>R10*R11/1000000</f>
        <v>0.0025449199999999996</v>
      </c>
      <c r="S25" s="18"/>
      <c r="T25" s="18">
        <f>SUM(N25:S25)/3</f>
        <v>0.0031077799999999997</v>
      </c>
      <c r="V25" s="18">
        <f>SUM(N25,F25)</f>
        <v>11.16499819</v>
      </c>
      <c r="X25" s="18">
        <f>SUM(P25,H25)</f>
        <v>11.294686630000001</v>
      </c>
      <c r="Z25" s="18">
        <f>SUM(R25,J25)</f>
        <v>11.23892892</v>
      </c>
      <c r="AB25" s="18">
        <f>SUM(T25,L25)</f>
        <v>11.232871246666669</v>
      </c>
    </row>
    <row r="26" spans="2:28" ht="12.75">
      <c r="B26" s="1" t="s">
        <v>135</v>
      </c>
      <c r="D26" s="1" t="s">
        <v>133</v>
      </c>
      <c r="F26" s="4"/>
      <c r="G26" s="15"/>
      <c r="H26" s="4"/>
      <c r="I26" s="15"/>
      <c r="J26" s="4"/>
      <c r="K26" s="4"/>
      <c r="AB26" s="4">
        <f>L22/9000*(21-L23)/21*60</f>
        <v>13.172839506172842</v>
      </c>
    </row>
    <row r="27" spans="6:28" ht="12.75">
      <c r="F27" s="4"/>
      <c r="G27" s="15"/>
      <c r="H27" s="4"/>
      <c r="I27" s="15"/>
      <c r="J27" s="4"/>
      <c r="K27" s="4"/>
      <c r="AB27" s="4"/>
    </row>
    <row r="28" spans="2:28" ht="12.75">
      <c r="B28" s="17" t="s">
        <v>67</v>
      </c>
      <c r="C28" s="17"/>
      <c r="F28" s="4"/>
      <c r="G28" s="15"/>
      <c r="H28" s="4"/>
      <c r="I28" s="15"/>
      <c r="J28" s="4"/>
      <c r="K28" s="4"/>
      <c r="AB28" s="4"/>
    </row>
    <row r="29" spans="2:28" ht="12.75">
      <c r="B29" s="1" t="s">
        <v>5</v>
      </c>
      <c r="D29" s="1" t="s">
        <v>11</v>
      </c>
      <c r="F29" s="4">
        <f>(F12*453.6/60/F22*35.31*1000)*14/(21-F23)</f>
        <v>35.27946632029023</v>
      </c>
      <c r="G29" s="15"/>
      <c r="H29" s="4">
        <f>(H12*453.6/60/H22*35.31*1000)*14/(21-H23)</f>
        <v>5.737305077025299</v>
      </c>
      <c r="I29" s="15"/>
      <c r="J29" s="4">
        <f>(J12*453.6/60/J22*35.31*1000)*14/(21-J23)</f>
        <v>7.141525275330396</v>
      </c>
      <c r="K29" s="4"/>
      <c r="L29" s="4">
        <f aca="true" t="shared" si="1" ref="L29:L37">AVERAGE(F29,H29,J29)</f>
        <v>16.052765557548643</v>
      </c>
      <c r="M29" s="4"/>
      <c r="N29" s="4">
        <f>(N12*453.6/60/N22*35.31*1000)*14/(21-N23)</f>
        <v>159.60700112464372</v>
      </c>
      <c r="O29" s="15"/>
      <c r="P29" s="4">
        <f>(P12*453.6/60/P22*35.31*1000)*14/(21-P23)</f>
        <v>152.16776617800124</v>
      </c>
      <c r="Q29" s="15"/>
      <c r="R29" s="4">
        <f>(R12*453.6/60/R22*35.31*1000)*14/(21-R23)</f>
        <v>161.73166073788548</v>
      </c>
      <c r="S29" s="4"/>
      <c r="T29" s="4">
        <f aca="true" t="shared" si="2" ref="T29:T37">AVERAGE(N29,P29,R29)</f>
        <v>157.83547601351015</v>
      </c>
      <c r="U29" s="5">
        <f aca="true" t="shared" si="3" ref="U29:U37">SUM(M29*N29,E29*F29)/V29</f>
        <v>0</v>
      </c>
      <c r="V29" s="4">
        <f>SUM(N29,F29)</f>
        <v>194.88646744493394</v>
      </c>
      <c r="W29" s="5">
        <f aca="true" t="shared" si="4" ref="W29:W37">SUM(O29*P29,G29*H29)/X29</f>
        <v>0</v>
      </c>
      <c r="X29" s="4">
        <f>SUM(P29,H29)</f>
        <v>157.90507125502654</v>
      </c>
      <c r="Y29" s="5">
        <f aca="true" t="shared" si="5" ref="Y29:Y37">SUM(Q29*R29,I29*J29)/Z29</f>
        <v>0</v>
      </c>
      <c r="Z29" s="4">
        <f>SUM(R29,J29)</f>
        <v>168.87318601321587</v>
      </c>
      <c r="AA29" s="4"/>
      <c r="AB29" s="4">
        <f aca="true" t="shared" si="6" ref="AB29:AB37">AVERAGE(V29,X29,Z29)</f>
        <v>173.88824157105878</v>
      </c>
    </row>
    <row r="30" spans="2:28" ht="12.75">
      <c r="B30" s="1" t="s">
        <v>30</v>
      </c>
      <c r="D30" s="1" t="s">
        <v>9</v>
      </c>
      <c r="F30" s="4">
        <f>F13/60/F22*35.31*1000000*14/(21-F23)</f>
        <v>8733.74387254902</v>
      </c>
      <c r="G30" s="15"/>
      <c r="H30" s="4">
        <f>H13/60/H22*35.31*1000000*14/(21-H23)</f>
        <v>11010.645161290324</v>
      </c>
      <c r="I30" s="15"/>
      <c r="J30" s="4">
        <f>J13/60/J22*35.31*1000000*14/(21-J23)</f>
        <v>11391.970486111113</v>
      </c>
      <c r="K30" s="4"/>
      <c r="L30" s="4">
        <f t="shared" si="1"/>
        <v>10378.786506650153</v>
      </c>
      <c r="M30" s="4"/>
      <c r="N30" s="4">
        <f>N13/60/N22*35.31*1000000*14/(21-N23)</f>
        <v>47.879090686274516</v>
      </c>
      <c r="O30" s="2">
        <v>100</v>
      </c>
      <c r="P30" s="4">
        <f>P13/60/P22*35.31*1000000*14/(21-P23)</f>
        <v>52.94960767218832</v>
      </c>
      <c r="Q30" s="2">
        <v>100</v>
      </c>
      <c r="R30" s="4">
        <f>R13/60/R22*35.31*1000000*14/(21-R23)</f>
        <v>48.28560763888889</v>
      </c>
      <c r="S30" s="5">
        <f aca="true" t="shared" si="7" ref="S30:S37">AVERAGE(M30*N30,O30*P30,Q30*R30)/T30</f>
        <v>67.89101463737164</v>
      </c>
      <c r="T30" s="4">
        <f t="shared" si="2"/>
        <v>49.70476866578391</v>
      </c>
      <c r="U30" s="5">
        <f t="shared" si="3"/>
        <v>0</v>
      </c>
      <c r="V30" s="4">
        <f aca="true" t="shared" si="8" ref="V30:V37">SUM(N30,F30)</f>
        <v>8781.622963235293</v>
      </c>
      <c r="W30" s="5">
        <f t="shared" si="4"/>
        <v>0.47859315871484753</v>
      </c>
      <c r="X30" s="4">
        <f aca="true" t="shared" si="9" ref="X30:X37">SUM(P30,H30)</f>
        <v>11063.594768962512</v>
      </c>
      <c r="Y30" s="5">
        <f t="shared" si="5"/>
        <v>0.4220675415235512</v>
      </c>
      <c r="Z30" s="4">
        <f aca="true" t="shared" si="10" ref="Z30:Z37">SUM(R30,J30)</f>
        <v>11440.256093750002</v>
      </c>
      <c r="AA30" s="5">
        <f aca="true" t="shared" si="11" ref="AA30:AA37">AVERAGE(U30*V30,W30*X30,Y30*Z30)/AB30</f>
        <v>0.3235853670437745</v>
      </c>
      <c r="AB30" s="4">
        <f t="shared" si="6"/>
        <v>10428.491275315935</v>
      </c>
    </row>
    <row r="31" spans="2:28" ht="12.75">
      <c r="B31" s="1" t="s">
        <v>75</v>
      </c>
      <c r="D31" s="1" t="s">
        <v>9</v>
      </c>
      <c r="E31" s="2">
        <v>100</v>
      </c>
      <c r="F31" s="4">
        <f>F14/60/F22*35.31*1000000*14/(21-F23)</f>
        <v>6.058088235294119</v>
      </c>
      <c r="G31" s="2">
        <v>100</v>
      </c>
      <c r="H31" s="4">
        <f>H14/60/H22*35.31*1000000*14/(21-H23)</f>
        <v>6.156931124673061</v>
      </c>
      <c r="I31" s="2">
        <v>100</v>
      </c>
      <c r="J31" s="4">
        <f>J14/60/J22*35.31*1000000*14/(21-J23)</f>
        <v>6.130208333333336</v>
      </c>
      <c r="K31" s="2">
        <v>100</v>
      </c>
      <c r="L31" s="4">
        <f t="shared" si="1"/>
        <v>6.115075897766839</v>
      </c>
      <c r="M31" s="2">
        <v>100</v>
      </c>
      <c r="N31" s="4">
        <f>N14/60/N22*35.31*1000000*14/(21-N23)</f>
        <v>0.08077450980392158</v>
      </c>
      <c r="O31" s="2">
        <v>100</v>
      </c>
      <c r="P31" s="4">
        <f>P14/60/P22*35.31*1000000*14/(21-P23)</f>
        <v>0.08209241499564081</v>
      </c>
      <c r="Q31" s="2">
        <v>100</v>
      </c>
      <c r="R31" s="4">
        <f>R14/60/R22*35.31*1000000*14/(21-R23)</f>
        <v>0.08173611111111112</v>
      </c>
      <c r="S31" s="5">
        <f t="shared" si="7"/>
        <v>99.99999999999999</v>
      </c>
      <c r="T31" s="4">
        <f t="shared" si="2"/>
        <v>0.08153434530355784</v>
      </c>
      <c r="U31" s="5">
        <f t="shared" si="3"/>
        <v>100.00000000000001</v>
      </c>
      <c r="V31" s="4">
        <f t="shared" si="8"/>
        <v>6.138862745098041</v>
      </c>
      <c r="W31" s="5">
        <f t="shared" si="4"/>
        <v>100</v>
      </c>
      <c r="X31" s="4">
        <f t="shared" si="9"/>
        <v>6.239023539668702</v>
      </c>
      <c r="Y31" s="5">
        <f t="shared" si="5"/>
        <v>100</v>
      </c>
      <c r="Z31" s="4">
        <f t="shared" si="10"/>
        <v>6.2119444444444465</v>
      </c>
      <c r="AA31" s="5">
        <f t="shared" si="11"/>
        <v>100.00000000000001</v>
      </c>
      <c r="AB31" s="4">
        <f t="shared" si="6"/>
        <v>6.1966102430703955</v>
      </c>
    </row>
    <row r="32" spans="2:28" ht="12.75">
      <c r="B32" s="1" t="s">
        <v>74</v>
      </c>
      <c r="D32" s="1" t="s">
        <v>9</v>
      </c>
      <c r="E32" s="2">
        <v>100</v>
      </c>
      <c r="F32" s="4">
        <f>F15/60/F22*35.31*1000000*14/(21-F23)</f>
        <v>40.38725490196079</v>
      </c>
      <c r="G32" s="2">
        <v>100</v>
      </c>
      <c r="H32" s="4">
        <f>H15/60/H22*35.31*1000000*14/(21-H23)</f>
        <v>41.0462074978204</v>
      </c>
      <c r="I32" s="2">
        <v>100</v>
      </c>
      <c r="J32" s="4">
        <f>J15/60/J22*35.31*1000000*14/(21-J23)</f>
        <v>40.86805555555556</v>
      </c>
      <c r="K32" s="2">
        <v>100</v>
      </c>
      <c r="L32" s="4">
        <f t="shared" si="1"/>
        <v>40.767172651778914</v>
      </c>
      <c r="M32" s="2">
        <v>100</v>
      </c>
      <c r="N32" s="4">
        <f>N15/60/N22*35.31*1000000*14/(21-N23)</f>
        <v>0.4038725490196079</v>
      </c>
      <c r="O32" s="4"/>
      <c r="P32" s="4">
        <f>P15/60/P22*35.31*1000000*14/(21-P23)</f>
        <v>0.20523103748910201</v>
      </c>
      <c r="Q32" s="2">
        <v>100</v>
      </c>
      <c r="R32" s="4">
        <f>R15/60/R22*35.31*1000000*14/(21-R23)</f>
        <v>0.40868055555555566</v>
      </c>
      <c r="S32" s="5">
        <f t="shared" si="7"/>
        <v>79.83550450365111</v>
      </c>
      <c r="T32" s="4">
        <f t="shared" si="2"/>
        <v>0.3392613806880885</v>
      </c>
      <c r="U32" s="5">
        <f t="shared" si="3"/>
        <v>99.99999999999999</v>
      </c>
      <c r="V32" s="4">
        <f t="shared" si="8"/>
        <v>40.7911274509804</v>
      </c>
      <c r="W32" s="5">
        <f t="shared" si="4"/>
        <v>99.50248756218906</v>
      </c>
      <c r="X32" s="4">
        <f t="shared" si="9"/>
        <v>41.2514385353095</v>
      </c>
      <c r="Y32" s="5">
        <f t="shared" si="5"/>
        <v>100</v>
      </c>
      <c r="Z32" s="4">
        <f t="shared" si="10"/>
        <v>41.27673611111111</v>
      </c>
      <c r="AA32" s="5">
        <f t="shared" si="11"/>
        <v>99.83357752274092</v>
      </c>
      <c r="AB32" s="4">
        <f t="shared" si="6"/>
        <v>41.10643403246701</v>
      </c>
    </row>
    <row r="33" spans="2:28" ht="12.75">
      <c r="B33" s="1" t="s">
        <v>72</v>
      </c>
      <c r="D33" s="1" t="s">
        <v>9</v>
      </c>
      <c r="E33" s="2">
        <v>100</v>
      </c>
      <c r="F33" s="4">
        <f>F16/60/F22*35.31*1000000*14/(21-F23)</f>
        <v>40.38725490196079</v>
      </c>
      <c r="G33" s="2">
        <v>100</v>
      </c>
      <c r="H33" s="4">
        <f>H16/60/H22*35.31*1000000*14/(21-H23)</f>
        <v>41.0462074978204</v>
      </c>
      <c r="I33" s="2">
        <v>100</v>
      </c>
      <c r="J33" s="4">
        <f>J16/60/J22*35.31*1000000*14/(21-J23)</f>
        <v>40.86805555555556</v>
      </c>
      <c r="K33" s="2">
        <v>100</v>
      </c>
      <c r="L33" s="4">
        <f t="shared" si="1"/>
        <v>40.767172651778914</v>
      </c>
      <c r="M33" s="2">
        <v>100</v>
      </c>
      <c r="N33" s="4">
        <f>N16/60/N22*35.31*1000000*14/(21-N23)</f>
        <v>0.4038725490196079</v>
      </c>
      <c r="O33" s="2">
        <v>100</v>
      </c>
      <c r="P33" s="4">
        <f>P16/60/P22*35.31*1000000*14/(21-P23)</f>
        <v>0.41046207497820403</v>
      </c>
      <c r="Q33" s="2">
        <v>100</v>
      </c>
      <c r="R33" s="4">
        <f>R16/60/R22*35.31*1000000*14/(21-R23)</f>
        <v>0.40868055555555566</v>
      </c>
      <c r="S33" s="5">
        <f t="shared" si="7"/>
        <v>99.99999999999999</v>
      </c>
      <c r="T33" s="4">
        <f t="shared" si="2"/>
        <v>0.4076717265177892</v>
      </c>
      <c r="U33" s="5">
        <f t="shared" si="3"/>
        <v>99.99999999999999</v>
      </c>
      <c r="V33" s="4">
        <f t="shared" si="8"/>
        <v>40.7911274509804</v>
      </c>
      <c r="W33" s="5">
        <f t="shared" si="4"/>
        <v>100</v>
      </c>
      <c r="X33" s="4">
        <f t="shared" si="9"/>
        <v>41.4566695727986</v>
      </c>
      <c r="Y33" s="5">
        <f t="shared" si="5"/>
        <v>100</v>
      </c>
      <c r="Z33" s="4">
        <f t="shared" si="10"/>
        <v>41.27673611111111</v>
      </c>
      <c r="AA33" s="5">
        <f t="shared" si="11"/>
        <v>100</v>
      </c>
      <c r="AB33" s="4">
        <f t="shared" si="6"/>
        <v>41.174844378296704</v>
      </c>
    </row>
    <row r="34" spans="2:28" ht="12.75">
      <c r="B34" s="1" t="s">
        <v>69</v>
      </c>
      <c r="D34" s="1" t="s">
        <v>9</v>
      </c>
      <c r="E34" s="2">
        <v>100</v>
      </c>
      <c r="F34" s="4">
        <f>F17/60/F22*35.31*1000000*14/(21-F23)</f>
        <v>40.38725490196079</v>
      </c>
      <c r="G34" s="2">
        <v>100</v>
      </c>
      <c r="H34" s="4">
        <f>H17/60/H22*35.31*1000000*14/(21-H23)</f>
        <v>41.0462074978204</v>
      </c>
      <c r="I34" s="2">
        <v>100</v>
      </c>
      <c r="J34" s="4">
        <f>J17/60/J22*35.31*1000000*14/(21-J23)</f>
        <v>40.86805555555556</v>
      </c>
      <c r="K34" s="2">
        <v>100</v>
      </c>
      <c r="L34" s="4">
        <f t="shared" si="1"/>
        <v>40.767172651778914</v>
      </c>
      <c r="M34" s="2">
        <v>100</v>
      </c>
      <c r="N34" s="4">
        <f>N17/60/N22*35.31*1000000*14/(21-N23)</f>
        <v>0.4038725490196079</v>
      </c>
      <c r="O34" s="2">
        <v>100</v>
      </c>
      <c r="P34" s="4">
        <f>P17/60/P22*35.31*1000000*14/(21-P23)</f>
        <v>0.41046207497820403</v>
      </c>
      <c r="Q34" s="2">
        <v>100</v>
      </c>
      <c r="R34" s="4">
        <f>R17/60/R22*35.31*1000000*14/(21-R23)</f>
        <v>0.40868055555555566</v>
      </c>
      <c r="S34" s="5">
        <f t="shared" si="7"/>
        <v>99.99999999999999</v>
      </c>
      <c r="T34" s="4">
        <f t="shared" si="2"/>
        <v>0.4076717265177892</v>
      </c>
      <c r="U34" s="5">
        <f t="shared" si="3"/>
        <v>99.99999999999999</v>
      </c>
      <c r="V34" s="4">
        <f t="shared" si="8"/>
        <v>40.7911274509804</v>
      </c>
      <c r="W34" s="5">
        <f t="shared" si="4"/>
        <v>100</v>
      </c>
      <c r="X34" s="4">
        <f t="shared" si="9"/>
        <v>41.4566695727986</v>
      </c>
      <c r="Y34" s="5">
        <f t="shared" si="5"/>
        <v>100</v>
      </c>
      <c r="Z34" s="4">
        <f t="shared" si="10"/>
        <v>41.27673611111111</v>
      </c>
      <c r="AA34" s="5">
        <f t="shared" si="11"/>
        <v>100</v>
      </c>
      <c r="AB34" s="4">
        <f t="shared" si="6"/>
        <v>41.174844378296704</v>
      </c>
    </row>
    <row r="35" spans="2:28" ht="12.75">
      <c r="B35" s="1" t="s">
        <v>71</v>
      </c>
      <c r="D35" s="1" t="s">
        <v>9</v>
      </c>
      <c r="E35" s="2">
        <v>100</v>
      </c>
      <c r="F35" s="4">
        <f>F18/60/F22*35.31*1000000*14/(21-F23)</f>
        <v>40.38725490196079</v>
      </c>
      <c r="G35" s="2">
        <v>100</v>
      </c>
      <c r="H35" s="4">
        <f>H18/60/H22*35.31*1000000*14/(21-H23)</f>
        <v>41.0462074978204</v>
      </c>
      <c r="I35" s="2">
        <v>100</v>
      </c>
      <c r="J35" s="4">
        <f>J18/60/J22*35.31*1000000*14/(21-J23)</f>
        <v>40.86805555555556</v>
      </c>
      <c r="K35" s="2">
        <v>100</v>
      </c>
      <c r="L35" s="4">
        <f t="shared" si="1"/>
        <v>40.767172651778914</v>
      </c>
      <c r="M35" s="2">
        <v>100</v>
      </c>
      <c r="N35" s="4">
        <f>N18/60/N22*35.31*1000000*14/(21-N23)</f>
        <v>0.4038725490196079</v>
      </c>
      <c r="O35" s="2">
        <v>100</v>
      </c>
      <c r="P35" s="4">
        <f>P18/60/P22*35.31*1000000*14/(21-P23)</f>
        <v>0.41046207497820403</v>
      </c>
      <c r="Q35" s="2">
        <v>100</v>
      </c>
      <c r="R35" s="4">
        <f>R18/60/R22*35.31*1000000*14/(21-R23)</f>
        <v>0.40868055555555566</v>
      </c>
      <c r="S35" s="5">
        <f t="shared" si="7"/>
        <v>99.99999999999999</v>
      </c>
      <c r="T35" s="4">
        <f t="shared" si="2"/>
        <v>0.4076717265177892</v>
      </c>
      <c r="U35" s="5">
        <f t="shared" si="3"/>
        <v>99.99999999999999</v>
      </c>
      <c r="V35" s="4">
        <f t="shared" si="8"/>
        <v>40.7911274509804</v>
      </c>
      <c r="W35" s="5">
        <f t="shared" si="4"/>
        <v>100</v>
      </c>
      <c r="X35" s="4">
        <f t="shared" si="9"/>
        <v>41.4566695727986</v>
      </c>
      <c r="Y35" s="5">
        <f t="shared" si="5"/>
        <v>100</v>
      </c>
      <c r="Z35" s="4">
        <f t="shared" si="10"/>
        <v>41.27673611111111</v>
      </c>
      <c r="AA35" s="5">
        <f t="shared" si="11"/>
        <v>100</v>
      </c>
      <c r="AB35" s="4">
        <f t="shared" si="6"/>
        <v>41.174844378296704</v>
      </c>
    </row>
    <row r="36" spans="2:28" ht="12.75">
      <c r="B36" s="1" t="s">
        <v>73</v>
      </c>
      <c r="D36" s="1" t="s">
        <v>9</v>
      </c>
      <c r="F36" s="4">
        <f>F19/60/F22*35.31*1000000*14/(21-F23)</f>
        <v>202.13821078431369</v>
      </c>
      <c r="H36" s="4">
        <f>H19/60/H22*35.31*1000000*14/(21-H23)</f>
        <v>287.528683522232</v>
      </c>
      <c r="J36" s="4">
        <f>J19/60/J22*35.31*1000000*14/(21-J23)</f>
        <v>306.71475694444445</v>
      </c>
      <c r="K36" s="2"/>
      <c r="L36" s="4">
        <f t="shared" si="1"/>
        <v>265.4605504169967</v>
      </c>
      <c r="M36" s="13"/>
      <c r="N36" s="4">
        <f>N19/60/N22*35.31*1000000*14/(21-N23)</f>
        <v>0.20193627450980395</v>
      </c>
      <c r="O36" s="2">
        <v>100</v>
      </c>
      <c r="P36" s="4">
        <f>P19/60/P22*35.31*1000000*14/(21-P23)</f>
        <v>0.41046207497820403</v>
      </c>
      <c r="Q36" s="2">
        <v>100</v>
      </c>
      <c r="R36" s="4">
        <f>R19/60/R22*35.31*1000000*14/(21-R23)</f>
        <v>0.40868055555555566</v>
      </c>
      <c r="S36" s="5">
        <f t="shared" si="7"/>
        <v>80.22324489201073</v>
      </c>
      <c r="T36" s="4">
        <f t="shared" si="2"/>
        <v>0.3403596350145212</v>
      </c>
      <c r="U36" s="5">
        <f t="shared" si="3"/>
        <v>0</v>
      </c>
      <c r="V36" s="4">
        <f t="shared" si="8"/>
        <v>202.34014705882348</v>
      </c>
      <c r="W36" s="5">
        <f t="shared" si="4"/>
        <v>0.14255167498218102</v>
      </c>
      <c r="X36" s="4">
        <f t="shared" si="9"/>
        <v>287.9391455972102</v>
      </c>
      <c r="Y36" s="5">
        <f t="shared" si="5"/>
        <v>0.13306719893546243</v>
      </c>
      <c r="Z36" s="4">
        <f t="shared" si="10"/>
        <v>307.1234375</v>
      </c>
      <c r="AA36" s="5">
        <f t="shared" si="11"/>
        <v>0.10272633884429665</v>
      </c>
      <c r="AB36" s="4">
        <f t="shared" si="6"/>
        <v>265.80091005201126</v>
      </c>
    </row>
    <row r="37" spans="2:28" ht="12.75">
      <c r="B37" s="1" t="s">
        <v>68</v>
      </c>
      <c r="D37" s="1" t="s">
        <v>9</v>
      </c>
      <c r="E37" s="2">
        <v>100</v>
      </c>
      <c r="F37" s="4">
        <f>F20/60/F22*35.31*1000000*14/(21-F23)</f>
        <v>40.38725490196079</v>
      </c>
      <c r="G37" s="2">
        <v>100</v>
      </c>
      <c r="H37" s="4">
        <f>H20/60/H22*35.31*1000000*14/(21-H23)</f>
        <v>41.0462074978204</v>
      </c>
      <c r="I37" s="2">
        <v>100</v>
      </c>
      <c r="J37" s="4">
        <f>J20/60/J22*35.31*1000000*14/(21-J23)</f>
        <v>40.86805555555556</v>
      </c>
      <c r="K37" s="2">
        <v>100</v>
      </c>
      <c r="L37" s="4">
        <f t="shared" si="1"/>
        <v>40.767172651778914</v>
      </c>
      <c r="M37" s="2">
        <v>100</v>
      </c>
      <c r="N37" s="4">
        <f>N20/60/N22*35.31*1000000*14/(21-N23)</f>
        <v>0.4038725490196079</v>
      </c>
      <c r="O37" s="2">
        <v>100</v>
      </c>
      <c r="P37" s="4">
        <f>P20/60/P22*35.31*1000000*14/(21-P23)</f>
        <v>0.41046207497820403</v>
      </c>
      <c r="Q37" s="2">
        <v>100</v>
      </c>
      <c r="R37" s="4">
        <f>R20/60/R22*35.31*1000000*14/(21-R23)</f>
        <v>0.40868055555555566</v>
      </c>
      <c r="S37" s="5">
        <f t="shared" si="7"/>
        <v>99.99999999999999</v>
      </c>
      <c r="T37" s="4">
        <f t="shared" si="2"/>
        <v>0.4076717265177892</v>
      </c>
      <c r="U37" s="5">
        <f t="shared" si="3"/>
        <v>99.99999999999999</v>
      </c>
      <c r="V37" s="4">
        <f t="shared" si="8"/>
        <v>40.7911274509804</v>
      </c>
      <c r="W37" s="5">
        <f t="shared" si="4"/>
        <v>100</v>
      </c>
      <c r="X37" s="4">
        <f t="shared" si="9"/>
        <v>41.4566695727986</v>
      </c>
      <c r="Y37" s="5">
        <f t="shared" si="5"/>
        <v>100</v>
      </c>
      <c r="Z37" s="4">
        <f t="shared" si="10"/>
        <v>41.27673611111111</v>
      </c>
      <c r="AA37" s="5">
        <f t="shared" si="11"/>
        <v>100</v>
      </c>
      <c r="AB37" s="4">
        <f t="shared" si="6"/>
        <v>41.174844378296704</v>
      </c>
    </row>
    <row r="38" spans="6:28" ht="12.75">
      <c r="F38" s="4"/>
      <c r="H38" s="4"/>
      <c r="J38" s="4"/>
      <c r="K38" s="2"/>
      <c r="L38" s="4"/>
      <c r="M38" s="2"/>
      <c r="N38" s="4"/>
      <c r="O38" s="2"/>
      <c r="P38" s="4"/>
      <c r="Q38" s="2"/>
      <c r="R38" s="4"/>
      <c r="S38" s="15"/>
      <c r="T38" s="4"/>
      <c r="U38" s="4"/>
      <c r="V38" s="4"/>
      <c r="W38" s="4"/>
      <c r="X38" s="4"/>
      <c r="Y38" s="4"/>
      <c r="Z38" s="4"/>
      <c r="AA38" s="4"/>
      <c r="AB38" s="4"/>
    </row>
    <row r="39" spans="2:28" ht="12.75">
      <c r="B39" s="1" t="s">
        <v>3</v>
      </c>
      <c r="D39" s="1" t="s">
        <v>9</v>
      </c>
      <c r="E39" s="5">
        <f>SUM(E32*F32,E33*F33)/F39</f>
        <v>100</v>
      </c>
      <c r="F39" s="4">
        <f>SUM(F32:F33)</f>
        <v>80.77450980392157</v>
      </c>
      <c r="G39" s="5">
        <f>SUM(G32*H32,G33*H33)/H39</f>
        <v>100</v>
      </c>
      <c r="H39" s="4">
        <f>SUM(H32:H33)</f>
        <v>82.0924149956408</v>
      </c>
      <c r="I39" s="5">
        <f>SUM(I32*J32,I33*J33)/J39</f>
        <v>100</v>
      </c>
      <c r="J39" s="4">
        <f>SUM(J32:J33)</f>
        <v>81.73611111111111</v>
      </c>
      <c r="K39" s="5">
        <f>SUM(K32*L32,K33*L33)/L39</f>
        <v>100</v>
      </c>
      <c r="L39" s="4">
        <f>AVERAGE(F39,H39,J39)</f>
        <v>81.53434530355783</v>
      </c>
      <c r="M39" s="5">
        <f>SUM(M32*N32,M33*N33)/N39</f>
        <v>100</v>
      </c>
      <c r="N39" s="4">
        <f>SUM(N32:N33)</f>
        <v>0.8077450980392158</v>
      </c>
      <c r="O39" s="5">
        <f>SUM(O32*P32,O33*P33)/P39</f>
        <v>66.66666666666667</v>
      </c>
      <c r="P39" s="4">
        <f>SUM(P32:P33)</f>
        <v>0.6156931124673061</v>
      </c>
      <c r="Q39" s="5">
        <f>SUM(Q32*R32,Q33*R33)/R39</f>
        <v>100</v>
      </c>
      <c r="R39" s="4">
        <f>SUM(R32:R33)</f>
        <v>0.8173611111111113</v>
      </c>
      <c r="S39" s="5">
        <f>SUM(S32*T32,S33*T33)/T39</f>
        <v>90.84116834965184</v>
      </c>
      <c r="T39" s="4">
        <f>AVERAGE(N39,P39,R39)</f>
        <v>0.7469331072058778</v>
      </c>
      <c r="U39" s="5">
        <f>SUM(U32*V32,U33*V33)/V39</f>
        <v>99.99999999999999</v>
      </c>
      <c r="V39" s="4">
        <f>SUM(V32:V33)</f>
        <v>81.5822549019608</v>
      </c>
      <c r="W39" s="5">
        <f>SUM(W32*X32,W33*X33)/X39</f>
        <v>99.75186104218362</v>
      </c>
      <c r="X39" s="4">
        <f>SUM(P39,H39)</f>
        <v>82.7081081081081</v>
      </c>
      <c r="Y39" s="5">
        <f>SUM(Y32*Z32,Y33*Z33)/Z39</f>
        <v>100</v>
      </c>
      <c r="Z39" s="4">
        <f>SUM(R39,J39)</f>
        <v>82.55347222222223</v>
      </c>
      <c r="AA39" s="5">
        <f>SUM(AA32*AB32,AA33*AB33)/AB39</f>
        <v>99.91685794490432</v>
      </c>
      <c r="AB39" s="4">
        <f>AVERAGE(V39,X39,Z39)</f>
        <v>82.28127841076372</v>
      </c>
    </row>
    <row r="40" spans="2:28" ht="12.75">
      <c r="B40" s="1" t="s">
        <v>4</v>
      </c>
      <c r="D40" s="1" t="s">
        <v>9</v>
      </c>
      <c r="E40" s="5">
        <f>(E36*F36+E34*F34+E35*F35)/F40</f>
        <v>28.551034975017846</v>
      </c>
      <c r="F40" s="4">
        <f>F36+(F34+F35)</f>
        <v>282.9127205882353</v>
      </c>
      <c r="G40" s="5">
        <f>(G36*H36+G34*H34+G35*H35)/H40</f>
        <v>22.209883398112154</v>
      </c>
      <c r="H40" s="4">
        <f>H36+(H34+H35)</f>
        <v>369.6210985178728</v>
      </c>
      <c r="I40" s="5">
        <f>(I36*J36+I34*J34+I35*J35)/J40</f>
        <v>21.041557075223565</v>
      </c>
      <c r="J40" s="4">
        <f>J36+(J34+J35)</f>
        <v>388.4508680555556</v>
      </c>
      <c r="K40" s="5">
        <f>(K36*L36+K34*L34+K35*L35)/L40</f>
        <v>23.497275121078406</v>
      </c>
      <c r="L40" s="4">
        <f>AVERAGE(F40,H40,J40)</f>
        <v>346.99489572055455</v>
      </c>
      <c r="M40" s="5">
        <f>(M36*N36+M34*N34+M35*N35)/N40</f>
        <v>80</v>
      </c>
      <c r="N40" s="4">
        <f>N36+(N34+N35)</f>
        <v>1.0096813725490197</v>
      </c>
      <c r="O40" s="5">
        <f>(O36*P36+O34*P34+O35*P35)/P40</f>
        <v>100</v>
      </c>
      <c r="P40" s="4">
        <f>P36+(P34+P35)</f>
        <v>1.2313862249346121</v>
      </c>
      <c r="Q40" s="5">
        <f>(Q36*R36+Q34*R34+Q35*R35)/R40</f>
        <v>100</v>
      </c>
      <c r="R40" s="4">
        <f>R36+(R34+R35)</f>
        <v>1.226041666666667</v>
      </c>
      <c r="S40" s="5">
        <f>(S36*T36+S34*T34+S35*T35)/T40</f>
        <v>94.17565876570971</v>
      </c>
      <c r="T40" s="4">
        <f>AVERAGE(N40,P40,R40)</f>
        <v>1.1557030880500996</v>
      </c>
      <c r="U40" s="5">
        <f>(U36*V36+U34*V34+U35*V35)/V40</f>
        <v>28.733997155049792</v>
      </c>
      <c r="V40" s="4">
        <f>V36+(V34+V35)</f>
        <v>283.92240196078427</v>
      </c>
      <c r="W40" s="5">
        <f>(W36*X36+W34*X34+W35*X35)/X40</f>
        <v>22.46817930271167</v>
      </c>
      <c r="X40" s="4">
        <f>SUM(P40,H40)</f>
        <v>370.8524847428074</v>
      </c>
      <c r="Y40" s="5">
        <f>(Y36*Z36+Y34*Z34+Y35*Z35)/Z40</f>
        <v>21.289984268484528</v>
      </c>
      <c r="Z40" s="4">
        <f>SUM(R40,J40)</f>
        <v>389.67690972222226</v>
      </c>
      <c r="AA40" s="5">
        <f>(AA36*AB36+AA34*AB34+AA35*AB35)/AB40</f>
        <v>23.731895502361727</v>
      </c>
      <c r="AB40" s="4">
        <f>AVERAGE(V40,X40,Z40)</f>
        <v>348.1505988086046</v>
      </c>
    </row>
    <row r="42" spans="2:3" ht="12.75">
      <c r="B42" s="6" t="s">
        <v>78</v>
      </c>
      <c r="C42" s="6"/>
    </row>
    <row r="44" spans="2:13" ht="12.75">
      <c r="B44" s="1" t="s">
        <v>68</v>
      </c>
      <c r="D44" s="1" t="s">
        <v>44</v>
      </c>
      <c r="L44" s="4">
        <v>893</v>
      </c>
      <c r="M44" s="4"/>
    </row>
    <row r="45" spans="2:13" ht="12.75">
      <c r="B45" s="1" t="s">
        <v>69</v>
      </c>
      <c r="D45" s="1" t="s">
        <v>44</v>
      </c>
      <c r="L45" s="4">
        <v>6.84</v>
      </c>
      <c r="M45" s="4"/>
    </row>
    <row r="46" spans="2:13" ht="12.75">
      <c r="B46" s="1" t="s">
        <v>70</v>
      </c>
      <c r="D46" s="1" t="s">
        <v>44</v>
      </c>
      <c r="L46" s="4">
        <v>148760</v>
      </c>
      <c r="M46" s="4"/>
    </row>
    <row r="47" spans="2:13" ht="12.75">
      <c r="B47" s="1" t="s">
        <v>71</v>
      </c>
      <c r="D47" s="1" t="s">
        <v>44</v>
      </c>
      <c r="L47" s="4">
        <v>12.5</v>
      </c>
      <c r="M47" s="4"/>
    </row>
    <row r="48" spans="2:13" ht="12.75">
      <c r="B48" s="1" t="s">
        <v>72</v>
      </c>
      <c r="D48" s="1" t="s">
        <v>44</v>
      </c>
      <c r="L48" s="4">
        <v>16.66</v>
      </c>
      <c r="M48" s="4"/>
    </row>
    <row r="49" spans="2:13" ht="12.75">
      <c r="B49" s="1" t="s">
        <v>73</v>
      </c>
      <c r="D49" s="1" t="s">
        <v>44</v>
      </c>
      <c r="L49" s="4">
        <v>90.15</v>
      </c>
      <c r="M49" s="4"/>
    </row>
    <row r="50" spans="2:13" ht="12.75">
      <c r="B50" s="1" t="s">
        <v>74</v>
      </c>
      <c r="D50" s="1" t="s">
        <v>44</v>
      </c>
      <c r="L50" s="4">
        <v>268</v>
      </c>
      <c r="M50" s="4"/>
    </row>
    <row r="51" spans="2:13" ht="12.75">
      <c r="B51" s="1" t="s">
        <v>75</v>
      </c>
      <c r="D51" s="1" t="s">
        <v>44</v>
      </c>
      <c r="L51" s="4">
        <v>893</v>
      </c>
      <c r="M51" s="4"/>
    </row>
    <row r="52" spans="2:13" ht="12.75">
      <c r="B52" s="1" t="s">
        <v>76</v>
      </c>
      <c r="D52" s="1" t="s">
        <v>44</v>
      </c>
      <c r="L52" s="4">
        <v>8926</v>
      </c>
      <c r="M52" s="4"/>
    </row>
    <row r="53" spans="2:13" ht="12.75">
      <c r="B53" s="1" t="s">
        <v>77</v>
      </c>
      <c r="D53" s="1" t="s">
        <v>44</v>
      </c>
      <c r="L53" s="4">
        <v>1488</v>
      </c>
      <c r="M53" s="4"/>
    </row>
    <row r="54" spans="2:13" ht="12.75">
      <c r="B54" s="1" t="s">
        <v>30</v>
      </c>
      <c r="D54" s="1" t="s">
        <v>44</v>
      </c>
      <c r="L54" s="4">
        <v>1190</v>
      </c>
      <c r="M54" s="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G3" sqref="G3"/>
    </sheetView>
  </sheetViews>
  <sheetFormatPr defaultColWidth="9.140625" defaultRowHeight="12.75"/>
  <cols>
    <col min="1" max="1" width="21.8515625" style="1" customWidth="1"/>
    <col min="2" max="2" width="7.0039062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6" t="s">
        <v>31</v>
      </c>
    </row>
    <row r="4" spans="1:6" ht="12.75">
      <c r="A4" s="1" t="s">
        <v>28</v>
      </c>
      <c r="B4" s="1" t="s">
        <v>24</v>
      </c>
      <c r="C4" s="2" t="s">
        <v>25</v>
      </c>
      <c r="D4" s="2" t="s">
        <v>25</v>
      </c>
      <c r="E4" s="2" t="s">
        <v>25</v>
      </c>
      <c r="F4" s="2" t="s">
        <v>32</v>
      </c>
    </row>
    <row r="5" spans="3:6" ht="12.75">
      <c r="C5" s="2">
        <v>1</v>
      </c>
      <c r="D5" s="2">
        <v>2</v>
      </c>
      <c r="E5" s="2">
        <v>3</v>
      </c>
      <c r="F5" s="2"/>
    </row>
    <row r="6" spans="3:6" ht="12.75">
      <c r="C6" s="2"/>
      <c r="D6" s="2"/>
      <c r="E6" s="2"/>
      <c r="F6" s="2"/>
    </row>
    <row r="7" spans="1:6" ht="12.75">
      <c r="A7" s="6" t="s">
        <v>57</v>
      </c>
      <c r="C7" s="2"/>
      <c r="D7" s="2"/>
      <c r="E7" s="2"/>
      <c r="F7" s="2"/>
    </row>
    <row r="9" spans="1:6" ht="12.75">
      <c r="A9" s="1" t="s">
        <v>60</v>
      </c>
      <c r="B9" s="1" t="s">
        <v>14</v>
      </c>
      <c r="C9" s="1">
        <v>1750.4</v>
      </c>
      <c r="D9" s="1">
        <v>1755.4</v>
      </c>
      <c r="E9" s="1">
        <v>1764.6</v>
      </c>
      <c r="F9" s="1">
        <f>SUM(C9:E9)/3</f>
        <v>1756.8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2004-02-19T17:58:03Z</cp:lastPrinted>
  <dcterms:created xsi:type="dcterms:W3CDTF">1999-11-30T21:32:07Z</dcterms:created>
  <dcterms:modified xsi:type="dcterms:W3CDTF">2004-02-19T17:58:07Z</dcterms:modified>
  <cp:category/>
  <cp:version/>
  <cp:contentType/>
  <cp:contentStatus/>
</cp:coreProperties>
</file>