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<sst xmlns="http://schemas.openxmlformats.org/spreadsheetml/2006/main" count="391" uniqueCount="148">
  <si>
    <t>Stack Gas Emissions</t>
  </si>
  <si>
    <t>HW</t>
  </si>
  <si>
    <t>PM</t>
  </si>
  <si>
    <t>HCl</t>
  </si>
  <si>
    <t>Cl2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</si>
  <si>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</si>
  <si>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</si>
  <si>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</si>
  <si>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</si>
  <si>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</si>
  <si>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</si>
  <si>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</si>
  <si>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</si>
  <si>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</si>
  <si>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</si>
  <si>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</si>
  <si>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</si>
  <si>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</si>
  <si>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</si>
  <si>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</si>
  <si>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</si>
  <si>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</si>
  <si>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</si>
  <si>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</si>
  <si>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None</t>
  </si>
  <si>
    <t>APCS Characteristics</t>
  </si>
  <si>
    <t>NA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</si>
  <si>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</si>
  <si>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</si>
  <si>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</si>
  <si>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</si>
  <si>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</si>
  <si>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</si>
  <si>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</si>
  <si>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</si>
  <si>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</si>
  <si>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</si>
  <si>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</si>
  <si>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</si>
  <si>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g/hr</t>
  </si>
  <si>
    <t>Density</t>
  </si>
  <si>
    <t>g/ml</t>
  </si>
  <si>
    <t>Chlorine</t>
  </si>
  <si>
    <t>Cr</t>
  </si>
  <si>
    <t>Stack Gas Flowrate</t>
  </si>
  <si>
    <t>Process Information</t>
  </si>
  <si>
    <t>Augusta</t>
  </si>
  <si>
    <t>GA</t>
  </si>
  <si>
    <t>Monsanto (Nutrasweet Kelco Co.)</t>
  </si>
  <si>
    <t>GAD981237118</t>
  </si>
  <si>
    <t>June 17-25, 1997</t>
  </si>
  <si>
    <t>B3 Systems, Inc</t>
  </si>
  <si>
    <t>METCO</t>
  </si>
  <si>
    <t>F</t>
  </si>
  <si>
    <t>gpm</t>
  </si>
  <si>
    <t>gpm/kacfm</t>
  </si>
  <si>
    <t>n</t>
  </si>
  <si>
    <t>Liquid waste</t>
  </si>
  <si>
    <t>Boiler 2 - WHRU 2</t>
  </si>
  <si>
    <t>Tier IA for all metals, except Cr; Tier III for Cr/HCL/Cl2</t>
  </si>
  <si>
    <t>Liquid, primarily ester #1 and methanol, classed as D001 and D002;  42-51% ester #1, 10-17% methanol, 11-18% water, 9-22% acetic acid, and &lt;1% hydrochloric acid; 8.1 lb/gal and 7,100 Btu/lb</t>
  </si>
  <si>
    <t>Hazardous Wastes</t>
  </si>
  <si>
    <t>Liq</t>
  </si>
  <si>
    <t>Haz Waste Description</t>
  </si>
  <si>
    <t>Supplemental Fuel</t>
  </si>
  <si>
    <t>CoC; max feedrate</t>
  </si>
  <si>
    <t>CoC; min combustion temp</t>
  </si>
  <si>
    <t>PM, CO, HCl/Cl2, Cr emissions; metals/ash/Cl feed analysis</t>
  </si>
  <si>
    <t>BIF Recertification of Compliance Test Report - Boilers 1 and 2; dated August 20, 1997</t>
  </si>
  <si>
    <t xml:space="preserve">Natural gas </t>
  </si>
  <si>
    <t>need stack gas flowrate to make MTEC calculations</t>
  </si>
  <si>
    <t>Liq waste</t>
  </si>
  <si>
    <t>Capacity (MMBtu/hr)</t>
  </si>
  <si>
    <t>Feedrate MTEC Calculations</t>
  </si>
  <si>
    <t>MMBtu/hr</t>
  </si>
  <si>
    <t>Feedstreams</t>
  </si>
  <si>
    <t>klb/hr</t>
  </si>
  <si>
    <t>Steam Production Rate</t>
  </si>
  <si>
    <t>Comb Chamber Temperature</t>
  </si>
  <si>
    <t>Scrubber Operation</t>
  </si>
  <si>
    <t xml:space="preserve">    Scrubber pH</t>
  </si>
  <si>
    <t xml:space="preserve">    Scrubber Liquid Blowdown</t>
  </si>
  <si>
    <t xml:space="preserve">    Scrubber L/G Ratio</t>
  </si>
  <si>
    <t>7% O2</t>
  </si>
  <si>
    <t>Phase II ID No.</t>
  </si>
  <si>
    <t>Source Description</t>
  </si>
  <si>
    <t xml:space="preserve">     Cond Description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</si>
  <si>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</si>
  <si>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</si>
  <si>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</si>
  <si>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</si>
  <si>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</si>
  <si>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</si>
  <si>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</si>
  <si>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</si>
  <si>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PM, HCl/Cl2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</si>
  <si>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</si>
  <si>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</si>
  <si>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</si>
  <si>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</si>
  <si>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</si>
  <si>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</si>
  <si>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</si>
  <si>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Arsenic</t>
  </si>
  <si>
    <t>Beryllium</t>
  </si>
  <si>
    <t>Antimony</t>
  </si>
  <si>
    <t>Lead</t>
  </si>
  <si>
    <t>Cadmium</t>
  </si>
  <si>
    <t>777C10</t>
  </si>
  <si>
    <t>777C11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</si>
  <si>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</si>
  <si>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</si>
  <si>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</si>
  <si>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</si>
  <si>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</si>
  <si>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</si>
  <si>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QC/WS</t>
  </si>
  <si>
    <t>(Cooler/caustic scrubber)</t>
  </si>
  <si>
    <t>Total</t>
  </si>
  <si>
    <t xml:space="preserve">     Cond Dates</t>
  </si>
  <si>
    <t>Cond Description</t>
  </si>
  <si>
    <t>Firetube boiler. John Zink 2-stage combustion firetube boiler, forced draft, with 2 burner guns; 26 MM Btu/hr, 19,500 lb/hr steam with fire-tube heat recovery boiler; part of cooled boiler exhaust is returned to 2nd stage combustor inlet</t>
  </si>
  <si>
    <t>Liquid-fired boiler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</si>
  <si>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</si>
  <si>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</si>
  <si>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</si>
  <si>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</si>
  <si>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</si>
  <si>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</si>
  <si>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WQ,LEWS</t>
  </si>
  <si>
    <t>R2</t>
  </si>
  <si>
    <t>R1</t>
  </si>
  <si>
    <t>R3</t>
  </si>
  <si>
    <t>E1</t>
  </si>
  <si>
    <t>E2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</si>
  <si>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</si>
  <si>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</si>
  <si>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</si>
  <si>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</si>
  <si>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</si>
  <si>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</si>
  <si>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</si>
  <si>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</si>
  <si>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</si>
  <si>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</si>
  <si>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F3</t>
  </si>
  <si>
    <t>Feed Class 2</t>
  </si>
  <si>
    <t>Estimated Firing 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</si>
</sst>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7" sqref="B7"/>
    </sheetView>
  </sheetViews>
  <sheetFormatPr defaultColWidth="9.140625" defaultRowHeight="12.75"/>
  <sheetData>
    <row r="1" ht="12.75">
      <c r="A1" t="s">
        <v>135</v>
      </c>
    </row>
    <row r="2" ht="12.75">
      <c r="A2" t="s">
        <v>136</v>
      </c>
    </row>
    <row r="3" ht="12.75">
      <c r="A3" t="s">
        <v>137</v>
      </c>
    </row>
    <row r="4" ht="12.75">
      <c r="A4" t="s">
        <v>138</v>
      </c>
    </row>
    <row r="5" ht="12.75">
      <c r="A5" t="s">
        <v>139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22.7109375" style="1" customWidth="1"/>
    <col min="3" max="3" width="55.7109375" style="1" customWidth="1"/>
    <col min="4" max="4" width="2.140625" style="1" hidden="1" customWidth="1"/>
    <col min="5" max="16384" width="11.421875" style="1" customWidth="1"/>
  </cols>
  <sheetData>
    <row r="1" ht="12.75">
      <c r="B1" s="2" t="s">
        <v>85</v>
      </c>
    </row>
    <row r="3" spans="2:3" ht="12.75">
      <c r="B3" s="1" t="s">
        <v>84</v>
      </c>
      <c r="C3" s="12">
        <v>777</v>
      </c>
    </row>
    <row r="4" spans="2:3" ht="12.75">
      <c r="B4" s="1" t="s">
        <v>18</v>
      </c>
      <c r="C4" s="1" t="s">
        <v>49</v>
      </c>
    </row>
    <row r="5" spans="2:3" ht="12.75">
      <c r="B5" s="1" t="s">
        <v>19</v>
      </c>
      <c r="C5" s="1" t="s">
        <v>48</v>
      </c>
    </row>
    <row r="6" ht="12.75">
      <c r="B6" s="1" t="s">
        <v>20</v>
      </c>
    </row>
    <row r="7" spans="2:3" ht="12.75">
      <c r="B7" s="1" t="s">
        <v>87</v>
      </c>
      <c r="C7" s="1" t="s">
        <v>46</v>
      </c>
    </row>
    <row r="8" spans="2:3" ht="12.75">
      <c r="B8" s="1" t="s">
        <v>88</v>
      </c>
      <c r="C8" s="1" t="s">
        <v>47</v>
      </c>
    </row>
    <row r="9" spans="2:3" ht="12.75">
      <c r="B9" s="1" t="s">
        <v>21</v>
      </c>
      <c r="C9" s="1" t="s">
        <v>58</v>
      </c>
    </row>
    <row r="10" spans="2:3" ht="12.75">
      <c r="B10" s="1" t="s">
        <v>22</v>
      </c>
      <c r="C10" s="1" t="s">
        <v>24</v>
      </c>
    </row>
    <row r="11" spans="2:3" ht="12.75">
      <c r="B11" s="1" t="s">
        <v>123</v>
      </c>
      <c r="C11" s="12">
        <v>0</v>
      </c>
    </row>
    <row r="12" spans="2:3" ht="12.75">
      <c r="B12" s="1" t="s">
        <v>127</v>
      </c>
      <c r="C12" s="1" t="s">
        <v>122</v>
      </c>
    </row>
    <row r="13" spans="2:3" ht="12.75">
      <c r="B13" s="1" t="s">
        <v>124</v>
      </c>
      <c r="C13" s="1" t="s">
        <v>128</v>
      </c>
    </row>
    <row r="14" spans="2:3" s="13" customFormat="1" ht="51">
      <c r="B14" s="13" t="s">
        <v>23</v>
      </c>
      <c r="C14" s="13" t="s">
        <v>121</v>
      </c>
    </row>
    <row r="15" spans="2:3" s="13" customFormat="1" ht="12.75">
      <c r="B15" s="13" t="s">
        <v>72</v>
      </c>
      <c r="C15" s="21">
        <v>26</v>
      </c>
    </row>
    <row r="16" spans="2:3" ht="12.75">
      <c r="B16" s="1" t="s">
        <v>89</v>
      </c>
      <c r="C16" s="1" t="s">
        <v>24</v>
      </c>
    </row>
    <row r="17" spans="2:3" ht="12.75">
      <c r="B17" s="1" t="s">
        <v>125</v>
      </c>
      <c r="C17" s="1" t="s">
        <v>116</v>
      </c>
    </row>
    <row r="18" spans="2:3" ht="12.75">
      <c r="B18" s="1" t="s">
        <v>126</v>
      </c>
      <c r="C18" s="1" t="s">
        <v>129</v>
      </c>
    </row>
    <row r="19" spans="2:3" ht="12.75">
      <c r="B19" s="1" t="s">
        <v>25</v>
      </c>
      <c r="C19" s="1" t="s">
        <v>117</v>
      </c>
    </row>
    <row r="20" spans="2:3" ht="12.75">
      <c r="B20" s="1" t="s">
        <v>61</v>
      </c>
      <c r="C20" s="1" t="s">
        <v>62</v>
      </c>
    </row>
    <row r="21" spans="2:3" s="13" customFormat="1" ht="51">
      <c r="B21" s="13" t="s">
        <v>63</v>
      </c>
      <c r="C21" s="13" t="s">
        <v>60</v>
      </c>
    </row>
    <row r="22" spans="2:3" ht="12.75">
      <c r="B22" s="1" t="s">
        <v>64</v>
      </c>
      <c r="C22" s="1" t="s">
        <v>69</v>
      </c>
    </row>
    <row r="23" ht="12.75" customHeight="1"/>
    <row r="24" ht="12.75">
      <c r="B24" s="1" t="s">
        <v>27</v>
      </c>
    </row>
    <row r="25" spans="2:3" ht="12.75">
      <c r="B25" s="1" t="s">
        <v>90</v>
      </c>
      <c r="C25" s="14"/>
    </row>
    <row r="26" spans="2:3" ht="12.75">
      <c r="B26" s="1" t="s">
        <v>91</v>
      </c>
      <c r="C26" s="12">
        <v>100</v>
      </c>
    </row>
    <row r="27" ht="12.75">
      <c r="B27" s="1" t="s">
        <v>92</v>
      </c>
    </row>
    <row r="28" spans="2:3" ht="12.75">
      <c r="B28" s="1" t="s">
        <v>93</v>
      </c>
      <c r="C28" s="12">
        <v>155</v>
      </c>
    </row>
    <row r="29" ht="12.75" customHeight="1"/>
    <row r="30" spans="2:3" ht="12.75">
      <c r="B30" s="1" t="s">
        <v>28</v>
      </c>
      <c r="C30" s="1" t="s">
        <v>59</v>
      </c>
    </row>
    <row r="31" s="25" customFormat="1" ht="25.5">
      <c r="B31" s="25" t="s">
        <v>115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19.57421875" style="1" customWidth="1"/>
    <col min="3" max="3" width="57.421875" style="1" customWidth="1"/>
    <col min="4" max="16384" width="9.140625" style="1" customWidth="1"/>
  </cols>
  <sheetData>
    <row r="1" ht="12.75">
      <c r="B1" s="2" t="s">
        <v>120</v>
      </c>
    </row>
    <row r="3" ht="12.75">
      <c r="B3" s="24" t="s">
        <v>108</v>
      </c>
    </row>
    <row r="4" ht="12.75">
      <c r="B4" s="24"/>
    </row>
    <row r="5" spans="2:3" s="13" customFormat="1" ht="25.5">
      <c r="B5" s="13" t="s">
        <v>29</v>
      </c>
      <c r="C5" s="13" t="s">
        <v>68</v>
      </c>
    </row>
    <row r="6" spans="2:3" ht="12.75">
      <c r="B6" s="1" t="s">
        <v>32</v>
      </c>
      <c r="C6" s="1" t="s">
        <v>51</v>
      </c>
    </row>
    <row r="7" spans="2:3" ht="12.75">
      <c r="B7" s="1" t="s">
        <v>33</v>
      </c>
      <c r="C7" s="1" t="s">
        <v>52</v>
      </c>
    </row>
    <row r="8" spans="2:3" ht="12.75">
      <c r="B8" s="1" t="s">
        <v>30</v>
      </c>
      <c r="C8" s="15" t="s">
        <v>50</v>
      </c>
    </row>
    <row r="9" spans="2:3" ht="12.75">
      <c r="B9" s="1" t="s">
        <v>119</v>
      </c>
      <c r="C9" s="23">
        <v>34120</v>
      </c>
    </row>
    <row r="10" spans="2:3" ht="12.75">
      <c r="B10" s="1" t="s">
        <v>86</v>
      </c>
      <c r="C10" s="1" t="s">
        <v>65</v>
      </c>
    </row>
    <row r="11" spans="2:3" ht="12.75">
      <c r="B11" s="1" t="s">
        <v>31</v>
      </c>
      <c r="C11" s="1" t="s">
        <v>67</v>
      </c>
    </row>
    <row r="13" ht="12.75">
      <c r="B13" s="24" t="s">
        <v>109</v>
      </c>
    </row>
    <row r="14" ht="12.75">
      <c r="B14" s="24"/>
    </row>
    <row r="15" spans="2:3" s="13" customFormat="1" ht="25.5">
      <c r="B15" s="13" t="s">
        <v>29</v>
      </c>
      <c r="C15" s="13" t="s">
        <v>68</v>
      </c>
    </row>
    <row r="16" spans="2:3" ht="12.75">
      <c r="B16" s="1" t="s">
        <v>32</v>
      </c>
      <c r="C16" s="1" t="s">
        <v>51</v>
      </c>
    </row>
    <row r="17" spans="2:3" ht="12.75">
      <c r="B17" s="1" t="s">
        <v>33</v>
      </c>
      <c r="C17" s="1" t="s">
        <v>52</v>
      </c>
    </row>
    <row r="18" spans="2:3" ht="12.75">
      <c r="B18" s="1" t="s">
        <v>30</v>
      </c>
      <c r="C18" s="15" t="s">
        <v>50</v>
      </c>
    </row>
    <row r="19" spans="2:3" ht="12.75">
      <c r="B19" s="1" t="s">
        <v>119</v>
      </c>
      <c r="C19" s="23">
        <v>34120</v>
      </c>
    </row>
    <row r="20" spans="2:3" ht="12.75">
      <c r="B20" s="1" t="s">
        <v>86</v>
      </c>
      <c r="C20" s="1" t="s">
        <v>66</v>
      </c>
    </row>
    <row r="21" spans="2:3" ht="12.75">
      <c r="B21" s="1" t="s">
        <v>31</v>
      </c>
      <c r="C21" s="1" t="s">
        <v>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B1">
      <selection activeCell="M34" sqref="M34"/>
    </sheetView>
  </sheetViews>
  <sheetFormatPr defaultColWidth="9.140625" defaultRowHeight="12.75"/>
  <cols>
    <col min="1" max="1" width="9.140625" style="1" hidden="1" customWidth="1"/>
    <col min="2" max="2" width="20.140625" style="1" customWidth="1"/>
    <col min="3" max="3" width="11.140625" style="1" customWidth="1"/>
    <col min="4" max="4" width="9.140625" style="1" customWidth="1"/>
    <col min="5" max="5" width="5.8515625" style="1" customWidth="1"/>
    <col min="6" max="6" width="3.421875" style="1" customWidth="1"/>
    <col min="7" max="7" width="9.7109375" style="1" customWidth="1"/>
    <col min="8" max="8" width="2.8515625" style="1" customWidth="1"/>
    <col min="9" max="9" width="7.140625" style="1" customWidth="1"/>
    <col min="10" max="10" width="2.7109375" style="1" customWidth="1"/>
    <col min="11" max="11" width="8.28125" style="1" customWidth="1"/>
    <col min="12" max="12" width="2.28125" style="1" customWidth="1"/>
    <col min="13" max="13" width="11.421875" style="1" customWidth="1"/>
    <col min="14" max="14" width="2.7109375" style="1" customWidth="1"/>
    <col min="15" max="15" width="8.00390625" style="1" customWidth="1"/>
    <col min="16" max="16" width="2.8515625" style="1" customWidth="1"/>
    <col min="17" max="17" width="9.140625" style="1" customWidth="1"/>
    <col min="18" max="18" width="2.7109375" style="1" customWidth="1"/>
    <col min="19" max="19" width="7.8515625" style="1" customWidth="1"/>
    <col min="20" max="20" width="8.00390625" style="1" customWidth="1"/>
    <col min="21" max="16384" width="11.421875" style="1" customWidth="1"/>
  </cols>
  <sheetData>
    <row r="1" spans="2:3" ht="12.75">
      <c r="B1" s="2" t="s">
        <v>0</v>
      </c>
      <c r="C1" s="2"/>
    </row>
    <row r="2" ht="12" customHeight="1"/>
    <row r="3" spans="3:19" ht="12.75">
      <c r="C3" s="1" t="s">
        <v>94</v>
      </c>
      <c r="D3" s="1" t="s">
        <v>34</v>
      </c>
      <c r="E3" s="1" t="s">
        <v>83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7:19" ht="12.75">
      <c r="G4" s="3"/>
      <c r="H4" s="3"/>
      <c r="I4" s="3"/>
      <c r="J4" s="3"/>
      <c r="K4" s="3"/>
      <c r="L4" s="3"/>
      <c r="O4" s="3"/>
      <c r="P4" s="3"/>
      <c r="Q4" s="3"/>
      <c r="R4" s="3"/>
      <c r="S4" s="3"/>
    </row>
    <row r="5" spans="1:19" ht="12.75">
      <c r="A5" s="1">
        <v>10</v>
      </c>
      <c r="B5" s="2" t="s">
        <v>108</v>
      </c>
      <c r="C5" s="2"/>
      <c r="G5" s="3" t="s">
        <v>131</v>
      </c>
      <c r="H5" s="3"/>
      <c r="I5" s="3" t="s">
        <v>130</v>
      </c>
      <c r="J5" s="3"/>
      <c r="K5" s="3" t="s">
        <v>132</v>
      </c>
      <c r="L5" s="3"/>
      <c r="M5" s="3" t="s">
        <v>35</v>
      </c>
      <c r="O5" s="3"/>
      <c r="P5" s="3"/>
      <c r="Q5" s="3"/>
      <c r="R5" s="3"/>
      <c r="S5" s="3"/>
    </row>
    <row r="6" spans="2:12" ht="12.75">
      <c r="B6" s="2"/>
      <c r="C6" s="2"/>
      <c r="G6" s="3"/>
      <c r="H6" s="3"/>
      <c r="I6" s="3"/>
      <c r="J6" s="3"/>
      <c r="K6" s="3"/>
      <c r="L6" s="3"/>
    </row>
    <row r="7" spans="2:4" ht="12" customHeight="1">
      <c r="B7" s="1" t="s">
        <v>102</v>
      </c>
      <c r="C7" s="1" t="s">
        <v>95</v>
      </c>
      <c r="D7" s="1" t="s">
        <v>133</v>
      </c>
    </row>
    <row r="8" spans="2:13" ht="12.75">
      <c r="B8" s="1" t="s">
        <v>36</v>
      </c>
      <c r="D8" s="1" t="s">
        <v>15</v>
      </c>
      <c r="G8" s="5">
        <v>5850</v>
      </c>
      <c r="I8" s="5">
        <v>5695</v>
      </c>
      <c r="K8" s="5">
        <v>5639</v>
      </c>
      <c r="L8" s="5"/>
      <c r="M8" s="7">
        <f>AVERAGE(K8,I8,G8)</f>
        <v>5728</v>
      </c>
    </row>
    <row r="9" spans="2:13" ht="12.75">
      <c r="B9" s="1" t="s">
        <v>96</v>
      </c>
      <c r="D9" s="1" t="s">
        <v>16</v>
      </c>
      <c r="G9" s="1">
        <v>3</v>
      </c>
      <c r="I9" s="1">
        <v>2.3</v>
      </c>
      <c r="K9" s="1">
        <v>2.6</v>
      </c>
      <c r="M9" s="9">
        <f>AVERAGE(K9,I9,G9)</f>
        <v>2.6333333333333333</v>
      </c>
    </row>
    <row r="10" spans="2:13" ht="12.75">
      <c r="B10" s="1" t="s">
        <v>97</v>
      </c>
      <c r="D10" s="1" t="s">
        <v>16</v>
      </c>
      <c r="G10" s="1">
        <v>27.29</v>
      </c>
      <c r="I10" s="1">
        <v>26.68</v>
      </c>
      <c r="K10" s="1">
        <v>27.97</v>
      </c>
      <c r="M10" s="9">
        <f>AVERAGE(K10,I10,G10)</f>
        <v>27.313333333333333</v>
      </c>
    </row>
    <row r="11" spans="2:13" ht="12.75">
      <c r="B11" s="1" t="s">
        <v>37</v>
      </c>
      <c r="D11" s="1" t="s">
        <v>17</v>
      </c>
      <c r="G11" s="1">
        <v>155</v>
      </c>
      <c r="I11" s="1">
        <v>154</v>
      </c>
      <c r="K11" s="1">
        <v>156</v>
      </c>
      <c r="M11" s="9">
        <f>AVERAGE(K11,I11,G11)</f>
        <v>155</v>
      </c>
    </row>
    <row r="12" ht="12" customHeight="1"/>
    <row r="13" spans="2:13" ht="12.75" customHeight="1">
      <c r="B13" s="1" t="s">
        <v>2</v>
      </c>
      <c r="D13" s="1" t="s">
        <v>10</v>
      </c>
      <c r="E13" s="1" t="s">
        <v>56</v>
      </c>
      <c r="G13" s="1">
        <v>0.0556</v>
      </c>
      <c r="I13" s="1">
        <v>0.0567</v>
      </c>
      <c r="K13" s="1">
        <v>0.0557</v>
      </c>
      <c r="M13" s="16"/>
    </row>
    <row r="14" spans="2:13" ht="12.75">
      <c r="B14" s="1" t="s">
        <v>3</v>
      </c>
      <c r="D14" s="1" t="s">
        <v>11</v>
      </c>
      <c r="E14" s="1" t="s">
        <v>56</v>
      </c>
      <c r="G14" s="1">
        <v>5.63</v>
      </c>
      <c r="I14" s="1">
        <v>5.4</v>
      </c>
      <c r="K14" s="1">
        <v>5.56</v>
      </c>
      <c r="M14" s="9"/>
    </row>
    <row r="15" spans="2:13" ht="12.75">
      <c r="B15" s="1" t="s">
        <v>4</v>
      </c>
      <c r="D15" s="1" t="s">
        <v>11</v>
      </c>
      <c r="E15" s="1" t="s">
        <v>56</v>
      </c>
      <c r="G15" s="1">
        <v>0.01</v>
      </c>
      <c r="I15" s="1">
        <v>0.01</v>
      </c>
      <c r="K15" s="1">
        <v>0.01</v>
      </c>
      <c r="M15" s="8"/>
    </row>
    <row r="17" spans="2:13" ht="12.75">
      <c r="B17" s="1" t="s">
        <v>2</v>
      </c>
      <c r="C17" s="1" t="s">
        <v>133</v>
      </c>
      <c r="D17" s="1" t="s">
        <v>10</v>
      </c>
      <c r="E17" s="1" t="s">
        <v>38</v>
      </c>
      <c r="G17" s="16">
        <f>G13*14/(21-G9)</f>
        <v>0.043244444444444446</v>
      </c>
      <c r="I17" s="1">
        <f>I13*14/(21-I9)</f>
        <v>0.04244919786096257</v>
      </c>
      <c r="K17" s="16">
        <f>K13*14/(21-K9)</f>
        <v>0.0423804347826087</v>
      </c>
      <c r="L17" s="16"/>
      <c r="M17" s="16">
        <f>AVERAGE(K17,I17,G17)</f>
        <v>0.04269135902933857</v>
      </c>
    </row>
    <row r="18" spans="2:13" ht="12.75">
      <c r="B18" s="1" t="s">
        <v>99</v>
      </c>
      <c r="C18" s="1" t="s">
        <v>133</v>
      </c>
      <c r="D18" s="1" t="s">
        <v>11</v>
      </c>
      <c r="E18" s="1" t="s">
        <v>38</v>
      </c>
      <c r="G18" s="1">
        <v>12</v>
      </c>
      <c r="I18" s="1">
        <v>7.2</v>
      </c>
      <c r="K18" s="1">
        <v>7.1</v>
      </c>
      <c r="M18" s="9">
        <f>AVERAGE(K18,I18,G18)</f>
        <v>8.766666666666667</v>
      </c>
    </row>
    <row r="19" spans="2:13" ht="12.75">
      <c r="B19" s="1" t="s">
        <v>100</v>
      </c>
      <c r="C19" s="1" t="s">
        <v>133</v>
      </c>
      <c r="D19" s="1" t="s">
        <v>11</v>
      </c>
      <c r="E19" s="1" t="s">
        <v>38</v>
      </c>
      <c r="G19" s="1">
        <v>12</v>
      </c>
      <c r="I19" s="1">
        <v>7</v>
      </c>
      <c r="K19" s="1">
        <v>7</v>
      </c>
      <c r="M19" s="9">
        <f>AVERAGE(K19,I19,G19)</f>
        <v>8.666666666666666</v>
      </c>
    </row>
    <row r="20" spans="2:13" ht="12.75">
      <c r="B20" s="1" t="s">
        <v>3</v>
      </c>
      <c r="C20" s="1" t="s">
        <v>133</v>
      </c>
      <c r="D20" s="1" t="s">
        <v>11</v>
      </c>
      <c r="E20" s="1" t="s">
        <v>38</v>
      </c>
      <c r="G20" s="8">
        <f>G14*14/(21-G9)</f>
        <v>4.378888888888889</v>
      </c>
      <c r="H20" s="8"/>
      <c r="I20" s="8">
        <f>I14*14/(21-I9)</f>
        <v>4.042780748663102</v>
      </c>
      <c r="J20" s="8"/>
      <c r="K20" s="8">
        <f>K14*14/(21-K9)</f>
        <v>4.230434782608695</v>
      </c>
      <c r="L20" s="8"/>
      <c r="M20" s="8">
        <f>AVERAGE(K20,I20,G20)</f>
        <v>4.217368140053562</v>
      </c>
    </row>
    <row r="21" spans="2:13" ht="12.75">
      <c r="B21" s="1" t="s">
        <v>4</v>
      </c>
      <c r="C21" s="1" t="s">
        <v>133</v>
      </c>
      <c r="D21" s="1" t="s">
        <v>11</v>
      </c>
      <c r="E21" s="1" t="s">
        <v>38</v>
      </c>
      <c r="G21" s="17">
        <f>G15*14/(21-G9)</f>
        <v>0.007777777777777778</v>
      </c>
      <c r="H21" s="17"/>
      <c r="I21" s="17">
        <f>I15*14/(21-I9)</f>
        <v>0.007486631016042781</v>
      </c>
      <c r="J21" s="17"/>
      <c r="K21" s="17">
        <f>K15*14/(21-K9)</f>
        <v>0.007608695652173914</v>
      </c>
      <c r="L21" s="17"/>
      <c r="M21" s="8">
        <f>AVERAGE(K21,I21,G21)</f>
        <v>0.0076243681486648255</v>
      </c>
    </row>
    <row r="22" spans="2:13" ht="12.75">
      <c r="B22" s="1" t="s">
        <v>98</v>
      </c>
      <c r="C22" s="1" t="s">
        <v>133</v>
      </c>
      <c r="D22" s="1" t="s">
        <v>11</v>
      </c>
      <c r="E22" s="1" t="s">
        <v>38</v>
      </c>
      <c r="G22" s="8">
        <f>G20+2*G21</f>
        <v>4.394444444444444</v>
      </c>
      <c r="H22" s="8"/>
      <c r="I22" s="8">
        <f>I20+2*I21</f>
        <v>4.057754010695187</v>
      </c>
      <c r="J22" s="8"/>
      <c r="K22" s="8">
        <f>K20+2*K21</f>
        <v>4.245652173913043</v>
      </c>
      <c r="L22" s="8"/>
      <c r="M22" s="8">
        <f>M20+2*M21</f>
        <v>4.232616876350892</v>
      </c>
    </row>
    <row r="23" spans="7:13" ht="12.75">
      <c r="G23" s="8"/>
      <c r="H23" s="8"/>
      <c r="I23" s="8"/>
      <c r="J23" s="8"/>
      <c r="K23" s="8"/>
      <c r="L23" s="8"/>
      <c r="M23" s="8"/>
    </row>
    <row r="24" spans="2:13" ht="12.75">
      <c r="B24" s="1" t="s">
        <v>102</v>
      </c>
      <c r="C24" s="1" t="s">
        <v>43</v>
      </c>
      <c r="D24" s="1" t="s">
        <v>134</v>
      </c>
      <c r="M24" s="17"/>
    </row>
    <row r="25" spans="2:13" ht="12.75">
      <c r="B25" s="1" t="s">
        <v>36</v>
      </c>
      <c r="D25" s="1" t="s">
        <v>15</v>
      </c>
      <c r="G25" s="5">
        <v>6011</v>
      </c>
      <c r="I25" s="5">
        <v>5735</v>
      </c>
      <c r="K25" s="5">
        <v>5691</v>
      </c>
      <c r="L25" s="5"/>
      <c r="M25" s="7">
        <f>AVERAGE(K25,I25,G25)</f>
        <v>5812.333333333333</v>
      </c>
    </row>
    <row r="26" spans="2:13" ht="12.75">
      <c r="B26" s="1" t="s">
        <v>96</v>
      </c>
      <c r="D26" s="1" t="s">
        <v>16</v>
      </c>
      <c r="G26" s="1">
        <v>3</v>
      </c>
      <c r="I26" s="1">
        <v>2.3</v>
      </c>
      <c r="K26" s="1">
        <v>2.6</v>
      </c>
      <c r="M26" s="9">
        <f>AVERAGE(K26,I26,G26)</f>
        <v>2.6333333333333333</v>
      </c>
    </row>
    <row r="27" spans="2:13" ht="12.75">
      <c r="B27" s="1" t="s">
        <v>97</v>
      </c>
      <c r="D27" s="1" t="s">
        <v>16</v>
      </c>
      <c r="G27" s="1">
        <v>27.78</v>
      </c>
      <c r="I27" s="1">
        <v>26.86</v>
      </c>
      <c r="K27" s="1">
        <v>27.88</v>
      </c>
      <c r="M27" s="9">
        <f>AVERAGE(K27,I27,G27)</f>
        <v>27.506666666666664</v>
      </c>
    </row>
    <row r="28" spans="2:13" ht="12.75">
      <c r="B28" s="1" t="s">
        <v>37</v>
      </c>
      <c r="D28" s="1" t="s">
        <v>17</v>
      </c>
      <c r="G28" s="1">
        <v>153</v>
      </c>
      <c r="I28" s="1">
        <v>154</v>
      </c>
      <c r="K28" s="1">
        <v>155</v>
      </c>
      <c r="M28" s="7">
        <f>AVERAGE(K28,I28,G28)</f>
        <v>154</v>
      </c>
    </row>
    <row r="30" spans="2:13" ht="12.75">
      <c r="B30" s="1" t="s">
        <v>101</v>
      </c>
      <c r="D30" s="1" t="s">
        <v>12</v>
      </c>
      <c r="E30" s="1" t="s">
        <v>56</v>
      </c>
      <c r="G30" s="9">
        <f>16.2/(60.753/35.31)</f>
        <v>9.415535035306899</v>
      </c>
      <c r="H30" s="9"/>
      <c r="I30" s="9">
        <f>28.6/(60.313/35.31)</f>
        <v>16.74375341966077</v>
      </c>
      <c r="J30" s="9"/>
      <c r="K30" s="9">
        <f>26.8/(61.152/35.31)</f>
        <v>15.474686028257459</v>
      </c>
      <c r="L30" s="9"/>
      <c r="M30" s="9">
        <f>AVERAGE(K30,I30,G30)</f>
        <v>13.877991494408377</v>
      </c>
    </row>
    <row r="31" spans="2:13" ht="12.75">
      <c r="B31" s="1" t="s">
        <v>101</v>
      </c>
      <c r="C31" s="1" t="s">
        <v>134</v>
      </c>
      <c r="D31" s="1" t="s">
        <v>12</v>
      </c>
      <c r="E31" s="1" t="s">
        <v>38</v>
      </c>
      <c r="G31" s="9">
        <f>G30*14/(21-G26)</f>
        <v>7.32319391634981</v>
      </c>
      <c r="H31" s="9"/>
      <c r="I31" s="9">
        <f>I30*14/(21-I26)</f>
        <v>12.535430367660469</v>
      </c>
      <c r="J31" s="9"/>
      <c r="K31" s="9">
        <f>K30*14/(21-K26)</f>
        <v>11.774217630195894</v>
      </c>
      <c r="L31" s="9"/>
      <c r="M31" s="9">
        <f>AVERAGE(K31,I31,G31)</f>
        <v>10.544280638068726</v>
      </c>
    </row>
    <row r="32" spans="2:13" ht="12.75">
      <c r="B32" s="1" t="s">
        <v>6</v>
      </c>
      <c r="C32" s="1" t="s">
        <v>134</v>
      </c>
      <c r="D32" s="1" t="s">
        <v>12</v>
      </c>
      <c r="E32" s="1" t="s">
        <v>38</v>
      </c>
      <c r="G32" s="9">
        <f>G31</f>
        <v>7.32319391634981</v>
      </c>
      <c r="H32" s="9"/>
      <c r="I32" s="9">
        <f>I31</f>
        <v>12.535430367660469</v>
      </c>
      <c r="J32" s="9"/>
      <c r="K32" s="9">
        <f>K31</f>
        <v>11.774217630195894</v>
      </c>
      <c r="L32" s="9"/>
      <c r="M32" s="9">
        <f>M31</f>
        <v>10.544280638068726</v>
      </c>
    </row>
    <row r="33" ht="12.75">
      <c r="M33" s="8"/>
    </row>
    <row r="34" spans="1:13" ht="12.75">
      <c r="A34" s="1">
        <v>11</v>
      </c>
      <c r="B34" s="2" t="s">
        <v>109</v>
      </c>
      <c r="C34" s="2"/>
      <c r="G34" s="3" t="s">
        <v>131</v>
      </c>
      <c r="H34" s="3"/>
      <c r="I34" s="3" t="s">
        <v>130</v>
      </c>
      <c r="J34" s="3"/>
      <c r="K34" s="3" t="s">
        <v>132</v>
      </c>
      <c r="L34" s="3"/>
      <c r="M34" s="3" t="s">
        <v>35</v>
      </c>
    </row>
    <row r="35" ht="12.75">
      <c r="M35" s="8"/>
    </row>
    <row r="36" spans="2:13" ht="12.75">
      <c r="B36" s="1" t="s">
        <v>99</v>
      </c>
      <c r="C36" s="1" t="s">
        <v>133</v>
      </c>
      <c r="D36" s="1" t="s">
        <v>11</v>
      </c>
      <c r="E36" s="1" t="s">
        <v>38</v>
      </c>
      <c r="G36" s="1">
        <v>16.8</v>
      </c>
      <c r="I36" s="1">
        <v>17.7</v>
      </c>
      <c r="K36" s="1">
        <v>19</v>
      </c>
      <c r="M36" s="9">
        <f>AVERAGE(K36,I36,G36)</f>
        <v>17.833333333333332</v>
      </c>
    </row>
    <row r="37" spans="2:13" ht="12.75">
      <c r="B37" s="1" t="s">
        <v>100</v>
      </c>
      <c r="C37" s="1" t="s">
        <v>133</v>
      </c>
      <c r="D37" s="1" t="s">
        <v>11</v>
      </c>
      <c r="E37" s="1" t="s">
        <v>38</v>
      </c>
      <c r="G37" s="1">
        <v>17</v>
      </c>
      <c r="I37" s="1">
        <v>17</v>
      </c>
      <c r="K37" s="1">
        <v>19</v>
      </c>
      <c r="M37" s="9">
        <f>AVERAGE(K37,I37,G37)</f>
        <v>17.666666666666668</v>
      </c>
    </row>
    <row r="38" ht="12.75">
      <c r="M38" s="9"/>
    </row>
    <row r="39" spans="2:13" ht="12.75">
      <c r="B39" s="1" t="s">
        <v>102</v>
      </c>
      <c r="C39" s="1" t="s">
        <v>7</v>
      </c>
      <c r="D39" s="1" t="s">
        <v>133</v>
      </c>
      <c r="M39" s="9"/>
    </row>
    <row r="40" spans="2:4" ht="12.75">
      <c r="B40" s="1" t="s">
        <v>36</v>
      </c>
      <c r="D40" s="1" t="s">
        <v>15</v>
      </c>
    </row>
    <row r="41" spans="2:13" ht="12.75">
      <c r="B41" s="1" t="s">
        <v>96</v>
      </c>
      <c r="D41" s="1" t="s">
        <v>16</v>
      </c>
      <c r="G41" s="1">
        <v>11</v>
      </c>
      <c r="I41" s="1">
        <v>11</v>
      </c>
      <c r="K41" s="1">
        <v>11.2</v>
      </c>
      <c r="M41" s="9">
        <f>AVERAGE(K41,I41,G41)</f>
        <v>11.066666666666668</v>
      </c>
    </row>
    <row r="42" spans="2:4" ht="12.75">
      <c r="B42" s="1" t="s">
        <v>97</v>
      </c>
      <c r="D42" s="1" t="s">
        <v>16</v>
      </c>
    </row>
    <row r="43" spans="2:4" ht="12.75">
      <c r="B43" s="1" t="s">
        <v>37</v>
      </c>
      <c r="D43" s="1" t="s">
        <v>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77"/>
  <sheetViews>
    <sheetView zoomScale="75" zoomScaleNormal="75" workbookViewId="0" topLeftCell="B1">
      <selection activeCell="D4" sqref="D4"/>
    </sheetView>
  </sheetViews>
  <sheetFormatPr defaultColWidth="9.140625" defaultRowHeight="12.75"/>
  <cols>
    <col min="1" max="1" width="9.140625" style="1" hidden="1" customWidth="1"/>
    <col min="2" max="2" width="19.421875" style="1" customWidth="1"/>
    <col min="3" max="3" width="2.57421875" style="1" customWidth="1"/>
    <col min="4" max="4" width="8.28125" style="1" customWidth="1"/>
    <col min="5" max="5" width="3.00390625" style="1" customWidth="1"/>
    <col min="6" max="6" width="8.28125" style="1" hidden="1" customWidth="1"/>
    <col min="7" max="7" width="2.7109375" style="1" hidden="1" customWidth="1"/>
    <col min="8" max="8" width="8.28125" style="1" hidden="1" customWidth="1"/>
    <col min="9" max="9" width="3.00390625" style="1" hidden="1" customWidth="1"/>
    <col min="10" max="10" width="8.28125" style="1" hidden="1" customWidth="1"/>
    <col min="11" max="11" width="9.00390625" style="1" customWidth="1"/>
    <col min="12" max="12" width="2.28125" style="1" customWidth="1"/>
    <col min="13" max="13" width="11.57421875" style="1" customWidth="1"/>
    <col min="14" max="14" width="3.140625" style="1" customWidth="1"/>
    <col min="15" max="15" width="9.7109375" style="1" customWidth="1"/>
    <col min="16" max="16" width="3.57421875" style="1" customWidth="1"/>
    <col min="17" max="17" width="11.421875" style="1" bestFit="1" customWidth="1"/>
    <col min="18" max="18" width="3.8515625" style="1" customWidth="1"/>
    <col min="19" max="19" width="9.7109375" style="1" bestFit="1" customWidth="1"/>
    <col min="20" max="20" width="3.8515625" style="1" customWidth="1"/>
    <col min="21" max="21" width="9.7109375" style="1" bestFit="1" customWidth="1"/>
    <col min="22" max="22" width="3.7109375" style="1" customWidth="1"/>
    <col min="23" max="23" width="9.7109375" style="1" bestFit="1" customWidth="1"/>
    <col min="24" max="24" width="3.00390625" style="1" customWidth="1"/>
    <col min="25" max="25" width="9.7109375" style="1" customWidth="1"/>
    <col min="26" max="26" width="3.7109375" style="1" customWidth="1"/>
    <col min="27" max="27" width="9.7109375" style="1" bestFit="1" customWidth="1"/>
    <col min="28" max="28" width="3.57421875" style="1" customWidth="1"/>
    <col min="29" max="29" width="9.7109375" style="1" customWidth="1"/>
    <col min="30" max="30" width="2.421875" style="1" customWidth="1"/>
    <col min="31" max="31" width="9.7109375" style="1" bestFit="1" customWidth="1"/>
    <col min="32" max="32" width="3.421875" style="1" customWidth="1"/>
    <col min="33" max="16384" width="11.421875" style="1" customWidth="1"/>
  </cols>
  <sheetData>
    <row r="1" spans="2:3" ht="12.75">
      <c r="B1" s="2" t="s">
        <v>75</v>
      </c>
      <c r="C1" s="2"/>
    </row>
    <row r="2" ht="12.75" customHeight="1"/>
    <row r="3" ht="12.75">
      <c r="Y3" s="3"/>
    </row>
    <row r="4" spans="1:33" ht="12.75">
      <c r="A4" s="1" t="s">
        <v>110</v>
      </c>
      <c r="B4" s="2" t="s">
        <v>108</v>
      </c>
      <c r="C4" s="2"/>
      <c r="K4" s="3" t="s">
        <v>131</v>
      </c>
      <c r="L4" s="3"/>
      <c r="M4" s="3" t="s">
        <v>130</v>
      </c>
      <c r="N4" s="3"/>
      <c r="O4" s="3" t="s">
        <v>132</v>
      </c>
      <c r="P4" s="3"/>
      <c r="Q4" s="3" t="s">
        <v>35</v>
      </c>
      <c r="S4" s="3" t="s">
        <v>131</v>
      </c>
      <c r="T4" s="3"/>
      <c r="U4" s="3" t="s">
        <v>130</v>
      </c>
      <c r="V4" s="3"/>
      <c r="W4" s="3" t="s">
        <v>132</v>
      </c>
      <c r="X4" s="3"/>
      <c r="Y4" s="3" t="s">
        <v>35</v>
      </c>
      <c r="AA4" s="3" t="s">
        <v>131</v>
      </c>
      <c r="AB4" s="3"/>
      <c r="AC4" s="3" t="s">
        <v>130</v>
      </c>
      <c r="AD4" s="3"/>
      <c r="AE4" s="3" t="s">
        <v>132</v>
      </c>
      <c r="AF4" s="3"/>
      <c r="AG4" s="3" t="s">
        <v>35</v>
      </c>
    </row>
    <row r="5" spans="2:25" ht="12.75">
      <c r="B5" s="2"/>
      <c r="C5" s="2"/>
      <c r="Y5" s="3"/>
    </row>
    <row r="6" spans="2:33" ht="12.75">
      <c r="B6" s="1" t="s">
        <v>140</v>
      </c>
      <c r="C6" s="2"/>
      <c r="K6" s="3" t="s">
        <v>142</v>
      </c>
      <c r="M6" s="3" t="s">
        <v>142</v>
      </c>
      <c r="O6" s="3" t="s">
        <v>142</v>
      </c>
      <c r="Q6" s="3" t="s">
        <v>142</v>
      </c>
      <c r="S6" s="3" t="s">
        <v>144</v>
      </c>
      <c r="U6" s="3" t="s">
        <v>144</v>
      </c>
      <c r="W6" s="3" t="s">
        <v>144</v>
      </c>
      <c r="Y6" s="3" t="s">
        <v>144</v>
      </c>
      <c r="AA6" s="3" t="s">
        <v>145</v>
      </c>
      <c r="AC6" s="3" t="s">
        <v>145</v>
      </c>
      <c r="AE6" s="3" t="s">
        <v>145</v>
      </c>
      <c r="AG6" s="3" t="s">
        <v>145</v>
      </c>
    </row>
    <row r="7" spans="2:33" ht="12.75">
      <c r="B7" s="1" t="s">
        <v>141</v>
      </c>
      <c r="C7" s="2"/>
      <c r="K7" s="1" t="s">
        <v>143</v>
      </c>
      <c r="M7" s="1" t="s">
        <v>143</v>
      </c>
      <c r="O7" s="1" t="s">
        <v>143</v>
      </c>
      <c r="Q7" s="1" t="s">
        <v>143</v>
      </c>
      <c r="S7" s="3" t="s">
        <v>13</v>
      </c>
      <c r="U7" s="3" t="s">
        <v>13</v>
      </c>
      <c r="W7" s="3" t="s">
        <v>13</v>
      </c>
      <c r="Y7" s="3" t="s">
        <v>13</v>
      </c>
      <c r="AA7" s="3" t="s">
        <v>118</v>
      </c>
      <c r="AC7" s="3" t="s">
        <v>118</v>
      </c>
      <c r="AE7" s="3" t="s">
        <v>118</v>
      </c>
      <c r="AG7" s="3" t="s">
        <v>118</v>
      </c>
    </row>
    <row r="8" spans="2:33" ht="12.75">
      <c r="B8" s="1" t="s">
        <v>146</v>
      </c>
      <c r="C8" s="2"/>
      <c r="K8" s="1" t="s">
        <v>1</v>
      </c>
      <c r="M8" s="1" t="s">
        <v>1</v>
      </c>
      <c r="O8" s="1" t="s">
        <v>1</v>
      </c>
      <c r="Q8" s="1" t="s">
        <v>1</v>
      </c>
      <c r="S8" s="3" t="s">
        <v>13</v>
      </c>
      <c r="U8" s="3" t="s">
        <v>13</v>
      </c>
      <c r="W8" s="3" t="s">
        <v>13</v>
      </c>
      <c r="Y8" s="3" t="s">
        <v>13</v>
      </c>
      <c r="AA8" s="3" t="s">
        <v>118</v>
      </c>
      <c r="AC8" s="3" t="s">
        <v>118</v>
      </c>
      <c r="AE8" s="3" t="s">
        <v>118</v>
      </c>
      <c r="AG8" s="3" t="s">
        <v>118</v>
      </c>
    </row>
    <row r="9" spans="2:33" ht="12.75">
      <c r="B9" s="1" t="s">
        <v>114</v>
      </c>
      <c r="F9" s="18"/>
      <c r="H9" s="18"/>
      <c r="J9" s="18"/>
      <c r="K9" s="1" t="s">
        <v>57</v>
      </c>
      <c r="M9" s="1" t="s">
        <v>57</v>
      </c>
      <c r="O9" s="1" t="s">
        <v>57</v>
      </c>
      <c r="Q9" s="18" t="s">
        <v>71</v>
      </c>
      <c r="R9" s="18"/>
      <c r="S9" s="18" t="s">
        <v>13</v>
      </c>
      <c r="T9" s="18"/>
      <c r="U9" s="18" t="s">
        <v>13</v>
      </c>
      <c r="V9" s="18"/>
      <c r="W9" s="18" t="s">
        <v>13</v>
      </c>
      <c r="X9" s="18"/>
      <c r="Y9" s="18" t="s">
        <v>13</v>
      </c>
      <c r="AA9" s="1" t="s">
        <v>118</v>
      </c>
      <c r="AC9" s="1" t="s">
        <v>118</v>
      </c>
      <c r="AE9" s="1" t="s">
        <v>118</v>
      </c>
      <c r="AG9" s="1" t="s">
        <v>118</v>
      </c>
    </row>
    <row r="10" spans="2:25" ht="12.75">
      <c r="B10" s="1" t="s">
        <v>113</v>
      </c>
      <c r="D10" s="1" t="s">
        <v>39</v>
      </c>
      <c r="F10" s="6"/>
      <c r="H10" s="6"/>
      <c r="J10" s="6"/>
      <c r="K10" s="7">
        <f>1960000</f>
        <v>1960000</v>
      </c>
      <c r="L10" s="7"/>
      <c r="M10" s="7">
        <v>1950000</v>
      </c>
      <c r="N10" s="7"/>
      <c r="O10" s="7">
        <v>1910000</v>
      </c>
      <c r="P10" s="7"/>
      <c r="Q10" s="10">
        <f>SUM(K10:O10)/3</f>
        <v>1940000</v>
      </c>
      <c r="R10" s="10"/>
      <c r="S10" s="10">
        <v>127000</v>
      </c>
      <c r="T10" s="10"/>
      <c r="U10" s="10">
        <v>127000</v>
      </c>
      <c r="V10" s="10"/>
      <c r="W10" s="10">
        <v>127000</v>
      </c>
      <c r="X10" s="10"/>
      <c r="Y10" s="10">
        <v>127000</v>
      </c>
    </row>
    <row r="11" spans="2:24" ht="12.75">
      <c r="B11" s="1" t="s">
        <v>40</v>
      </c>
      <c r="D11" s="1" t="s">
        <v>41</v>
      </c>
      <c r="K11" s="8">
        <v>0.94</v>
      </c>
      <c r="L11" s="8"/>
      <c r="M11" s="8">
        <v>0.95</v>
      </c>
      <c r="N11" s="8"/>
      <c r="O11" s="8">
        <v>0.92</v>
      </c>
      <c r="P11" s="8"/>
      <c r="Q11" s="19">
        <f aca="true" t="shared" si="0" ref="Q11:Q20">SUM(K11:O11)/3</f>
        <v>0.9366666666666666</v>
      </c>
      <c r="R11" s="19"/>
      <c r="S11" s="19"/>
      <c r="T11" s="19"/>
      <c r="U11" s="19"/>
      <c r="V11" s="19"/>
      <c r="W11" s="19"/>
      <c r="X11" s="19"/>
    </row>
    <row r="12" spans="2:25" ht="12.75">
      <c r="B12" s="1" t="s">
        <v>8</v>
      </c>
      <c r="D12" s="1" t="s">
        <v>39</v>
      </c>
      <c r="K12" s="7">
        <v>1960</v>
      </c>
      <c r="L12" s="7"/>
      <c r="M12" s="7">
        <v>1950</v>
      </c>
      <c r="N12" s="7"/>
      <c r="O12" s="7">
        <v>1910</v>
      </c>
      <c r="P12" s="7"/>
      <c r="Q12" s="10">
        <f t="shared" si="0"/>
        <v>1940</v>
      </c>
      <c r="R12" s="10"/>
      <c r="S12" s="10">
        <v>15100</v>
      </c>
      <c r="T12" s="10"/>
      <c r="U12" s="10">
        <v>15200</v>
      </c>
      <c r="V12" s="10"/>
      <c r="W12" s="10">
        <v>15200</v>
      </c>
      <c r="X12" s="10"/>
      <c r="Y12" s="1">
        <v>15200</v>
      </c>
    </row>
    <row r="13" spans="2:25" ht="12.75">
      <c r="B13" s="1" t="s">
        <v>42</v>
      </c>
      <c r="D13" s="1" t="s">
        <v>39</v>
      </c>
      <c r="K13" s="7">
        <v>2150</v>
      </c>
      <c r="L13" s="7"/>
      <c r="M13" s="7">
        <v>1950</v>
      </c>
      <c r="N13" s="7"/>
      <c r="O13" s="7">
        <v>2490</v>
      </c>
      <c r="P13" s="7"/>
      <c r="Q13" s="10">
        <f t="shared" si="0"/>
        <v>2196.6666666666665</v>
      </c>
      <c r="R13" s="10"/>
      <c r="S13" s="10">
        <v>15200</v>
      </c>
      <c r="T13" s="10"/>
      <c r="U13" s="10">
        <v>15200</v>
      </c>
      <c r="V13" s="10"/>
      <c r="W13" s="10">
        <v>15200</v>
      </c>
      <c r="X13" s="10"/>
      <c r="Y13" s="1">
        <v>15200</v>
      </c>
    </row>
    <row r="14" spans="2:24" ht="12.75">
      <c r="B14" s="1" t="s">
        <v>112</v>
      </c>
      <c r="D14" s="1" t="s">
        <v>39</v>
      </c>
      <c r="K14" s="16">
        <v>0.00391</v>
      </c>
      <c r="L14" s="16"/>
      <c r="M14" s="16">
        <v>0.00389</v>
      </c>
      <c r="N14" s="16"/>
      <c r="O14" s="16">
        <v>0.00383</v>
      </c>
      <c r="P14" s="16"/>
      <c r="Q14" s="20">
        <f t="shared" si="0"/>
        <v>0.0038766666666666667</v>
      </c>
      <c r="R14" s="20"/>
      <c r="S14" s="20"/>
      <c r="T14" s="20"/>
      <c r="U14" s="20"/>
      <c r="V14" s="20"/>
      <c r="W14" s="20"/>
      <c r="X14" s="20"/>
    </row>
    <row r="15" spans="2:24" ht="12.75">
      <c r="B15" s="1" t="s">
        <v>106</v>
      </c>
      <c r="D15" s="1" t="s">
        <v>39</v>
      </c>
      <c r="K15" s="8">
        <v>0.0489</v>
      </c>
      <c r="L15" s="8"/>
      <c r="M15" s="8">
        <v>0.0486</v>
      </c>
      <c r="N15" s="8"/>
      <c r="O15" s="8">
        <v>0.0478</v>
      </c>
      <c r="P15" s="8"/>
      <c r="Q15" s="19">
        <f t="shared" si="0"/>
        <v>0.048433333333333335</v>
      </c>
      <c r="R15" s="19"/>
      <c r="S15" s="19"/>
      <c r="T15" s="19"/>
      <c r="U15" s="19"/>
      <c r="V15" s="19"/>
      <c r="W15" s="19"/>
      <c r="X15" s="19"/>
    </row>
    <row r="16" spans="2:24" ht="12.75">
      <c r="B16" s="1" t="s">
        <v>107</v>
      </c>
      <c r="D16" s="1" t="s">
        <v>39</v>
      </c>
      <c r="K16" s="8">
        <v>0.0489</v>
      </c>
      <c r="L16" s="8"/>
      <c r="M16" s="8">
        <v>0.0486</v>
      </c>
      <c r="N16" s="8"/>
      <c r="O16" s="8">
        <v>0.0478</v>
      </c>
      <c r="P16" s="8"/>
      <c r="Q16" s="19">
        <f t="shared" si="0"/>
        <v>0.048433333333333335</v>
      </c>
      <c r="R16" s="19"/>
      <c r="S16" s="19"/>
      <c r="T16" s="19"/>
      <c r="U16" s="19"/>
      <c r="V16" s="19"/>
      <c r="W16" s="19"/>
      <c r="X16" s="19"/>
    </row>
    <row r="17" spans="2:24" ht="12.75">
      <c r="B17" s="1" t="s">
        <v>103</v>
      </c>
      <c r="D17" s="1" t="s">
        <v>39</v>
      </c>
      <c r="K17" s="8">
        <v>0.215</v>
      </c>
      <c r="L17" s="8"/>
      <c r="M17" s="8">
        <v>0.272</v>
      </c>
      <c r="N17" s="8"/>
      <c r="O17" s="8">
        <v>0.142</v>
      </c>
      <c r="P17" s="8"/>
      <c r="Q17" s="19">
        <f t="shared" si="0"/>
        <v>0.20966666666666667</v>
      </c>
      <c r="R17" s="19"/>
      <c r="S17" s="19"/>
      <c r="T17" s="19"/>
      <c r="U17" s="19"/>
      <c r="V17" s="19"/>
      <c r="W17" s="19"/>
      <c r="X17" s="19"/>
    </row>
    <row r="18" spans="2:24" ht="12.75">
      <c r="B18" s="1" t="s">
        <v>104</v>
      </c>
      <c r="D18" s="1" t="s">
        <v>39</v>
      </c>
      <c r="K18" s="8">
        <v>0.0489</v>
      </c>
      <c r="L18" s="8"/>
      <c r="M18" s="8">
        <v>0.0486</v>
      </c>
      <c r="N18" s="8"/>
      <c r="O18" s="8">
        <v>0.0478</v>
      </c>
      <c r="P18" s="8"/>
      <c r="Q18" s="19">
        <f t="shared" si="0"/>
        <v>0.048433333333333335</v>
      </c>
      <c r="R18" s="19"/>
      <c r="S18" s="19"/>
      <c r="T18" s="19"/>
      <c r="U18" s="19"/>
      <c r="V18" s="19"/>
      <c r="W18" s="19"/>
      <c r="X18" s="19"/>
    </row>
    <row r="19" spans="2:25" ht="12.75">
      <c r="B19" s="1" t="s">
        <v>101</v>
      </c>
      <c r="D19" s="1" t="s">
        <v>39</v>
      </c>
      <c r="K19" s="8">
        <v>0.235</v>
      </c>
      <c r="L19" s="8"/>
      <c r="M19" s="8">
        <v>0.253</v>
      </c>
      <c r="N19" s="8"/>
      <c r="O19" s="8">
        <v>0.249</v>
      </c>
      <c r="P19" s="8"/>
      <c r="Q19" s="19">
        <f t="shared" si="0"/>
        <v>0.24566666666666667</v>
      </c>
      <c r="R19" s="19"/>
      <c r="S19" s="19">
        <v>2.42</v>
      </c>
      <c r="T19" s="19"/>
      <c r="U19" s="19">
        <v>2.42</v>
      </c>
      <c r="V19" s="19"/>
      <c r="W19" s="19">
        <v>2.42</v>
      </c>
      <c r="X19" s="19"/>
      <c r="Y19" s="1">
        <v>2.4</v>
      </c>
    </row>
    <row r="20" spans="2:24" ht="12.75">
      <c r="B20" s="1" t="s">
        <v>105</v>
      </c>
      <c r="D20" s="1" t="s">
        <v>39</v>
      </c>
      <c r="K20" s="8">
        <v>0.09</v>
      </c>
      <c r="L20" s="8"/>
      <c r="M20" s="8">
        <v>0.125</v>
      </c>
      <c r="N20" s="8"/>
      <c r="O20" s="8">
        <v>0.0478</v>
      </c>
      <c r="P20" s="8"/>
      <c r="Q20" s="19">
        <f t="shared" si="0"/>
        <v>0.0876</v>
      </c>
      <c r="R20" s="19"/>
      <c r="S20" s="19"/>
      <c r="T20" s="19"/>
      <c r="U20" s="19"/>
      <c r="V20" s="19"/>
      <c r="W20" s="19"/>
      <c r="X20" s="19"/>
    </row>
    <row r="21" ht="12.75" customHeight="1"/>
    <row r="22" spans="2:25" ht="12.75">
      <c r="B22" s="1" t="s">
        <v>44</v>
      </c>
      <c r="D22" s="1" t="s">
        <v>15</v>
      </c>
      <c r="K22" s="7">
        <f>emiss!$G$8</f>
        <v>5850</v>
      </c>
      <c r="L22" s="7"/>
      <c r="M22" s="7">
        <f>emiss!$I$8</f>
        <v>5695</v>
      </c>
      <c r="N22" s="7"/>
      <c r="O22" s="7">
        <f>emiss!$K$8</f>
        <v>5639</v>
      </c>
      <c r="P22" s="7"/>
      <c r="Q22" s="7">
        <f>emiss!$M$8</f>
        <v>5728</v>
      </c>
      <c r="R22" s="7"/>
      <c r="S22" s="7">
        <f>emiss!$G$8</f>
        <v>5850</v>
      </c>
      <c r="T22" s="7"/>
      <c r="U22" s="7">
        <f>emiss!$I$8</f>
        <v>5695</v>
      </c>
      <c r="V22" s="7"/>
      <c r="W22" s="7">
        <f>emiss!$K$8</f>
        <v>5639</v>
      </c>
      <c r="X22" s="7"/>
      <c r="Y22" s="7">
        <f>emiss!$M$8</f>
        <v>5728</v>
      </c>
    </row>
    <row r="23" spans="2:25" ht="12.75">
      <c r="B23" s="1" t="s">
        <v>9</v>
      </c>
      <c r="D23" s="1" t="s">
        <v>16</v>
      </c>
      <c r="K23" s="8">
        <f>emiss!$G$9</f>
        <v>3</v>
      </c>
      <c r="L23" s="8"/>
      <c r="M23" s="8">
        <f>emiss!$I$9</f>
        <v>2.3</v>
      </c>
      <c r="N23" s="8"/>
      <c r="O23" s="8">
        <f>emiss!$K$9</f>
        <v>2.6</v>
      </c>
      <c r="P23" s="8"/>
      <c r="Q23" s="8">
        <f>emiss!$M$9</f>
        <v>2.6333333333333333</v>
      </c>
      <c r="R23" s="8"/>
      <c r="S23" s="8">
        <f>emiss!$G$9</f>
        <v>3</v>
      </c>
      <c r="T23" s="8"/>
      <c r="U23" s="8">
        <f>emiss!$I$9</f>
        <v>2.3</v>
      </c>
      <c r="V23" s="8"/>
      <c r="W23" s="8">
        <f>emiss!$K$9</f>
        <v>2.6</v>
      </c>
      <c r="X23" s="8"/>
      <c r="Y23" s="8">
        <f>emiss!$M$9</f>
        <v>2.6333333333333333</v>
      </c>
    </row>
    <row r="24" ht="12.75" customHeight="1"/>
    <row r="25" spans="2:33" ht="12.75">
      <c r="B25" s="1" t="s">
        <v>111</v>
      </c>
      <c r="D25" s="1" t="s">
        <v>74</v>
      </c>
      <c r="K25" s="9">
        <f>26300000/1000000</f>
        <v>26.3</v>
      </c>
      <c r="L25" s="9"/>
      <c r="M25" s="9">
        <f>22300000/1000000</f>
        <v>22.3</v>
      </c>
      <c r="N25" s="9"/>
      <c r="O25" s="9">
        <f>24900000/1000000</f>
        <v>24.9</v>
      </c>
      <c r="P25" s="9"/>
      <c r="Q25" s="9">
        <f>SUM(K25:O25)/3</f>
        <v>24.5</v>
      </c>
      <c r="R25" s="9"/>
      <c r="S25" s="9"/>
      <c r="T25" s="9"/>
      <c r="U25" s="9"/>
      <c r="V25" s="9"/>
      <c r="W25" s="9"/>
      <c r="X25" s="9"/>
      <c r="AA25" s="7">
        <f>SUM(S25,K25)</f>
        <v>26.3</v>
      </c>
      <c r="AC25" s="7">
        <f>SUM(U25,M25)</f>
        <v>22.3</v>
      </c>
      <c r="AE25" s="7">
        <f>SUM(W25,O25)</f>
        <v>24.9</v>
      </c>
      <c r="AG25" s="7">
        <f>SUM(Y25,Q25)</f>
        <v>24.5</v>
      </c>
    </row>
    <row r="26" spans="2:33" ht="12.75">
      <c r="B26" s="1" t="s">
        <v>147</v>
      </c>
      <c r="D26" s="1" t="s">
        <v>74</v>
      </c>
      <c r="R26" s="9"/>
      <c r="S26" s="9"/>
      <c r="T26" s="9"/>
      <c r="U26" s="9"/>
      <c r="V26" s="9"/>
      <c r="W26" s="9"/>
      <c r="X26" s="9"/>
      <c r="AA26" s="9">
        <f>K22/9000*60*(21-K23)/(21)</f>
        <v>33.42857142857143</v>
      </c>
      <c r="AC26" s="9">
        <f>M22/9000*60*(21-M23)/(21)</f>
        <v>33.8084126984127</v>
      </c>
      <c r="AE26" s="9">
        <f>O22/9000*60*(21-O23)/(21)</f>
        <v>32.938920634920635</v>
      </c>
      <c r="AG26" s="9">
        <f>Q22/9000*60*(21-Q23)/(21)</f>
        <v>33.3981798941799</v>
      </c>
    </row>
    <row r="27" spans="17:24" ht="12.75">
      <c r="Q27" s="9"/>
      <c r="R27" s="9"/>
      <c r="S27" s="9"/>
      <c r="T27" s="9"/>
      <c r="U27" s="9"/>
      <c r="V27" s="9"/>
      <c r="W27" s="9"/>
      <c r="X27" s="9"/>
    </row>
    <row r="28" spans="2:24" ht="12.75">
      <c r="B28" s="22" t="s">
        <v>73</v>
      </c>
      <c r="C28" s="22"/>
      <c r="Q28" s="9"/>
      <c r="R28" s="9"/>
      <c r="S28" s="9"/>
      <c r="T28" s="9"/>
      <c r="U28" s="9"/>
      <c r="V28" s="9"/>
      <c r="W28" s="9"/>
      <c r="X28" s="9"/>
    </row>
    <row r="29" spans="2:33" ht="12.75">
      <c r="B29" s="1" t="s">
        <v>8</v>
      </c>
      <c r="D29" s="1" t="s">
        <v>14</v>
      </c>
      <c r="K29" s="9">
        <f>(K12*1000/60)/$K$22/0.0283*(21-7)/(21-$K$23)</f>
        <v>153.46807651479816</v>
      </c>
      <c r="L29" s="9"/>
      <c r="M29" s="9">
        <f>(M12*1000/60)/M22/0.0283*(21-7)/(21-M23)</f>
        <v>150.96964234412454</v>
      </c>
      <c r="N29" s="9"/>
      <c r="O29" s="9">
        <f>(O12*1000/60)/O22/0.0283*(21-7)/(21-O23)</f>
        <v>151.77624339298828</v>
      </c>
      <c r="P29" s="9"/>
      <c r="Q29" s="9">
        <f aca="true" t="shared" si="1" ref="Q29:Q39">SUM(K29:O29)/3</f>
        <v>152.071320750637</v>
      </c>
      <c r="R29" s="9"/>
      <c r="S29" s="9">
        <f>(S12*1000/60)/S$22/0.0283*(21-7)/(21-S$23)</f>
        <v>1182.3305894762511</v>
      </c>
      <c r="T29" s="9"/>
      <c r="U29" s="9">
        <f>(U12*1000/60)/U$22/0.0283*(21-7)/(21-U$23)</f>
        <v>1176.789006990099</v>
      </c>
      <c r="V29" s="9"/>
      <c r="W29" s="9">
        <f>(W12*1000/60)/W$22/0.0283*(21-7)/(21-W$23)</f>
        <v>1207.8528270017916</v>
      </c>
      <c r="X29" s="9"/>
      <c r="Y29" s="9">
        <f>(Y12*1000/60)/Y$22/0.0283*(21-7)/(21-Y$23)</f>
        <v>1191.2436106798054</v>
      </c>
      <c r="Z29" s="9"/>
      <c r="AA29" s="9">
        <f aca="true" t="shared" si="2" ref="AA29:AA37">SUM(S29,K29)</f>
        <v>1335.7986659910493</v>
      </c>
      <c r="AB29" s="9"/>
      <c r="AC29" s="9">
        <f aca="true" t="shared" si="3" ref="AC29:AC37">SUM(U29,M29)</f>
        <v>1327.7586493342237</v>
      </c>
      <c r="AD29" s="9"/>
      <c r="AE29" s="9">
        <f aca="true" t="shared" si="4" ref="AE29:AE37">SUM(W29,O29)</f>
        <v>1359.62907039478</v>
      </c>
      <c r="AF29" s="9"/>
      <c r="AG29" s="9">
        <f aca="true" t="shared" si="5" ref="AG29:AG37">SUM(Y29,Q29)</f>
        <v>1343.3149314304424</v>
      </c>
    </row>
    <row r="30" spans="2:33" ht="12.75">
      <c r="B30" s="1" t="s">
        <v>42</v>
      </c>
      <c r="D30" s="1" t="s">
        <v>12</v>
      </c>
      <c r="K30" s="9">
        <f aca="true" t="shared" si="6" ref="K30:K36">(K13*1000000/60)/$K$22/0.0283*(21-7)/(21-$K$23)</f>
        <v>168345.083932049</v>
      </c>
      <c r="L30" s="9"/>
      <c r="M30" s="9">
        <f>(M13*1000000/60)/M22/0.0283*(21-7)/(21-M23)</f>
        <v>150969.64234412453</v>
      </c>
      <c r="N30" s="9"/>
      <c r="O30" s="9">
        <f aca="true" t="shared" si="7" ref="O30:O37">(O13*1000000/60)/$O$22/0.0283*(21-7)/(21-$O$23)</f>
        <v>197865.3644233198</v>
      </c>
      <c r="P30" s="9"/>
      <c r="Q30" s="9">
        <f t="shared" si="1"/>
        <v>172393.36356649778</v>
      </c>
      <c r="R30" s="9"/>
      <c r="S30" s="9">
        <f>(S13*1000000/60)/S$22/0.0283*(21-7)/(21-S$23)</f>
        <v>1190160.5933800673</v>
      </c>
      <c r="T30" s="9"/>
      <c r="U30" s="9">
        <f>(U13*1000000/60)/U$22/0.0283*(21-7)/(21-U$23)</f>
        <v>1176789.006990099</v>
      </c>
      <c r="V30" s="9"/>
      <c r="W30" s="9">
        <f>(W13*1000000/60)/W$22/0.0283*(21-7)/(21-W$23)</f>
        <v>1207852.8270017914</v>
      </c>
      <c r="X30" s="9"/>
      <c r="Y30" s="9">
        <f>(Y13*1000000/60)/Y$22/0.0283*(21-7)/(21-Y$23)</f>
        <v>1191243.6106798053</v>
      </c>
      <c r="Z30" s="9"/>
      <c r="AA30" s="9">
        <f t="shared" si="2"/>
        <v>1358505.6773121161</v>
      </c>
      <c r="AB30" s="9"/>
      <c r="AC30" s="9">
        <f t="shared" si="3"/>
        <v>1327758.6493342237</v>
      </c>
      <c r="AD30" s="9"/>
      <c r="AE30" s="9">
        <f t="shared" si="4"/>
        <v>1405718.1914251111</v>
      </c>
      <c r="AF30" s="9"/>
      <c r="AG30" s="9">
        <f t="shared" si="5"/>
        <v>1363636.974246303</v>
      </c>
    </row>
    <row r="31" spans="2:33" ht="12.75">
      <c r="B31" s="1" t="s">
        <v>112</v>
      </c>
      <c r="D31" s="1" t="s">
        <v>12</v>
      </c>
      <c r="K31" s="9">
        <f t="shared" si="6"/>
        <v>0.3061531526392147</v>
      </c>
      <c r="L31" s="9"/>
      <c r="M31" s="9">
        <f aca="true" t="shared" si="8" ref="M31:M37">(M14*1000000/60)/$M$22/0.0283*(21-7)/(21-$M$23)</f>
        <v>0.30116508139417664</v>
      </c>
      <c r="N31" s="9"/>
      <c r="O31" s="9">
        <f t="shared" si="7"/>
        <v>0.30434712680374093</v>
      </c>
      <c r="P31" s="9"/>
      <c r="Q31" s="9">
        <f t="shared" si="1"/>
        <v>0.30388845361237743</v>
      </c>
      <c r="R31" s="9"/>
      <c r="S31" s="9"/>
      <c r="T31" s="9"/>
      <c r="U31" s="9"/>
      <c r="V31" s="9"/>
      <c r="W31" s="9"/>
      <c r="X31" s="9"/>
      <c r="Y31" s="9"/>
      <c r="Z31" s="9"/>
      <c r="AA31" s="9">
        <f t="shared" si="2"/>
        <v>0.3061531526392147</v>
      </c>
      <c r="AB31" s="9"/>
      <c r="AC31" s="9">
        <f t="shared" si="3"/>
        <v>0.30116508139417664</v>
      </c>
      <c r="AD31" s="9"/>
      <c r="AE31" s="9">
        <f t="shared" si="4"/>
        <v>0.30434712680374093</v>
      </c>
      <c r="AF31" s="9"/>
      <c r="AG31" s="9">
        <f t="shared" si="5"/>
        <v>0.30388845361237743</v>
      </c>
    </row>
    <row r="32" spans="2:33" ht="12.75">
      <c r="B32" s="1" t="s">
        <v>106</v>
      </c>
      <c r="D32" s="1" t="s">
        <v>12</v>
      </c>
      <c r="K32" s="9">
        <f t="shared" si="6"/>
        <v>3.828871908966138</v>
      </c>
      <c r="L32" s="9"/>
      <c r="M32" s="9">
        <f t="shared" si="8"/>
        <v>3.7626280091920274</v>
      </c>
      <c r="N32" s="9"/>
      <c r="O32" s="9">
        <f t="shared" si="7"/>
        <v>3.798379284913529</v>
      </c>
      <c r="P32" s="9"/>
      <c r="Q32" s="9">
        <f t="shared" si="1"/>
        <v>3.796626401023898</v>
      </c>
      <c r="R32" s="9"/>
      <c r="S32" s="9"/>
      <c r="T32" s="9"/>
      <c r="U32" s="9"/>
      <c r="V32" s="9"/>
      <c r="W32" s="9"/>
      <c r="X32" s="9"/>
      <c r="Y32" s="9"/>
      <c r="Z32" s="9"/>
      <c r="AA32" s="9">
        <f t="shared" si="2"/>
        <v>3.828871908966138</v>
      </c>
      <c r="AB32" s="9"/>
      <c r="AC32" s="9">
        <f t="shared" si="3"/>
        <v>3.7626280091920274</v>
      </c>
      <c r="AD32" s="9"/>
      <c r="AE32" s="9">
        <f t="shared" si="4"/>
        <v>3.798379284913529</v>
      </c>
      <c r="AF32" s="9"/>
      <c r="AG32" s="9">
        <f t="shared" si="5"/>
        <v>3.796626401023898</v>
      </c>
    </row>
    <row r="33" spans="2:33" ht="12.75">
      <c r="B33" s="1" t="s">
        <v>107</v>
      </c>
      <c r="D33" s="1" t="s">
        <v>12</v>
      </c>
      <c r="K33" s="9">
        <f t="shared" si="6"/>
        <v>3.828871908966138</v>
      </c>
      <c r="L33" s="9"/>
      <c r="M33" s="9">
        <f t="shared" si="8"/>
        <v>3.7626280091920274</v>
      </c>
      <c r="N33" s="9"/>
      <c r="O33" s="9">
        <f t="shared" si="7"/>
        <v>3.798379284913529</v>
      </c>
      <c r="P33" s="9"/>
      <c r="Q33" s="9">
        <f t="shared" si="1"/>
        <v>3.796626401023898</v>
      </c>
      <c r="R33" s="9"/>
      <c r="S33" s="9"/>
      <c r="T33" s="9"/>
      <c r="U33" s="9"/>
      <c r="V33" s="9"/>
      <c r="W33" s="9"/>
      <c r="X33" s="9"/>
      <c r="Y33" s="9"/>
      <c r="Z33" s="9"/>
      <c r="AA33" s="9">
        <f t="shared" si="2"/>
        <v>3.828871908966138</v>
      </c>
      <c r="AB33" s="9"/>
      <c r="AC33" s="9">
        <f t="shared" si="3"/>
        <v>3.7626280091920274</v>
      </c>
      <c r="AD33" s="9"/>
      <c r="AE33" s="9">
        <f t="shared" si="4"/>
        <v>3.798379284913529</v>
      </c>
      <c r="AF33" s="9"/>
      <c r="AG33" s="9">
        <f t="shared" si="5"/>
        <v>3.796626401023898</v>
      </c>
    </row>
    <row r="34" spans="2:33" ht="12.75">
      <c r="B34" s="1" t="s">
        <v>103</v>
      </c>
      <c r="D34" s="1" t="s">
        <v>12</v>
      </c>
      <c r="K34" s="9">
        <f t="shared" si="6"/>
        <v>16.8345083932049</v>
      </c>
      <c r="L34" s="9"/>
      <c r="M34" s="9">
        <f t="shared" si="8"/>
        <v>21.058329598770193</v>
      </c>
      <c r="N34" s="9"/>
      <c r="O34" s="9">
        <f t="shared" si="7"/>
        <v>11.283888252253579</v>
      </c>
      <c r="P34" s="9"/>
      <c r="Q34" s="9">
        <f t="shared" si="1"/>
        <v>16.39224208140956</v>
      </c>
      <c r="R34" s="9"/>
      <c r="S34" s="9"/>
      <c r="T34" s="9"/>
      <c r="U34" s="9"/>
      <c r="V34" s="9"/>
      <c r="W34" s="9"/>
      <c r="X34" s="9"/>
      <c r="Y34" s="9"/>
      <c r="Z34" s="9"/>
      <c r="AA34" s="9">
        <f t="shared" si="2"/>
        <v>16.8345083932049</v>
      </c>
      <c r="AB34" s="9"/>
      <c r="AC34" s="9">
        <f t="shared" si="3"/>
        <v>21.058329598770193</v>
      </c>
      <c r="AD34" s="9"/>
      <c r="AE34" s="9">
        <f t="shared" si="4"/>
        <v>11.283888252253579</v>
      </c>
      <c r="AF34" s="9"/>
      <c r="AG34" s="9">
        <f t="shared" si="5"/>
        <v>16.39224208140956</v>
      </c>
    </row>
    <row r="35" spans="2:33" ht="12.75">
      <c r="B35" s="1" t="s">
        <v>104</v>
      </c>
      <c r="D35" s="1" t="s">
        <v>12</v>
      </c>
      <c r="K35" s="9">
        <f t="shared" si="6"/>
        <v>3.828871908966138</v>
      </c>
      <c r="L35" s="9"/>
      <c r="M35" s="9">
        <f t="shared" si="8"/>
        <v>3.7626280091920274</v>
      </c>
      <c r="N35" s="9"/>
      <c r="O35" s="9">
        <f t="shared" si="7"/>
        <v>3.798379284913529</v>
      </c>
      <c r="P35" s="9"/>
      <c r="Q35" s="9">
        <f t="shared" si="1"/>
        <v>3.796626401023898</v>
      </c>
      <c r="R35" s="9"/>
      <c r="S35" s="9"/>
      <c r="T35" s="9"/>
      <c r="U35" s="9"/>
      <c r="V35" s="9"/>
      <c r="W35" s="9"/>
      <c r="X35" s="9"/>
      <c r="Y35" s="9"/>
      <c r="Z35" s="9"/>
      <c r="AA35" s="9">
        <f t="shared" si="2"/>
        <v>3.828871908966138</v>
      </c>
      <c r="AB35" s="9"/>
      <c r="AC35" s="9">
        <f t="shared" si="3"/>
        <v>3.7626280091920274</v>
      </c>
      <c r="AD35" s="9"/>
      <c r="AE35" s="9">
        <f t="shared" si="4"/>
        <v>3.798379284913529</v>
      </c>
      <c r="AF35" s="9"/>
      <c r="AG35" s="9">
        <f t="shared" si="5"/>
        <v>3.796626401023898</v>
      </c>
    </row>
    <row r="36" spans="2:33" ht="12.75">
      <c r="B36" s="1" t="s">
        <v>101</v>
      </c>
      <c r="D36" s="1" t="s">
        <v>12</v>
      </c>
      <c r="K36" s="9">
        <f t="shared" si="6"/>
        <v>18.400509173968146</v>
      </c>
      <c r="L36" s="9"/>
      <c r="M36" s="9">
        <f t="shared" si="8"/>
        <v>19.58734334003257</v>
      </c>
      <c r="N36" s="9"/>
      <c r="O36" s="9">
        <f t="shared" si="7"/>
        <v>19.78653644233198</v>
      </c>
      <c r="P36" s="9"/>
      <c r="Q36" s="9">
        <f t="shared" si="1"/>
        <v>19.2581296521109</v>
      </c>
      <c r="R36" s="9"/>
      <c r="S36" s="9">
        <f>(S19*1000000/60)/S$22/0.0283*(21-7)/(21-S$23)</f>
        <v>189.48609447235282</v>
      </c>
      <c r="T36" s="9"/>
      <c r="U36" s="9">
        <f>(U19*1000000/60)/U$22/0.0283*(21-7)/(21-U$23)</f>
        <v>187.357197165529</v>
      </c>
      <c r="V36" s="9"/>
      <c r="W36" s="9">
        <f>(W19*1000000/60)/W$22/0.0283*(21-7)/(21-W$23)</f>
        <v>192.30288429896947</v>
      </c>
      <c r="X36" s="9"/>
      <c r="Y36" s="9">
        <f>(Y19*1000000/60)/Y$22/0.0283*(21-7)/(21-Y$23)</f>
        <v>188.09109642312714</v>
      </c>
      <c r="Z36" s="9"/>
      <c r="AA36" s="9">
        <f t="shared" si="2"/>
        <v>207.88660364632096</v>
      </c>
      <c r="AB36" s="9"/>
      <c r="AC36" s="9">
        <f t="shared" si="3"/>
        <v>206.94454050556155</v>
      </c>
      <c r="AD36" s="9"/>
      <c r="AE36" s="9">
        <f t="shared" si="4"/>
        <v>212.08942074130147</v>
      </c>
      <c r="AF36" s="9"/>
      <c r="AG36" s="9">
        <f t="shared" si="5"/>
        <v>207.34922607523805</v>
      </c>
    </row>
    <row r="37" spans="2:33" ht="12.75">
      <c r="B37" s="1" t="s">
        <v>105</v>
      </c>
      <c r="D37" s="1" t="s">
        <v>12</v>
      </c>
      <c r="K37" s="9">
        <f>(K20*1000000/60)/$K$22/0.0283*(21-7)/(21-$K$23)</f>
        <v>7.047003513434608</v>
      </c>
      <c r="L37" s="9"/>
      <c r="M37" s="9">
        <f t="shared" si="8"/>
        <v>9.677541175905422</v>
      </c>
      <c r="N37" s="9"/>
      <c r="O37" s="9">
        <f t="shared" si="7"/>
        <v>3.798379284913529</v>
      </c>
      <c r="P37" s="9"/>
      <c r="Q37" s="9">
        <f t="shared" si="1"/>
        <v>6.840974658084519</v>
      </c>
      <c r="R37" s="9"/>
      <c r="S37" s="9"/>
      <c r="T37" s="9"/>
      <c r="U37" s="9"/>
      <c r="V37" s="9"/>
      <c r="W37" s="9"/>
      <c r="X37" s="9"/>
      <c r="Y37" s="9"/>
      <c r="Z37" s="9"/>
      <c r="AA37" s="9">
        <f t="shared" si="2"/>
        <v>7.047003513434608</v>
      </c>
      <c r="AB37" s="9"/>
      <c r="AC37" s="9">
        <f t="shared" si="3"/>
        <v>9.677541175905422</v>
      </c>
      <c r="AD37" s="9"/>
      <c r="AE37" s="9">
        <f t="shared" si="4"/>
        <v>3.798379284913529</v>
      </c>
      <c r="AF37" s="9"/>
      <c r="AG37" s="9">
        <f t="shared" si="5"/>
        <v>6.840974658084519</v>
      </c>
    </row>
    <row r="38" spans="2:33" ht="12.75">
      <c r="B38" s="1" t="s">
        <v>5</v>
      </c>
      <c r="D38" s="1" t="s">
        <v>12</v>
      </c>
      <c r="K38" s="9">
        <f>SUM(K32,K33)</f>
        <v>7.657743817932276</v>
      </c>
      <c r="L38" s="9"/>
      <c r="M38" s="9">
        <f>SUM(M32,M33)</f>
        <v>7.525256018384055</v>
      </c>
      <c r="N38" s="9"/>
      <c r="O38" s="9">
        <f>SUM(O32,O33)</f>
        <v>7.596758569827058</v>
      </c>
      <c r="P38" s="9"/>
      <c r="Q38" s="9">
        <f t="shared" si="1"/>
        <v>7.593252802047796</v>
      </c>
      <c r="R38" s="9"/>
      <c r="S38" s="9"/>
      <c r="T38" s="9"/>
      <c r="U38" s="9"/>
      <c r="V38" s="9"/>
      <c r="W38" s="9"/>
      <c r="X38" s="9"/>
      <c r="Y38" s="9"/>
      <c r="Z38" s="9"/>
      <c r="AA38" s="9">
        <f aca="true" t="shared" si="9" ref="AA38:AG39">SUM(S38,K38)</f>
        <v>7.657743817932276</v>
      </c>
      <c r="AB38" s="9"/>
      <c r="AC38" s="9">
        <f t="shared" si="9"/>
        <v>7.525256018384055</v>
      </c>
      <c r="AD38" s="9"/>
      <c r="AE38" s="9">
        <f t="shared" si="9"/>
        <v>7.596758569827058</v>
      </c>
      <c r="AF38" s="9"/>
      <c r="AG38" s="9">
        <f t="shared" si="9"/>
        <v>7.593252802047796</v>
      </c>
    </row>
    <row r="39" spans="2:33" ht="12.75">
      <c r="B39" s="1" t="s">
        <v>6</v>
      </c>
      <c r="D39" s="1" t="s">
        <v>12</v>
      </c>
      <c r="K39" s="9">
        <f>SUM(K34:K36)</f>
        <v>39.06388947613918</v>
      </c>
      <c r="L39" s="9"/>
      <c r="M39" s="9">
        <f>SUM(M34:M36)</f>
        <v>44.40830094799479</v>
      </c>
      <c r="N39" s="9"/>
      <c r="O39" s="9">
        <f>SUM(O34:O36)</f>
        <v>34.86880397949909</v>
      </c>
      <c r="P39" s="9"/>
      <c r="Q39" s="9">
        <f t="shared" si="1"/>
        <v>39.44699813454435</v>
      </c>
      <c r="R39" s="9"/>
      <c r="S39" s="9">
        <f>S36</f>
        <v>189.48609447235282</v>
      </c>
      <c r="T39" s="9"/>
      <c r="U39" s="9">
        <f>U36</f>
        <v>187.357197165529</v>
      </c>
      <c r="V39" s="9"/>
      <c r="W39" s="9">
        <f>W36</f>
        <v>192.30288429896947</v>
      </c>
      <c r="X39" s="9"/>
      <c r="Y39" s="9">
        <f>Y36</f>
        <v>188.09109642312714</v>
      </c>
      <c r="Z39" s="9"/>
      <c r="AA39" s="9">
        <f t="shared" si="9"/>
        <v>228.549983948492</v>
      </c>
      <c r="AB39" s="9"/>
      <c r="AC39" s="9">
        <f t="shared" si="9"/>
        <v>231.7654981135238</v>
      </c>
      <c r="AD39" s="9"/>
      <c r="AE39" s="9">
        <f t="shared" si="9"/>
        <v>227.17168827846857</v>
      </c>
      <c r="AF39" s="9"/>
      <c r="AG39" s="9">
        <f>AVERAGE(AE39,AC39,AA39)</f>
        <v>229.16239011349478</v>
      </c>
    </row>
    <row r="40" spans="11:24" ht="12.75"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1:24" ht="12.75"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1:24" ht="12.75"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17" ht="12.75">
      <c r="A43" s="1" t="s">
        <v>110</v>
      </c>
      <c r="B43" s="2" t="s">
        <v>109</v>
      </c>
      <c r="C43" s="2"/>
      <c r="K43" s="3" t="s">
        <v>131</v>
      </c>
      <c r="L43" s="3"/>
      <c r="M43" s="3" t="s">
        <v>130</v>
      </c>
      <c r="N43" s="3"/>
      <c r="O43" s="3" t="s">
        <v>132</v>
      </c>
      <c r="P43" s="3"/>
      <c r="Q43" s="3" t="s">
        <v>35</v>
      </c>
    </row>
    <row r="44" spans="2:3" ht="12.75">
      <c r="B44" s="2"/>
      <c r="C44" s="2"/>
    </row>
    <row r="45" spans="2:17" ht="12.75">
      <c r="B45" s="1" t="s">
        <v>140</v>
      </c>
      <c r="C45" s="2"/>
      <c r="K45" s="3" t="s">
        <v>142</v>
      </c>
      <c r="M45" s="3" t="s">
        <v>142</v>
      </c>
      <c r="O45" s="3" t="s">
        <v>142</v>
      </c>
      <c r="Q45" s="3" t="s">
        <v>142</v>
      </c>
    </row>
    <row r="46" spans="2:17" ht="12.75">
      <c r="B46" s="1" t="s">
        <v>141</v>
      </c>
      <c r="C46" s="2"/>
      <c r="K46" s="1" t="s">
        <v>143</v>
      </c>
      <c r="M46" s="1" t="s">
        <v>143</v>
      </c>
      <c r="O46" s="1" t="s">
        <v>143</v>
      </c>
      <c r="Q46" s="1" t="s">
        <v>143</v>
      </c>
    </row>
    <row r="47" spans="2:17" ht="12.75">
      <c r="B47" s="1" t="s">
        <v>146</v>
      </c>
      <c r="C47" s="2"/>
      <c r="K47" s="1" t="s">
        <v>1</v>
      </c>
      <c r="M47" s="1" t="s">
        <v>1</v>
      </c>
      <c r="O47" s="1" t="s">
        <v>1</v>
      </c>
      <c r="Q47" s="1" t="s">
        <v>1</v>
      </c>
    </row>
    <row r="48" spans="2:17" ht="12.75">
      <c r="B48" s="1" t="s">
        <v>114</v>
      </c>
      <c r="K48" s="1" t="s">
        <v>57</v>
      </c>
      <c r="M48" s="1" t="s">
        <v>57</v>
      </c>
      <c r="O48" s="1" t="s">
        <v>57</v>
      </c>
      <c r="Q48" s="1" t="s">
        <v>57</v>
      </c>
    </row>
    <row r="49" spans="2:24" ht="12.75">
      <c r="B49" s="1" t="s">
        <v>113</v>
      </c>
      <c r="D49" s="1" t="s">
        <v>39</v>
      </c>
      <c r="K49" s="7">
        <v>1140000</v>
      </c>
      <c r="L49" s="7"/>
      <c r="M49" s="10">
        <v>1100000</v>
      </c>
      <c r="N49" s="10"/>
      <c r="O49" s="7">
        <v>1140000</v>
      </c>
      <c r="P49" s="7"/>
      <c r="Q49" s="7">
        <f>SUM(K49:O49)/3</f>
        <v>1126666.6666666667</v>
      </c>
      <c r="R49" s="7"/>
      <c r="S49" s="7"/>
      <c r="T49" s="7"/>
      <c r="U49" s="7"/>
      <c r="V49" s="7"/>
      <c r="W49" s="7"/>
      <c r="X49" s="7"/>
    </row>
    <row r="50" spans="2:24" ht="12.75">
      <c r="B50" s="1" t="s">
        <v>111</v>
      </c>
      <c r="D50" s="1" t="s">
        <v>74</v>
      </c>
      <c r="K50" s="9">
        <f>16600000/1000000</f>
        <v>16.6</v>
      </c>
      <c r="L50" s="9"/>
      <c r="M50" s="9">
        <f>15500000/1000000</f>
        <v>15.5</v>
      </c>
      <c r="N50" s="9"/>
      <c r="O50" s="9">
        <f>15800000/1000000</f>
        <v>15.8</v>
      </c>
      <c r="P50" s="9"/>
      <c r="Q50" s="9">
        <f>SUM(K50:O50)/3</f>
        <v>15.966666666666669</v>
      </c>
      <c r="R50" s="9"/>
      <c r="S50" s="9"/>
      <c r="T50" s="9"/>
      <c r="U50" s="9"/>
      <c r="V50" s="9"/>
      <c r="W50" s="9"/>
      <c r="X50" s="9"/>
    </row>
    <row r="51" spans="2:24" ht="12.75">
      <c r="B51" s="1" t="s">
        <v>8</v>
      </c>
      <c r="D51" s="1" t="s">
        <v>39</v>
      </c>
      <c r="J51" s="11"/>
      <c r="K51" s="7">
        <v>1140</v>
      </c>
      <c r="L51" s="7"/>
      <c r="M51" s="7">
        <v>1100</v>
      </c>
      <c r="N51" s="7"/>
      <c r="O51" s="7">
        <v>1140</v>
      </c>
      <c r="P51" s="7"/>
      <c r="Q51" s="7">
        <f aca="true" t="shared" si="10" ref="Q51:Q62">SUM(K51:O51)/3</f>
        <v>1126.6666666666667</v>
      </c>
      <c r="R51" s="7"/>
      <c r="S51" s="7"/>
      <c r="T51" s="7"/>
      <c r="U51" s="7"/>
      <c r="V51" s="7"/>
      <c r="W51" s="7"/>
      <c r="X51" s="7"/>
    </row>
    <row r="52" spans="2:24" ht="12.75">
      <c r="B52" s="1" t="s">
        <v>42</v>
      </c>
      <c r="D52" s="1" t="s">
        <v>39</v>
      </c>
      <c r="K52" s="7">
        <v>1830</v>
      </c>
      <c r="L52" s="7"/>
      <c r="M52" s="7">
        <v>1430</v>
      </c>
      <c r="N52" s="7"/>
      <c r="O52" s="7">
        <v>1590</v>
      </c>
      <c r="P52" s="7"/>
      <c r="Q52" s="7">
        <f t="shared" si="10"/>
        <v>1616.6666666666667</v>
      </c>
      <c r="R52" s="7"/>
      <c r="S52" s="7"/>
      <c r="T52" s="7"/>
      <c r="U52" s="7"/>
      <c r="V52" s="7"/>
      <c r="W52" s="7"/>
      <c r="X52" s="7"/>
    </row>
    <row r="53" spans="2:24" ht="12.75">
      <c r="B53" s="1" t="s">
        <v>112</v>
      </c>
      <c r="D53" s="1" t="s">
        <v>39</v>
      </c>
      <c r="K53" s="8">
        <v>0.0229</v>
      </c>
      <c r="L53" s="8"/>
      <c r="M53" s="8">
        <v>0.022</v>
      </c>
      <c r="N53" s="8"/>
      <c r="O53" s="8">
        <v>0.0227</v>
      </c>
      <c r="P53" s="8"/>
      <c r="Q53" s="8">
        <f t="shared" si="10"/>
        <v>0.022533333333333332</v>
      </c>
      <c r="R53" s="8"/>
      <c r="S53" s="8"/>
      <c r="T53" s="8"/>
      <c r="U53" s="8"/>
      <c r="V53" s="8"/>
      <c r="W53" s="8"/>
      <c r="X53" s="8"/>
    </row>
    <row r="54" spans="2:24" ht="12.75">
      <c r="B54" s="1" t="s">
        <v>106</v>
      </c>
      <c r="D54" s="1" t="s">
        <v>39</v>
      </c>
      <c r="K54" s="8">
        <v>0.0286</v>
      </c>
      <c r="L54" s="8"/>
      <c r="M54" s="8">
        <v>0.0275</v>
      </c>
      <c r="N54" s="8"/>
      <c r="O54" s="8">
        <v>0.0284</v>
      </c>
      <c r="P54" s="8"/>
      <c r="Q54" s="8">
        <f t="shared" si="10"/>
        <v>0.028166666666666663</v>
      </c>
      <c r="R54" s="8"/>
      <c r="S54" s="8"/>
      <c r="T54" s="8"/>
      <c r="U54" s="8"/>
      <c r="V54" s="8"/>
      <c r="W54" s="8"/>
      <c r="X54" s="8"/>
    </row>
    <row r="55" spans="2:24" ht="12.75">
      <c r="B55" s="1" t="s">
        <v>107</v>
      </c>
      <c r="D55" s="1" t="s">
        <v>39</v>
      </c>
      <c r="K55" s="8">
        <v>0.0286</v>
      </c>
      <c r="L55" s="8"/>
      <c r="M55" s="8">
        <v>0.0275</v>
      </c>
      <c r="N55" s="8"/>
      <c r="O55" s="8">
        <v>0.0284</v>
      </c>
      <c r="P55" s="8"/>
      <c r="Q55" s="8">
        <f t="shared" si="10"/>
        <v>0.028166666666666663</v>
      </c>
      <c r="R55" s="8"/>
      <c r="S55" s="8"/>
      <c r="T55" s="8"/>
      <c r="U55" s="8"/>
      <c r="V55" s="8"/>
      <c r="W55" s="8"/>
      <c r="X55" s="8"/>
    </row>
    <row r="56" spans="2:24" ht="12.75">
      <c r="B56" s="1" t="s">
        <v>103</v>
      </c>
      <c r="D56" s="1" t="s">
        <v>39</v>
      </c>
      <c r="K56" s="8">
        <v>0.106</v>
      </c>
      <c r="L56" s="8"/>
      <c r="M56" s="8">
        <v>0.291</v>
      </c>
      <c r="N56" s="8"/>
      <c r="O56" s="8">
        <v>0.0847</v>
      </c>
      <c r="P56" s="8"/>
      <c r="Q56" s="8">
        <f t="shared" si="10"/>
        <v>0.16056666666666666</v>
      </c>
      <c r="R56" s="8"/>
      <c r="S56" s="8"/>
      <c r="T56" s="8"/>
      <c r="U56" s="8"/>
      <c r="V56" s="8"/>
      <c r="W56" s="8"/>
      <c r="X56" s="8"/>
    </row>
    <row r="57" spans="2:24" ht="12.75">
      <c r="B57" s="1" t="s">
        <v>104</v>
      </c>
      <c r="D57" s="1" t="s">
        <v>39</v>
      </c>
      <c r="K57" s="8">
        <v>0.0418</v>
      </c>
      <c r="L57" s="8"/>
      <c r="M57" s="8">
        <v>0.0868</v>
      </c>
      <c r="N57" s="8"/>
      <c r="O57" s="8">
        <v>0.136</v>
      </c>
      <c r="P57" s="8"/>
      <c r="Q57" s="8">
        <f t="shared" si="10"/>
        <v>0.0882</v>
      </c>
      <c r="R57" s="8"/>
      <c r="S57" s="8"/>
      <c r="T57" s="8"/>
      <c r="U57" s="8"/>
      <c r="V57" s="8"/>
      <c r="W57" s="8"/>
      <c r="X57" s="8"/>
    </row>
    <row r="58" spans="2:24" ht="12.75">
      <c r="B58" s="1" t="s">
        <v>101</v>
      </c>
      <c r="D58" s="1" t="s">
        <v>39</v>
      </c>
      <c r="K58" s="8">
        <v>0.137</v>
      </c>
      <c r="L58" s="8"/>
      <c r="M58" s="8">
        <v>0.103</v>
      </c>
      <c r="N58" s="8"/>
      <c r="O58" s="8">
        <v>0.0682</v>
      </c>
      <c r="P58" s="8"/>
      <c r="Q58" s="8">
        <f t="shared" si="10"/>
        <v>0.10273333333333333</v>
      </c>
      <c r="R58" s="8"/>
      <c r="S58" s="8"/>
      <c r="T58" s="8"/>
      <c r="U58" s="8"/>
      <c r="V58" s="8"/>
      <c r="W58" s="8"/>
      <c r="X58" s="8"/>
    </row>
    <row r="59" spans="2:24" ht="12.75">
      <c r="B59" s="1" t="s">
        <v>105</v>
      </c>
      <c r="D59" s="1" t="s">
        <v>39</v>
      </c>
      <c r="K59" s="8">
        <v>0.0492</v>
      </c>
      <c r="L59" s="8"/>
      <c r="M59" s="8">
        <v>0.0275</v>
      </c>
      <c r="N59" s="8"/>
      <c r="O59" s="8">
        <v>0.0738</v>
      </c>
      <c r="P59" s="8"/>
      <c r="Q59" s="8">
        <f t="shared" si="10"/>
        <v>0.05016666666666667</v>
      </c>
      <c r="R59" s="8"/>
      <c r="S59" s="8"/>
      <c r="T59" s="8"/>
      <c r="U59" s="8"/>
      <c r="V59" s="8"/>
      <c r="W59" s="8"/>
      <c r="X59" s="8"/>
    </row>
    <row r="60" spans="17:24" ht="12.75" customHeight="1">
      <c r="Q60" s="6"/>
      <c r="R60" s="6"/>
      <c r="S60" s="6"/>
      <c r="T60" s="6"/>
      <c r="U60" s="6"/>
      <c r="V60" s="6"/>
      <c r="W60" s="6"/>
      <c r="X60" s="6"/>
    </row>
    <row r="61" spans="2:24" ht="12.75">
      <c r="B61" s="1" t="s">
        <v>44</v>
      </c>
      <c r="D61" s="1" t="s">
        <v>15</v>
      </c>
      <c r="K61" s="5"/>
      <c r="L61" s="5"/>
      <c r="M61" s="5"/>
      <c r="N61" s="5"/>
      <c r="O61" s="5"/>
      <c r="P61" s="5"/>
      <c r="Q61" s="6" t="s">
        <v>26</v>
      </c>
      <c r="R61" s="6"/>
      <c r="S61" s="6"/>
      <c r="T61" s="6"/>
      <c r="U61" s="6"/>
      <c r="V61" s="6"/>
      <c r="W61" s="6"/>
      <c r="X61" s="6"/>
    </row>
    <row r="62" spans="2:24" ht="12.75">
      <c r="B62" s="1" t="s">
        <v>9</v>
      </c>
      <c r="D62" s="1" t="s">
        <v>16</v>
      </c>
      <c r="K62" s="1">
        <f>emiss!G26</f>
        <v>3</v>
      </c>
      <c r="M62" s="1">
        <f>emiss!I26</f>
        <v>2.3</v>
      </c>
      <c r="O62" s="1">
        <f>emiss!K26</f>
        <v>2.6</v>
      </c>
      <c r="Q62" s="9">
        <f t="shared" si="10"/>
        <v>2.6333333333333333</v>
      </c>
      <c r="R62" s="9"/>
      <c r="S62" s="9"/>
      <c r="T62" s="9"/>
      <c r="U62" s="9"/>
      <c r="V62" s="9"/>
      <c r="W62" s="9"/>
      <c r="X62" s="9"/>
    </row>
    <row r="63" spans="17:24" ht="12.75">
      <c r="Q63" s="6"/>
      <c r="R63" s="6"/>
      <c r="S63" s="6"/>
      <c r="T63" s="6"/>
      <c r="U63" s="6"/>
      <c r="V63" s="6"/>
      <c r="W63" s="6"/>
      <c r="X63" s="6"/>
    </row>
    <row r="64" spans="2:24" ht="12.75">
      <c r="B64" s="1" t="s">
        <v>70</v>
      </c>
      <c r="Q64" s="6"/>
      <c r="R64" s="6"/>
      <c r="S64" s="6"/>
      <c r="T64" s="6"/>
      <c r="U64" s="6"/>
      <c r="V64" s="6"/>
      <c r="W64" s="6"/>
      <c r="X64" s="6"/>
    </row>
    <row r="65" spans="17:24" ht="12.75" customHeight="1">
      <c r="Q65" s="6"/>
      <c r="R65" s="6"/>
      <c r="S65" s="6"/>
      <c r="T65" s="6"/>
      <c r="U65" s="6"/>
      <c r="V65" s="6"/>
      <c r="W65" s="6"/>
      <c r="X65" s="6"/>
    </row>
    <row r="66" spans="2:24" ht="12.75">
      <c r="B66" s="1" t="s">
        <v>147</v>
      </c>
      <c r="D66" s="1" t="s">
        <v>74</v>
      </c>
      <c r="K66" s="8"/>
      <c r="L66" s="8"/>
      <c r="Q66" s="6"/>
      <c r="R66" s="6"/>
      <c r="S66" s="6"/>
      <c r="T66" s="6"/>
      <c r="U66" s="6"/>
      <c r="V66" s="6"/>
      <c r="W66" s="6"/>
      <c r="X66" s="6"/>
    </row>
    <row r="67" spans="2:4" ht="12.75">
      <c r="B67" s="1" t="s">
        <v>8</v>
      </c>
      <c r="D67" s="1" t="s">
        <v>14</v>
      </c>
    </row>
    <row r="68" spans="2:4" ht="12.75">
      <c r="B68" s="1" t="s">
        <v>42</v>
      </c>
      <c r="D68" s="1" t="s">
        <v>12</v>
      </c>
    </row>
    <row r="69" spans="2:4" ht="12.75">
      <c r="B69" s="1" t="s">
        <v>112</v>
      </c>
      <c r="D69" s="1" t="s">
        <v>12</v>
      </c>
    </row>
    <row r="70" spans="2:4" ht="12.75">
      <c r="B70" s="1" t="s">
        <v>106</v>
      </c>
      <c r="D70" s="1" t="s">
        <v>12</v>
      </c>
    </row>
    <row r="71" spans="2:4" ht="12.75">
      <c r="B71" s="1" t="s">
        <v>107</v>
      </c>
      <c r="D71" s="1" t="s">
        <v>12</v>
      </c>
    </row>
    <row r="72" spans="2:4" ht="12.75">
      <c r="B72" s="1" t="s">
        <v>103</v>
      </c>
      <c r="D72" s="1" t="s">
        <v>12</v>
      </c>
    </row>
    <row r="73" spans="2:4" ht="12.75">
      <c r="B73" s="1" t="s">
        <v>104</v>
      </c>
      <c r="D73" s="1" t="s">
        <v>12</v>
      </c>
    </row>
    <row r="74" spans="2:4" ht="12.75">
      <c r="B74" s="1" t="s">
        <v>101</v>
      </c>
      <c r="D74" s="1" t="s">
        <v>12</v>
      </c>
    </row>
    <row r="75" spans="2:4" ht="12.75">
      <c r="B75" s="1" t="s">
        <v>105</v>
      </c>
      <c r="D75" s="1" t="s">
        <v>12</v>
      </c>
    </row>
    <row r="76" spans="2:4" ht="12.75">
      <c r="B76" s="1" t="s">
        <v>5</v>
      </c>
      <c r="D76" s="1" t="s">
        <v>12</v>
      </c>
    </row>
    <row r="77" spans="2:4" ht="12.75">
      <c r="B77" s="1" t="s">
        <v>6</v>
      </c>
      <c r="D77" s="1" t="s">
        <v>12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8" sqref="A18"/>
    </sheetView>
  </sheetViews>
  <sheetFormatPr defaultColWidth="9.140625" defaultRowHeight="12.75"/>
  <cols>
    <col min="1" max="1" width="29.140625" style="1" customWidth="1"/>
    <col min="2" max="2" width="11.7109375" style="1" customWidth="1"/>
    <col min="3" max="3" width="12.28125" style="1" customWidth="1"/>
    <col min="4" max="4" width="11.140625" style="1" customWidth="1"/>
    <col min="5" max="5" width="8.28125" style="1" customWidth="1"/>
    <col min="6" max="16384" width="11.421875" style="1" customWidth="1"/>
  </cols>
  <sheetData>
    <row r="1" ht="12.75">
      <c r="A1" s="2" t="s">
        <v>45</v>
      </c>
    </row>
    <row r="3" spans="2:5" ht="12.75">
      <c r="B3" s="1" t="s">
        <v>34</v>
      </c>
      <c r="C3" s="3" t="s">
        <v>35</v>
      </c>
      <c r="D3" s="3"/>
      <c r="E3" s="3"/>
    </row>
    <row r="4" spans="3:5" ht="12.75">
      <c r="C4" s="3"/>
      <c r="D4" s="3"/>
      <c r="E4" s="3"/>
    </row>
    <row r="5" spans="1:5" ht="12.75">
      <c r="A5" s="2" t="str">
        <f>feed!B4</f>
        <v>777C10</v>
      </c>
      <c r="E5" s="3"/>
    </row>
    <row r="6" spans="1:5" ht="12.75">
      <c r="A6" s="2"/>
      <c r="E6" s="3"/>
    </row>
    <row r="7" spans="1:5" ht="12.75">
      <c r="A7" s="1" t="s">
        <v>77</v>
      </c>
      <c r="B7" s="1" t="s">
        <v>76</v>
      </c>
      <c r="C7" s="1">
        <v>51.16</v>
      </c>
      <c r="D7" s="4"/>
      <c r="E7" s="5"/>
    </row>
    <row r="8" spans="1:3" ht="12.75">
      <c r="A8" s="1" t="s">
        <v>78</v>
      </c>
      <c r="B8" s="1" t="s">
        <v>53</v>
      </c>
      <c r="C8" s="1">
        <v>1993</v>
      </c>
    </row>
    <row r="9" ht="12.75">
      <c r="A9" s="1" t="s">
        <v>79</v>
      </c>
    </row>
    <row r="10" spans="1:3" ht="12.75">
      <c r="A10" s="1" t="s">
        <v>82</v>
      </c>
      <c r="B10" s="1" t="s">
        <v>54</v>
      </c>
      <c r="C10" s="1">
        <v>9.79</v>
      </c>
    </row>
    <row r="11" spans="1:3" ht="12.75">
      <c r="A11" s="1" t="s">
        <v>81</v>
      </c>
      <c r="B11" s="1" t="s">
        <v>55</v>
      </c>
      <c r="C11" s="1">
        <v>5.3</v>
      </c>
    </row>
    <row r="12" spans="1:3" ht="12.75">
      <c r="A12" s="1" t="s">
        <v>80</v>
      </c>
      <c r="C12" s="1">
        <v>6.3</v>
      </c>
    </row>
    <row r="14" ht="12.75">
      <c r="A14" s="2" t="str">
        <f>feed!B43</f>
        <v>777C11</v>
      </c>
    </row>
    <row r="15" ht="12.75">
      <c r="A15" s="2"/>
    </row>
    <row r="16" spans="1:3" ht="12.75">
      <c r="A16" s="1" t="s">
        <v>78</v>
      </c>
      <c r="B16" s="1" t="s">
        <v>53</v>
      </c>
      <c r="C16" s="1">
        <v>1105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2004-02-19T17:53:57Z</cp:lastPrinted>
  <dcterms:created xsi:type="dcterms:W3CDTF">2000-02-25T16:38:56Z</dcterms:created>
  <dcterms:modified xsi:type="dcterms:W3CDTF">2004-02-19T17:54:14Z</dcterms:modified>
  <cp:category/>
  <cp:version/>
  <cp:contentType/>
  <cp:contentStatus/>
</cp:coreProperties>
</file>