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920" yWindow="3825" windowWidth="12120" windowHeight="6780" tabRatio="63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<sst xmlns="http://schemas.openxmlformats.org/spreadsheetml/2006/main" count="378" uniqueCount="150">
  <si>
    <t>Stack Gas Emissions</t>
  </si>
  <si>
    <t>HW</t>
  </si>
  <si>
    <t>PM</t>
  </si>
  <si>
    <t>HCl</t>
  </si>
  <si>
    <t>Cl2</t>
  </si>
  <si>
    <t>SVM</t>
  </si>
  <si>
    <t>LVM</t>
  </si>
  <si>
    <t>CO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</si>
  <si>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</si>
  <si>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</si>
  <si>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</si>
  <si>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</si>
  <si>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</si>
  <si>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</si>
  <si>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</si>
  <si>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</si>
  <si>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</si>
  <si>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</si>
  <si>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</si>
  <si>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</si>
  <si>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</si>
  <si>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</si>
  <si>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</si>
  <si>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</si>
  <si>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None</t>
  </si>
  <si>
    <t>APCS Characteristics</t>
  </si>
  <si>
    <t>NA</t>
  </si>
  <si>
    <t>Stack Characteristics</t>
  </si>
  <si>
    <t>Permitting Status</t>
  </si>
  <si>
    <t xml:space="preserve">     Report Name/Date</t>
  </si>
  <si>
    <t xml:space="preserve">     Testing Dates</t>
  </si>
  <si>
    <t xml:space="preserve">     Cond. Description</t>
  </si>
  <si>
    <t xml:space="preserve">     Content</t>
  </si>
  <si>
    <t xml:space="preserve">     Report Prepar</t>
  </si>
  <si>
    <t xml:space="preserve">     Testing Firm</t>
  </si>
  <si>
    <t>Units</t>
  </si>
  <si>
    <t>Cond Avg</t>
  </si>
  <si>
    <t xml:space="preserve">   Stack Gas Flowrate</t>
  </si>
  <si>
    <t xml:space="preserve">   Temperature</t>
  </si>
  <si>
    <t>y</t>
  </si>
  <si>
    <t>g/hr</t>
  </si>
  <si>
    <t>Density</t>
  </si>
  <si>
    <t>g/ml</t>
  </si>
  <si>
    <t>Chlorine</t>
  </si>
  <si>
    <t>Cr</t>
  </si>
  <si>
    <t>Stack Gas Flowrate</t>
  </si>
  <si>
    <t>Process Information</t>
  </si>
  <si>
    <t>Augusta</t>
  </si>
  <si>
    <t>GA</t>
  </si>
  <si>
    <t>Monsanto (Nutrasweet Kelco Co.)</t>
  </si>
  <si>
    <t>Boiler 1 - WHRU 1</t>
  </si>
  <si>
    <t>GAD981237118</t>
  </si>
  <si>
    <t>June 17-25, 1997</t>
  </si>
  <si>
    <t>B3 Systems, Inc</t>
  </si>
  <si>
    <t>METCO</t>
  </si>
  <si>
    <t>F</t>
  </si>
  <si>
    <t>gpm</t>
  </si>
  <si>
    <t>gpm/kacfm</t>
  </si>
  <si>
    <t>n</t>
  </si>
  <si>
    <t>Liquid waste</t>
  </si>
  <si>
    <t>Hazardous Wastes</t>
  </si>
  <si>
    <t>Haz Waste Description</t>
  </si>
  <si>
    <t>Supplemental Fuel</t>
  </si>
  <si>
    <t>Liq</t>
  </si>
  <si>
    <t xml:space="preserve">Natural gas </t>
  </si>
  <si>
    <t>CoC; max feedrate</t>
  </si>
  <si>
    <t>CoC; min combustion temperature</t>
  </si>
  <si>
    <t xml:space="preserve">CO emissions </t>
  </si>
  <si>
    <t>PM, CO, HCl/Cl2, Cr emissions; metals, ash, Cl feed analysis</t>
  </si>
  <si>
    <t>BIF Recerification of Compliance Test Report - Boilers 1 and 2; dated August 20, 1997</t>
  </si>
  <si>
    <t>776C10</t>
  </si>
  <si>
    <t>776C11</t>
  </si>
  <si>
    <t>Tier IA for all metals, except Cr; Tier III for Cr and chlorine</t>
  </si>
  <si>
    <t>Comments</t>
  </si>
  <si>
    <t>Liq waste</t>
  </si>
  <si>
    <t>Feedstreams</t>
  </si>
  <si>
    <t>Capacity (MMBtu/hr)</t>
  </si>
  <si>
    <t>Total</t>
  </si>
  <si>
    <t>Feedrate MTEC Calculations</t>
  </si>
  <si>
    <t>MMBtu/hr</t>
  </si>
  <si>
    <t>need stack gas flowrate to</t>
  </si>
  <si>
    <t>make calculations</t>
  </si>
  <si>
    <t>Scrubber Operation</t>
  </si>
  <si>
    <t xml:space="preserve">   Scrubber pH</t>
  </si>
  <si>
    <t>Steam Production Rate</t>
  </si>
  <si>
    <t>Comb Chamber Temperature</t>
  </si>
  <si>
    <t xml:space="preserve">   Scrubber L/G Ratio</t>
  </si>
  <si>
    <t xml:space="preserve">   Scrubber Liquid Blowdown</t>
  </si>
  <si>
    <t>Phase II ID No.</t>
  </si>
  <si>
    <t>Liquid, primarily ester #1 and methanol, classed as D001 and D002;  42-51% ester #1, 10-17% methanol, 11-18% water, 9-22% acetic acid, and &lt; 1% hydrochloric acid; 8.1 lb/gal and 7,100 Btu/lb</t>
  </si>
  <si>
    <t>7% O2</t>
  </si>
  <si>
    <t>klb/hr</t>
  </si>
  <si>
    <t>Source Description</t>
  </si>
  <si>
    <t xml:space="preserve">    City</t>
  </si>
  <si>
    <t xml:space="preserve">    State</t>
  </si>
  <si>
    <t>Soot Blowing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</si>
  <si>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</si>
  <si>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</si>
  <si>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</si>
  <si>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</si>
  <si>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(PM, HCl/Cl2)</t>
  </si>
  <si>
    <t xml:space="preserve">   O2</t>
  </si>
  <si>
    <t xml:space="preserve">   Moisture</t>
  </si>
  <si>
    <t>Total Chlorine</t>
  </si>
  <si>
    <t>CO (RA)</t>
  </si>
  <si>
    <t>CO (MHRA)</t>
  </si>
  <si>
    <t>Chromium</t>
  </si>
  <si>
    <t>Sampling Train</t>
  </si>
  <si>
    <t>Arsenic</t>
  </si>
  <si>
    <t>Beryllium</t>
  </si>
  <si>
    <t>Antimony</t>
  </si>
  <si>
    <t>Lead</t>
  </si>
  <si>
    <t>Cadmium</t>
  </si>
  <si>
    <t>*</t>
  </si>
  <si>
    <t>Thermal Feedrate</t>
  </si>
  <si>
    <t>Mercury</t>
  </si>
  <si>
    <t>Feed Rate</t>
  </si>
  <si>
    <t>Feedstream Description</t>
  </si>
  <si>
    <t>HWC Burn Status (Date if Terminated)</t>
  </si>
  <si>
    <t>QC/WS</t>
  </si>
  <si>
    <t>(Cooler/caustic scrubber)</t>
  </si>
  <si>
    <t xml:space="preserve">     Cond Dates</t>
  </si>
  <si>
    <t>Firetube boiler. John Zink 2-stage combustion boiler, forced draft, with 3 burner guns; 66 MM Btu/hr, 49,000 lb/hr steam with fire-tube heat recovery boiler; part of cooled boiler exhaust is returned to 2nd stage combustor inlet</t>
  </si>
  <si>
    <t>Liquid-fired boiler</t>
  </si>
  <si>
    <t>Cond Description</t>
  </si>
  <si>
    <t>Number of Sister Facilities</t>
  </si>
  <si>
    <t>Combustor Type</t>
  </si>
  <si>
    <t>APCS Detailed Acronym</t>
  </si>
  <si>
    <t>APCS General Class</t>
  </si>
  <si>
    <t>Liquid-fired</t>
  </si>
  <si>
    <t>WQ,LEWS</t>
  </si>
  <si>
    <t>Combustor Class</t>
  </si>
  <si>
    <t>R1</t>
  </si>
  <si>
    <t>R2</t>
  </si>
  <si>
    <t>R3</t>
  </si>
  <si>
    <t>E1</t>
  </si>
  <si>
    <t>E2</t>
  </si>
  <si>
    <t>source</t>
  </si>
  <si>
    <t>cond</t>
  </si>
  <si>
    <t>emiss</t>
  </si>
  <si>
    <t>feed</t>
  </si>
  <si>
    <t>process</t>
  </si>
  <si>
    <t>Feedstream Number</t>
  </si>
  <si>
    <t>Feed Class</t>
  </si>
  <si>
    <t>F1</t>
  </si>
  <si>
    <t>Liq HW</t>
  </si>
  <si>
    <t>F2</t>
  </si>
  <si>
    <t>F3</t>
  </si>
  <si>
    <t>Feed Class 2</t>
  </si>
  <si>
    <t>Estimated Firing Rate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</si>
</sst>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  <numFmt numFmtId="170" formatCode="0.00000000"/>
    <numFmt numFmtId="171" formatCode="#,##0.0"/>
    <numFmt numFmtId="172" formatCode="0.000E+0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16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/>
    </xf>
    <xf numFmtId="17" fontId="5" fillId="0" borderId="0" xfId="0" applyNumberFormat="1" applyFont="1" applyAlignment="1">
      <alignment horizontal="left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C24" sqref="C24"/>
    </sheetView>
  </sheetViews>
  <sheetFormatPr defaultColWidth="9.140625" defaultRowHeight="12.75"/>
  <sheetData>
    <row r="1" ht="12.75">
      <c r="A1" t="s">
        <v>137</v>
      </c>
    </row>
    <row r="2" ht="12.75">
      <c r="A2" t="s">
        <v>138</v>
      </c>
    </row>
    <row r="3" ht="12.75">
      <c r="A3" t="s">
        <v>139</v>
      </c>
    </row>
    <row r="4" ht="12.75">
      <c r="A4" t="s">
        <v>140</v>
      </c>
    </row>
    <row r="5" ht="12.75">
      <c r="A5" t="s">
        <v>141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2" hidden="1" customWidth="1"/>
    <col min="2" max="2" width="24.140625" style="2" customWidth="1"/>
    <col min="3" max="3" width="60.00390625" style="2" customWidth="1"/>
    <col min="4" max="4" width="9.00390625" style="2" customWidth="1"/>
    <col min="5" max="16384" width="11.421875" style="2" customWidth="1"/>
  </cols>
  <sheetData>
    <row r="1" ht="12.75">
      <c r="B1" s="1" t="s">
        <v>92</v>
      </c>
    </row>
    <row r="3" spans="2:3" ht="12.75">
      <c r="B3" s="2" t="s">
        <v>88</v>
      </c>
      <c r="C3" s="15">
        <v>776</v>
      </c>
    </row>
    <row r="4" spans="2:3" ht="12.75">
      <c r="B4" s="2" t="s">
        <v>18</v>
      </c>
      <c r="C4" s="2" t="s">
        <v>51</v>
      </c>
    </row>
    <row r="5" spans="2:3" ht="12.75">
      <c r="B5" s="2" t="s">
        <v>19</v>
      </c>
      <c r="C5" s="2" t="s">
        <v>49</v>
      </c>
    </row>
    <row r="6" ht="12.75">
      <c r="B6" s="2" t="s">
        <v>20</v>
      </c>
    </row>
    <row r="7" spans="2:3" ht="12.75">
      <c r="B7" s="2" t="s">
        <v>93</v>
      </c>
      <c r="C7" s="2" t="s">
        <v>47</v>
      </c>
    </row>
    <row r="8" spans="2:3" ht="12.75">
      <c r="B8" s="2" t="s">
        <v>94</v>
      </c>
      <c r="C8" s="2" t="s">
        <v>48</v>
      </c>
    </row>
    <row r="9" spans="2:3" ht="12.75">
      <c r="B9" s="2" t="s">
        <v>21</v>
      </c>
      <c r="C9" s="2" t="s">
        <v>50</v>
      </c>
    </row>
    <row r="10" spans="2:3" ht="12.75">
      <c r="B10" s="2" t="s">
        <v>22</v>
      </c>
      <c r="C10" s="2" t="s">
        <v>24</v>
      </c>
    </row>
    <row r="11" spans="2:3" ht="12.75">
      <c r="B11" s="2" t="s">
        <v>125</v>
      </c>
      <c r="C11" s="15">
        <v>0</v>
      </c>
    </row>
    <row r="12" spans="2:3" ht="12.75">
      <c r="B12" s="2" t="s">
        <v>131</v>
      </c>
      <c r="C12" s="2" t="s">
        <v>123</v>
      </c>
    </row>
    <row r="13" spans="2:3" ht="12.75">
      <c r="B13" s="2" t="s">
        <v>126</v>
      </c>
      <c r="C13" s="2" t="s">
        <v>129</v>
      </c>
    </row>
    <row r="14" spans="2:3" s="16" customFormat="1" ht="51">
      <c r="B14" s="16" t="s">
        <v>23</v>
      </c>
      <c r="C14" s="16" t="s">
        <v>122</v>
      </c>
    </row>
    <row r="15" spans="2:3" s="16" customFormat="1" ht="12.75">
      <c r="B15" s="16" t="s">
        <v>76</v>
      </c>
      <c r="C15" s="22">
        <v>66</v>
      </c>
    </row>
    <row r="16" spans="2:3" ht="12.75">
      <c r="B16" s="2" t="s">
        <v>95</v>
      </c>
      <c r="C16" s="2" t="s">
        <v>24</v>
      </c>
    </row>
    <row r="17" spans="2:3" ht="12.75">
      <c r="B17" s="2" t="s">
        <v>127</v>
      </c>
      <c r="C17" s="2" t="s">
        <v>119</v>
      </c>
    </row>
    <row r="18" spans="2:3" ht="12.75">
      <c r="B18" s="2" t="s">
        <v>128</v>
      </c>
      <c r="C18" s="2" t="s">
        <v>130</v>
      </c>
    </row>
    <row r="19" spans="2:3" ht="12.75">
      <c r="B19" s="2" t="s">
        <v>25</v>
      </c>
      <c r="C19" s="2" t="s">
        <v>120</v>
      </c>
    </row>
    <row r="20" spans="2:3" ht="12.75">
      <c r="B20" s="2" t="s">
        <v>60</v>
      </c>
      <c r="C20" s="2" t="s">
        <v>63</v>
      </c>
    </row>
    <row r="21" spans="2:3" s="17" customFormat="1" ht="38.25">
      <c r="B21" s="17" t="s">
        <v>61</v>
      </c>
      <c r="C21" s="17" t="s">
        <v>89</v>
      </c>
    </row>
    <row r="22" spans="2:3" ht="12.75">
      <c r="B22" s="2" t="s">
        <v>62</v>
      </c>
      <c r="C22" s="2" t="s">
        <v>64</v>
      </c>
    </row>
    <row r="23" ht="12.75" customHeight="1"/>
    <row r="24" ht="12.75">
      <c r="B24" s="2" t="s">
        <v>27</v>
      </c>
    </row>
    <row r="25" spans="2:3" ht="12.75">
      <c r="B25" s="2" t="s">
        <v>96</v>
      </c>
      <c r="C25" s="18"/>
    </row>
    <row r="26" spans="2:3" ht="12.75">
      <c r="B26" s="2" t="s">
        <v>97</v>
      </c>
      <c r="C26" s="15">
        <v>100</v>
      </c>
    </row>
    <row r="27" spans="2:3" ht="12.75">
      <c r="B27" s="2" t="s">
        <v>98</v>
      </c>
      <c r="C27" s="15"/>
    </row>
    <row r="28" spans="2:3" ht="12.75">
      <c r="B28" s="2" t="s">
        <v>99</v>
      </c>
      <c r="C28" s="15">
        <v>162</v>
      </c>
    </row>
    <row r="29" ht="12.75" customHeight="1"/>
    <row r="30" spans="2:3" ht="12.75">
      <c r="B30" s="2" t="s">
        <v>28</v>
      </c>
      <c r="C30" s="2" t="s">
        <v>72</v>
      </c>
    </row>
    <row r="31" s="26" customFormat="1" ht="25.5">
      <c r="B31" s="26" t="s">
        <v>118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2" hidden="1" customWidth="1"/>
    <col min="2" max="2" width="22.7109375" style="2" customWidth="1"/>
    <col min="3" max="3" width="58.140625" style="2" customWidth="1"/>
    <col min="4" max="16384" width="9.140625" style="2" customWidth="1"/>
  </cols>
  <sheetData>
    <row r="1" ht="12.75">
      <c r="B1" s="1" t="s">
        <v>124</v>
      </c>
    </row>
    <row r="3" ht="12.75">
      <c r="B3" s="25" t="s">
        <v>70</v>
      </c>
    </row>
    <row r="4" ht="12.75">
      <c r="B4" s="25"/>
    </row>
    <row r="5" spans="2:3" s="17" customFormat="1" ht="25.5">
      <c r="B5" s="17" t="s">
        <v>29</v>
      </c>
      <c r="C5" s="17" t="s">
        <v>69</v>
      </c>
    </row>
    <row r="6" spans="2:3" ht="12.75">
      <c r="B6" s="2" t="s">
        <v>33</v>
      </c>
      <c r="C6" s="2" t="s">
        <v>53</v>
      </c>
    </row>
    <row r="7" spans="2:3" ht="12.75">
      <c r="B7" s="2" t="s">
        <v>34</v>
      </c>
      <c r="C7" s="2" t="s">
        <v>54</v>
      </c>
    </row>
    <row r="8" spans="2:3" ht="12.75">
      <c r="B8" s="2" t="s">
        <v>30</v>
      </c>
      <c r="C8" s="19" t="s">
        <v>52</v>
      </c>
    </row>
    <row r="9" spans="2:3" ht="12.75">
      <c r="B9" s="2" t="s">
        <v>121</v>
      </c>
      <c r="C9" s="24">
        <v>34120</v>
      </c>
    </row>
    <row r="10" spans="2:3" ht="12.75">
      <c r="B10" s="2" t="s">
        <v>31</v>
      </c>
      <c r="C10" s="2" t="s">
        <v>65</v>
      </c>
    </row>
    <row r="11" spans="2:3" ht="12.75">
      <c r="B11" s="2" t="s">
        <v>32</v>
      </c>
      <c r="C11" s="2" t="s">
        <v>68</v>
      </c>
    </row>
    <row r="13" ht="12.75">
      <c r="B13" s="25" t="s">
        <v>71</v>
      </c>
    </row>
    <row r="14" ht="12.75">
      <c r="B14" s="25"/>
    </row>
    <row r="15" spans="2:3" s="17" customFormat="1" ht="25.5">
      <c r="B15" s="17" t="s">
        <v>29</v>
      </c>
      <c r="C15" s="17" t="s">
        <v>69</v>
      </c>
    </row>
    <row r="16" spans="2:3" ht="12.75">
      <c r="B16" s="2" t="s">
        <v>33</v>
      </c>
      <c r="C16" s="2" t="s">
        <v>53</v>
      </c>
    </row>
    <row r="17" spans="2:3" ht="12.75">
      <c r="B17" s="2" t="s">
        <v>34</v>
      </c>
      <c r="C17" s="2" t="s">
        <v>54</v>
      </c>
    </row>
    <row r="18" spans="2:3" ht="12.75">
      <c r="B18" s="2" t="s">
        <v>30</v>
      </c>
      <c r="C18" s="19" t="s">
        <v>52</v>
      </c>
    </row>
    <row r="19" spans="2:3" ht="12.75">
      <c r="B19" s="2" t="s">
        <v>121</v>
      </c>
      <c r="C19" s="24">
        <v>34120</v>
      </c>
    </row>
    <row r="20" spans="2:3" ht="12.75">
      <c r="B20" s="2" t="s">
        <v>31</v>
      </c>
      <c r="C20" s="2" t="s">
        <v>66</v>
      </c>
    </row>
    <row r="21" spans="2:3" ht="12.75">
      <c r="B21" s="2" t="s">
        <v>32</v>
      </c>
      <c r="C21" s="2" t="s">
        <v>67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B1">
      <selection activeCell="B2" sqref="B2"/>
    </sheetView>
  </sheetViews>
  <sheetFormatPr defaultColWidth="9.140625" defaultRowHeight="12.75"/>
  <cols>
    <col min="1" max="1" width="9.140625" style="2" hidden="1" customWidth="1"/>
    <col min="2" max="2" width="20.140625" style="2" customWidth="1"/>
    <col min="3" max="3" width="12.421875" style="2" customWidth="1"/>
    <col min="4" max="4" width="8.28125" style="2" customWidth="1"/>
    <col min="5" max="5" width="5.57421875" style="2" customWidth="1"/>
    <col min="6" max="6" width="2.421875" style="2" customWidth="1"/>
    <col min="7" max="7" width="9.7109375" style="2" customWidth="1"/>
    <col min="8" max="8" width="2.8515625" style="2" customWidth="1"/>
    <col min="9" max="9" width="7.140625" style="2" customWidth="1"/>
    <col min="10" max="10" width="2.7109375" style="2" customWidth="1"/>
    <col min="11" max="11" width="8.28125" style="2" customWidth="1"/>
    <col min="12" max="12" width="3.00390625" style="2" customWidth="1"/>
    <col min="13" max="13" width="11.00390625" style="2" customWidth="1"/>
    <col min="14" max="14" width="2.7109375" style="2" customWidth="1"/>
    <col min="15" max="15" width="8.00390625" style="2" customWidth="1"/>
    <col min="16" max="16" width="2.8515625" style="2" customWidth="1"/>
    <col min="17" max="17" width="9.140625" style="2" customWidth="1"/>
    <col min="18" max="18" width="2.7109375" style="2" customWidth="1"/>
    <col min="19" max="19" width="7.8515625" style="2" customWidth="1"/>
    <col min="20" max="20" width="8.00390625" style="2" customWidth="1"/>
    <col min="21" max="16384" width="11.421875" style="2" customWidth="1"/>
  </cols>
  <sheetData>
    <row r="1" spans="2:3" ht="12.75">
      <c r="B1" s="1" t="s">
        <v>0</v>
      </c>
      <c r="C1" s="1"/>
    </row>
    <row r="2" ht="12" customHeight="1"/>
    <row r="3" spans="3:19" ht="12.75">
      <c r="C3" s="2" t="s">
        <v>73</v>
      </c>
      <c r="D3" s="2" t="s">
        <v>35</v>
      </c>
      <c r="E3" s="2" t="s">
        <v>90</v>
      </c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</row>
    <row r="4" spans="7:19" ht="12.75">
      <c r="G4" s="3"/>
      <c r="H4" s="3"/>
      <c r="I4" s="3"/>
      <c r="J4" s="3"/>
      <c r="K4" s="3"/>
      <c r="L4" s="3"/>
      <c r="O4" s="3"/>
      <c r="P4" s="3"/>
      <c r="Q4" s="3"/>
      <c r="R4" s="3"/>
      <c r="S4" s="3"/>
    </row>
    <row r="5" spans="1:19" ht="12.75">
      <c r="A5" s="2">
        <v>10</v>
      </c>
      <c r="B5" s="1" t="s">
        <v>70</v>
      </c>
      <c r="C5" s="27"/>
      <c r="G5" s="3" t="s">
        <v>132</v>
      </c>
      <c r="H5" s="3"/>
      <c r="I5" s="3" t="s">
        <v>133</v>
      </c>
      <c r="J5" s="3"/>
      <c r="K5" s="3" t="s">
        <v>134</v>
      </c>
      <c r="L5" s="3"/>
      <c r="M5" s="3" t="s">
        <v>36</v>
      </c>
      <c r="O5" s="3"/>
      <c r="P5" s="3"/>
      <c r="Q5" s="3"/>
      <c r="R5" s="3"/>
      <c r="S5" s="3"/>
    </row>
    <row r="6" spans="2:12" ht="12.75">
      <c r="B6" s="1"/>
      <c r="C6" s="1"/>
      <c r="G6" s="3"/>
      <c r="H6" s="3"/>
      <c r="I6" s="3"/>
      <c r="J6" s="3"/>
      <c r="K6" s="3"/>
      <c r="L6" s="3"/>
    </row>
    <row r="7" spans="2:4" ht="12" customHeight="1">
      <c r="B7" s="2" t="s">
        <v>107</v>
      </c>
      <c r="C7" s="2" t="s">
        <v>100</v>
      </c>
      <c r="D7" s="2" t="s">
        <v>135</v>
      </c>
    </row>
    <row r="8" spans="2:13" ht="12.75">
      <c r="B8" s="2" t="s">
        <v>37</v>
      </c>
      <c r="D8" s="2" t="s">
        <v>15</v>
      </c>
      <c r="G8" s="5">
        <v>13240</v>
      </c>
      <c r="H8" s="5"/>
      <c r="I8" s="5">
        <v>12903</v>
      </c>
      <c r="J8" s="5"/>
      <c r="K8" s="5">
        <v>13598</v>
      </c>
      <c r="L8" s="5"/>
      <c r="M8" s="5">
        <f>AVERAGE(K8,I8,G8)</f>
        <v>13247</v>
      </c>
    </row>
    <row r="9" spans="2:13" ht="12.75">
      <c r="B9" s="2" t="s">
        <v>101</v>
      </c>
      <c r="D9" s="2" t="s">
        <v>16</v>
      </c>
      <c r="G9" s="2">
        <v>1.8</v>
      </c>
      <c r="I9" s="2">
        <v>2</v>
      </c>
      <c r="K9" s="2">
        <v>1.8</v>
      </c>
      <c r="M9" s="6">
        <f>AVERAGE(K9,I9,G9)</f>
        <v>1.8666666666666665</v>
      </c>
    </row>
    <row r="10" spans="2:13" ht="12.75">
      <c r="B10" s="2" t="s">
        <v>102</v>
      </c>
      <c r="D10" s="2" t="s">
        <v>16</v>
      </c>
      <c r="G10" s="2">
        <v>35.12</v>
      </c>
      <c r="I10" s="2">
        <v>34.27</v>
      </c>
      <c r="K10" s="2">
        <v>32.41</v>
      </c>
      <c r="M10" s="6">
        <f>AVERAGE(K10,I10,G10)</f>
        <v>33.93333333333334</v>
      </c>
    </row>
    <row r="11" spans="2:13" ht="12.75">
      <c r="B11" s="2" t="s">
        <v>38</v>
      </c>
      <c r="D11" s="2" t="s">
        <v>17</v>
      </c>
      <c r="G11" s="2">
        <v>164</v>
      </c>
      <c r="I11" s="2">
        <v>162</v>
      </c>
      <c r="K11" s="2">
        <v>161</v>
      </c>
      <c r="M11" s="6">
        <f>AVERAGE(K11,I11,G11)</f>
        <v>162.33333333333334</v>
      </c>
    </row>
    <row r="12" ht="12" customHeight="1"/>
    <row r="13" spans="2:13" ht="12.75" customHeight="1">
      <c r="B13" s="2" t="s">
        <v>2</v>
      </c>
      <c r="D13" s="2" t="s">
        <v>10</v>
      </c>
      <c r="E13" s="2" t="s">
        <v>58</v>
      </c>
      <c r="G13" s="2">
        <v>0.0496</v>
      </c>
      <c r="I13" s="2">
        <v>0.0574</v>
      </c>
      <c r="K13" s="2">
        <v>0.0483</v>
      </c>
      <c r="M13" s="7"/>
    </row>
    <row r="14" spans="2:13" ht="12.75">
      <c r="B14" s="2" t="s">
        <v>3</v>
      </c>
      <c r="D14" s="2" t="s">
        <v>11</v>
      </c>
      <c r="E14" s="2" t="s">
        <v>58</v>
      </c>
      <c r="G14" s="2">
        <v>2.85</v>
      </c>
      <c r="I14" s="2">
        <v>3.96</v>
      </c>
      <c r="K14" s="2">
        <v>2.69</v>
      </c>
      <c r="M14" s="6"/>
    </row>
    <row r="15" spans="2:13" ht="12.75">
      <c r="B15" s="2" t="s">
        <v>4</v>
      </c>
      <c r="D15" s="2" t="s">
        <v>11</v>
      </c>
      <c r="E15" s="2" t="s">
        <v>58</v>
      </c>
      <c r="G15" s="2">
        <v>0.04</v>
      </c>
      <c r="I15" s="2">
        <v>0.01</v>
      </c>
      <c r="K15" s="2">
        <v>0.02</v>
      </c>
      <c r="M15" s="8"/>
    </row>
    <row r="17" spans="2:13" ht="12.75">
      <c r="B17" s="2" t="s">
        <v>2</v>
      </c>
      <c r="C17" s="2" t="s">
        <v>135</v>
      </c>
      <c r="D17" s="2" t="s">
        <v>10</v>
      </c>
      <c r="E17" s="2" t="s">
        <v>39</v>
      </c>
      <c r="G17" s="7">
        <f>G13*14/(21-G9)</f>
        <v>0.036166666666666666</v>
      </c>
      <c r="I17" s="2">
        <f>I13*14/(21-I9)</f>
        <v>0.04229473684210526</v>
      </c>
      <c r="K17" s="7">
        <f>K13*14/(21-K9)</f>
        <v>0.03521875</v>
      </c>
      <c r="L17" s="7"/>
      <c r="M17" s="7">
        <f>AVERAGE(K17,I17,G17)</f>
        <v>0.037893384502923975</v>
      </c>
    </row>
    <row r="18" spans="2:13" ht="12.75">
      <c r="B18" s="2" t="s">
        <v>104</v>
      </c>
      <c r="C18" s="2" t="s">
        <v>135</v>
      </c>
      <c r="D18" s="2" t="s">
        <v>11</v>
      </c>
      <c r="E18" s="2" t="s">
        <v>39</v>
      </c>
      <c r="G18" s="2">
        <v>3</v>
      </c>
      <c r="I18" s="2">
        <v>5</v>
      </c>
      <c r="K18" s="2">
        <v>3</v>
      </c>
      <c r="M18" s="8">
        <f>AVERAGE(K18,I18,G18)</f>
        <v>3.6666666666666665</v>
      </c>
    </row>
    <row r="19" spans="2:13" ht="12.75">
      <c r="B19" s="2" t="s">
        <v>105</v>
      </c>
      <c r="C19" s="2" t="s">
        <v>135</v>
      </c>
      <c r="D19" s="2" t="s">
        <v>11</v>
      </c>
      <c r="E19" s="2" t="s">
        <v>39</v>
      </c>
      <c r="G19" s="2">
        <v>3</v>
      </c>
      <c r="I19" s="2">
        <v>5</v>
      </c>
      <c r="K19" s="2">
        <v>3</v>
      </c>
      <c r="M19" s="8">
        <f>AVERAGE(K19,I19,G19)</f>
        <v>3.6666666666666665</v>
      </c>
    </row>
    <row r="20" spans="2:13" ht="12.75">
      <c r="B20" s="2" t="s">
        <v>3</v>
      </c>
      <c r="C20" s="2" t="s">
        <v>135</v>
      </c>
      <c r="D20" s="2" t="s">
        <v>11</v>
      </c>
      <c r="E20" s="2" t="s">
        <v>39</v>
      </c>
      <c r="G20" s="8">
        <f>G14*14/(21-G9)</f>
        <v>2.078125</v>
      </c>
      <c r="H20" s="8"/>
      <c r="I20" s="8">
        <f>I14*14/(21-I9)</f>
        <v>2.917894736842105</v>
      </c>
      <c r="J20" s="8"/>
      <c r="K20" s="8">
        <f>K14*14/(21-K9)</f>
        <v>1.9614583333333333</v>
      </c>
      <c r="L20" s="8"/>
      <c r="M20" s="8">
        <f>AVERAGE(K20,I20,G20)</f>
        <v>2.3191593567251463</v>
      </c>
    </row>
    <row r="21" spans="2:13" ht="12.75">
      <c r="B21" s="2" t="s">
        <v>4</v>
      </c>
      <c r="C21" s="2" t="s">
        <v>135</v>
      </c>
      <c r="D21" s="2" t="s">
        <v>11</v>
      </c>
      <c r="E21" s="2" t="s">
        <v>39</v>
      </c>
      <c r="G21" s="8">
        <f>G15*14/(21-G9)</f>
        <v>0.02916666666666667</v>
      </c>
      <c r="H21" s="8"/>
      <c r="I21" s="8">
        <f>I15*14/(21-I9)</f>
        <v>0.00736842105263158</v>
      </c>
      <c r="J21" s="8"/>
      <c r="K21" s="8">
        <f>K15*14/(21-K9)</f>
        <v>0.014583333333333335</v>
      </c>
      <c r="L21" s="8"/>
      <c r="M21" s="8">
        <f>AVERAGE(K21,I21,G21)</f>
        <v>0.01703947368421053</v>
      </c>
    </row>
    <row r="22" spans="2:13" ht="12.75">
      <c r="B22" s="2" t="s">
        <v>103</v>
      </c>
      <c r="C22" s="2" t="s">
        <v>135</v>
      </c>
      <c r="D22" s="2" t="s">
        <v>11</v>
      </c>
      <c r="E22" s="2" t="s">
        <v>39</v>
      </c>
      <c r="G22" s="8">
        <f>G20+2*G21</f>
        <v>2.136458333333333</v>
      </c>
      <c r="H22" s="8"/>
      <c r="I22" s="8">
        <f>I20+2*I21</f>
        <v>2.932631578947368</v>
      </c>
      <c r="J22" s="8"/>
      <c r="K22" s="8">
        <f>K20+2*K21</f>
        <v>1.9906249999999999</v>
      </c>
      <c r="L22" s="8"/>
      <c r="M22" s="8">
        <f>M20+2*M21</f>
        <v>2.3532383040935674</v>
      </c>
    </row>
    <row r="23" spans="7:13" ht="12.75">
      <c r="G23" s="8"/>
      <c r="H23" s="8"/>
      <c r="I23" s="8"/>
      <c r="J23" s="8"/>
      <c r="K23" s="8"/>
      <c r="L23" s="8"/>
      <c r="M23" s="8"/>
    </row>
    <row r="24" spans="2:13" ht="12.75">
      <c r="B24" s="2" t="s">
        <v>107</v>
      </c>
      <c r="C24" s="2" t="s">
        <v>44</v>
      </c>
      <c r="D24" s="2" t="s">
        <v>136</v>
      </c>
      <c r="M24" s="9"/>
    </row>
    <row r="25" spans="2:13" ht="12.75">
      <c r="B25" s="2" t="s">
        <v>37</v>
      </c>
      <c r="D25" s="2" t="s">
        <v>15</v>
      </c>
      <c r="G25" s="5">
        <v>13352</v>
      </c>
      <c r="H25" s="5"/>
      <c r="I25" s="5">
        <v>13004</v>
      </c>
      <c r="J25" s="5"/>
      <c r="K25" s="5">
        <v>12906</v>
      </c>
      <c r="L25" s="4"/>
      <c r="M25" s="5">
        <f>AVERAGE(K25,I25,G25)</f>
        <v>13087.333333333334</v>
      </c>
    </row>
    <row r="26" spans="2:13" ht="12.75">
      <c r="B26" s="2" t="s">
        <v>101</v>
      </c>
      <c r="D26" s="2" t="s">
        <v>16</v>
      </c>
      <c r="G26" s="2">
        <v>2.3</v>
      </c>
      <c r="I26" s="2">
        <v>2.2</v>
      </c>
      <c r="K26" s="2">
        <v>3.2</v>
      </c>
      <c r="M26" s="9">
        <f>AVERAGE(K26,I26,G26)</f>
        <v>2.566666666666667</v>
      </c>
    </row>
    <row r="27" spans="2:13" ht="12.75">
      <c r="B27" s="2" t="s">
        <v>102</v>
      </c>
      <c r="D27" s="2" t="s">
        <v>16</v>
      </c>
      <c r="G27" s="2">
        <v>32.41</v>
      </c>
      <c r="I27" s="2">
        <v>33.55</v>
      </c>
      <c r="K27" s="2">
        <v>32.79</v>
      </c>
      <c r="M27" s="9">
        <f>AVERAGE(K27,I27,G27)</f>
        <v>32.916666666666664</v>
      </c>
    </row>
    <row r="28" spans="2:13" ht="12.75">
      <c r="B28" s="2" t="s">
        <v>38</v>
      </c>
      <c r="D28" s="2" t="s">
        <v>17</v>
      </c>
      <c r="G28" s="2">
        <v>163</v>
      </c>
      <c r="I28" s="2">
        <v>161</v>
      </c>
      <c r="K28" s="2">
        <v>160</v>
      </c>
      <c r="M28" s="6">
        <f>AVERAGE(K28,I28,G28)</f>
        <v>161.33333333333334</v>
      </c>
    </row>
    <row r="30" spans="2:13" ht="12.75">
      <c r="B30" s="2" t="s">
        <v>106</v>
      </c>
      <c r="D30" s="2" t="s">
        <v>12</v>
      </c>
      <c r="E30" s="2" t="s">
        <v>58</v>
      </c>
      <c r="G30" s="8">
        <f>5.7/(64.301/35.31)</f>
        <v>3.1300757375468504</v>
      </c>
      <c r="H30" s="8"/>
      <c r="I30" s="8">
        <f>9.6/(63.164/35.31)</f>
        <v>5.366601228547907</v>
      </c>
      <c r="J30" s="8"/>
      <c r="K30" s="8">
        <f>11.8/(63.046/35.31)</f>
        <v>6.608793579291312</v>
      </c>
      <c r="L30" s="8"/>
      <c r="M30" s="8">
        <f>AVERAGE(K30,I30,G30)</f>
        <v>5.035156848462023</v>
      </c>
    </row>
    <row r="31" spans="2:13" ht="12.75">
      <c r="B31" s="2" t="s">
        <v>106</v>
      </c>
      <c r="C31" s="2" t="s">
        <v>136</v>
      </c>
      <c r="D31" s="2" t="s">
        <v>12</v>
      </c>
      <c r="E31" s="2" t="s">
        <v>39</v>
      </c>
      <c r="G31" s="8">
        <f>G30*14/(21-G26)</f>
        <v>2.3433722099281233</v>
      </c>
      <c r="H31" s="8"/>
      <c r="I31" s="8">
        <f>I30*14/(21-I26)</f>
        <v>3.9964051701952497</v>
      </c>
      <c r="J31" s="8"/>
      <c r="K31" s="8">
        <f>K30*14/(21-K26)</f>
        <v>5.197927534274065</v>
      </c>
      <c r="L31" s="8"/>
      <c r="M31" s="8">
        <f>AVERAGE(K31,I31,G31)</f>
        <v>3.8459016381324793</v>
      </c>
    </row>
    <row r="32" spans="2:13" ht="12.75">
      <c r="B32" s="2" t="s">
        <v>6</v>
      </c>
      <c r="C32" s="2" t="s">
        <v>136</v>
      </c>
      <c r="D32" s="2" t="s">
        <v>12</v>
      </c>
      <c r="E32" s="2" t="s">
        <v>39</v>
      </c>
      <c r="G32" s="8">
        <f>G31</f>
        <v>2.3433722099281233</v>
      </c>
      <c r="H32" s="8"/>
      <c r="I32" s="8">
        <f>I31</f>
        <v>3.9964051701952497</v>
      </c>
      <c r="J32" s="8"/>
      <c r="K32" s="8">
        <f>K31</f>
        <v>5.197927534274065</v>
      </c>
      <c r="L32" s="8"/>
      <c r="M32" s="8">
        <f>M31</f>
        <v>3.8459016381324793</v>
      </c>
    </row>
    <row r="33" ht="12.75">
      <c r="M33" s="8"/>
    </row>
    <row r="34" spans="1:13" ht="12.75">
      <c r="A34" s="2">
        <v>11</v>
      </c>
      <c r="B34" s="1" t="s">
        <v>71</v>
      </c>
      <c r="C34" s="1"/>
      <c r="G34" s="3" t="s">
        <v>132</v>
      </c>
      <c r="H34" s="3"/>
      <c r="I34" s="3" t="s">
        <v>133</v>
      </c>
      <c r="J34" s="3"/>
      <c r="K34" s="3" t="s">
        <v>134</v>
      </c>
      <c r="L34" s="3"/>
      <c r="M34" s="3" t="s">
        <v>36</v>
      </c>
    </row>
    <row r="35" ht="12.75">
      <c r="M35" s="8"/>
    </row>
    <row r="36" spans="2:13" ht="12.75">
      <c r="B36" s="2" t="s">
        <v>104</v>
      </c>
      <c r="C36" s="2" t="s">
        <v>135</v>
      </c>
      <c r="D36" s="2" t="s">
        <v>11</v>
      </c>
      <c r="E36" s="2" t="s">
        <v>39</v>
      </c>
      <c r="G36" s="2">
        <v>3.9</v>
      </c>
      <c r="I36" s="2">
        <v>3.7</v>
      </c>
      <c r="K36" s="2">
        <v>3.9</v>
      </c>
      <c r="M36" s="6">
        <f>AVERAGE(K36,I36,G36)</f>
        <v>3.8333333333333335</v>
      </c>
    </row>
    <row r="37" spans="2:13" ht="12.75">
      <c r="B37" s="2" t="s">
        <v>105</v>
      </c>
      <c r="C37" s="2" t="s">
        <v>135</v>
      </c>
      <c r="D37" s="2" t="s">
        <v>11</v>
      </c>
      <c r="E37" s="2" t="s">
        <v>39</v>
      </c>
      <c r="G37" s="2">
        <v>4</v>
      </c>
      <c r="I37" s="2">
        <v>3</v>
      </c>
      <c r="K37" s="2">
        <v>4</v>
      </c>
      <c r="M37" s="6">
        <f>AVERAGE(K37,I37,G37)</f>
        <v>3.6666666666666665</v>
      </c>
    </row>
    <row r="38" ht="12.75">
      <c r="M38" s="6"/>
    </row>
    <row r="39" spans="2:13" ht="12.75">
      <c r="B39" s="2" t="s">
        <v>107</v>
      </c>
      <c r="C39" s="2" t="s">
        <v>7</v>
      </c>
      <c r="D39" s="2" t="s">
        <v>135</v>
      </c>
      <c r="M39" s="6"/>
    </row>
    <row r="40" spans="2:13" ht="12.75">
      <c r="B40" s="2" t="s">
        <v>37</v>
      </c>
      <c r="D40" s="2" t="s">
        <v>15</v>
      </c>
      <c r="M40" s="6"/>
    </row>
    <row r="41" spans="2:13" ht="12.75">
      <c r="B41" s="2" t="s">
        <v>101</v>
      </c>
      <c r="D41" s="2" t="s">
        <v>16</v>
      </c>
      <c r="G41" s="2">
        <v>11</v>
      </c>
      <c r="I41" s="2">
        <v>10.7</v>
      </c>
      <c r="K41" s="2">
        <v>10.7</v>
      </c>
      <c r="M41" s="6">
        <f>AVERAGE(K41,I41,G41)</f>
        <v>10.799999999999999</v>
      </c>
    </row>
    <row r="42" spans="2:4" ht="12.75">
      <c r="B42" s="2" t="s">
        <v>102</v>
      </c>
      <c r="D42" s="2" t="s">
        <v>16</v>
      </c>
    </row>
    <row r="43" spans="2:4" ht="12.75">
      <c r="B43" s="2" t="s">
        <v>38</v>
      </c>
      <c r="D43" s="2" t="s">
        <v>17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77"/>
  <sheetViews>
    <sheetView zoomScale="75" zoomScaleNormal="75" workbookViewId="0" topLeftCell="B1">
      <selection activeCell="B2" sqref="B2"/>
    </sheetView>
  </sheetViews>
  <sheetFormatPr defaultColWidth="9.140625" defaultRowHeight="12.75"/>
  <cols>
    <col min="1" max="1" width="9.140625" style="2" hidden="1" customWidth="1"/>
    <col min="2" max="2" width="19.00390625" style="2" customWidth="1"/>
    <col min="3" max="3" width="1.8515625" style="2" customWidth="1"/>
    <col min="4" max="4" width="9.00390625" style="2" customWidth="1"/>
    <col min="5" max="5" width="2.8515625" style="2" customWidth="1"/>
    <col min="6" max="6" width="14.421875" style="2" customWidth="1"/>
    <col min="7" max="7" width="2.8515625" style="2" customWidth="1"/>
    <col min="8" max="8" width="11.7109375" style="2" customWidth="1"/>
    <col min="9" max="9" width="2.57421875" style="2" customWidth="1"/>
    <col min="10" max="10" width="9.8515625" style="2" customWidth="1"/>
    <col min="11" max="11" width="2.8515625" style="2" customWidth="1"/>
    <col min="12" max="12" width="13.140625" style="2" customWidth="1"/>
    <col min="13" max="13" width="2.8515625" style="2" customWidth="1"/>
    <col min="14" max="14" width="11.421875" style="2" customWidth="1"/>
    <col min="15" max="15" width="2.8515625" style="2" customWidth="1"/>
    <col min="16" max="16" width="8.7109375" style="2" customWidth="1"/>
    <col min="17" max="17" width="2.8515625" style="2" customWidth="1"/>
    <col min="18" max="18" width="9.28125" style="2" customWidth="1"/>
    <col min="19" max="19" width="3.421875" style="2" customWidth="1"/>
    <col min="20" max="20" width="9.8515625" style="2" customWidth="1"/>
    <col min="21" max="21" width="2.7109375" style="2" customWidth="1"/>
    <col min="22" max="22" width="8.8515625" style="2" customWidth="1"/>
    <col min="23" max="23" width="2.7109375" style="2" customWidth="1"/>
    <col min="24" max="24" width="8.28125" style="2" customWidth="1"/>
    <col min="25" max="25" width="2.7109375" style="2" customWidth="1"/>
    <col min="26" max="26" width="8.00390625" style="2" customWidth="1"/>
    <col min="27" max="27" width="2.7109375" style="2" customWidth="1"/>
    <col min="28" max="28" width="9.421875" style="2" customWidth="1"/>
    <col min="29" max="16384" width="11.421875" style="2" customWidth="1"/>
  </cols>
  <sheetData>
    <row r="1" spans="2:3" ht="12.75">
      <c r="B1" s="1" t="s">
        <v>75</v>
      </c>
      <c r="C1" s="1"/>
    </row>
    <row r="2" ht="12.75" customHeight="1"/>
    <row r="3" spans="20:27" ht="12.75">
      <c r="T3" s="3"/>
      <c r="U3" s="3"/>
      <c r="V3" s="3"/>
      <c r="W3" s="3"/>
      <c r="X3" s="3"/>
      <c r="Y3" s="3"/>
      <c r="Z3" s="3"/>
      <c r="AA3" s="3"/>
    </row>
    <row r="4" spans="1:28" ht="12.75">
      <c r="A4" s="2" t="s">
        <v>113</v>
      </c>
      <c r="B4" s="1" t="s">
        <v>70</v>
      </c>
      <c r="C4" s="1"/>
      <c r="F4" s="3" t="s">
        <v>132</v>
      </c>
      <c r="G4" s="3"/>
      <c r="H4" s="3" t="s">
        <v>133</v>
      </c>
      <c r="I4" s="3"/>
      <c r="J4" s="3" t="s">
        <v>133</v>
      </c>
      <c r="K4" s="3"/>
      <c r="L4" s="3" t="s">
        <v>36</v>
      </c>
      <c r="M4" s="3"/>
      <c r="N4" s="3" t="s">
        <v>132</v>
      </c>
      <c r="O4" s="3"/>
      <c r="P4" s="3" t="s">
        <v>133</v>
      </c>
      <c r="Q4" s="3"/>
      <c r="R4" s="3" t="s">
        <v>133</v>
      </c>
      <c r="S4" s="3"/>
      <c r="T4" s="3" t="s">
        <v>36</v>
      </c>
      <c r="U4" s="3"/>
      <c r="V4" s="3" t="s">
        <v>132</v>
      </c>
      <c r="W4" s="3"/>
      <c r="X4" s="3" t="s">
        <v>133</v>
      </c>
      <c r="Y4" s="3"/>
      <c r="Z4" s="3" t="s">
        <v>133</v>
      </c>
      <c r="AA4" s="3"/>
      <c r="AB4" s="3" t="s">
        <v>36</v>
      </c>
    </row>
    <row r="5" spans="2:27" ht="12.75">
      <c r="B5" s="1"/>
      <c r="C5" s="1"/>
      <c r="T5" s="3"/>
      <c r="U5" s="3"/>
      <c r="V5" s="3"/>
      <c r="W5" s="3"/>
      <c r="X5" s="3"/>
      <c r="Y5" s="3"/>
      <c r="Z5" s="3"/>
      <c r="AA5" s="3"/>
    </row>
    <row r="6" spans="2:28" ht="12.75">
      <c r="B6" s="2" t="s">
        <v>142</v>
      </c>
      <c r="C6" s="1"/>
      <c r="F6" s="3" t="s">
        <v>144</v>
      </c>
      <c r="H6" s="3" t="s">
        <v>144</v>
      </c>
      <c r="J6" s="3" t="s">
        <v>144</v>
      </c>
      <c r="L6" s="3" t="s">
        <v>144</v>
      </c>
      <c r="N6" s="3" t="s">
        <v>146</v>
      </c>
      <c r="P6" s="3" t="s">
        <v>146</v>
      </c>
      <c r="R6" s="3" t="s">
        <v>146</v>
      </c>
      <c r="T6" s="3" t="s">
        <v>146</v>
      </c>
      <c r="U6" s="3"/>
      <c r="V6" s="3" t="s">
        <v>147</v>
      </c>
      <c r="W6" s="3"/>
      <c r="X6" s="3" t="s">
        <v>147</v>
      </c>
      <c r="Y6" s="3"/>
      <c r="Z6" s="3" t="s">
        <v>147</v>
      </c>
      <c r="AA6" s="3"/>
      <c r="AB6" s="3" t="s">
        <v>147</v>
      </c>
    </row>
    <row r="7" spans="2:28" ht="12.75">
      <c r="B7" s="2" t="s">
        <v>143</v>
      </c>
      <c r="C7" s="1"/>
      <c r="F7" s="3" t="s">
        <v>145</v>
      </c>
      <c r="H7" s="3" t="s">
        <v>145</v>
      </c>
      <c r="J7" s="3" t="s">
        <v>145</v>
      </c>
      <c r="L7" s="3" t="s">
        <v>145</v>
      </c>
      <c r="N7" s="3" t="s">
        <v>13</v>
      </c>
      <c r="P7" s="3" t="s">
        <v>13</v>
      </c>
      <c r="R7" s="3" t="s">
        <v>13</v>
      </c>
      <c r="T7" s="3" t="s">
        <v>13</v>
      </c>
      <c r="U7" s="3"/>
      <c r="V7" s="3" t="s">
        <v>77</v>
      </c>
      <c r="W7" s="3"/>
      <c r="X7" s="3" t="s">
        <v>77</v>
      </c>
      <c r="Y7" s="3"/>
      <c r="Z7" s="3" t="s">
        <v>77</v>
      </c>
      <c r="AA7" s="3"/>
      <c r="AB7" s="3" t="s">
        <v>77</v>
      </c>
    </row>
    <row r="8" spans="2:28" ht="12.75">
      <c r="B8" s="2" t="s">
        <v>148</v>
      </c>
      <c r="C8" s="1"/>
      <c r="F8" s="3" t="s">
        <v>1</v>
      </c>
      <c r="H8" s="3" t="s">
        <v>1</v>
      </c>
      <c r="J8" s="3" t="s">
        <v>1</v>
      </c>
      <c r="L8" s="3" t="s">
        <v>1</v>
      </c>
      <c r="N8" s="3" t="s">
        <v>13</v>
      </c>
      <c r="P8" s="3" t="s">
        <v>13</v>
      </c>
      <c r="R8" s="3" t="s">
        <v>13</v>
      </c>
      <c r="T8" s="3" t="s">
        <v>13</v>
      </c>
      <c r="U8" s="3"/>
      <c r="V8" s="3" t="s">
        <v>77</v>
      </c>
      <c r="W8" s="3"/>
      <c r="X8" s="3" t="s">
        <v>77</v>
      </c>
      <c r="Y8" s="3"/>
      <c r="Z8" s="3" t="s">
        <v>77</v>
      </c>
      <c r="AA8" s="3"/>
      <c r="AB8" s="3" t="s">
        <v>77</v>
      </c>
    </row>
    <row r="9" spans="2:28" ht="12.75">
      <c r="B9" s="2" t="s">
        <v>117</v>
      </c>
      <c r="F9" s="2" t="s">
        <v>59</v>
      </c>
      <c r="H9" s="2" t="s">
        <v>59</v>
      </c>
      <c r="J9" s="2" t="s">
        <v>59</v>
      </c>
      <c r="L9" s="21" t="s">
        <v>74</v>
      </c>
      <c r="M9" s="21"/>
      <c r="N9" s="21" t="s">
        <v>13</v>
      </c>
      <c r="O9" s="21"/>
      <c r="P9" s="21" t="s">
        <v>13</v>
      </c>
      <c r="Q9" s="21"/>
      <c r="R9" s="21" t="s">
        <v>13</v>
      </c>
      <c r="S9" s="21"/>
      <c r="T9" s="21" t="s">
        <v>13</v>
      </c>
      <c r="U9" s="21"/>
      <c r="V9" s="21" t="s">
        <v>77</v>
      </c>
      <c r="W9" s="21"/>
      <c r="X9" s="21" t="s">
        <v>77</v>
      </c>
      <c r="Y9" s="21"/>
      <c r="Z9" s="21" t="s">
        <v>77</v>
      </c>
      <c r="AA9" s="21"/>
      <c r="AB9" s="21" t="s">
        <v>77</v>
      </c>
    </row>
    <row r="10" spans="2:20" ht="12.75">
      <c r="B10" s="2" t="s">
        <v>116</v>
      </c>
      <c r="D10" s="2" t="s">
        <v>40</v>
      </c>
      <c r="F10" s="5">
        <f>4540000</f>
        <v>4540000</v>
      </c>
      <c r="G10" s="5"/>
      <c r="H10" s="5">
        <f>4530000</f>
        <v>4530000</v>
      </c>
      <c r="I10" s="5"/>
      <c r="J10" s="5">
        <f>4620000</f>
        <v>4620000</v>
      </c>
      <c r="K10" s="5"/>
      <c r="L10" s="10">
        <f>SUM(F10:J10)/3</f>
        <v>4563333.333333333</v>
      </c>
      <c r="M10" s="10"/>
      <c r="N10" s="10">
        <v>255000</v>
      </c>
      <c r="O10" s="10"/>
      <c r="P10" s="10">
        <v>255000</v>
      </c>
      <c r="Q10" s="10"/>
      <c r="R10" s="10">
        <v>255000</v>
      </c>
      <c r="S10" s="10"/>
      <c r="T10" s="5">
        <f>AVERAGE(R10,P10,N10)</f>
        <v>255000</v>
      </c>
    </row>
    <row r="11" spans="2:19" ht="12.75">
      <c r="B11" s="2" t="s">
        <v>41</v>
      </c>
      <c r="D11" s="2" t="s">
        <v>42</v>
      </c>
      <c r="F11" s="2">
        <v>0.97</v>
      </c>
      <c r="H11" s="2">
        <v>0.98</v>
      </c>
      <c r="J11" s="8">
        <v>0.99</v>
      </c>
      <c r="K11" s="8"/>
      <c r="L11" s="11">
        <f aca="true" t="shared" si="0" ref="L11:L20">SUM(F11:J11)/3</f>
        <v>0.98</v>
      </c>
      <c r="M11" s="11"/>
      <c r="N11" s="11"/>
      <c r="O11" s="11"/>
      <c r="P11" s="11"/>
      <c r="Q11" s="11"/>
      <c r="R11" s="11"/>
      <c r="S11" s="11"/>
    </row>
    <row r="12" spans="2:20" ht="12.75">
      <c r="B12" s="2" t="s">
        <v>8</v>
      </c>
      <c r="D12" s="2" t="s">
        <v>40</v>
      </c>
      <c r="F12" s="5">
        <v>4540</v>
      </c>
      <c r="G12" s="5"/>
      <c r="H12" s="5">
        <v>4530</v>
      </c>
      <c r="I12" s="5"/>
      <c r="J12" s="5">
        <v>4620</v>
      </c>
      <c r="K12" s="5"/>
      <c r="L12" s="10">
        <f t="shared" si="0"/>
        <v>4563.333333333333</v>
      </c>
      <c r="M12" s="10"/>
      <c r="N12" s="10">
        <v>31800</v>
      </c>
      <c r="O12" s="10"/>
      <c r="P12" s="10">
        <v>31800</v>
      </c>
      <c r="Q12" s="10"/>
      <c r="R12" s="10">
        <v>31800</v>
      </c>
      <c r="S12" s="10"/>
      <c r="T12" s="2">
        <v>31800</v>
      </c>
    </row>
    <row r="13" spans="2:20" ht="12.75">
      <c r="B13" s="2" t="s">
        <v>43</v>
      </c>
      <c r="D13" s="2" t="s">
        <v>40</v>
      </c>
      <c r="F13" s="5">
        <v>5910</v>
      </c>
      <c r="G13" s="5"/>
      <c r="H13" s="5">
        <v>5440</v>
      </c>
      <c r="I13" s="5"/>
      <c r="J13" s="5">
        <v>4530</v>
      </c>
      <c r="K13" s="5"/>
      <c r="L13" s="10">
        <f t="shared" si="0"/>
        <v>5293.333333333333</v>
      </c>
      <c r="M13" s="10"/>
      <c r="N13" s="10">
        <v>20300</v>
      </c>
      <c r="O13" s="10"/>
      <c r="P13" s="10">
        <v>20200</v>
      </c>
      <c r="Q13" s="10"/>
      <c r="R13" s="10">
        <v>20200</v>
      </c>
      <c r="S13" s="10"/>
      <c r="T13" s="5">
        <f>AVERAGE(R13,P13,N13)</f>
        <v>20233.333333333332</v>
      </c>
    </row>
    <row r="14" spans="2:19" ht="12.75">
      <c r="B14" s="2" t="s">
        <v>115</v>
      </c>
      <c r="D14" s="2" t="s">
        <v>40</v>
      </c>
      <c r="F14" s="8">
        <v>0.0909</v>
      </c>
      <c r="G14" s="8"/>
      <c r="H14" s="8">
        <v>0.0906</v>
      </c>
      <c r="I14" s="8"/>
      <c r="J14" s="8">
        <v>0.0924</v>
      </c>
      <c r="K14" s="8"/>
      <c r="L14" s="11">
        <f t="shared" si="0"/>
        <v>0.09129999999999999</v>
      </c>
      <c r="M14" s="11"/>
      <c r="N14" s="11"/>
      <c r="O14" s="11"/>
      <c r="P14" s="11"/>
      <c r="Q14" s="11"/>
      <c r="R14" s="11"/>
      <c r="S14" s="11"/>
    </row>
    <row r="15" spans="2:19" ht="12.75">
      <c r="B15" s="2" t="s">
        <v>111</v>
      </c>
      <c r="D15" s="2" t="s">
        <v>40</v>
      </c>
      <c r="F15" s="8">
        <v>0.114</v>
      </c>
      <c r="G15" s="8"/>
      <c r="H15" s="8">
        <v>0.113</v>
      </c>
      <c r="I15" s="8"/>
      <c r="J15" s="8">
        <v>0.116</v>
      </c>
      <c r="K15" s="8"/>
      <c r="L15" s="11">
        <f t="shared" si="0"/>
        <v>0.11433333333333334</v>
      </c>
      <c r="M15" s="11"/>
      <c r="N15" s="11"/>
      <c r="O15" s="11"/>
      <c r="P15" s="11"/>
      <c r="Q15" s="11"/>
      <c r="R15" s="11"/>
      <c r="S15" s="11"/>
    </row>
    <row r="16" spans="2:19" ht="12.75">
      <c r="B16" s="2" t="s">
        <v>112</v>
      </c>
      <c r="D16" s="2" t="s">
        <v>40</v>
      </c>
      <c r="F16" s="8">
        <v>0.114</v>
      </c>
      <c r="G16" s="8"/>
      <c r="H16" s="8">
        <v>0.113</v>
      </c>
      <c r="I16" s="8"/>
      <c r="J16" s="8">
        <v>0.116</v>
      </c>
      <c r="K16" s="8"/>
      <c r="L16" s="11">
        <f t="shared" si="0"/>
        <v>0.11433333333333334</v>
      </c>
      <c r="M16" s="11"/>
      <c r="N16" s="11"/>
      <c r="O16" s="11"/>
      <c r="P16" s="11"/>
      <c r="Q16" s="11"/>
      <c r="R16" s="11"/>
      <c r="S16" s="11"/>
    </row>
    <row r="17" spans="2:19" ht="12.75">
      <c r="B17" s="2" t="s">
        <v>108</v>
      </c>
      <c r="D17" s="2" t="s">
        <v>40</v>
      </c>
      <c r="F17" s="8">
        <v>0.5</v>
      </c>
      <c r="G17" s="8"/>
      <c r="H17" s="8">
        <v>0.227</v>
      </c>
      <c r="I17" s="8"/>
      <c r="J17" s="8">
        <v>0.508</v>
      </c>
      <c r="K17" s="8"/>
      <c r="L17" s="11">
        <f t="shared" si="0"/>
        <v>0.4116666666666666</v>
      </c>
      <c r="M17" s="11"/>
      <c r="N17" s="11"/>
      <c r="O17" s="11"/>
      <c r="P17" s="11"/>
      <c r="Q17" s="11"/>
      <c r="R17" s="11"/>
      <c r="S17" s="11"/>
    </row>
    <row r="18" spans="2:19" ht="12.75">
      <c r="B18" s="2" t="s">
        <v>109</v>
      </c>
      <c r="D18" s="2" t="s">
        <v>40</v>
      </c>
      <c r="F18" s="8">
        <v>0.114</v>
      </c>
      <c r="G18" s="8"/>
      <c r="H18" s="8">
        <v>0.113</v>
      </c>
      <c r="I18" s="8"/>
      <c r="J18" s="8">
        <v>0.116</v>
      </c>
      <c r="K18" s="8"/>
      <c r="L18" s="11">
        <f t="shared" si="0"/>
        <v>0.11433333333333334</v>
      </c>
      <c r="M18" s="11"/>
      <c r="N18" s="11"/>
      <c r="O18" s="11"/>
      <c r="P18" s="11"/>
      <c r="Q18" s="11"/>
      <c r="R18" s="11"/>
      <c r="S18" s="11"/>
    </row>
    <row r="19" spans="2:20" ht="12.75">
      <c r="B19" s="2" t="s">
        <v>106</v>
      </c>
      <c r="D19" s="2" t="s">
        <v>40</v>
      </c>
      <c r="F19" s="8">
        <v>0.3</v>
      </c>
      <c r="G19" s="8"/>
      <c r="H19" s="8">
        <v>0.3</v>
      </c>
      <c r="I19" s="8"/>
      <c r="J19" s="8">
        <v>0.3</v>
      </c>
      <c r="K19" s="8"/>
      <c r="L19" s="11">
        <f t="shared" si="0"/>
        <v>0.3</v>
      </c>
      <c r="M19" s="11"/>
      <c r="N19" s="11">
        <v>5.81</v>
      </c>
      <c r="O19" s="11"/>
      <c r="P19" s="11">
        <v>5.81</v>
      </c>
      <c r="Q19" s="11"/>
      <c r="R19" s="11">
        <v>5.81</v>
      </c>
      <c r="S19" s="11"/>
      <c r="T19" s="8">
        <f>AVERAGE(R19,P19,N19)</f>
        <v>5.81</v>
      </c>
    </row>
    <row r="20" spans="2:19" ht="12.75">
      <c r="B20" s="2" t="s">
        <v>110</v>
      </c>
      <c r="D20" s="2" t="s">
        <v>40</v>
      </c>
      <c r="F20" s="8">
        <v>0.264</v>
      </c>
      <c r="G20" s="8"/>
      <c r="H20" s="8">
        <v>0.113</v>
      </c>
      <c r="I20" s="8"/>
      <c r="J20" s="8">
        <v>0.189</v>
      </c>
      <c r="K20" s="8"/>
      <c r="L20" s="11">
        <f t="shared" si="0"/>
        <v>0.18866666666666668</v>
      </c>
      <c r="M20" s="11"/>
      <c r="N20" s="11"/>
      <c r="O20" s="11"/>
      <c r="P20" s="11"/>
      <c r="Q20" s="11"/>
      <c r="R20" s="11"/>
      <c r="S20" s="11"/>
    </row>
    <row r="21" ht="12.75" customHeight="1"/>
    <row r="22" spans="2:27" ht="12.75">
      <c r="B22" s="2" t="s">
        <v>45</v>
      </c>
      <c r="D22" s="2" t="s">
        <v>15</v>
      </c>
      <c r="F22" s="5">
        <f>emiss!$G$8</f>
        <v>13240</v>
      </c>
      <c r="G22" s="5"/>
      <c r="H22" s="5">
        <f>emiss!$I$8</f>
        <v>12903</v>
      </c>
      <c r="I22" s="5"/>
      <c r="J22" s="5">
        <f>emiss!$K$8</f>
        <v>13598</v>
      </c>
      <c r="K22" s="5"/>
      <c r="L22" s="6">
        <f>emiss!$M$8</f>
        <v>13247</v>
      </c>
      <c r="M22" s="6"/>
      <c r="N22" s="5">
        <f>emiss!$G$8</f>
        <v>13240</v>
      </c>
      <c r="O22" s="5"/>
      <c r="P22" s="5">
        <f>emiss!$I$8</f>
        <v>12903</v>
      </c>
      <c r="Q22" s="5"/>
      <c r="R22" s="5">
        <f>emiss!$K$8</f>
        <v>13598</v>
      </c>
      <c r="S22" s="5"/>
      <c r="T22" s="6">
        <f>emiss!$M$8</f>
        <v>13247</v>
      </c>
      <c r="U22" s="6"/>
      <c r="V22" s="6"/>
      <c r="W22" s="6"/>
      <c r="X22" s="6"/>
      <c r="Y22" s="6"/>
      <c r="Z22" s="6"/>
      <c r="AA22" s="6"/>
    </row>
    <row r="23" spans="2:27" ht="12.75">
      <c r="B23" s="2" t="s">
        <v>9</v>
      </c>
      <c r="D23" s="2" t="s">
        <v>16</v>
      </c>
      <c r="F23" s="8">
        <f>emiss!$G9</f>
        <v>1.8</v>
      </c>
      <c r="G23" s="8"/>
      <c r="H23" s="8">
        <f>emiss!$I$9</f>
        <v>2</v>
      </c>
      <c r="I23" s="8"/>
      <c r="J23" s="8">
        <f>emiss!$K$9</f>
        <v>1.8</v>
      </c>
      <c r="K23" s="8"/>
      <c r="L23" s="6">
        <f>emiss!$M$9</f>
        <v>1.8666666666666665</v>
      </c>
      <c r="M23" s="6"/>
      <c r="N23" s="8">
        <f>emiss!$G9</f>
        <v>1.8</v>
      </c>
      <c r="O23" s="8"/>
      <c r="P23" s="8">
        <f>emiss!$I$9</f>
        <v>2</v>
      </c>
      <c r="Q23" s="8"/>
      <c r="R23" s="8">
        <f>emiss!$K$9</f>
        <v>1.8</v>
      </c>
      <c r="S23" s="8"/>
      <c r="T23" s="6">
        <f>emiss!$M$9</f>
        <v>1.8666666666666665</v>
      </c>
      <c r="U23" s="6"/>
      <c r="V23" s="6"/>
      <c r="W23" s="6"/>
      <c r="X23" s="6"/>
      <c r="Y23" s="6"/>
      <c r="Z23" s="6"/>
      <c r="AA23" s="6"/>
    </row>
    <row r="24" ht="12.75" customHeight="1"/>
    <row r="25" spans="2:28" ht="12.75">
      <c r="B25" s="2" t="s">
        <v>114</v>
      </c>
      <c r="D25" s="2" t="s">
        <v>79</v>
      </c>
      <c r="F25" s="6">
        <f>67100000/1000000</f>
        <v>67.1</v>
      </c>
      <c r="G25" s="6"/>
      <c r="H25" s="6">
        <f>60900000/1000000</f>
        <v>60.9</v>
      </c>
      <c r="I25" s="6"/>
      <c r="J25" s="6">
        <f>64200000/1000000</f>
        <v>64.2</v>
      </c>
      <c r="K25" s="6"/>
      <c r="L25" s="6">
        <f>SUM(F25:J25)/3</f>
        <v>64.06666666666666</v>
      </c>
      <c r="M25" s="6"/>
      <c r="N25" s="6"/>
      <c r="O25" s="6"/>
      <c r="P25" s="6"/>
      <c r="Q25" s="6"/>
      <c r="R25" s="6"/>
      <c r="S25" s="6"/>
      <c r="V25" s="5">
        <f>SUM(N25,F25)</f>
        <v>67.1</v>
      </c>
      <c r="W25" s="5"/>
      <c r="X25" s="5">
        <f>SUM(P25,H25)</f>
        <v>60.9</v>
      </c>
      <c r="Y25" s="5"/>
      <c r="Z25" s="5">
        <f>SUM(R25,J25)</f>
        <v>64.2</v>
      </c>
      <c r="AA25" s="5"/>
      <c r="AB25" s="5">
        <f>SUM(T25,L25)</f>
        <v>64.06666666666666</v>
      </c>
    </row>
    <row r="26" spans="2:28" ht="12.75">
      <c r="B26" s="2" t="s">
        <v>149</v>
      </c>
      <c r="D26" s="2" t="s">
        <v>79</v>
      </c>
      <c r="V26" s="6">
        <f>F22/9000*60*(21-F23)/(21)</f>
        <v>80.70095238095239</v>
      </c>
      <c r="X26" s="6">
        <f>H22/9000*60*(21-H23)/(21)</f>
        <v>77.82761904761904</v>
      </c>
      <c r="Z26" s="6">
        <f>J22/9000*60*(21-J23)/(21)</f>
        <v>82.88304761904763</v>
      </c>
      <c r="AB26" s="6">
        <f>L22/9000*60*(21-L23)/(21)</f>
        <v>80.46325925925926</v>
      </c>
    </row>
    <row r="27" ht="12.75">
      <c r="AB27" s="6"/>
    </row>
    <row r="28" spans="2:28" ht="12.75">
      <c r="B28" s="23" t="s">
        <v>78</v>
      </c>
      <c r="C28" s="23"/>
      <c r="AB28" s="6"/>
    </row>
    <row r="29" spans="2:28" ht="12.75">
      <c r="B29" s="2" t="s">
        <v>8</v>
      </c>
      <c r="D29" s="2" t="s">
        <v>14</v>
      </c>
      <c r="F29" s="6">
        <f>(F12*1000/60)/$F$22/0.0283*(21-7)/(21-$F$23)</f>
        <v>147.25057143229938</v>
      </c>
      <c r="G29" s="6"/>
      <c r="H29" s="6">
        <f>(H12*1000/60)/H22/0.0283*(21-7)/(21-H23)</f>
        <v>152.35062968446658</v>
      </c>
      <c r="I29" s="6"/>
      <c r="J29" s="6">
        <f>(J12*1000/60)/J22/0.0283*(21-7)/(21-J23)</f>
        <v>145.90025797114558</v>
      </c>
      <c r="K29" s="6"/>
      <c r="L29" s="6">
        <f aca="true" t="shared" si="1" ref="L29:L39">AVERAGE(J29,H29,F29)</f>
        <v>148.50048636263716</v>
      </c>
      <c r="M29" s="6"/>
      <c r="N29" s="6">
        <f>(N12*1000/60)/N22/0.0283*(21-7)/(21-N23)</f>
        <v>1031.4026809575155</v>
      </c>
      <c r="O29" s="6"/>
      <c r="P29" s="6">
        <f>(P12*1000/60)/P22/0.0283*(21-7)/(21-P23)</f>
        <v>1069.4812414936066</v>
      </c>
      <c r="Q29" s="6"/>
      <c r="R29" s="6">
        <f>(R12*1000/60)/R22/0.0283*(21-7)/(21-R23)</f>
        <v>1004.2485288923007</v>
      </c>
      <c r="S29" s="6"/>
      <c r="T29" s="6">
        <f>AVERAGE(R29,P29,N29)</f>
        <v>1035.0441504478076</v>
      </c>
      <c r="U29" s="6"/>
      <c r="V29" s="6">
        <f>SUM(N29,F29)</f>
        <v>1178.653252389815</v>
      </c>
      <c r="W29" s="6"/>
      <c r="X29" s="6">
        <f>SUM(P29,H29)</f>
        <v>1221.8318711780732</v>
      </c>
      <c r="Y29" s="6"/>
      <c r="Z29" s="6">
        <f>SUM(R29,J29)</f>
        <v>1150.1487868634463</v>
      </c>
      <c r="AA29" s="6"/>
      <c r="AB29" s="6">
        <f>SUM(T29,L29)</f>
        <v>1183.544636810445</v>
      </c>
    </row>
    <row r="30" spans="2:28" ht="12.75">
      <c r="B30" s="2" t="s">
        <v>43</v>
      </c>
      <c r="D30" s="2" t="s">
        <v>12</v>
      </c>
      <c r="F30" s="6">
        <f aca="true" t="shared" si="2" ref="F30:F36">(F13*1000000/60)/$F$22/0.0283*(21-7)/(21-$F$23)</f>
        <v>191685.2152345571</v>
      </c>
      <c r="G30" s="6"/>
      <c r="H30" s="6">
        <f>(H13*1000000/60)/H22/0.0283*(21-7)/(21-H23)</f>
        <v>182955.28156368615</v>
      </c>
      <c r="I30" s="6"/>
      <c r="J30" s="6">
        <f aca="true" t="shared" si="3" ref="J30:J37">(J13*1000000/60)/$J$22/0.0283*(21-7)/(21-$J$23)</f>
        <v>143058.04515352586</v>
      </c>
      <c r="K30" s="6"/>
      <c r="L30" s="6">
        <f t="shared" si="1"/>
        <v>172566.1806505897</v>
      </c>
      <c r="M30" s="6"/>
      <c r="N30" s="6">
        <f>(N13*1000000/60)/$J$22/0.0283*(21-7)/(21-$J$23)</f>
        <v>641076.8910853366</v>
      </c>
      <c r="O30" s="6"/>
      <c r="P30" s="6">
        <f>(P13*1000000/60)/$J$22/0.0283*(21-7)/(21-$J$23)</f>
        <v>637918.876843537</v>
      </c>
      <c r="Q30" s="6"/>
      <c r="R30" s="6">
        <f>(R13*1000000/60)/$J$22/0.0283*(21-7)/(21-$J$23)</f>
        <v>637918.876843537</v>
      </c>
      <c r="S30" s="6"/>
      <c r="T30" s="6">
        <f>AVERAGE(R30,P30,N30)</f>
        <v>638971.5482574701</v>
      </c>
      <c r="U30" s="6"/>
      <c r="V30" s="5">
        <f aca="true" t="shared" si="4" ref="V30:V39">SUM(N30,F30)</f>
        <v>832762.1063198936</v>
      </c>
      <c r="W30" s="5"/>
      <c r="X30" s="5">
        <f aca="true" t="shared" si="5" ref="X30:X39">SUM(P30,H30)</f>
        <v>820874.1584072232</v>
      </c>
      <c r="Y30" s="5"/>
      <c r="Z30" s="5">
        <f aca="true" t="shared" si="6" ref="Z30:Z39">SUM(R30,J30)</f>
        <v>780976.9219970629</v>
      </c>
      <c r="AA30" s="5"/>
      <c r="AB30" s="5">
        <f aca="true" t="shared" si="7" ref="AB30:AB39">SUM(T30,L30)</f>
        <v>811537.7289080599</v>
      </c>
    </row>
    <row r="31" spans="2:28" ht="12.75">
      <c r="B31" s="2" t="s">
        <v>115</v>
      </c>
      <c r="D31" s="2" t="s">
        <v>12</v>
      </c>
      <c r="F31" s="6">
        <f t="shared" si="2"/>
        <v>2.9482548333030865</v>
      </c>
      <c r="G31" s="6"/>
      <c r="H31" s="6">
        <f aca="true" t="shared" si="8" ref="H31:H37">(H14*1000000/60)/$H$22/0.0283*(21-7)/(21-$H$23)</f>
        <v>3.047012593689331</v>
      </c>
      <c r="I31" s="6"/>
      <c r="J31" s="6">
        <f t="shared" si="3"/>
        <v>2.9180051594229113</v>
      </c>
      <c r="K31" s="6"/>
      <c r="L31" s="6">
        <f t="shared" si="1"/>
        <v>2.9710908621384426</v>
      </c>
      <c r="M31" s="6"/>
      <c r="N31" s="6"/>
      <c r="O31" s="6"/>
      <c r="P31" s="6"/>
      <c r="Q31" s="6"/>
      <c r="R31" s="6"/>
      <c r="S31" s="6"/>
      <c r="T31" s="6"/>
      <c r="U31" s="6"/>
      <c r="V31" s="6">
        <f t="shared" si="4"/>
        <v>2.9482548333030865</v>
      </c>
      <c r="W31" s="6"/>
      <c r="X31" s="6">
        <f t="shared" si="5"/>
        <v>3.047012593689331</v>
      </c>
      <c r="Y31" s="6"/>
      <c r="Z31" s="6">
        <f t="shared" si="6"/>
        <v>2.9180051594229113</v>
      </c>
      <c r="AA31" s="6"/>
      <c r="AB31" s="6">
        <f t="shared" si="7"/>
        <v>2.9710908621384426</v>
      </c>
    </row>
    <row r="32" spans="2:28" ht="12.75">
      <c r="B32" s="2" t="s">
        <v>111</v>
      </c>
      <c r="D32" s="2" t="s">
        <v>12</v>
      </c>
      <c r="F32" s="6">
        <f t="shared" si="2"/>
        <v>3.69748130909298</v>
      </c>
      <c r="G32" s="6"/>
      <c r="H32" s="6">
        <f t="shared" si="8"/>
        <v>3.8003578707162746</v>
      </c>
      <c r="I32" s="6"/>
      <c r="J32" s="6">
        <f t="shared" si="3"/>
        <v>3.6632965204876378</v>
      </c>
      <c r="K32" s="6"/>
      <c r="L32" s="6">
        <f t="shared" si="1"/>
        <v>3.7203785667656306</v>
      </c>
      <c r="M32" s="6"/>
      <c r="N32" s="6"/>
      <c r="O32" s="6"/>
      <c r="P32" s="6"/>
      <c r="Q32" s="6"/>
      <c r="R32" s="6"/>
      <c r="S32" s="6"/>
      <c r="T32" s="6"/>
      <c r="U32" s="6"/>
      <c r="V32" s="6">
        <f t="shared" si="4"/>
        <v>3.69748130909298</v>
      </c>
      <c r="W32" s="6"/>
      <c r="X32" s="6">
        <f t="shared" si="5"/>
        <v>3.8003578707162746</v>
      </c>
      <c r="Y32" s="6"/>
      <c r="Z32" s="6">
        <f t="shared" si="6"/>
        <v>3.6632965204876378</v>
      </c>
      <c r="AA32" s="6"/>
      <c r="AB32" s="6">
        <f t="shared" si="7"/>
        <v>3.7203785667656306</v>
      </c>
    </row>
    <row r="33" spans="2:28" ht="12.75">
      <c r="B33" s="2" t="s">
        <v>112</v>
      </c>
      <c r="D33" s="2" t="s">
        <v>12</v>
      </c>
      <c r="F33" s="6">
        <f t="shared" si="2"/>
        <v>3.69748130909298</v>
      </c>
      <c r="G33" s="6"/>
      <c r="H33" s="6">
        <f t="shared" si="8"/>
        <v>3.8003578707162746</v>
      </c>
      <c r="I33" s="6"/>
      <c r="J33" s="6">
        <f t="shared" si="3"/>
        <v>3.6632965204876378</v>
      </c>
      <c r="K33" s="6"/>
      <c r="L33" s="6">
        <f t="shared" si="1"/>
        <v>3.7203785667656306</v>
      </c>
      <c r="M33" s="6"/>
      <c r="N33" s="6"/>
      <c r="O33" s="6"/>
      <c r="P33" s="6"/>
      <c r="Q33" s="6"/>
      <c r="R33" s="6"/>
      <c r="S33" s="6"/>
      <c r="T33" s="6"/>
      <c r="U33" s="6"/>
      <c r="V33" s="6">
        <f t="shared" si="4"/>
        <v>3.69748130909298</v>
      </c>
      <c r="W33" s="6"/>
      <c r="X33" s="6">
        <f t="shared" si="5"/>
        <v>3.8003578707162746</v>
      </c>
      <c r="Y33" s="6"/>
      <c r="Z33" s="6">
        <f t="shared" si="6"/>
        <v>3.6632965204876378</v>
      </c>
      <c r="AA33" s="6"/>
      <c r="AB33" s="6">
        <f>SUM(T33,L33)</f>
        <v>3.7203785667656306</v>
      </c>
    </row>
    <row r="34" spans="2:28" ht="12.75">
      <c r="B34" s="2" t="s">
        <v>108</v>
      </c>
      <c r="D34" s="2" t="s">
        <v>12</v>
      </c>
      <c r="F34" s="6">
        <f t="shared" si="2"/>
        <v>16.217023285495525</v>
      </c>
      <c r="G34" s="6"/>
      <c r="H34" s="6">
        <f t="shared" si="8"/>
        <v>7.634347227014108</v>
      </c>
      <c r="I34" s="6"/>
      <c r="J34" s="6">
        <f t="shared" si="3"/>
        <v>16.04271234834241</v>
      </c>
      <c r="K34" s="6"/>
      <c r="L34" s="6">
        <f t="shared" si="1"/>
        <v>13.298027620284012</v>
      </c>
      <c r="M34" s="6"/>
      <c r="N34" s="6"/>
      <c r="O34" s="6"/>
      <c r="P34" s="6"/>
      <c r="Q34" s="6"/>
      <c r="R34" s="6"/>
      <c r="S34" s="6"/>
      <c r="T34" s="6"/>
      <c r="U34" s="6"/>
      <c r="V34" s="6">
        <f t="shared" si="4"/>
        <v>16.217023285495525</v>
      </c>
      <c r="W34" s="6"/>
      <c r="X34" s="6">
        <f t="shared" si="5"/>
        <v>7.634347227014108</v>
      </c>
      <c r="Y34" s="6"/>
      <c r="Z34" s="6">
        <f t="shared" si="6"/>
        <v>16.04271234834241</v>
      </c>
      <c r="AA34" s="6"/>
      <c r="AB34" s="6">
        <f t="shared" si="7"/>
        <v>13.298027620284012</v>
      </c>
    </row>
    <row r="35" spans="2:28" ht="12.75">
      <c r="B35" s="2" t="s">
        <v>109</v>
      </c>
      <c r="D35" s="2" t="s">
        <v>12</v>
      </c>
      <c r="F35" s="6">
        <f t="shared" si="2"/>
        <v>3.69748130909298</v>
      </c>
      <c r="G35" s="6"/>
      <c r="H35" s="6">
        <f t="shared" si="8"/>
        <v>3.8003578707162746</v>
      </c>
      <c r="I35" s="6"/>
      <c r="J35" s="6">
        <f t="shared" si="3"/>
        <v>3.6632965204876378</v>
      </c>
      <c r="K35" s="6"/>
      <c r="L35" s="6">
        <f t="shared" si="1"/>
        <v>3.7203785667656306</v>
      </c>
      <c r="M35" s="6"/>
      <c r="N35" s="6"/>
      <c r="O35" s="6"/>
      <c r="P35" s="6"/>
      <c r="Q35" s="6"/>
      <c r="R35" s="6"/>
      <c r="S35" s="6"/>
      <c r="T35" s="6"/>
      <c r="U35" s="6"/>
      <c r="V35" s="6">
        <f t="shared" si="4"/>
        <v>3.69748130909298</v>
      </c>
      <c r="W35" s="6"/>
      <c r="X35" s="6">
        <f t="shared" si="5"/>
        <v>3.8003578707162746</v>
      </c>
      <c r="Y35" s="6"/>
      <c r="Z35" s="6">
        <f t="shared" si="6"/>
        <v>3.6632965204876378</v>
      </c>
      <c r="AA35" s="6"/>
      <c r="AB35" s="6">
        <f t="shared" si="7"/>
        <v>3.7203785667656306</v>
      </c>
    </row>
    <row r="36" spans="2:28" ht="12.75">
      <c r="B36" s="2" t="s">
        <v>106</v>
      </c>
      <c r="D36" s="2" t="s">
        <v>12</v>
      </c>
      <c r="F36" s="6">
        <f t="shared" si="2"/>
        <v>9.730213971297315</v>
      </c>
      <c r="G36" s="6"/>
      <c r="H36" s="6">
        <f t="shared" si="8"/>
        <v>10.089445674467985</v>
      </c>
      <c r="I36" s="6"/>
      <c r="J36" s="6">
        <f t="shared" si="3"/>
        <v>9.474042725399062</v>
      </c>
      <c r="K36" s="6"/>
      <c r="L36" s="6">
        <f t="shared" si="1"/>
        <v>9.764567457054788</v>
      </c>
      <c r="M36" s="6"/>
      <c r="N36" s="6">
        <f>(N19*1000000/60)/$J$22/0.0283*(21-7)/(21-$J$23)</f>
        <v>183.48062744856182</v>
      </c>
      <c r="O36" s="6"/>
      <c r="P36" s="6">
        <f>(P19*1000000/60)/$J$22/0.0283*(21-7)/(21-$J$23)</f>
        <v>183.48062744856182</v>
      </c>
      <c r="Q36" s="6"/>
      <c r="R36" s="6">
        <f>(R19*1000000/60)/$J$22/0.0283*(21-7)/(21-$J$23)</f>
        <v>183.48062744856182</v>
      </c>
      <c r="S36" s="6"/>
      <c r="T36" s="6">
        <f>AVERAGE(R36,P36,N36)</f>
        <v>183.48062744856182</v>
      </c>
      <c r="U36" s="6"/>
      <c r="V36" s="6">
        <f t="shared" si="4"/>
        <v>193.21084141985912</v>
      </c>
      <c r="W36" s="6"/>
      <c r="X36" s="6">
        <f t="shared" si="5"/>
        <v>193.5700731230298</v>
      </c>
      <c r="Y36" s="6"/>
      <c r="Z36" s="6">
        <f t="shared" si="6"/>
        <v>192.9546701739609</v>
      </c>
      <c r="AA36" s="6"/>
      <c r="AB36" s="6">
        <f t="shared" si="7"/>
        <v>193.24519490561661</v>
      </c>
    </row>
    <row r="37" spans="2:28" ht="12.75">
      <c r="B37" s="2" t="s">
        <v>110</v>
      </c>
      <c r="D37" s="2" t="s">
        <v>12</v>
      </c>
      <c r="F37" s="6">
        <f>(F20*1000000/60)/$F$22/0.0283*(21-7)/(21-$F$23)</f>
        <v>8.562588294741637</v>
      </c>
      <c r="G37" s="6"/>
      <c r="H37" s="6">
        <f t="shared" si="8"/>
        <v>3.8003578707162746</v>
      </c>
      <c r="I37" s="6"/>
      <c r="J37" s="6">
        <f t="shared" si="3"/>
        <v>5.968646917001409</v>
      </c>
      <c r="K37" s="6"/>
      <c r="L37" s="6">
        <f t="shared" si="1"/>
        <v>6.110531027486441</v>
      </c>
      <c r="M37" s="6"/>
      <c r="N37" s="6"/>
      <c r="O37" s="6"/>
      <c r="P37" s="6"/>
      <c r="Q37" s="6"/>
      <c r="R37" s="6"/>
      <c r="S37" s="6"/>
      <c r="T37" s="6"/>
      <c r="U37" s="6"/>
      <c r="V37" s="6">
        <f t="shared" si="4"/>
        <v>8.562588294741637</v>
      </c>
      <c r="W37" s="6"/>
      <c r="X37" s="6">
        <f t="shared" si="5"/>
        <v>3.8003578707162746</v>
      </c>
      <c r="Y37" s="6"/>
      <c r="Z37" s="6">
        <f t="shared" si="6"/>
        <v>5.968646917001409</v>
      </c>
      <c r="AA37" s="6"/>
      <c r="AB37" s="6">
        <f t="shared" si="7"/>
        <v>6.110531027486441</v>
      </c>
    </row>
    <row r="38" spans="2:28" ht="12.75">
      <c r="B38" s="2" t="s">
        <v>5</v>
      </c>
      <c r="D38" s="2" t="s">
        <v>12</v>
      </c>
      <c r="F38" s="6">
        <f>SUM(F32,F33)</f>
        <v>7.39496261818596</v>
      </c>
      <c r="G38" s="6"/>
      <c r="H38" s="6">
        <f>SUM(H32,H33)</f>
        <v>7.600715741432549</v>
      </c>
      <c r="I38" s="6"/>
      <c r="J38" s="6">
        <f>SUM(J32,J33)</f>
        <v>7.3265930409752755</v>
      </c>
      <c r="K38" s="6"/>
      <c r="L38" s="6">
        <f t="shared" si="1"/>
        <v>7.440757133531261</v>
      </c>
      <c r="M38" s="6"/>
      <c r="N38" s="6"/>
      <c r="O38" s="6"/>
      <c r="P38" s="6"/>
      <c r="Q38" s="6"/>
      <c r="R38" s="6"/>
      <c r="S38" s="6"/>
      <c r="T38" s="6"/>
      <c r="U38" s="6"/>
      <c r="V38" s="6">
        <f t="shared" si="4"/>
        <v>7.39496261818596</v>
      </c>
      <c r="W38" s="6"/>
      <c r="X38" s="6">
        <f t="shared" si="5"/>
        <v>7.600715741432549</v>
      </c>
      <c r="Y38" s="6"/>
      <c r="Z38" s="6">
        <f t="shared" si="6"/>
        <v>7.3265930409752755</v>
      </c>
      <c r="AA38" s="6"/>
      <c r="AB38" s="6">
        <f t="shared" si="7"/>
        <v>7.440757133531261</v>
      </c>
    </row>
    <row r="39" spans="2:28" ht="12.75">
      <c r="B39" s="2" t="s">
        <v>6</v>
      </c>
      <c r="D39" s="2" t="s">
        <v>12</v>
      </c>
      <c r="F39" s="6">
        <f>SUM(F34:F36)</f>
        <v>29.644718565885817</v>
      </c>
      <c r="G39" s="6"/>
      <c r="H39" s="6">
        <f>SUM(H34:H36)</f>
        <v>21.524150772198368</v>
      </c>
      <c r="I39" s="6"/>
      <c r="J39" s="6">
        <f>SUM(J34:J36)</f>
        <v>29.18005159422911</v>
      </c>
      <c r="K39" s="6"/>
      <c r="L39" s="6">
        <f t="shared" si="1"/>
        <v>26.78297364410443</v>
      </c>
      <c r="M39" s="6"/>
      <c r="N39" s="6">
        <f>N36</f>
        <v>183.48062744856182</v>
      </c>
      <c r="O39" s="6"/>
      <c r="P39" s="6">
        <f>P36</f>
        <v>183.48062744856182</v>
      </c>
      <c r="Q39" s="6"/>
      <c r="R39" s="6">
        <f>R36</f>
        <v>183.48062744856182</v>
      </c>
      <c r="S39" s="6"/>
      <c r="T39" s="6">
        <f>AVERAGE(R39,P39,N39)</f>
        <v>183.48062744856182</v>
      </c>
      <c r="U39" s="6"/>
      <c r="V39" s="6">
        <f t="shared" si="4"/>
        <v>213.12534601444764</v>
      </c>
      <c r="W39" s="6"/>
      <c r="X39" s="6">
        <f t="shared" si="5"/>
        <v>205.0047782207602</v>
      </c>
      <c r="Y39" s="6"/>
      <c r="Z39" s="6">
        <f t="shared" si="6"/>
        <v>212.66067904279092</v>
      </c>
      <c r="AA39" s="6"/>
      <c r="AB39" s="6">
        <f t="shared" si="7"/>
        <v>210.26360109266625</v>
      </c>
    </row>
    <row r="43" spans="1:3" ht="12.75">
      <c r="A43" s="2" t="s">
        <v>113</v>
      </c>
      <c r="B43" s="1" t="s">
        <v>71</v>
      </c>
      <c r="C43" s="1"/>
    </row>
    <row r="44" spans="2:3" ht="12.75">
      <c r="B44" s="1"/>
      <c r="C44" s="1"/>
    </row>
    <row r="45" spans="2:12" ht="12.75">
      <c r="B45" s="2" t="s">
        <v>142</v>
      </c>
      <c r="C45" s="1"/>
      <c r="F45" s="3" t="s">
        <v>144</v>
      </c>
      <c r="H45" s="3" t="s">
        <v>144</v>
      </c>
      <c r="J45" s="3" t="s">
        <v>144</v>
      </c>
      <c r="L45" s="3" t="s">
        <v>144</v>
      </c>
    </row>
    <row r="46" spans="2:12" ht="12.75">
      <c r="B46" s="2" t="s">
        <v>143</v>
      </c>
      <c r="C46" s="1"/>
      <c r="F46" s="3" t="s">
        <v>145</v>
      </c>
      <c r="H46" s="3" t="s">
        <v>145</v>
      </c>
      <c r="J46" s="3" t="s">
        <v>145</v>
      </c>
      <c r="L46" s="3" t="s">
        <v>145</v>
      </c>
    </row>
    <row r="47" spans="2:12" ht="12.75">
      <c r="B47" s="2" t="s">
        <v>148</v>
      </c>
      <c r="C47" s="1"/>
      <c r="F47" s="3" t="s">
        <v>1</v>
      </c>
      <c r="H47" s="3" t="s">
        <v>1</v>
      </c>
      <c r="J47" s="3" t="s">
        <v>1</v>
      </c>
      <c r="L47" s="3" t="s">
        <v>1</v>
      </c>
    </row>
    <row r="48" spans="2:12" ht="12.75">
      <c r="B48" s="2" t="s">
        <v>117</v>
      </c>
      <c r="F48" s="2" t="s">
        <v>59</v>
      </c>
      <c r="H48" s="2" t="s">
        <v>59</v>
      </c>
      <c r="J48" s="2" t="s">
        <v>59</v>
      </c>
      <c r="L48" s="2" t="s">
        <v>74</v>
      </c>
    </row>
    <row r="49" spans="2:19" ht="12.75">
      <c r="B49" s="2" t="s">
        <v>116</v>
      </c>
      <c r="D49" s="2" t="s">
        <v>40</v>
      </c>
      <c r="F49" s="5">
        <v>1670000</v>
      </c>
      <c r="G49" s="5"/>
      <c r="H49" s="10">
        <v>1710000</v>
      </c>
      <c r="I49" s="10"/>
      <c r="J49" s="5">
        <v>1690000</v>
      </c>
      <c r="K49" s="5"/>
      <c r="L49" s="5">
        <f>SUM(F49:J49)/3</f>
        <v>1690000</v>
      </c>
      <c r="M49" s="5"/>
      <c r="N49" s="5"/>
      <c r="O49" s="5"/>
      <c r="P49" s="5"/>
      <c r="Q49" s="5"/>
      <c r="R49" s="5"/>
      <c r="S49" s="5"/>
    </row>
    <row r="50" spans="2:19" ht="12.75">
      <c r="B50" s="2" t="s">
        <v>8</v>
      </c>
      <c r="D50" s="2" t="s">
        <v>40</v>
      </c>
      <c r="E50" s="12"/>
      <c r="F50" s="5">
        <v>1670</v>
      </c>
      <c r="G50" s="5"/>
      <c r="H50" s="5">
        <v>1710</v>
      </c>
      <c r="I50" s="5"/>
      <c r="J50" s="5">
        <v>1690</v>
      </c>
      <c r="K50" s="5"/>
      <c r="L50" s="5">
        <f aca="true" t="shared" si="9" ref="L50:L58">SUM(F50:J50)/3</f>
        <v>1690</v>
      </c>
      <c r="M50" s="5"/>
      <c r="N50" s="5"/>
      <c r="O50" s="5"/>
      <c r="P50" s="5"/>
      <c r="Q50" s="5"/>
      <c r="R50" s="5"/>
      <c r="S50" s="5"/>
    </row>
    <row r="51" spans="2:19" ht="12.75">
      <c r="B51" s="2" t="s">
        <v>43</v>
      </c>
      <c r="D51" s="2" t="s">
        <v>40</v>
      </c>
      <c r="F51" s="5">
        <v>1840</v>
      </c>
      <c r="G51" s="5"/>
      <c r="H51" s="5">
        <v>1890</v>
      </c>
      <c r="I51" s="5"/>
      <c r="J51" s="5">
        <v>1860</v>
      </c>
      <c r="K51" s="5"/>
      <c r="L51" s="5">
        <f t="shared" si="9"/>
        <v>1863.3333333333333</v>
      </c>
      <c r="M51" s="5"/>
      <c r="N51" s="5"/>
      <c r="O51" s="5"/>
      <c r="P51" s="5"/>
      <c r="Q51" s="5"/>
      <c r="R51" s="5"/>
      <c r="S51" s="5"/>
    </row>
    <row r="52" spans="2:19" ht="12.75">
      <c r="B52" s="2" t="s">
        <v>115</v>
      </c>
      <c r="D52" s="2" t="s">
        <v>40</v>
      </c>
      <c r="F52" s="2">
        <v>0.0335</v>
      </c>
      <c r="H52" s="2">
        <v>0.0343</v>
      </c>
      <c r="J52" s="2">
        <v>0.0339</v>
      </c>
      <c r="L52" s="9">
        <f t="shared" si="9"/>
        <v>0.0339</v>
      </c>
      <c r="M52" s="9"/>
      <c r="N52" s="9"/>
      <c r="O52" s="9"/>
      <c r="P52" s="9"/>
      <c r="Q52" s="9"/>
      <c r="R52" s="9"/>
      <c r="S52" s="9"/>
    </row>
    <row r="53" spans="2:19" ht="12.75">
      <c r="B53" s="2" t="s">
        <v>111</v>
      </c>
      <c r="D53" s="2" t="s">
        <v>40</v>
      </c>
      <c r="F53" s="2">
        <v>0.0452</v>
      </c>
      <c r="H53" s="2">
        <v>0.0531</v>
      </c>
      <c r="J53" s="2">
        <v>0.0458</v>
      </c>
      <c r="L53" s="9">
        <f t="shared" si="9"/>
        <v>0.04803333333333334</v>
      </c>
      <c r="M53" s="9"/>
      <c r="N53" s="9"/>
      <c r="O53" s="9"/>
      <c r="P53" s="9"/>
      <c r="Q53" s="9"/>
      <c r="R53" s="9"/>
      <c r="S53" s="9"/>
    </row>
    <row r="54" spans="2:19" ht="12.75">
      <c r="B54" s="2" t="s">
        <v>112</v>
      </c>
      <c r="D54" s="2" t="s">
        <v>40</v>
      </c>
      <c r="F54" s="2">
        <v>0.0418</v>
      </c>
      <c r="H54" s="2">
        <v>0.0429</v>
      </c>
      <c r="J54" s="2">
        <v>0.0424</v>
      </c>
      <c r="L54" s="9">
        <f t="shared" si="9"/>
        <v>0.042366666666666664</v>
      </c>
      <c r="M54" s="9"/>
      <c r="N54" s="9"/>
      <c r="O54" s="9"/>
      <c r="P54" s="9"/>
      <c r="Q54" s="9"/>
      <c r="R54" s="9"/>
      <c r="S54" s="9"/>
    </row>
    <row r="55" spans="2:19" ht="12.75">
      <c r="B55" s="2" t="s">
        <v>108</v>
      </c>
      <c r="D55" s="2" t="s">
        <v>40</v>
      </c>
      <c r="F55" s="2">
        <v>0.251</v>
      </c>
      <c r="H55" s="2">
        <v>0.291</v>
      </c>
      <c r="J55" s="2">
        <v>0.0847</v>
      </c>
      <c r="L55" s="9">
        <f t="shared" si="9"/>
        <v>0.2089</v>
      </c>
      <c r="M55" s="9"/>
      <c r="N55" s="9"/>
      <c r="O55" s="9"/>
      <c r="P55" s="9"/>
      <c r="Q55" s="9"/>
      <c r="R55" s="9"/>
      <c r="S55" s="9"/>
    </row>
    <row r="56" spans="2:19" ht="12.75">
      <c r="B56" s="2" t="s">
        <v>109</v>
      </c>
      <c r="D56" s="2" t="s">
        <v>40</v>
      </c>
      <c r="F56" s="2">
        <v>0.0418</v>
      </c>
      <c r="H56" s="2">
        <v>0.0429</v>
      </c>
      <c r="J56" s="2">
        <v>0.0424</v>
      </c>
      <c r="L56" s="9">
        <f t="shared" si="9"/>
        <v>0.042366666666666664</v>
      </c>
      <c r="M56" s="9"/>
      <c r="N56" s="9"/>
      <c r="O56" s="9"/>
      <c r="P56" s="9"/>
      <c r="Q56" s="9"/>
      <c r="R56" s="9"/>
      <c r="S56" s="9"/>
    </row>
    <row r="57" spans="2:19" ht="12.75">
      <c r="B57" s="2" t="s">
        <v>106</v>
      </c>
      <c r="D57" s="2" t="s">
        <v>40</v>
      </c>
      <c r="F57" s="2">
        <v>0.234</v>
      </c>
      <c r="H57" s="2">
        <v>0.257</v>
      </c>
      <c r="J57" s="2">
        <v>0.322</v>
      </c>
      <c r="L57" s="9">
        <f t="shared" si="9"/>
        <v>0.27099999999999996</v>
      </c>
      <c r="M57" s="9"/>
      <c r="N57" s="9"/>
      <c r="O57" s="9"/>
      <c r="P57" s="9"/>
      <c r="Q57" s="9"/>
      <c r="R57" s="9"/>
      <c r="S57" s="9"/>
    </row>
    <row r="58" spans="2:19" ht="12.75">
      <c r="B58" s="2" t="s">
        <v>110</v>
      </c>
      <c r="D58" s="2" t="s">
        <v>40</v>
      </c>
      <c r="F58" s="2">
        <v>0.124</v>
      </c>
      <c r="H58" s="2">
        <v>0.137</v>
      </c>
      <c r="J58" s="2">
        <v>0.424</v>
      </c>
      <c r="L58" s="9">
        <f t="shared" si="9"/>
        <v>0.22833333333333336</v>
      </c>
      <c r="M58" s="9"/>
      <c r="N58" s="9"/>
      <c r="O58" s="9"/>
      <c r="P58" s="9"/>
      <c r="Q58" s="9"/>
      <c r="R58" s="9"/>
      <c r="S58" s="9"/>
    </row>
    <row r="59" spans="12:19" ht="12.75" customHeight="1">
      <c r="L59" s="13"/>
      <c r="M59" s="13"/>
      <c r="N59" s="13"/>
      <c r="O59" s="13"/>
      <c r="P59" s="13"/>
      <c r="Q59" s="13"/>
      <c r="R59" s="13"/>
      <c r="S59" s="13"/>
    </row>
    <row r="60" spans="2:19" ht="12.75">
      <c r="B60" s="2" t="s">
        <v>45</v>
      </c>
      <c r="D60" s="2" t="s">
        <v>15</v>
      </c>
      <c r="F60" s="4"/>
      <c r="G60" s="4"/>
      <c r="H60" s="4"/>
      <c r="I60" s="4"/>
      <c r="J60" s="4"/>
      <c r="K60" s="4"/>
      <c r="L60" s="20" t="s">
        <v>26</v>
      </c>
      <c r="M60" s="20"/>
      <c r="N60" s="20"/>
      <c r="O60" s="20"/>
      <c r="P60" s="20"/>
      <c r="Q60" s="20"/>
      <c r="R60" s="20"/>
      <c r="S60" s="20"/>
    </row>
    <row r="61" spans="2:19" ht="12.75">
      <c r="B61" s="2" t="s">
        <v>9</v>
      </c>
      <c r="D61" s="2" t="s">
        <v>16</v>
      </c>
      <c r="F61" s="2">
        <f>emiss!G26</f>
        <v>2.3</v>
      </c>
      <c r="H61" s="2">
        <f>emiss!I26</f>
        <v>2.2</v>
      </c>
      <c r="J61" s="2">
        <f>emiss!K26</f>
        <v>3.2</v>
      </c>
      <c r="L61" s="6">
        <f>SUM(F61:J61)/3</f>
        <v>2.566666666666667</v>
      </c>
      <c r="M61" s="6"/>
      <c r="N61" s="6"/>
      <c r="O61" s="6"/>
      <c r="P61" s="6"/>
      <c r="Q61" s="6"/>
      <c r="R61" s="6"/>
      <c r="S61" s="6"/>
    </row>
    <row r="62" spans="12:19" ht="12.75" customHeight="1">
      <c r="L62" s="13"/>
      <c r="M62" s="13"/>
      <c r="N62" s="13"/>
      <c r="O62" s="13"/>
      <c r="P62" s="13"/>
      <c r="Q62" s="13"/>
      <c r="R62" s="13"/>
      <c r="S62" s="13"/>
    </row>
    <row r="63" spans="2:19" ht="12.75">
      <c r="B63" s="2" t="s">
        <v>114</v>
      </c>
      <c r="D63" s="2" t="s">
        <v>79</v>
      </c>
      <c r="F63" s="6">
        <f>22500000/1000000</f>
        <v>22.5</v>
      </c>
      <c r="G63" s="6"/>
      <c r="H63" s="6">
        <f>23400000/1000000</f>
        <v>23.4</v>
      </c>
      <c r="I63" s="6"/>
      <c r="J63" s="6">
        <f>23500000/1000000</f>
        <v>23.5</v>
      </c>
      <c r="K63" s="6"/>
      <c r="L63" s="6">
        <f>SUM(F63:J63)/3</f>
        <v>23.133333333333336</v>
      </c>
      <c r="M63" s="6"/>
      <c r="N63" s="6"/>
      <c r="O63" s="6"/>
      <c r="P63" s="6"/>
      <c r="Q63" s="6"/>
      <c r="R63" s="6"/>
      <c r="S63" s="6"/>
    </row>
    <row r="64" spans="2:19" ht="12.75">
      <c r="B64" s="2" t="s">
        <v>149</v>
      </c>
      <c r="D64" s="2" t="s">
        <v>79</v>
      </c>
      <c r="F64" s="8"/>
      <c r="G64" s="8"/>
      <c r="L64" s="13"/>
      <c r="M64" s="13"/>
      <c r="N64" s="13"/>
      <c r="O64" s="13"/>
      <c r="P64" s="13"/>
      <c r="Q64" s="13"/>
      <c r="R64" s="13"/>
      <c r="S64" s="13"/>
    </row>
    <row r="65" spans="6:19" ht="12.75">
      <c r="F65" s="8"/>
      <c r="G65" s="8"/>
      <c r="L65" s="13"/>
      <c r="M65" s="13"/>
      <c r="N65" s="13"/>
      <c r="O65" s="13"/>
      <c r="P65" s="13"/>
      <c r="Q65" s="13"/>
      <c r="R65" s="13"/>
      <c r="S65" s="13"/>
    </row>
    <row r="66" spans="2:19" ht="12.75">
      <c r="B66" s="23" t="s">
        <v>78</v>
      </c>
      <c r="C66" s="23"/>
      <c r="F66" s="8"/>
      <c r="G66" s="8"/>
      <c r="L66" s="13"/>
      <c r="M66" s="13"/>
      <c r="N66" s="13"/>
      <c r="O66" s="13"/>
      <c r="P66" s="13"/>
      <c r="Q66" s="13"/>
      <c r="R66" s="13"/>
      <c r="S66" s="13"/>
    </row>
    <row r="67" spans="2:19" ht="12.75">
      <c r="B67" s="2" t="s">
        <v>8</v>
      </c>
      <c r="C67" s="13" t="s">
        <v>80</v>
      </c>
      <c r="F67" s="13"/>
      <c r="G67" s="13"/>
      <c r="H67" s="13"/>
      <c r="I67" s="13"/>
      <c r="J67" s="13"/>
      <c r="K67" s="13"/>
      <c r="M67" s="13"/>
      <c r="N67" s="13"/>
      <c r="O67" s="13"/>
      <c r="P67" s="13"/>
      <c r="Q67" s="13"/>
      <c r="R67" s="13"/>
      <c r="S67" s="13"/>
    </row>
    <row r="68" spans="2:19" ht="12.75">
      <c r="B68" s="2" t="s">
        <v>43</v>
      </c>
      <c r="C68" s="13" t="s">
        <v>81</v>
      </c>
      <c r="F68" s="13"/>
      <c r="G68" s="13"/>
      <c r="H68" s="13"/>
      <c r="I68" s="13"/>
      <c r="J68" s="13"/>
      <c r="K68" s="13"/>
      <c r="M68" s="13"/>
      <c r="N68" s="13"/>
      <c r="O68" s="13"/>
      <c r="P68" s="13"/>
      <c r="Q68" s="13"/>
      <c r="R68" s="13"/>
      <c r="S68" s="13"/>
    </row>
    <row r="69" spans="2:19" ht="12.75">
      <c r="B69" s="2" t="s">
        <v>115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2:19" ht="12.75">
      <c r="B70" s="2" t="s">
        <v>111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2:19" ht="12.75">
      <c r="B71" s="2" t="s">
        <v>112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2:19" ht="12.75">
      <c r="B72" s="2" t="s">
        <v>108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2:19" ht="12.75">
      <c r="B73" s="2" t="s">
        <v>109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2:19" ht="12.75">
      <c r="B74" s="2" t="s">
        <v>106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2:19" ht="12.75">
      <c r="B75" s="2" t="s">
        <v>110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2:19" ht="12.75">
      <c r="B76" s="2" t="s">
        <v>5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2:19" ht="12.75">
      <c r="B77" s="2" t="s">
        <v>6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2" sqref="B2"/>
    </sheetView>
  </sheetViews>
  <sheetFormatPr defaultColWidth="9.140625" defaultRowHeight="12.75"/>
  <cols>
    <col min="1" max="1" width="29.140625" style="2" customWidth="1"/>
    <col min="2" max="2" width="10.57421875" style="2" customWidth="1"/>
    <col min="3" max="3" width="14.140625" style="2" customWidth="1"/>
    <col min="4" max="4" width="11.140625" style="2" customWidth="1"/>
    <col min="5" max="5" width="8.28125" style="2" customWidth="1"/>
    <col min="6" max="16384" width="11.421875" style="2" customWidth="1"/>
  </cols>
  <sheetData>
    <row r="1" ht="12.75">
      <c r="A1" s="1" t="s">
        <v>46</v>
      </c>
    </row>
    <row r="3" spans="2:5" ht="12.75">
      <c r="B3" s="2" t="s">
        <v>35</v>
      </c>
      <c r="D3" s="3"/>
      <c r="E3" s="3"/>
    </row>
    <row r="4" spans="3:5" ht="12.75">
      <c r="C4" s="3"/>
      <c r="D4" s="3"/>
      <c r="E4" s="3"/>
    </row>
    <row r="5" spans="1:5" ht="12.75">
      <c r="A5" s="1" t="str">
        <f>feed!B4</f>
        <v>776C10</v>
      </c>
      <c r="C5" s="3" t="s">
        <v>36</v>
      </c>
      <c r="E5" s="3"/>
    </row>
    <row r="6" spans="1:5" ht="12.75">
      <c r="A6" s="1"/>
      <c r="E6" s="3"/>
    </row>
    <row r="7" spans="1:5" ht="12.75">
      <c r="A7" s="2" t="s">
        <v>84</v>
      </c>
      <c r="B7" s="2" t="s">
        <v>91</v>
      </c>
      <c r="C7" s="2">
        <v>51.16</v>
      </c>
      <c r="D7" s="14"/>
      <c r="E7" s="4"/>
    </row>
    <row r="8" spans="1:3" ht="12.75">
      <c r="A8" s="2" t="s">
        <v>85</v>
      </c>
      <c r="B8" s="2" t="s">
        <v>55</v>
      </c>
      <c r="C8" s="2">
        <v>2000</v>
      </c>
    </row>
    <row r="9" ht="12.75">
      <c r="A9" s="2" t="s">
        <v>82</v>
      </c>
    </row>
    <row r="10" spans="1:3" ht="12.75">
      <c r="A10" s="2" t="s">
        <v>86</v>
      </c>
      <c r="B10" s="2" t="s">
        <v>57</v>
      </c>
      <c r="C10" s="2">
        <v>6.5</v>
      </c>
    </row>
    <row r="11" spans="1:3" ht="12.75">
      <c r="A11" s="2" t="s">
        <v>87</v>
      </c>
      <c r="B11" s="2" t="s">
        <v>56</v>
      </c>
      <c r="C11" s="2">
        <v>9.2</v>
      </c>
    </row>
    <row r="12" spans="1:3" ht="12.75">
      <c r="A12" s="2" t="s">
        <v>83</v>
      </c>
      <c r="C12" s="2">
        <v>6</v>
      </c>
    </row>
    <row r="14" ht="12.75">
      <c r="A14" s="1" t="str">
        <f>feed!B43</f>
        <v>776C11</v>
      </c>
    </row>
    <row r="15" ht="12.75">
      <c r="A15" s="1"/>
    </row>
    <row r="16" spans="1:3" ht="12.75">
      <c r="A16" s="2" t="s">
        <v>85</v>
      </c>
      <c r="B16" s="2" t="s">
        <v>55</v>
      </c>
      <c r="C16" s="2">
        <v>1041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2004-02-25T20:15:01Z</cp:lastPrinted>
  <dcterms:created xsi:type="dcterms:W3CDTF">2000-02-25T16:38:56Z</dcterms:created>
  <dcterms:modified xsi:type="dcterms:W3CDTF">2004-02-25T20:15:08Z</dcterms:modified>
  <cp:category/>
  <cp:version/>
  <cp:contentType/>
  <cp:contentStatus/>
</cp:coreProperties>
</file>