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1970" windowHeight="1695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<sst xmlns="http://schemas.openxmlformats.org/spreadsheetml/2006/main" count="441" uniqueCount="144">
  <si>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</si>
  <si>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</si>
  <si>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</si>
  <si>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</si>
  <si>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</si>
  <si>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</si>
  <si>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</si>
  <si>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None</t>
  </si>
  <si>
    <t>Soot Blowing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</si>
  <si>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</si>
  <si>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</si>
  <si>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</si>
  <si>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</si>
  <si>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</si>
  <si>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</si>
  <si>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</si>
  <si>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</si>
  <si>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</si>
  <si>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</si>
  <si>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</si>
  <si>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</si>
  <si>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</si>
  <si>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</si>
  <si>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</si>
  <si>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</si>
  <si>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</si>
  <si>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</si>
  <si>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</si>
  <si>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Cond Avg</t>
  </si>
  <si>
    <t>g/hr</t>
  </si>
  <si>
    <t>Btu/lb</t>
  </si>
  <si>
    <t>Density</t>
  </si>
  <si>
    <t>g/ml</t>
  </si>
  <si>
    <t>Ash</t>
  </si>
  <si>
    <t>Chlorine</t>
  </si>
  <si>
    <t>Spike</t>
  </si>
  <si>
    <t xml:space="preserve">    Testing Dates</t>
  </si>
  <si>
    <t>Sootblow</t>
  </si>
  <si>
    <t>Process Information</t>
  </si>
  <si>
    <t>MMBtu/hr</t>
  </si>
  <si>
    <t>Heating Value</t>
  </si>
  <si>
    <t>Thermal Feedrate</t>
  </si>
  <si>
    <t>Stack Gas Flowrate</t>
  </si>
  <si>
    <t>Oxygen</t>
  </si>
  <si>
    <t>mg/dscm</t>
  </si>
  <si>
    <t>ug/dscm</t>
  </si>
  <si>
    <t>Stack Gas Emissions</t>
  </si>
  <si>
    <t>HW</t>
  </si>
  <si>
    <t>Cl2</t>
  </si>
  <si>
    <t>SVM</t>
  </si>
  <si>
    <t>LVM</t>
  </si>
  <si>
    <t>CO</t>
  </si>
  <si>
    <t>Liq</t>
  </si>
  <si>
    <t>Natural gas</t>
  </si>
  <si>
    <t>TXD058275769</t>
  </si>
  <si>
    <t>Channelview</t>
  </si>
  <si>
    <t>TX</t>
  </si>
  <si>
    <t>Equistar Chemicals, LP - Channelview Complex</t>
  </si>
  <si>
    <t>Tier IA for metals and chlorine</t>
  </si>
  <si>
    <t xml:space="preserve">T-303 bottoms, IPOH </t>
  </si>
  <si>
    <t>Yes, 13 minute duration</t>
  </si>
  <si>
    <t xml:space="preserve">Certification of Compliance Forms, November 1998 </t>
  </si>
  <si>
    <t>Waste Min Inc.</t>
  </si>
  <si>
    <t xml:space="preserve">CoC; max feeds for T-303 bottoms and IPOH </t>
  </si>
  <si>
    <t xml:space="preserve">CoC; min combustion temperature   </t>
  </si>
  <si>
    <t>T-303 bottoms</t>
  </si>
  <si>
    <t>IPOH</t>
  </si>
  <si>
    <t xml:space="preserve">Total </t>
  </si>
  <si>
    <t>Nat gas</t>
  </si>
  <si>
    <t>F</t>
  </si>
  <si>
    <t>No data reported</t>
  </si>
  <si>
    <t>Capacity (MMBtu/hr)</t>
  </si>
  <si>
    <t>Combustion Chamber Temp</t>
  </si>
  <si>
    <t>Hazardous Wastes</t>
  </si>
  <si>
    <t>Haz Waste Description</t>
  </si>
  <si>
    <t>Supplemental Fuel</t>
  </si>
  <si>
    <t>Feedstreams</t>
  </si>
  <si>
    <t>Feedrate MTEC Calculations</t>
  </si>
  <si>
    <t>Phase II ID No.</t>
  </si>
  <si>
    <t xml:space="preserve">    Gas Velocity (ft/sec)</t>
  </si>
  <si>
    <t xml:space="preserve">    Gas Temperature (°F)</t>
  </si>
  <si>
    <t>PM, Cl2, CO emissions; metals and chlorine in feedstreams</t>
  </si>
  <si>
    <t>7% O2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</si>
  <si>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</si>
  <si>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</si>
  <si>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</si>
  <si>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</si>
  <si>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</si>
  <si>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</si>
  <si>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</si>
  <si>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</si>
  <si>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</si>
  <si>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</si>
  <si>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Feedrate Limits</t>
  </si>
  <si>
    <t>Source Description</t>
  </si>
  <si>
    <t>Combustor Characteristics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</si>
  <si>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</si>
  <si>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</si>
  <si>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</si>
  <si>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</si>
  <si>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</si>
  <si>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CO (RA)</t>
  </si>
  <si>
    <t>CO (MHRA)</t>
  </si>
  <si>
    <t>Sampling Train</t>
  </si>
  <si>
    <t>Feedstream Description</t>
  </si>
  <si>
    <t>774C2</t>
  </si>
  <si>
    <t>774C1</t>
  </si>
  <si>
    <t>*</t>
  </si>
  <si>
    <t>Feed Rate</t>
  </si>
  <si>
    <t>Boiler No. 3</t>
  </si>
  <si>
    <t>Boiler No.1,2,4</t>
  </si>
  <si>
    <t>HWC Burn Status (Date if Terminated)</t>
  </si>
  <si>
    <t xml:space="preserve">    Cond Dates</t>
  </si>
  <si>
    <t>R1</t>
  </si>
  <si>
    <t>R2</t>
  </si>
  <si>
    <t>R3</t>
  </si>
  <si>
    <t>Watertube boiler. 230 MMBtu/hr watertube boiler</t>
  </si>
  <si>
    <t>Cond Description</t>
  </si>
  <si>
    <t>Liquid-fired boiler</t>
  </si>
  <si>
    <t>Number of Sister Facilities</t>
  </si>
  <si>
    <t>Combustor Type</t>
  </si>
  <si>
    <t>APCS Detailed Acronym</t>
  </si>
  <si>
    <t>APCS General Class</t>
  </si>
  <si>
    <t>Liquid-fired</t>
  </si>
  <si>
    <t>E1</t>
  </si>
  <si>
    <t>source</t>
  </si>
  <si>
    <t>cond</t>
  </si>
  <si>
    <t>emiss</t>
  </si>
  <si>
    <t>feed</t>
  </si>
  <si>
    <t>process</t>
  </si>
  <si>
    <t>Combustor Class</t>
  </si>
  <si>
    <t>Feedstream Number</t>
  </si>
  <si>
    <t>Feed Class</t>
  </si>
  <si>
    <t>Liq HW</t>
  </si>
  <si>
    <t>F1</t>
  </si>
  <si>
    <t>F2</t>
  </si>
  <si>
    <t>F3</t>
  </si>
  <si>
    <t>NG</t>
  </si>
  <si>
    <t>F4</t>
  </si>
  <si>
    <t>F5</t>
  </si>
  <si>
    <t>Feed Class 2</t>
  </si>
  <si>
    <t>MF</t>
  </si>
  <si>
    <t>Estimated Firing Rate</t>
  </si>
  <si>
    <t>Total Chlorine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</si>
</sst>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  <numFmt numFmtId="172" formatCode="0.000000000"/>
    <numFmt numFmtId="173" formatCode="0.0E+00"/>
    <numFmt numFmtId="174" formatCode="0E+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9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C29" sqref="C29"/>
    </sheetView>
  </sheetViews>
  <sheetFormatPr defaultColWidth="9.140625" defaultRowHeight="12.75"/>
  <sheetData>
    <row r="1" ht="12.75">
      <c r="A1" t="s">
        <v>125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tabSelected="1" workbookViewId="0" topLeftCell="B1">
      <selection activeCell="C28" sqref="C28"/>
    </sheetView>
  </sheetViews>
  <sheetFormatPr defaultColWidth="9.140625" defaultRowHeight="12.75"/>
  <cols>
    <col min="1" max="1" width="8.8515625" style="2" hidden="1" customWidth="1"/>
    <col min="2" max="2" width="26.00390625" style="2" customWidth="1"/>
    <col min="3" max="3" width="51.7109375" style="2" customWidth="1"/>
    <col min="4" max="15" width="8.8515625" style="0" customWidth="1"/>
    <col min="16" max="16384" width="8.8515625" style="2" customWidth="1"/>
  </cols>
  <sheetData>
    <row r="1" ht="12.75">
      <c r="B1" s="1" t="s">
        <v>94</v>
      </c>
    </row>
    <row r="3" spans="2:3" ht="12.75">
      <c r="B3" s="2" t="s">
        <v>78</v>
      </c>
      <c r="C3" s="3">
        <v>774</v>
      </c>
    </row>
    <row r="4" spans="2:3" ht="12.75">
      <c r="B4" s="2" t="s">
        <v>0</v>
      </c>
      <c r="C4" s="2" t="s">
        <v>54</v>
      </c>
    </row>
    <row r="5" spans="2:3" ht="12.75">
      <c r="B5" s="2" t="s">
        <v>1</v>
      </c>
      <c r="C5" s="2" t="s">
        <v>57</v>
      </c>
    </row>
    <row r="6" ht="12.75">
      <c r="B6" s="2" t="s">
        <v>2</v>
      </c>
    </row>
    <row r="7" spans="2:3" ht="12.75">
      <c r="B7" s="2" t="s">
        <v>3</v>
      </c>
      <c r="C7" s="2" t="s">
        <v>55</v>
      </c>
    </row>
    <row r="8" spans="2:3" ht="12.75">
      <c r="B8" s="2" t="s">
        <v>4</v>
      </c>
      <c r="C8" s="2" t="s">
        <v>56</v>
      </c>
    </row>
    <row r="9" spans="2:3" ht="12.75">
      <c r="B9" s="2" t="s">
        <v>5</v>
      </c>
      <c r="C9" s="2" t="s">
        <v>109</v>
      </c>
    </row>
    <row r="10" spans="2:3" ht="12.75">
      <c r="B10" s="2" t="s">
        <v>6</v>
      </c>
      <c r="C10" s="2" t="s">
        <v>110</v>
      </c>
    </row>
    <row r="11" spans="2:3" ht="12.75">
      <c r="B11" s="2" t="s">
        <v>119</v>
      </c>
      <c r="C11" s="3">
        <v>3</v>
      </c>
    </row>
    <row r="12" spans="2:3" ht="12.75">
      <c r="B12" s="2" t="s">
        <v>130</v>
      </c>
      <c r="C12" s="2" t="s">
        <v>118</v>
      </c>
    </row>
    <row r="13" spans="2:3" ht="12.75">
      <c r="B13" s="2" t="s">
        <v>120</v>
      </c>
      <c r="C13" s="2" t="s">
        <v>123</v>
      </c>
    </row>
    <row r="14" spans="2:3" ht="12.75">
      <c r="B14" s="2" t="s">
        <v>95</v>
      </c>
      <c r="C14" s="2" t="s">
        <v>116</v>
      </c>
    </row>
    <row r="15" spans="2:3" ht="12.75">
      <c r="B15" s="2" t="s">
        <v>71</v>
      </c>
      <c r="C15" s="3">
        <v>230</v>
      </c>
    </row>
    <row r="16" spans="2:3" ht="12.75">
      <c r="B16" s="2" t="s">
        <v>8</v>
      </c>
      <c r="C16" s="2" t="s">
        <v>60</v>
      </c>
    </row>
    <row r="17" spans="2:3" ht="12.75">
      <c r="B17" s="2" t="s">
        <v>121</v>
      </c>
      <c r="C17" s="2" t="s">
        <v>7</v>
      </c>
    </row>
    <row r="18" ht="12.75">
      <c r="B18" s="2" t="s">
        <v>122</v>
      </c>
    </row>
    <row r="19" spans="2:3" ht="12.75">
      <c r="B19" s="2" t="s">
        <v>9</v>
      </c>
      <c r="C19" s="2" t="s">
        <v>10</v>
      </c>
    </row>
    <row r="20" spans="2:3" ht="12.75">
      <c r="B20" s="2" t="s">
        <v>73</v>
      </c>
      <c r="C20" s="2" t="s">
        <v>52</v>
      </c>
    </row>
    <row r="21" spans="2:3" ht="12.75">
      <c r="B21" s="2" t="s">
        <v>74</v>
      </c>
      <c r="C21" s="2" t="s">
        <v>59</v>
      </c>
    </row>
    <row r="22" spans="2:3" ht="12.75">
      <c r="B22" s="2" t="s">
        <v>75</v>
      </c>
      <c r="C22" s="2" t="s">
        <v>53</v>
      </c>
    </row>
    <row r="23" ht="12.75" customHeight="1"/>
    <row r="24" ht="12.75">
      <c r="B24" s="2" t="s">
        <v>11</v>
      </c>
    </row>
    <row r="25" spans="2:3" ht="12.75">
      <c r="B25" s="2" t="s">
        <v>12</v>
      </c>
      <c r="C25" s="5">
        <v>6.5</v>
      </c>
    </row>
    <row r="26" spans="2:3" ht="12.75">
      <c r="B26" s="2" t="s">
        <v>13</v>
      </c>
      <c r="C26" s="5">
        <v>63</v>
      </c>
    </row>
    <row r="27" spans="2:3" ht="12.75">
      <c r="B27" s="2" t="s">
        <v>79</v>
      </c>
      <c r="C27" s="5">
        <v>52.9</v>
      </c>
    </row>
    <row r="28" spans="2:3" ht="12.75">
      <c r="B28" s="2" t="s">
        <v>80</v>
      </c>
      <c r="C28" s="3">
        <v>441</v>
      </c>
    </row>
    <row r="29" ht="12.75" customHeight="1"/>
    <row r="30" spans="2:3" ht="12.75">
      <c r="B30" s="2" t="s">
        <v>14</v>
      </c>
      <c r="C30" s="2" t="s">
        <v>58</v>
      </c>
    </row>
    <row r="31" spans="2:15" s="40" customFormat="1" ht="25.5">
      <c r="B31" s="40" t="s">
        <v>111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ht="12.75" customHeight="1"/>
    <row r="47" ht="12.75">
      <c r="C47" s="6"/>
    </row>
    <row r="51" ht="12.75">
      <c r="C51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B1">
      <selection activeCell="C13" sqref="C13"/>
    </sheetView>
  </sheetViews>
  <sheetFormatPr defaultColWidth="9.140625" defaultRowHeight="12.75"/>
  <cols>
    <col min="1" max="1" width="3.140625" style="2" hidden="1" customWidth="1"/>
    <col min="2" max="2" width="20.28125" style="2" customWidth="1"/>
    <col min="3" max="3" width="55.00390625" style="2" customWidth="1"/>
    <col min="4" max="16384" width="9.140625" style="2" customWidth="1"/>
  </cols>
  <sheetData>
    <row r="1" ht="12.75">
      <c r="B1" s="1" t="s">
        <v>117</v>
      </c>
    </row>
    <row r="3" ht="12.75">
      <c r="B3" s="39" t="s">
        <v>106</v>
      </c>
    </row>
    <row r="4" ht="12.75">
      <c r="B4" s="39"/>
    </row>
    <row r="5" spans="2:15" s="29" customFormat="1" ht="12.75">
      <c r="B5" s="29" t="s">
        <v>15</v>
      </c>
      <c r="C5" s="30" t="s">
        <v>61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3" ht="12.75">
      <c r="B6" s="2" t="s">
        <v>16</v>
      </c>
      <c r="C6" s="2" t="s">
        <v>62</v>
      </c>
    </row>
    <row r="7" spans="2:3" ht="12.75">
      <c r="B7" s="2" t="s">
        <v>17</v>
      </c>
      <c r="C7" s="2" t="s">
        <v>62</v>
      </c>
    </row>
    <row r="8" spans="2:3" ht="12.75">
      <c r="B8" s="2" t="s">
        <v>36</v>
      </c>
      <c r="C8" s="6">
        <v>36060</v>
      </c>
    </row>
    <row r="9" spans="2:3" ht="12.75">
      <c r="B9" s="2" t="s">
        <v>112</v>
      </c>
      <c r="C9" s="38">
        <v>36039</v>
      </c>
    </row>
    <row r="10" spans="2:3" ht="12.75">
      <c r="B10" s="2" t="s">
        <v>18</v>
      </c>
      <c r="C10" s="2" t="s">
        <v>63</v>
      </c>
    </row>
    <row r="11" spans="2:3" ht="12.75">
      <c r="B11" s="2" t="s">
        <v>19</v>
      </c>
      <c r="C11" s="2" t="s">
        <v>81</v>
      </c>
    </row>
    <row r="13" ht="12.75">
      <c r="B13" s="39" t="s">
        <v>105</v>
      </c>
    </row>
    <row r="14" ht="12.75">
      <c r="B14" s="39"/>
    </row>
    <row r="15" spans="2:15" s="29" customFormat="1" ht="12.75">
      <c r="B15" s="29" t="s">
        <v>15</v>
      </c>
      <c r="C15" s="30" t="s">
        <v>61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3" ht="12.75">
      <c r="B16" s="2" t="s">
        <v>16</v>
      </c>
      <c r="C16" s="2" t="s">
        <v>62</v>
      </c>
    </row>
    <row r="17" spans="2:3" ht="12.75">
      <c r="B17" s="2" t="s">
        <v>17</v>
      </c>
      <c r="C17" s="2" t="s">
        <v>62</v>
      </c>
    </row>
    <row r="18" spans="2:3" ht="12.75">
      <c r="B18" s="2" t="s">
        <v>36</v>
      </c>
      <c r="C18" s="6">
        <v>36061</v>
      </c>
    </row>
    <row r="19" spans="2:3" ht="12.75">
      <c r="B19" s="2" t="s">
        <v>112</v>
      </c>
      <c r="C19" s="38">
        <v>36039</v>
      </c>
    </row>
    <row r="20" spans="2:3" ht="12.75">
      <c r="B20" s="2" t="s">
        <v>18</v>
      </c>
      <c r="C20" s="2" t="s">
        <v>64</v>
      </c>
    </row>
    <row r="21" spans="2:3" ht="12.75">
      <c r="B21" s="2" t="s">
        <v>19</v>
      </c>
      <c r="C21" s="2" t="s">
        <v>51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B1">
      <selection activeCell="C13" sqref="C13"/>
    </sheetView>
  </sheetViews>
  <sheetFormatPr defaultColWidth="9.140625" defaultRowHeight="12.75"/>
  <cols>
    <col min="1" max="1" width="9.140625" style="9" hidden="1" customWidth="1"/>
    <col min="2" max="2" width="21.140625" style="9" customWidth="1"/>
    <col min="3" max="3" width="10.00390625" style="9" bestFit="1" customWidth="1"/>
    <col min="4" max="4" width="8.8515625" style="8" customWidth="1"/>
    <col min="5" max="5" width="5.57421875" style="8" customWidth="1"/>
    <col min="6" max="6" width="3.00390625" style="8" customWidth="1"/>
    <col min="7" max="7" width="8.140625" style="9" customWidth="1"/>
    <col min="8" max="8" width="2.8515625" style="9" customWidth="1"/>
    <col min="9" max="9" width="8.7109375" style="9" customWidth="1"/>
    <col min="10" max="10" width="2.57421875" style="9" customWidth="1"/>
    <col min="11" max="11" width="9.7109375" style="9" customWidth="1"/>
    <col min="12" max="12" width="1.57421875" style="9" customWidth="1"/>
    <col min="13" max="13" width="10.140625" style="9" customWidth="1"/>
    <col min="14" max="16384" width="8.8515625" style="9" customWidth="1"/>
  </cols>
  <sheetData>
    <row r="1" spans="2:3" ht="12.75">
      <c r="B1" s="7" t="s">
        <v>46</v>
      </c>
      <c r="C1" s="7"/>
    </row>
    <row r="2" spans="2:12" ht="12.75">
      <c r="B2" s="10"/>
      <c r="C2" s="10"/>
      <c r="G2" s="10"/>
      <c r="H2" s="10"/>
      <c r="I2" s="10"/>
      <c r="J2" s="10"/>
      <c r="K2" s="10"/>
      <c r="L2" s="10"/>
    </row>
    <row r="3" spans="2:13" ht="12.75">
      <c r="B3" s="2"/>
      <c r="C3" s="2" t="s">
        <v>98</v>
      </c>
      <c r="D3" s="8" t="s">
        <v>20</v>
      </c>
      <c r="E3" s="8" t="s">
        <v>82</v>
      </c>
      <c r="G3" s="10"/>
      <c r="H3" s="10"/>
      <c r="I3" s="10"/>
      <c r="J3" s="10"/>
      <c r="K3" s="10"/>
      <c r="L3" s="11"/>
      <c r="M3" s="11"/>
    </row>
    <row r="4" spans="2:13" ht="12.75">
      <c r="B4" s="2"/>
      <c r="C4" s="2"/>
      <c r="G4" s="10"/>
      <c r="H4" s="10"/>
      <c r="J4" s="10"/>
      <c r="K4" s="10" t="s">
        <v>37</v>
      </c>
      <c r="L4" s="11"/>
      <c r="M4" s="11"/>
    </row>
    <row r="5" spans="2:13" ht="12.75">
      <c r="B5" s="2"/>
      <c r="C5" s="2"/>
      <c r="G5" s="10"/>
      <c r="H5" s="10"/>
      <c r="J5" s="10"/>
      <c r="K5" s="10"/>
      <c r="L5" s="11"/>
      <c r="M5" s="11"/>
    </row>
    <row r="6" spans="1:13" ht="12.75">
      <c r="A6" s="9">
        <v>1</v>
      </c>
      <c r="B6" s="12" t="s">
        <v>106</v>
      </c>
      <c r="C6" s="12"/>
      <c r="G6" s="10" t="s">
        <v>113</v>
      </c>
      <c r="H6" s="10"/>
      <c r="I6" s="10" t="s">
        <v>114</v>
      </c>
      <c r="J6" s="10"/>
      <c r="K6" s="10" t="s">
        <v>115</v>
      </c>
      <c r="L6" s="11"/>
      <c r="M6" s="11" t="s">
        <v>28</v>
      </c>
    </row>
    <row r="7" spans="2:13" ht="12.75">
      <c r="B7" s="8"/>
      <c r="C7" s="8"/>
      <c r="D7" s="2"/>
      <c r="E7" s="2"/>
      <c r="F7" s="2"/>
      <c r="G7" s="2"/>
      <c r="H7" s="2"/>
      <c r="I7" s="2"/>
      <c r="J7" s="2"/>
      <c r="K7" s="2"/>
      <c r="L7" s="11"/>
      <c r="M7" s="11"/>
    </row>
    <row r="8" spans="2:13" ht="12.75">
      <c r="B8" s="8" t="s">
        <v>21</v>
      </c>
      <c r="C8" s="8" t="s">
        <v>124</v>
      </c>
      <c r="D8" s="8" t="s">
        <v>22</v>
      </c>
      <c r="E8" s="8" t="s">
        <v>23</v>
      </c>
      <c r="G8" s="11">
        <v>0.0248</v>
      </c>
      <c r="H8" s="11"/>
      <c r="I8" s="11">
        <v>0.0228</v>
      </c>
      <c r="J8" s="11"/>
      <c r="K8" s="11">
        <v>0.0375</v>
      </c>
      <c r="L8" s="11"/>
      <c r="M8" s="31">
        <f>AVERAGE(G8,I8,K8)</f>
        <v>0.02836666666666667</v>
      </c>
    </row>
    <row r="9" spans="2:13" ht="12.75">
      <c r="B9" s="8" t="s">
        <v>101</v>
      </c>
      <c r="C9" s="8" t="s">
        <v>124</v>
      </c>
      <c r="D9" s="8" t="s">
        <v>24</v>
      </c>
      <c r="E9" s="8" t="s">
        <v>23</v>
      </c>
      <c r="G9" s="11">
        <v>6</v>
      </c>
      <c r="H9" s="11"/>
      <c r="I9" s="11">
        <v>4</v>
      </c>
      <c r="J9" s="11"/>
      <c r="K9" s="11">
        <v>3</v>
      </c>
      <c r="L9" s="11"/>
      <c r="M9" s="14">
        <f>AVERAGE(K9,I9,G9)</f>
        <v>4.333333333333333</v>
      </c>
    </row>
    <row r="10" spans="2:13" ht="12.75">
      <c r="B10" s="8" t="s">
        <v>102</v>
      </c>
      <c r="C10" s="8" t="s">
        <v>124</v>
      </c>
      <c r="D10" s="8" t="s">
        <v>24</v>
      </c>
      <c r="E10" s="8" t="s">
        <v>23</v>
      </c>
      <c r="G10" s="11">
        <v>7</v>
      </c>
      <c r="H10" s="11"/>
      <c r="I10" s="11">
        <v>5</v>
      </c>
      <c r="J10" s="11"/>
      <c r="K10" s="11">
        <v>3</v>
      </c>
      <c r="L10" s="11"/>
      <c r="M10" s="13">
        <f>AVERAGE(K10,I10,G10)</f>
        <v>5</v>
      </c>
    </row>
    <row r="11" spans="2:13" ht="12.75">
      <c r="B11" s="8" t="s">
        <v>48</v>
      </c>
      <c r="C11" s="8"/>
      <c r="D11" s="8" t="s">
        <v>29</v>
      </c>
      <c r="G11" s="11">
        <v>213</v>
      </c>
      <c r="H11" s="11"/>
      <c r="I11" s="11">
        <v>310</v>
      </c>
      <c r="J11" s="11"/>
      <c r="K11" s="11">
        <v>266</v>
      </c>
      <c r="L11" s="11"/>
      <c r="M11" s="13">
        <f>AVERAGE(K11,I11,G11)</f>
        <v>263</v>
      </c>
    </row>
    <row r="12" spans="2:12" ht="12.75">
      <c r="B12" s="8"/>
      <c r="C12" s="8"/>
      <c r="G12" s="11"/>
      <c r="H12" s="11"/>
      <c r="I12" s="11"/>
      <c r="J12" s="11"/>
      <c r="K12" s="11"/>
      <c r="L12" s="11"/>
    </row>
    <row r="13" spans="2:12" ht="12.75">
      <c r="B13" s="8" t="s">
        <v>103</v>
      </c>
      <c r="C13" s="8" t="s">
        <v>21</v>
      </c>
      <c r="D13" s="8" t="s">
        <v>124</v>
      </c>
      <c r="G13" s="11"/>
      <c r="H13" s="11"/>
      <c r="I13" s="11"/>
      <c r="J13" s="11"/>
      <c r="K13" s="11"/>
      <c r="L13" s="11"/>
    </row>
    <row r="14" spans="2:13" ht="12.75">
      <c r="B14" s="8" t="s">
        <v>97</v>
      </c>
      <c r="C14" s="8"/>
      <c r="D14" s="8" t="s">
        <v>25</v>
      </c>
      <c r="G14" s="13">
        <v>51467</v>
      </c>
      <c r="H14" s="11"/>
      <c r="I14" s="13">
        <v>51467</v>
      </c>
      <c r="J14" s="14"/>
      <c r="K14" s="13">
        <v>51467</v>
      </c>
      <c r="L14" s="11"/>
      <c r="M14" s="13">
        <v>51467</v>
      </c>
    </row>
    <row r="15" spans="2:13" ht="12.75">
      <c r="B15" s="8" t="s">
        <v>99</v>
      </c>
      <c r="C15" s="8"/>
      <c r="D15" s="8" t="s">
        <v>26</v>
      </c>
      <c r="G15" s="13">
        <v>7</v>
      </c>
      <c r="H15" s="11"/>
      <c r="I15" s="13">
        <v>7</v>
      </c>
      <c r="J15" s="11"/>
      <c r="K15" s="13">
        <v>7</v>
      </c>
      <c r="L15" s="11"/>
      <c r="M15" s="13">
        <v>7</v>
      </c>
    </row>
    <row r="16" spans="2:13" ht="12.75">
      <c r="B16" s="8" t="s">
        <v>100</v>
      </c>
      <c r="C16" s="8"/>
      <c r="D16" s="8" t="s">
        <v>26</v>
      </c>
      <c r="G16" s="11"/>
      <c r="H16" s="11"/>
      <c r="I16" s="11"/>
      <c r="J16" s="11"/>
      <c r="K16" s="11"/>
      <c r="L16" s="11"/>
      <c r="M16" s="13">
        <v>15.6</v>
      </c>
    </row>
    <row r="17" spans="2:13" ht="12.75">
      <c r="B17" s="8" t="s">
        <v>96</v>
      </c>
      <c r="C17" s="8"/>
      <c r="D17" s="8" t="s">
        <v>27</v>
      </c>
      <c r="G17" s="11"/>
      <c r="H17" s="11"/>
      <c r="I17" s="11"/>
      <c r="J17" s="11"/>
      <c r="K17" s="11"/>
      <c r="L17" s="11"/>
      <c r="M17" s="13">
        <v>441</v>
      </c>
    </row>
    <row r="18" spans="2:12" ht="12.75">
      <c r="B18" s="8"/>
      <c r="C18" s="8"/>
      <c r="G18" s="11"/>
      <c r="H18" s="11"/>
      <c r="I18" s="11"/>
      <c r="J18" s="11"/>
      <c r="K18" s="11"/>
      <c r="L18" s="11"/>
    </row>
    <row r="19" spans="2:13" ht="12.75">
      <c r="B19" s="8" t="s">
        <v>48</v>
      </c>
      <c r="C19" s="8" t="s">
        <v>124</v>
      </c>
      <c r="D19" s="8" t="s">
        <v>24</v>
      </c>
      <c r="E19" s="8" t="s">
        <v>23</v>
      </c>
      <c r="G19" s="35">
        <f>(G11*1000000)/(G14*60)/0.0283/3000*14/(21-G15)</f>
        <v>0.8124409564256333</v>
      </c>
      <c r="H19" s="35"/>
      <c r="I19" s="35">
        <f>(I11*1000000)/(I14*60)/0.0283/3000*14/(21-I15)</f>
        <v>1.1824258051265086</v>
      </c>
      <c r="J19" s="35"/>
      <c r="K19" s="35">
        <f>(K11*1000000)/(K14*60)/0.0283/3000*14/(21-K15)</f>
        <v>1.014597626334359</v>
      </c>
      <c r="L19" s="35"/>
      <c r="M19" s="35">
        <f>(M11*1000000)/(M14*60)/0.0283/3000*14/(21-M15)</f>
        <v>1.0031547959621672</v>
      </c>
    </row>
    <row r="20" spans="2:13" ht="12.75">
      <c r="B20" s="8" t="s">
        <v>143</v>
      </c>
      <c r="C20" s="8" t="s">
        <v>124</v>
      </c>
      <c r="D20" s="8" t="s">
        <v>24</v>
      </c>
      <c r="E20" s="8" t="s">
        <v>23</v>
      </c>
      <c r="G20" s="35">
        <f>G19*2</f>
        <v>1.6248819128512666</v>
      </c>
      <c r="H20" s="35"/>
      <c r="I20" s="35">
        <f>I19*2</f>
        <v>2.3648516102530173</v>
      </c>
      <c r="J20" s="35"/>
      <c r="K20" s="35">
        <f>K19*2</f>
        <v>2.029195252668718</v>
      </c>
      <c r="L20" s="35"/>
      <c r="M20" s="35">
        <f>AVERAGE(G20,I20,K20)</f>
        <v>2.006309591924334</v>
      </c>
    </row>
    <row r="21" spans="2:12" ht="12.75">
      <c r="B21" s="8"/>
      <c r="C21" s="8"/>
      <c r="G21" s="11"/>
      <c r="H21" s="11"/>
      <c r="I21" s="11"/>
      <c r="J21" s="11"/>
      <c r="K21" s="11"/>
      <c r="L21" s="11"/>
    </row>
    <row r="22" spans="1:13" ht="12.75">
      <c r="A22" s="9">
        <v>2</v>
      </c>
      <c r="B22" s="12" t="s">
        <v>105</v>
      </c>
      <c r="C22" s="12"/>
      <c r="G22" s="10" t="s">
        <v>113</v>
      </c>
      <c r="H22" s="10"/>
      <c r="I22" s="10" t="s">
        <v>114</v>
      </c>
      <c r="J22" s="10"/>
      <c r="K22" s="10" t="s">
        <v>115</v>
      </c>
      <c r="L22" s="11"/>
      <c r="M22" s="11" t="s">
        <v>28</v>
      </c>
    </row>
    <row r="23" spans="2:13" ht="12.75">
      <c r="B23" s="8"/>
      <c r="C23" s="8"/>
      <c r="D23" s="2"/>
      <c r="E23" s="2"/>
      <c r="F23" s="2"/>
      <c r="G23" s="2"/>
      <c r="H23" s="2"/>
      <c r="I23" s="2"/>
      <c r="J23" s="2"/>
      <c r="K23" s="2"/>
      <c r="L23" s="11"/>
      <c r="M23" s="11"/>
    </row>
    <row r="24" spans="2:13" ht="12.75">
      <c r="B24" s="8" t="s">
        <v>101</v>
      </c>
      <c r="C24" s="8"/>
      <c r="D24" s="8" t="s">
        <v>24</v>
      </c>
      <c r="E24" s="8" t="s">
        <v>23</v>
      </c>
      <c r="G24" s="11">
        <v>15</v>
      </c>
      <c r="H24" s="11"/>
      <c r="I24" s="11">
        <v>16</v>
      </c>
      <c r="J24" s="11"/>
      <c r="K24" s="11">
        <v>20</v>
      </c>
      <c r="L24" s="11"/>
      <c r="M24" s="13">
        <f>AVERAGE(K24,I24,G24)</f>
        <v>17</v>
      </c>
    </row>
    <row r="25" spans="2:13" ht="12.75">
      <c r="B25" s="8" t="s">
        <v>102</v>
      </c>
      <c r="C25" s="8"/>
      <c r="D25" s="8" t="s">
        <v>24</v>
      </c>
      <c r="E25" s="8" t="s">
        <v>23</v>
      </c>
      <c r="G25" s="11">
        <v>37</v>
      </c>
      <c r="H25" s="11"/>
      <c r="I25" s="11">
        <v>17</v>
      </c>
      <c r="J25" s="11"/>
      <c r="K25" s="11">
        <v>23</v>
      </c>
      <c r="L25" s="11"/>
      <c r="M25" s="13">
        <f>AVERAGE(K25,I25,G25)</f>
        <v>25.666666666666668</v>
      </c>
    </row>
    <row r="26" spans="2:13" ht="12.75">
      <c r="B26" s="8"/>
      <c r="C26" s="8"/>
      <c r="G26" s="11"/>
      <c r="H26" s="11"/>
      <c r="I26" s="11"/>
      <c r="J26" s="11"/>
      <c r="K26" s="11"/>
      <c r="L26" s="11"/>
      <c r="M26" s="11"/>
    </row>
    <row r="27" spans="2:13" ht="12.75">
      <c r="B27" s="8"/>
      <c r="C27" s="8"/>
      <c r="G27" s="11"/>
      <c r="H27" s="11"/>
      <c r="I27" s="11"/>
      <c r="J27" s="11"/>
      <c r="K27" s="11"/>
      <c r="L27" s="11"/>
      <c r="M27" s="13"/>
    </row>
    <row r="28" spans="2:13" ht="12.75">
      <c r="B28" s="8"/>
      <c r="C28" s="8"/>
      <c r="G28" s="11"/>
      <c r="H28" s="11"/>
      <c r="I28" s="11"/>
      <c r="J28" s="11"/>
      <c r="K28" s="11"/>
      <c r="M28" s="13"/>
    </row>
    <row r="29" spans="2:13" ht="12.75">
      <c r="B29" s="8"/>
      <c r="C29" s="8"/>
      <c r="G29" s="11"/>
      <c r="H29" s="11"/>
      <c r="I29" s="11"/>
      <c r="J29" s="11"/>
      <c r="K29" s="11"/>
      <c r="L29" s="11"/>
      <c r="M29" s="11"/>
    </row>
    <row r="30" spans="2:13" ht="12.75">
      <c r="B30" s="8"/>
      <c r="C30" s="8"/>
      <c r="G30" s="11"/>
      <c r="H30" s="11"/>
      <c r="I30" s="11"/>
      <c r="J30" s="11"/>
      <c r="K30" s="11"/>
      <c r="L30" s="11"/>
      <c r="M30" s="11"/>
    </row>
    <row r="31" spans="2:13" ht="12.75">
      <c r="B31" s="8"/>
      <c r="C31" s="8"/>
      <c r="G31" s="11"/>
      <c r="H31" s="11"/>
      <c r="I31" s="14"/>
      <c r="J31" s="14"/>
      <c r="K31" s="11"/>
      <c r="L31" s="11"/>
      <c r="M31" s="13"/>
    </row>
    <row r="32" spans="2:13" ht="12.75">
      <c r="B32" s="8"/>
      <c r="C32" s="8"/>
      <c r="G32" s="11"/>
      <c r="H32" s="11"/>
      <c r="I32" s="11"/>
      <c r="J32" s="11"/>
      <c r="K32" s="11"/>
      <c r="L32" s="11"/>
      <c r="M32" s="13"/>
    </row>
    <row r="33" spans="2:13" ht="12.75">
      <c r="B33" s="8"/>
      <c r="C33" s="8"/>
      <c r="G33" s="11"/>
      <c r="H33" s="11"/>
      <c r="I33" s="11"/>
      <c r="J33" s="11"/>
      <c r="K33" s="11"/>
      <c r="M33" s="13"/>
    </row>
    <row r="34" spans="2:13" ht="12.75">
      <c r="B34" s="8"/>
      <c r="C34" s="8"/>
      <c r="G34" s="11"/>
      <c r="H34" s="11"/>
      <c r="I34" s="11"/>
      <c r="J34" s="11"/>
      <c r="K34" s="11"/>
      <c r="M34" s="13"/>
    </row>
    <row r="36" spans="2:11" ht="12.75">
      <c r="B36" s="12"/>
      <c r="C36" s="12"/>
      <c r="G36" s="10"/>
      <c r="H36" s="10"/>
      <c r="I36" s="10"/>
      <c r="J36" s="10"/>
      <c r="K36" s="10"/>
    </row>
    <row r="37" spans="2:12" ht="12.75">
      <c r="B37" s="8"/>
      <c r="C37" s="8"/>
      <c r="D37" s="2"/>
      <c r="E37" s="2"/>
      <c r="F37" s="2"/>
      <c r="G37" s="2"/>
      <c r="H37" s="2"/>
      <c r="I37" s="2"/>
      <c r="J37" s="2"/>
      <c r="K37" s="2"/>
      <c r="L37" s="11"/>
    </row>
    <row r="38" spans="2:12" ht="12.75">
      <c r="B38" s="8"/>
      <c r="C38" s="8"/>
      <c r="G38" s="11"/>
      <c r="H38" s="11"/>
      <c r="I38" s="11"/>
      <c r="J38" s="11"/>
      <c r="K38" s="11"/>
      <c r="L38" s="11"/>
    </row>
    <row r="39" spans="2:12" ht="12.75">
      <c r="B39" s="8"/>
      <c r="C39" s="8"/>
      <c r="G39" s="11"/>
      <c r="H39" s="11"/>
      <c r="I39" s="11"/>
      <c r="J39" s="11"/>
      <c r="K39" s="11"/>
      <c r="L39" s="11"/>
    </row>
    <row r="40" spans="2:12" ht="12.75">
      <c r="B40" s="8"/>
      <c r="C40" s="8"/>
      <c r="G40" s="11"/>
      <c r="H40" s="11"/>
      <c r="I40" s="11"/>
      <c r="J40" s="11"/>
      <c r="K40" s="11"/>
      <c r="L40" s="11"/>
    </row>
    <row r="41" spans="2:12" ht="12.75">
      <c r="B41" s="8"/>
      <c r="C41" s="8"/>
      <c r="G41" s="11"/>
      <c r="H41" s="11"/>
      <c r="I41" s="11"/>
      <c r="J41" s="11"/>
      <c r="K41" s="11"/>
      <c r="L41" s="11"/>
    </row>
    <row r="42" spans="2:12" ht="12.75">
      <c r="B42" s="8"/>
      <c r="C42" s="8"/>
      <c r="G42" s="11"/>
      <c r="H42" s="11"/>
      <c r="I42" s="11"/>
      <c r="J42" s="11"/>
      <c r="K42" s="11"/>
      <c r="L42" s="11"/>
    </row>
    <row r="43" spans="2:12" ht="12.75">
      <c r="B43" s="8"/>
      <c r="C43" s="8"/>
      <c r="G43" s="11"/>
      <c r="H43" s="11"/>
      <c r="I43" s="11"/>
      <c r="J43" s="11"/>
      <c r="K43" s="11"/>
      <c r="L43" s="11"/>
    </row>
    <row r="44" spans="2:12" ht="12.75">
      <c r="B44" s="8"/>
      <c r="C44" s="8"/>
      <c r="G44" s="11"/>
      <c r="H44" s="11"/>
      <c r="I44" s="11"/>
      <c r="J44" s="11"/>
      <c r="K44" s="11"/>
      <c r="L44" s="11"/>
    </row>
    <row r="45" spans="2:12" ht="12.75">
      <c r="B45" s="8"/>
      <c r="C45" s="8"/>
      <c r="G45" s="11"/>
      <c r="H45" s="11"/>
      <c r="I45" s="11"/>
      <c r="J45" s="11"/>
      <c r="K45" s="11"/>
      <c r="L45" s="11"/>
    </row>
    <row r="46" spans="2:12" ht="12.75">
      <c r="B46" s="8"/>
      <c r="C46" s="8"/>
      <c r="G46" s="11"/>
      <c r="H46" s="11"/>
      <c r="I46" s="11"/>
      <c r="J46" s="11"/>
      <c r="K46" s="11"/>
      <c r="L46" s="11"/>
    </row>
    <row r="47" spans="2:11" ht="12.75">
      <c r="B47" s="8"/>
      <c r="C47" s="8"/>
      <c r="G47" s="11"/>
      <c r="H47" s="11"/>
      <c r="I47" s="14"/>
      <c r="J47" s="14"/>
      <c r="K47" s="11"/>
    </row>
    <row r="48" spans="2:11" ht="12.75">
      <c r="B48" s="8"/>
      <c r="C48" s="8"/>
      <c r="G48" s="11"/>
      <c r="H48" s="11"/>
      <c r="I48" s="11"/>
      <c r="J48" s="11"/>
      <c r="K48" s="11"/>
    </row>
    <row r="49" spans="2:11" ht="12.75">
      <c r="B49" s="8"/>
      <c r="C49" s="8"/>
      <c r="G49" s="11"/>
      <c r="H49" s="11"/>
      <c r="I49" s="11"/>
      <c r="J49" s="11"/>
      <c r="K49" s="11"/>
    </row>
    <row r="50" spans="2:11" ht="12.75">
      <c r="B50" s="8"/>
      <c r="C50" s="8"/>
      <c r="G50" s="11"/>
      <c r="H50" s="11"/>
      <c r="I50" s="11"/>
      <c r="J50" s="11"/>
      <c r="K50" s="11"/>
    </row>
    <row r="51" spans="2:11" ht="12.75">
      <c r="B51" s="8"/>
      <c r="C51" s="8"/>
      <c r="G51" s="11"/>
      <c r="H51" s="11"/>
      <c r="I51" s="11"/>
      <c r="J51" s="11"/>
      <c r="K51" s="11"/>
    </row>
    <row r="52" spans="2:11" ht="12.75">
      <c r="B52" s="8"/>
      <c r="C52" s="8"/>
      <c r="G52" s="11"/>
      <c r="H52" s="11"/>
      <c r="I52" s="11"/>
      <c r="J52" s="11"/>
      <c r="K52" s="11"/>
    </row>
    <row r="53" spans="2:11" ht="12.75">
      <c r="B53" s="8"/>
      <c r="C53" s="8"/>
      <c r="G53" s="11"/>
      <c r="H53" s="11"/>
      <c r="I53" s="11"/>
      <c r="J53" s="11"/>
      <c r="K53" s="11"/>
    </row>
    <row r="54" spans="2:11" ht="12.75">
      <c r="B54" s="8"/>
      <c r="C54" s="8"/>
      <c r="G54" s="15"/>
      <c r="H54" s="15"/>
      <c r="I54" s="15"/>
      <c r="J54" s="15"/>
      <c r="K54" s="15"/>
    </row>
    <row r="55" spans="2:11" ht="12.75">
      <c r="B55" s="8"/>
      <c r="C55" s="8"/>
      <c r="G55" s="15"/>
      <c r="H55" s="15"/>
      <c r="I55" s="15"/>
      <c r="J55" s="15"/>
      <c r="K55" s="15"/>
    </row>
    <row r="56" spans="2:11" ht="12.75">
      <c r="B56" s="8"/>
      <c r="C56" s="8"/>
      <c r="G56" s="15"/>
      <c r="H56" s="15"/>
      <c r="I56" s="15"/>
      <c r="J56" s="15"/>
      <c r="K56" s="15"/>
    </row>
    <row r="57" spans="7:11" ht="12.75">
      <c r="G57" s="10"/>
      <c r="H57" s="10"/>
      <c r="I57" s="10"/>
      <c r="J57" s="10"/>
      <c r="K57" s="10"/>
    </row>
    <row r="58" spans="2:11" ht="12.75">
      <c r="B58" s="8"/>
      <c r="C58" s="8"/>
      <c r="G58" s="11"/>
      <c r="H58" s="11"/>
      <c r="I58" s="11"/>
      <c r="J58" s="11"/>
      <c r="K58" s="11"/>
    </row>
    <row r="59" spans="2:11" ht="12.75">
      <c r="B59" s="8"/>
      <c r="C59" s="8"/>
      <c r="G59" s="8"/>
      <c r="H59" s="8"/>
      <c r="I59" s="15"/>
      <c r="J59" s="15"/>
      <c r="K59" s="16"/>
    </row>
    <row r="60" spans="2:11" ht="12.75">
      <c r="B60" s="8"/>
      <c r="C60" s="8"/>
      <c r="G60" s="8"/>
      <c r="H60" s="8"/>
      <c r="I60" s="15"/>
      <c r="J60" s="15"/>
      <c r="K60" s="15"/>
    </row>
    <row r="61" spans="2:11" ht="12.75">
      <c r="B61" s="8"/>
      <c r="C61" s="8"/>
      <c r="G61" s="8"/>
      <c r="H61" s="8"/>
      <c r="I61" s="15"/>
      <c r="J61" s="15"/>
      <c r="K61" s="15"/>
    </row>
    <row r="62" spans="2:11" ht="12.75">
      <c r="B62" s="8"/>
      <c r="C62" s="8"/>
      <c r="G62" s="8"/>
      <c r="H62" s="8"/>
      <c r="I62" s="15"/>
      <c r="J62" s="15"/>
      <c r="K62" s="15"/>
    </row>
    <row r="65" spans="2:3" ht="12.75">
      <c r="B65" s="12"/>
      <c r="C65" s="12"/>
    </row>
    <row r="66" spans="2:5" ht="12.75">
      <c r="B66" s="8"/>
      <c r="C66" s="8"/>
      <c r="D66" s="2"/>
      <c r="E66" s="2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4" spans="2:3" ht="12.75">
      <c r="B94" s="12"/>
      <c r="C94" s="12"/>
    </row>
    <row r="95" spans="2:5" ht="12.75">
      <c r="B95" s="8"/>
      <c r="C95" s="8"/>
      <c r="D95" s="2"/>
      <c r="E95" s="2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134"/>
  <sheetViews>
    <sheetView zoomScale="75" zoomScaleNormal="75" workbookViewId="0" topLeftCell="B1">
      <selection activeCell="C13" sqref="C13"/>
    </sheetView>
  </sheetViews>
  <sheetFormatPr defaultColWidth="9.140625" defaultRowHeight="12.75"/>
  <cols>
    <col min="1" max="1" width="9.140625" style="20" hidden="1" customWidth="1"/>
    <col min="2" max="2" width="25.140625" style="18" customWidth="1"/>
    <col min="3" max="3" width="16.421875" style="18" customWidth="1"/>
    <col min="4" max="4" width="8.57421875" style="18" customWidth="1"/>
    <col min="5" max="5" width="2.421875" style="4" customWidth="1"/>
    <col min="6" max="6" width="13.421875" style="4" customWidth="1"/>
    <col min="7" max="7" width="3.00390625" style="4" customWidth="1"/>
    <col min="8" max="8" width="12.8515625" style="4" customWidth="1"/>
    <col min="9" max="9" width="3.00390625" style="4" customWidth="1"/>
    <col min="10" max="10" width="12.57421875" style="4" customWidth="1"/>
    <col min="11" max="11" width="2.7109375" style="4" customWidth="1"/>
    <col min="12" max="12" width="13.7109375" style="19" customWidth="1"/>
    <col min="13" max="13" width="2.7109375" style="20" customWidth="1"/>
    <col min="14" max="14" width="13.00390625" style="20" customWidth="1"/>
    <col min="15" max="15" width="2.28125" style="20" customWidth="1"/>
    <col min="16" max="16" width="13.00390625" style="20" customWidth="1"/>
    <col min="17" max="17" width="2.140625" style="20" customWidth="1"/>
    <col min="18" max="18" width="13.421875" style="20" customWidth="1"/>
    <col min="19" max="19" width="2.7109375" style="20" customWidth="1"/>
    <col min="20" max="20" width="12.8515625" style="20" customWidth="1"/>
    <col min="21" max="21" width="2.57421875" style="20" customWidth="1"/>
    <col min="22" max="22" width="13.28125" style="20" customWidth="1"/>
    <col min="23" max="23" width="2.00390625" style="20" customWidth="1"/>
    <col min="24" max="24" width="11.00390625" style="20" customWidth="1"/>
    <col min="25" max="25" width="2.57421875" style="20" customWidth="1"/>
    <col min="26" max="26" width="11.00390625" style="20" customWidth="1"/>
    <col min="27" max="27" width="2.28125" style="20" customWidth="1"/>
    <col min="28" max="28" width="11.00390625" style="20" customWidth="1"/>
    <col min="29" max="29" width="2.421875" style="20" customWidth="1"/>
    <col min="30" max="30" width="13.28125" style="20" customWidth="1"/>
    <col min="31" max="31" width="2.8515625" style="20" customWidth="1"/>
    <col min="32" max="32" width="15.28125" style="20" customWidth="1"/>
    <col min="33" max="33" width="2.28125" style="20" customWidth="1"/>
    <col min="34" max="34" width="15.00390625" style="20" customWidth="1"/>
    <col min="35" max="35" width="2.140625" style="20" customWidth="1"/>
    <col min="36" max="36" width="13.00390625" style="20" customWidth="1"/>
    <col min="37" max="37" width="3.28125" style="20" customWidth="1"/>
    <col min="38" max="38" width="13.28125" style="20" customWidth="1"/>
    <col min="39" max="39" width="2.57421875" style="20" customWidth="1"/>
    <col min="40" max="40" width="11.8515625" style="20" customWidth="1"/>
    <col min="41" max="41" width="2.7109375" style="20" customWidth="1"/>
    <col min="42" max="42" width="13.57421875" style="20" customWidth="1"/>
    <col min="43" max="43" width="3.421875" style="20" customWidth="1"/>
    <col min="44" max="44" width="13.00390625" style="20" customWidth="1"/>
    <col min="45" max="45" width="2.28125" style="20" customWidth="1"/>
    <col min="46" max="46" width="14.421875" style="20" customWidth="1"/>
    <col min="47" max="47" width="3.00390625" style="20" customWidth="1"/>
    <col min="48" max="48" width="13.421875" style="20" customWidth="1"/>
    <col min="49" max="49" width="3.00390625" style="20" customWidth="1"/>
    <col min="50" max="50" width="13.421875" style="20" customWidth="1"/>
    <col min="51" max="51" width="2.7109375" style="20" customWidth="1"/>
    <col min="52" max="52" width="13.57421875" style="20" customWidth="1"/>
    <col min="53" max="16384" width="8.8515625" style="20" customWidth="1"/>
  </cols>
  <sheetData>
    <row r="1" spans="2:3" ht="12.75">
      <c r="B1" s="17" t="s">
        <v>76</v>
      </c>
      <c r="C1" s="17"/>
    </row>
    <row r="2" spans="2:3" ht="12.75">
      <c r="B2" s="17"/>
      <c r="C2" s="17"/>
    </row>
    <row r="3" ht="12.75">
      <c r="AY3" s="4"/>
    </row>
    <row r="4" spans="1:52" ht="12.75">
      <c r="A4" s="20" t="s">
        <v>107</v>
      </c>
      <c r="B4" s="17" t="s">
        <v>106</v>
      </c>
      <c r="C4" s="17"/>
      <c r="F4" s="4" t="s">
        <v>113</v>
      </c>
      <c r="H4" s="4" t="s">
        <v>114</v>
      </c>
      <c r="J4" s="4" t="s">
        <v>115</v>
      </c>
      <c r="L4" s="4" t="s">
        <v>28</v>
      </c>
      <c r="N4" s="4" t="s">
        <v>113</v>
      </c>
      <c r="O4" s="4"/>
      <c r="P4" s="4" t="s">
        <v>114</v>
      </c>
      <c r="Q4" s="4"/>
      <c r="R4" s="4" t="s">
        <v>115</v>
      </c>
      <c r="S4" s="4"/>
      <c r="T4" s="4" t="s">
        <v>28</v>
      </c>
      <c r="U4" s="19"/>
      <c r="V4" s="4" t="s">
        <v>113</v>
      </c>
      <c r="W4" s="4"/>
      <c r="X4" s="4" t="s">
        <v>114</v>
      </c>
      <c r="Y4" s="4"/>
      <c r="Z4" s="4" t="s">
        <v>115</v>
      </c>
      <c r="AA4" s="4"/>
      <c r="AB4" s="4" t="s">
        <v>28</v>
      </c>
      <c r="AD4" s="4" t="s">
        <v>113</v>
      </c>
      <c r="AE4" s="4"/>
      <c r="AF4" s="4" t="s">
        <v>114</v>
      </c>
      <c r="AG4" s="4"/>
      <c r="AH4" s="4" t="s">
        <v>115</v>
      </c>
      <c r="AI4" s="4"/>
      <c r="AJ4" s="4" t="s">
        <v>28</v>
      </c>
      <c r="AL4" s="4" t="s">
        <v>113</v>
      </c>
      <c r="AM4" s="4"/>
      <c r="AN4" s="4" t="s">
        <v>114</v>
      </c>
      <c r="AO4" s="4"/>
      <c r="AP4" s="4" t="s">
        <v>115</v>
      </c>
      <c r="AQ4" s="4"/>
      <c r="AR4" s="4" t="s">
        <v>28</v>
      </c>
      <c r="AT4" s="4" t="s">
        <v>113</v>
      </c>
      <c r="AU4" s="4"/>
      <c r="AV4" s="4" t="s">
        <v>114</v>
      </c>
      <c r="AW4" s="4"/>
      <c r="AX4" s="4" t="s">
        <v>115</v>
      </c>
      <c r="AZ4" s="4" t="s">
        <v>28</v>
      </c>
    </row>
    <row r="5" spans="14:43" ht="12.75">
      <c r="N5" s="19"/>
      <c r="P5" s="19"/>
      <c r="R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2:52" ht="12.75">
      <c r="B6" s="18" t="s">
        <v>131</v>
      </c>
      <c r="F6" s="4" t="s">
        <v>134</v>
      </c>
      <c r="H6" s="4" t="s">
        <v>134</v>
      </c>
      <c r="J6" s="4" t="s">
        <v>134</v>
      </c>
      <c r="L6" s="4" t="s">
        <v>134</v>
      </c>
      <c r="N6" s="4" t="s">
        <v>135</v>
      </c>
      <c r="P6" s="4" t="s">
        <v>135</v>
      </c>
      <c r="R6" s="4" t="s">
        <v>135</v>
      </c>
      <c r="T6" s="4" t="s">
        <v>135</v>
      </c>
      <c r="U6" s="4"/>
      <c r="V6" s="4"/>
      <c r="W6" s="4"/>
      <c r="X6" s="4"/>
      <c r="Y6" s="4"/>
      <c r="Z6" s="4"/>
      <c r="AA6" s="4"/>
      <c r="AB6" s="4"/>
      <c r="AC6" s="19"/>
      <c r="AD6" s="4" t="s">
        <v>136</v>
      </c>
      <c r="AE6" s="19"/>
      <c r="AF6" s="4" t="s">
        <v>136</v>
      </c>
      <c r="AG6" s="19"/>
      <c r="AH6" s="4" t="s">
        <v>136</v>
      </c>
      <c r="AI6" s="19"/>
      <c r="AJ6" s="4" t="s">
        <v>136</v>
      </c>
      <c r="AK6" s="19"/>
      <c r="AL6" s="4" t="s">
        <v>138</v>
      </c>
      <c r="AM6" s="19"/>
      <c r="AN6" s="4" t="s">
        <v>138</v>
      </c>
      <c r="AO6" s="19"/>
      <c r="AP6" s="4" t="s">
        <v>138</v>
      </c>
      <c r="AQ6" s="19"/>
      <c r="AR6" s="4" t="s">
        <v>138</v>
      </c>
      <c r="AT6" s="4" t="s">
        <v>139</v>
      </c>
      <c r="AV6" s="4" t="s">
        <v>139</v>
      </c>
      <c r="AX6" s="4" t="s">
        <v>139</v>
      </c>
      <c r="AZ6" s="4" t="s">
        <v>139</v>
      </c>
    </row>
    <row r="7" spans="2:52" ht="12.75">
      <c r="B7" s="18" t="s">
        <v>132</v>
      </c>
      <c r="F7" s="4" t="s">
        <v>133</v>
      </c>
      <c r="H7" s="4" t="s">
        <v>133</v>
      </c>
      <c r="J7" s="4" t="s">
        <v>133</v>
      </c>
      <c r="L7" s="4" t="s">
        <v>133</v>
      </c>
      <c r="N7" s="4" t="s">
        <v>133</v>
      </c>
      <c r="P7" s="4" t="s">
        <v>133</v>
      </c>
      <c r="R7" s="4" t="s">
        <v>133</v>
      </c>
      <c r="T7" s="4" t="s">
        <v>133</v>
      </c>
      <c r="U7" s="4"/>
      <c r="V7" s="4"/>
      <c r="W7" s="4"/>
      <c r="X7" s="4"/>
      <c r="Y7" s="4"/>
      <c r="Z7" s="4"/>
      <c r="AA7" s="4"/>
      <c r="AB7" s="4"/>
      <c r="AC7" s="19"/>
      <c r="AD7" s="4" t="s">
        <v>137</v>
      </c>
      <c r="AE7" s="19"/>
      <c r="AF7" s="4" t="s">
        <v>137</v>
      </c>
      <c r="AG7" s="19"/>
      <c r="AH7" s="4" t="s">
        <v>137</v>
      </c>
      <c r="AI7" s="19"/>
      <c r="AJ7" s="4" t="s">
        <v>137</v>
      </c>
      <c r="AK7" s="19"/>
      <c r="AL7" s="4" t="s">
        <v>35</v>
      </c>
      <c r="AM7" s="19"/>
      <c r="AN7" s="4" t="s">
        <v>35</v>
      </c>
      <c r="AO7" s="19"/>
      <c r="AP7" s="4" t="s">
        <v>35</v>
      </c>
      <c r="AQ7" s="19"/>
      <c r="AR7" s="4" t="s">
        <v>35</v>
      </c>
      <c r="AT7" s="4" t="s">
        <v>67</v>
      </c>
      <c r="AV7" s="4" t="s">
        <v>67</v>
      </c>
      <c r="AX7" s="4" t="s">
        <v>67</v>
      </c>
      <c r="AZ7" s="4" t="s">
        <v>67</v>
      </c>
    </row>
    <row r="8" spans="2:52" ht="12.75">
      <c r="B8" s="18" t="s">
        <v>140</v>
      </c>
      <c r="L8" s="4"/>
      <c r="N8" s="4"/>
      <c r="P8" s="4"/>
      <c r="R8" s="4"/>
      <c r="T8" s="4"/>
      <c r="U8" s="4"/>
      <c r="V8" s="4" t="s">
        <v>47</v>
      </c>
      <c r="W8" s="4"/>
      <c r="X8" s="4" t="s">
        <v>47</v>
      </c>
      <c r="Y8" s="4"/>
      <c r="Z8" s="4" t="s">
        <v>47</v>
      </c>
      <c r="AA8" s="4"/>
      <c r="AB8" s="4" t="s">
        <v>47</v>
      </c>
      <c r="AC8" s="19"/>
      <c r="AD8" s="4" t="s">
        <v>141</v>
      </c>
      <c r="AE8" s="19"/>
      <c r="AF8" s="4" t="s">
        <v>141</v>
      </c>
      <c r="AG8" s="19"/>
      <c r="AH8" s="4" t="s">
        <v>141</v>
      </c>
      <c r="AI8" s="19"/>
      <c r="AJ8" s="4" t="s">
        <v>141</v>
      </c>
      <c r="AK8" s="19"/>
      <c r="AL8" s="4" t="s">
        <v>35</v>
      </c>
      <c r="AM8" s="19"/>
      <c r="AN8" s="4" t="s">
        <v>35</v>
      </c>
      <c r="AO8" s="19"/>
      <c r="AP8" s="4" t="s">
        <v>35</v>
      </c>
      <c r="AQ8" s="19"/>
      <c r="AR8" s="4" t="s">
        <v>35</v>
      </c>
      <c r="AT8" s="4" t="s">
        <v>67</v>
      </c>
      <c r="AV8" s="4" t="s">
        <v>67</v>
      </c>
      <c r="AX8" s="4" t="s">
        <v>67</v>
      </c>
      <c r="AZ8" s="4" t="s">
        <v>67</v>
      </c>
    </row>
    <row r="9" spans="2:52" ht="12.75">
      <c r="B9" s="18" t="s">
        <v>104</v>
      </c>
      <c r="F9" s="19" t="s">
        <v>65</v>
      </c>
      <c r="H9" s="19" t="s">
        <v>65</v>
      </c>
      <c r="J9" s="19" t="s">
        <v>65</v>
      </c>
      <c r="L9" s="19" t="s">
        <v>65</v>
      </c>
      <c r="M9" s="19"/>
      <c r="N9" s="19" t="s">
        <v>66</v>
      </c>
      <c r="O9" s="19"/>
      <c r="P9" s="19" t="s">
        <v>66</v>
      </c>
      <c r="Q9" s="19"/>
      <c r="R9" s="19" t="s">
        <v>66</v>
      </c>
      <c r="S9" s="19"/>
      <c r="T9" s="19" t="s">
        <v>66</v>
      </c>
      <c r="U9" s="19"/>
      <c r="V9" s="19"/>
      <c r="W9" s="19"/>
      <c r="X9" s="19"/>
      <c r="Y9" s="19"/>
      <c r="Z9" s="19"/>
      <c r="AA9" s="19"/>
      <c r="AB9" s="19"/>
      <c r="AC9" s="19"/>
      <c r="AD9" s="19" t="s">
        <v>68</v>
      </c>
      <c r="AE9" s="19"/>
      <c r="AF9" s="19" t="s">
        <v>68</v>
      </c>
      <c r="AG9" s="19"/>
      <c r="AH9" s="19" t="s">
        <v>68</v>
      </c>
      <c r="AI9" s="19"/>
      <c r="AJ9" s="19" t="s">
        <v>68</v>
      </c>
      <c r="AK9" s="19"/>
      <c r="AL9" s="19" t="s">
        <v>35</v>
      </c>
      <c r="AM9" s="19"/>
      <c r="AN9" s="19" t="s">
        <v>35</v>
      </c>
      <c r="AO9" s="19"/>
      <c r="AP9" s="19" t="s">
        <v>35</v>
      </c>
      <c r="AQ9" s="19"/>
      <c r="AR9" s="19" t="s">
        <v>35</v>
      </c>
      <c r="AS9" s="19"/>
      <c r="AT9" s="19" t="s">
        <v>67</v>
      </c>
      <c r="AU9" s="19"/>
      <c r="AV9" s="19" t="s">
        <v>67</v>
      </c>
      <c r="AW9" s="19"/>
      <c r="AX9" s="19" t="s">
        <v>67</v>
      </c>
      <c r="AY9" s="19"/>
      <c r="AZ9" s="19" t="s">
        <v>67</v>
      </c>
    </row>
    <row r="10" spans="2:53" ht="12.75">
      <c r="B10" s="18" t="s">
        <v>108</v>
      </c>
      <c r="D10" s="18" t="s">
        <v>29</v>
      </c>
      <c r="F10" s="4">
        <v>633704</v>
      </c>
      <c r="H10" s="4">
        <v>740937</v>
      </c>
      <c r="J10" s="4">
        <v>688865</v>
      </c>
      <c r="L10" s="28">
        <f>AVERAGE(633704,740937,688865)</f>
        <v>687835.3333333334</v>
      </c>
      <c r="M10" s="32"/>
      <c r="N10" s="42">
        <v>2017948</v>
      </c>
      <c r="O10" s="42"/>
      <c r="P10" s="42">
        <v>2265290</v>
      </c>
      <c r="Q10" s="42"/>
      <c r="R10" s="42">
        <v>2265290</v>
      </c>
      <c r="S10" s="32"/>
      <c r="T10" s="20">
        <v>2182843</v>
      </c>
      <c r="AD10" s="20">
        <v>2774613</v>
      </c>
      <c r="AF10" s="20">
        <v>2774505</v>
      </c>
      <c r="AH10" s="20">
        <v>2762213</v>
      </c>
      <c r="AJ10" s="28">
        <f>AVERAGE(2774613,2774505,2762213)</f>
        <v>2770443.6666666665</v>
      </c>
      <c r="AK10" s="28"/>
      <c r="AL10" s="28">
        <v>197875</v>
      </c>
      <c r="AM10" s="28"/>
      <c r="AN10" s="28">
        <v>207707</v>
      </c>
      <c r="AO10" s="28"/>
      <c r="AP10" s="28">
        <v>214138</v>
      </c>
      <c r="AQ10" s="28"/>
      <c r="AR10" s="28">
        <f>AVERAGE(197875,207707,214138)</f>
        <v>206573.33333333334</v>
      </c>
      <c r="AS10" s="28"/>
      <c r="AT10" s="28"/>
      <c r="AU10" s="28"/>
      <c r="AV10" s="28"/>
      <c r="AW10" s="28"/>
      <c r="AX10" s="28"/>
      <c r="AY10" s="28"/>
      <c r="AZ10" s="28">
        <f>SUM(L10,T10,AR10)</f>
        <v>3077251.666666667</v>
      </c>
      <c r="BA10" s="19"/>
    </row>
    <row r="11" spans="2:53" ht="12.75">
      <c r="B11" s="18" t="s">
        <v>41</v>
      </c>
      <c r="D11" s="18" t="s">
        <v>39</v>
      </c>
      <c r="F11" s="19">
        <v>17.16</v>
      </c>
      <c r="G11" s="19"/>
      <c r="H11" s="19">
        <v>24</v>
      </c>
      <c r="I11" s="19"/>
      <c r="J11" s="19">
        <v>23.518</v>
      </c>
      <c r="L11" s="24">
        <f>AVERAGE(17.2,24.2,23.5)</f>
        <v>21.633333333333336</v>
      </c>
      <c r="M11" s="21"/>
      <c r="N11" s="21">
        <v>55.56</v>
      </c>
      <c r="O11" s="21"/>
      <c r="P11" s="21">
        <v>64.366</v>
      </c>
      <c r="Q11" s="21"/>
      <c r="R11" s="21">
        <v>64.365</v>
      </c>
      <c r="S11" s="21"/>
      <c r="T11" s="21">
        <f>AVERAGE(55.6,64.4,64.4)</f>
        <v>61.46666666666667</v>
      </c>
      <c r="U11" s="21"/>
      <c r="V11" s="21">
        <f>F11+N11</f>
        <v>72.72</v>
      </c>
      <c r="W11" s="21"/>
      <c r="X11" s="21">
        <f>H11+P11</f>
        <v>88.366</v>
      </c>
      <c r="Y11" s="21"/>
      <c r="Z11" s="21">
        <f>J11+R11</f>
        <v>87.883</v>
      </c>
      <c r="AA11" s="21"/>
      <c r="AB11" s="21">
        <f>L11+T11</f>
        <v>83.10000000000001</v>
      </c>
      <c r="AC11" s="21"/>
      <c r="AD11" s="20">
        <v>153</v>
      </c>
      <c r="AE11" s="21"/>
      <c r="AF11" s="21">
        <v>153.33</v>
      </c>
      <c r="AG11" s="21"/>
      <c r="AH11" s="21">
        <v>152.648</v>
      </c>
      <c r="AI11" s="21"/>
      <c r="AJ11" s="19">
        <f>AVERAGE(153,153,153)</f>
        <v>153</v>
      </c>
      <c r="AK11" s="19"/>
      <c r="AL11" s="19">
        <v>0.4</v>
      </c>
      <c r="AM11" s="19"/>
      <c r="AN11" s="19">
        <v>0.519</v>
      </c>
      <c r="AO11" s="19"/>
      <c r="AP11" s="19">
        <v>0.535</v>
      </c>
      <c r="AQ11" s="19"/>
      <c r="AR11" s="19">
        <v>0.5</v>
      </c>
      <c r="AS11" s="19"/>
      <c r="AT11" s="24">
        <f>SUM(F11,N11,AL11,AD11)</f>
        <v>226.12</v>
      </c>
      <c r="AU11" s="19"/>
      <c r="AV11" s="24">
        <f>SUM(H11,P11,AN11,AF11)</f>
        <v>242.21500000000003</v>
      </c>
      <c r="AW11" s="19"/>
      <c r="AX11" s="24">
        <f>SUM(J11,R11,AP11,AH11)</f>
        <v>241.06599999999997</v>
      </c>
      <c r="AY11" s="19"/>
      <c r="AZ11" s="24">
        <f>SUM(L11,T11,AR11,AJ11)</f>
        <v>236.60000000000002</v>
      </c>
      <c r="BA11" s="19"/>
    </row>
    <row r="12" spans="2:52" ht="12.75">
      <c r="B12" s="18" t="s">
        <v>40</v>
      </c>
      <c r="D12" s="18" t="s">
        <v>30</v>
      </c>
      <c r="L12" s="28">
        <f>AVERAGE(144,123,148,155)*100</f>
        <v>14250</v>
      </c>
      <c r="M12" s="28"/>
      <c r="N12" s="28"/>
      <c r="O12" s="28"/>
      <c r="P12" s="28"/>
      <c r="Q12" s="28"/>
      <c r="R12" s="28"/>
      <c r="S12" s="28"/>
      <c r="T12" s="28">
        <f>AVERAGE(125,125,129,130)*100</f>
        <v>12725</v>
      </c>
      <c r="U12" s="28"/>
      <c r="V12" s="28"/>
      <c r="W12" s="28"/>
      <c r="X12" s="28"/>
      <c r="Y12" s="28"/>
      <c r="Z12" s="28"/>
      <c r="AA12" s="28"/>
      <c r="AB12" s="28"/>
      <c r="AC12" s="28"/>
      <c r="AD12" s="21"/>
      <c r="AE12" s="28"/>
      <c r="AF12" s="28"/>
      <c r="AG12" s="28"/>
      <c r="AH12" s="28"/>
      <c r="AI12" s="28"/>
      <c r="AJ12" s="25">
        <v>25089</v>
      </c>
      <c r="AK12" s="21"/>
      <c r="AL12" s="21"/>
      <c r="AM12" s="21"/>
      <c r="AN12" s="21"/>
      <c r="AO12" s="21"/>
      <c r="AP12" s="21"/>
      <c r="AQ12" s="21"/>
      <c r="AR12" s="19">
        <v>500</v>
      </c>
      <c r="AS12" s="19"/>
      <c r="AT12" s="19"/>
      <c r="AU12" s="19"/>
      <c r="AV12" s="19"/>
      <c r="AW12" s="19"/>
      <c r="AX12" s="19"/>
      <c r="AY12" s="19"/>
      <c r="AZ12" s="33"/>
    </row>
    <row r="13" spans="2:52" ht="12.75">
      <c r="B13" s="18" t="s">
        <v>31</v>
      </c>
      <c r="D13" s="18" t="s">
        <v>32</v>
      </c>
      <c r="L13" s="34">
        <v>0.72</v>
      </c>
      <c r="T13" s="26">
        <v>0.81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3"/>
      <c r="AK13" s="23"/>
      <c r="AL13" s="23"/>
      <c r="AM13" s="23"/>
      <c r="AN13" s="23"/>
      <c r="AO13" s="23"/>
      <c r="AP13" s="23"/>
      <c r="AQ13" s="23"/>
      <c r="AR13" s="19">
        <v>1.01</v>
      </c>
      <c r="AS13" s="19"/>
      <c r="AT13" s="19"/>
      <c r="AU13" s="19"/>
      <c r="AV13" s="19"/>
      <c r="AW13" s="19"/>
      <c r="AX13" s="19"/>
      <c r="AY13" s="19"/>
      <c r="AZ13" s="33"/>
    </row>
    <row r="14" spans="2:52" ht="12.75">
      <c r="B14" s="18" t="s">
        <v>33</v>
      </c>
      <c r="D14" s="18" t="s">
        <v>29</v>
      </c>
      <c r="F14" s="19">
        <v>222</v>
      </c>
      <c r="G14" s="19"/>
      <c r="H14" s="19">
        <v>593</v>
      </c>
      <c r="I14" s="19"/>
      <c r="J14" s="19">
        <v>344</v>
      </c>
      <c r="K14" s="19"/>
      <c r="L14" s="28">
        <f>AVERAGE(222,593,344)</f>
        <v>386.3333333333333</v>
      </c>
      <c r="M14" s="19"/>
      <c r="N14" s="19">
        <v>404</v>
      </c>
      <c r="O14" s="19"/>
      <c r="P14" s="19">
        <v>453</v>
      </c>
      <c r="Q14" s="19"/>
      <c r="R14" s="19">
        <v>566</v>
      </c>
      <c r="S14" s="19"/>
      <c r="T14" s="24">
        <f>AVERAGE(404,453,566)</f>
        <v>474.3333333333333</v>
      </c>
      <c r="U14" s="24"/>
      <c r="V14" s="24"/>
      <c r="W14" s="24"/>
      <c r="X14" s="24"/>
      <c r="Y14" s="24"/>
      <c r="Z14" s="24"/>
      <c r="AA14" s="24"/>
      <c r="AB14" s="24"/>
      <c r="AC14" s="24"/>
      <c r="AD14" s="24">
        <v>5</v>
      </c>
      <c r="AE14" s="24"/>
      <c r="AF14" s="24">
        <v>5</v>
      </c>
      <c r="AG14" s="24"/>
      <c r="AH14" s="24">
        <v>5</v>
      </c>
      <c r="AI14" s="24"/>
      <c r="AJ14" s="19">
        <v>5</v>
      </c>
      <c r="AK14" s="19"/>
      <c r="AL14" s="19">
        <v>10210</v>
      </c>
      <c r="AM14" s="19"/>
      <c r="AN14" s="19">
        <v>12379</v>
      </c>
      <c r="AO14" s="19"/>
      <c r="AP14" s="19">
        <v>10621</v>
      </c>
      <c r="AQ14" s="19"/>
      <c r="AR14" s="19">
        <f>AVERAGE(10210,12379,10621)</f>
        <v>11070</v>
      </c>
      <c r="AS14" s="19"/>
      <c r="AT14" s="19"/>
      <c r="AU14" s="19"/>
      <c r="AV14" s="19"/>
      <c r="AW14" s="19"/>
      <c r="AX14" s="19"/>
      <c r="AY14" s="19"/>
      <c r="AZ14" s="25">
        <f aca="true" t="shared" si="0" ref="AZ14:AZ25">SUM(L14,T14,AJ14,AR14)</f>
        <v>11935.666666666666</v>
      </c>
    </row>
    <row r="15" spans="2:52" ht="12.75">
      <c r="B15" s="18" t="s">
        <v>34</v>
      </c>
      <c r="D15" s="18" t="s">
        <v>29</v>
      </c>
      <c r="F15" s="19">
        <v>3</v>
      </c>
      <c r="G15" s="19"/>
      <c r="H15" s="19">
        <v>72</v>
      </c>
      <c r="I15" s="19"/>
      <c r="J15" s="19">
        <v>62</v>
      </c>
      <c r="K15" s="19"/>
      <c r="L15" s="24">
        <f>AVERAGE(3,72,62)</f>
        <v>45.666666666666664</v>
      </c>
      <c r="M15" s="19"/>
      <c r="N15" s="19">
        <v>188</v>
      </c>
      <c r="O15" s="19"/>
      <c r="P15" s="19">
        <v>211</v>
      </c>
      <c r="Q15" s="19"/>
      <c r="R15" s="19">
        <v>179</v>
      </c>
      <c r="S15" s="19"/>
      <c r="T15" s="24">
        <f>AVERAGE(188,211,179)</f>
        <v>192.66666666666666</v>
      </c>
      <c r="U15" s="24"/>
      <c r="V15" s="24"/>
      <c r="W15" s="24"/>
      <c r="X15" s="24"/>
      <c r="Y15" s="24"/>
      <c r="Z15" s="24"/>
      <c r="AA15" s="24"/>
      <c r="AB15" s="24"/>
      <c r="AC15" s="24"/>
      <c r="AD15" s="24">
        <v>5</v>
      </c>
      <c r="AE15" s="24"/>
      <c r="AF15" s="24">
        <v>5</v>
      </c>
      <c r="AG15" s="24"/>
      <c r="AH15" s="24">
        <v>5</v>
      </c>
      <c r="AI15" s="24"/>
      <c r="AJ15" s="19">
        <v>5</v>
      </c>
      <c r="AK15" s="19"/>
      <c r="AL15" s="19">
        <v>17</v>
      </c>
      <c r="AM15" s="19"/>
      <c r="AN15" s="19">
        <v>22</v>
      </c>
      <c r="AO15" s="19"/>
      <c r="AP15" s="19">
        <v>20</v>
      </c>
      <c r="AQ15" s="19"/>
      <c r="AR15" s="24">
        <f>AVERAGE(17,22,20)</f>
        <v>19.666666666666668</v>
      </c>
      <c r="AS15" s="24"/>
      <c r="AT15" s="24"/>
      <c r="AU15" s="24"/>
      <c r="AV15" s="24"/>
      <c r="AW15" s="24"/>
      <c r="AX15" s="24"/>
      <c r="AY15" s="24"/>
      <c r="AZ15" s="33">
        <f t="shared" si="0"/>
        <v>263</v>
      </c>
    </row>
    <row r="16" spans="2:52" ht="12.75">
      <c r="B16" s="18" t="s">
        <v>83</v>
      </c>
      <c r="D16" s="18" t="s">
        <v>29</v>
      </c>
      <c r="F16" s="19">
        <v>1.9</v>
      </c>
      <c r="G16" s="19"/>
      <c r="H16" s="19">
        <v>2.22</v>
      </c>
      <c r="I16" s="19"/>
      <c r="J16" s="19">
        <v>2.07</v>
      </c>
      <c r="K16" s="19"/>
      <c r="L16" s="34">
        <f>AVERAGE(1.9,2.22,2.07)</f>
        <v>2.063333333333333</v>
      </c>
      <c r="M16" s="19"/>
      <c r="N16" s="19">
        <v>6.05</v>
      </c>
      <c r="O16" s="19"/>
      <c r="P16" s="19">
        <v>6.8</v>
      </c>
      <c r="Q16" s="19"/>
      <c r="R16" s="19">
        <v>6.8</v>
      </c>
      <c r="S16" s="19"/>
      <c r="T16" s="19">
        <f>AVERAGE(6.05,6.8,6.8)</f>
        <v>6.55</v>
      </c>
      <c r="U16" s="19"/>
      <c r="V16" s="19"/>
      <c r="W16" s="19"/>
      <c r="X16" s="19"/>
      <c r="Y16" s="19"/>
      <c r="Z16" s="19"/>
      <c r="AA16" s="19"/>
      <c r="AB16" s="19"/>
      <c r="AC16" s="19"/>
      <c r="AD16" s="13">
        <v>0.02</v>
      </c>
      <c r="AE16" s="19"/>
      <c r="AF16" s="13">
        <v>0.2</v>
      </c>
      <c r="AG16" s="19"/>
      <c r="AH16" s="13">
        <v>0.02</v>
      </c>
      <c r="AI16" s="19"/>
      <c r="AJ16" s="19">
        <v>0.02</v>
      </c>
      <c r="AK16" s="19"/>
      <c r="AL16" s="19">
        <v>0.59</v>
      </c>
      <c r="AM16" s="19"/>
      <c r="AN16" s="19">
        <v>0.62</v>
      </c>
      <c r="AO16" s="19"/>
      <c r="AP16" s="19">
        <v>0.64</v>
      </c>
      <c r="AQ16" s="19"/>
      <c r="AR16" s="34">
        <f>AVERAGE(0.59,0.62,0.64)</f>
        <v>0.6166666666666667</v>
      </c>
      <c r="AS16" s="34"/>
      <c r="AT16" s="34"/>
      <c r="AU16" s="34"/>
      <c r="AV16" s="34"/>
      <c r="AW16" s="34"/>
      <c r="AX16" s="34"/>
      <c r="AY16" s="34"/>
      <c r="AZ16" s="26">
        <f t="shared" si="0"/>
        <v>9.25</v>
      </c>
    </row>
    <row r="17" spans="2:52" ht="12.75">
      <c r="B17" s="18" t="s">
        <v>84</v>
      </c>
      <c r="D17" s="18" t="s">
        <v>29</v>
      </c>
      <c r="F17" s="19">
        <v>0.32</v>
      </c>
      <c r="G17" s="19"/>
      <c r="H17" s="19">
        <v>0.37</v>
      </c>
      <c r="I17" s="19"/>
      <c r="J17" s="19">
        <v>0.34</v>
      </c>
      <c r="K17" s="19"/>
      <c r="L17" s="34">
        <f>AVERAGE(0.32,0.37,0.34)</f>
        <v>0.3433333333333333</v>
      </c>
      <c r="M17" s="19"/>
      <c r="N17" s="19">
        <v>1.01</v>
      </c>
      <c r="O17" s="19"/>
      <c r="P17" s="19">
        <v>1.13</v>
      </c>
      <c r="Q17" s="19"/>
      <c r="R17" s="19">
        <v>1.13</v>
      </c>
      <c r="S17" s="19"/>
      <c r="T17" s="19">
        <f>AVERAGE(1.01,1.13,1.13)</f>
        <v>1.0899999999999999</v>
      </c>
      <c r="U17" s="19"/>
      <c r="V17" s="19"/>
      <c r="W17" s="19"/>
      <c r="X17" s="19"/>
      <c r="Y17" s="19"/>
      <c r="Z17" s="19"/>
      <c r="AA17" s="19"/>
      <c r="AB17" s="19"/>
      <c r="AC17" s="19"/>
      <c r="AD17" s="13">
        <v>0.02</v>
      </c>
      <c r="AE17" s="19"/>
      <c r="AF17" s="13">
        <v>0.2</v>
      </c>
      <c r="AG17" s="19"/>
      <c r="AH17" s="13">
        <v>0.02</v>
      </c>
      <c r="AI17" s="19"/>
      <c r="AJ17" s="19">
        <v>0.02</v>
      </c>
      <c r="AK17" s="19"/>
      <c r="AL17" s="19">
        <v>0.1</v>
      </c>
      <c r="AM17" s="19"/>
      <c r="AN17" s="19">
        <v>0.1</v>
      </c>
      <c r="AO17" s="19"/>
      <c r="AP17" s="19">
        <v>0.11</v>
      </c>
      <c r="AQ17" s="19"/>
      <c r="AR17" s="19">
        <v>0.1</v>
      </c>
      <c r="AS17" s="19"/>
      <c r="AT17" s="19"/>
      <c r="AU17" s="19"/>
      <c r="AV17" s="19"/>
      <c r="AW17" s="19"/>
      <c r="AX17" s="19"/>
      <c r="AY17" s="19"/>
      <c r="AZ17" s="26">
        <f t="shared" si="0"/>
        <v>1.5533333333333332</v>
      </c>
    </row>
    <row r="18" spans="2:52" ht="12.75">
      <c r="B18" s="18" t="s">
        <v>85</v>
      </c>
      <c r="D18" s="18" t="s">
        <v>29</v>
      </c>
      <c r="F18" s="19">
        <v>0.16</v>
      </c>
      <c r="G18" s="19"/>
      <c r="H18" s="19">
        <v>0.19</v>
      </c>
      <c r="I18" s="19"/>
      <c r="J18" s="19">
        <v>0.17</v>
      </c>
      <c r="K18" s="19"/>
      <c r="L18" s="34">
        <f>AVERAGE(0.16,0.19,0.17)</f>
        <v>0.17333333333333334</v>
      </c>
      <c r="M18" s="19"/>
      <c r="N18" s="19">
        <v>0.5</v>
      </c>
      <c r="O18" s="19"/>
      <c r="P18" s="19">
        <v>0.57</v>
      </c>
      <c r="Q18" s="19"/>
      <c r="R18" s="19">
        <v>0.57</v>
      </c>
      <c r="S18" s="19"/>
      <c r="T18" s="34">
        <f>AVERAGE(0.5,0.57,0.57)</f>
        <v>0.5466666666666665</v>
      </c>
      <c r="U18" s="34"/>
      <c r="V18" s="34"/>
      <c r="W18" s="34"/>
      <c r="X18" s="34"/>
      <c r="Y18" s="34"/>
      <c r="Z18" s="34"/>
      <c r="AA18" s="34"/>
      <c r="AB18" s="34"/>
      <c r="AC18" s="34"/>
      <c r="AD18" s="34">
        <v>0.37</v>
      </c>
      <c r="AE18" s="34"/>
      <c r="AF18" s="34">
        <v>0.37</v>
      </c>
      <c r="AG18" s="34"/>
      <c r="AH18" s="34">
        <v>0.37</v>
      </c>
      <c r="AI18" s="34"/>
      <c r="AJ18" s="19">
        <v>0.37</v>
      </c>
      <c r="AK18" s="19"/>
      <c r="AL18" s="19">
        <v>0.05</v>
      </c>
      <c r="AM18" s="19"/>
      <c r="AN18" s="19">
        <v>1.35</v>
      </c>
      <c r="AO18" s="19"/>
      <c r="AP18" s="19">
        <v>0.05</v>
      </c>
      <c r="AQ18" s="19"/>
      <c r="AR18" s="34">
        <f>AVERAGE(0.05,1.35,0.05)</f>
        <v>0.4833333333333334</v>
      </c>
      <c r="AS18" s="34"/>
      <c r="AT18" s="34"/>
      <c r="AU18" s="34"/>
      <c r="AV18" s="34"/>
      <c r="AW18" s="34"/>
      <c r="AX18" s="34"/>
      <c r="AY18" s="34"/>
      <c r="AZ18" s="26">
        <f t="shared" si="0"/>
        <v>1.5733333333333333</v>
      </c>
    </row>
    <row r="19" spans="2:52" ht="12.75">
      <c r="B19" s="18" t="s">
        <v>86</v>
      </c>
      <c r="D19" s="18" t="s">
        <v>29</v>
      </c>
      <c r="F19" s="19">
        <v>0.16</v>
      </c>
      <c r="G19" s="19"/>
      <c r="H19" s="19">
        <v>0.19</v>
      </c>
      <c r="I19" s="19"/>
      <c r="J19" s="19">
        <v>0.17</v>
      </c>
      <c r="K19" s="19"/>
      <c r="L19" s="34">
        <f>AVERAGE(0.16,0.19,0.17)</f>
        <v>0.17333333333333334</v>
      </c>
      <c r="M19" s="19"/>
      <c r="N19" s="19">
        <v>0.5</v>
      </c>
      <c r="O19" s="19"/>
      <c r="P19" s="19">
        <v>0.57</v>
      </c>
      <c r="Q19" s="19"/>
      <c r="R19" s="19">
        <v>0.57</v>
      </c>
      <c r="S19" s="19"/>
      <c r="T19" s="34">
        <f>AVERAGE(0.5,0.57,0.57)</f>
        <v>0.5466666666666665</v>
      </c>
      <c r="U19" s="34"/>
      <c r="V19" s="34"/>
      <c r="W19" s="34"/>
      <c r="X19" s="34"/>
      <c r="Y19" s="34"/>
      <c r="Z19" s="34"/>
      <c r="AA19" s="34"/>
      <c r="AB19" s="34"/>
      <c r="AC19" s="34"/>
      <c r="AD19" s="34">
        <v>0</v>
      </c>
      <c r="AE19" s="34"/>
      <c r="AF19" s="34">
        <v>0</v>
      </c>
      <c r="AG19" s="34"/>
      <c r="AH19" s="34">
        <v>0</v>
      </c>
      <c r="AI19" s="34"/>
      <c r="AJ19" s="19">
        <v>0</v>
      </c>
      <c r="AK19" s="19"/>
      <c r="AL19" s="19">
        <v>0.05</v>
      </c>
      <c r="AM19" s="19"/>
      <c r="AN19" s="19">
        <v>0.05</v>
      </c>
      <c r="AO19" s="19"/>
      <c r="AP19" s="19">
        <v>0.05</v>
      </c>
      <c r="AQ19" s="19"/>
      <c r="AR19" s="19">
        <v>0.05</v>
      </c>
      <c r="AS19" s="19"/>
      <c r="AT19" s="19"/>
      <c r="AU19" s="19"/>
      <c r="AV19" s="19"/>
      <c r="AW19" s="19"/>
      <c r="AX19" s="19"/>
      <c r="AY19" s="19"/>
      <c r="AZ19" s="33">
        <f t="shared" si="0"/>
        <v>0.7699999999999999</v>
      </c>
    </row>
    <row r="20" spans="2:52" ht="12.75">
      <c r="B20" s="18" t="s">
        <v>87</v>
      </c>
      <c r="D20" s="18" t="s">
        <v>29</v>
      </c>
      <c r="F20" s="19">
        <v>0.16</v>
      </c>
      <c r="G20" s="19"/>
      <c r="H20" s="19">
        <v>0.19</v>
      </c>
      <c r="I20" s="19"/>
      <c r="J20" s="19">
        <v>0.17</v>
      </c>
      <c r="K20" s="19"/>
      <c r="L20" s="34">
        <f>AVERAGE(0.16,0.19,0.17)</f>
        <v>0.17333333333333334</v>
      </c>
      <c r="M20" s="19"/>
      <c r="N20" s="19">
        <v>0.5</v>
      </c>
      <c r="O20" s="19"/>
      <c r="P20" s="19">
        <v>0.57</v>
      </c>
      <c r="Q20" s="19"/>
      <c r="R20" s="19">
        <v>0.57</v>
      </c>
      <c r="S20" s="19"/>
      <c r="T20" s="34">
        <f>AVERAGE(0.5,0.57,0.57)</f>
        <v>0.5466666666666665</v>
      </c>
      <c r="U20" s="34"/>
      <c r="V20" s="34"/>
      <c r="W20" s="34"/>
      <c r="X20" s="34"/>
      <c r="Y20" s="34"/>
      <c r="Z20" s="34"/>
      <c r="AA20" s="34"/>
      <c r="AB20" s="34"/>
      <c r="AC20" s="34"/>
      <c r="AD20" s="34">
        <v>0.01</v>
      </c>
      <c r="AE20" s="34"/>
      <c r="AF20" s="34">
        <v>0.01</v>
      </c>
      <c r="AG20" s="34"/>
      <c r="AH20" s="34">
        <v>0.01</v>
      </c>
      <c r="AI20" s="34"/>
      <c r="AJ20" s="19">
        <v>0.01</v>
      </c>
      <c r="AK20" s="19"/>
      <c r="AL20" s="19">
        <v>0.05</v>
      </c>
      <c r="AM20" s="19"/>
      <c r="AN20" s="19">
        <v>0.05</v>
      </c>
      <c r="AO20" s="19"/>
      <c r="AP20" s="19">
        <v>0.05</v>
      </c>
      <c r="AQ20" s="19"/>
      <c r="AR20" s="19">
        <v>0.05</v>
      </c>
      <c r="AS20" s="19"/>
      <c r="AT20" s="19"/>
      <c r="AU20" s="19"/>
      <c r="AV20" s="19"/>
      <c r="AW20" s="19"/>
      <c r="AX20" s="19"/>
      <c r="AY20" s="19"/>
      <c r="AZ20" s="33">
        <f t="shared" si="0"/>
        <v>0.7799999999999999</v>
      </c>
    </row>
    <row r="21" spans="2:52" ht="12.75">
      <c r="B21" s="18" t="s">
        <v>88</v>
      </c>
      <c r="D21" s="18" t="s">
        <v>29</v>
      </c>
      <c r="F21" s="19">
        <v>0.32</v>
      </c>
      <c r="G21" s="19"/>
      <c r="H21" s="19">
        <v>0.37</v>
      </c>
      <c r="I21" s="19"/>
      <c r="J21" s="19">
        <v>0.34</v>
      </c>
      <c r="K21" s="19"/>
      <c r="L21" s="34">
        <f>AVERAGE(0.32,0.37,0.34)</f>
        <v>0.3433333333333333</v>
      </c>
      <c r="M21" s="19"/>
      <c r="N21" s="19">
        <v>1.01</v>
      </c>
      <c r="O21" s="19"/>
      <c r="P21" s="19">
        <v>1.13</v>
      </c>
      <c r="Q21" s="19"/>
      <c r="R21" s="19">
        <v>1.13</v>
      </c>
      <c r="S21" s="19"/>
      <c r="T21" s="19">
        <f>AVERAGE(1.01,1.13,1.13)</f>
        <v>1.0899999999999999</v>
      </c>
      <c r="U21" s="19"/>
      <c r="V21" s="19"/>
      <c r="W21" s="19"/>
      <c r="X21" s="19"/>
      <c r="Y21" s="19"/>
      <c r="Z21" s="19"/>
      <c r="AA21" s="19"/>
      <c r="AB21" s="19"/>
      <c r="AC21" s="19"/>
      <c r="AD21" s="35">
        <v>0.13</v>
      </c>
      <c r="AE21" s="19"/>
      <c r="AF21" s="35">
        <v>0.13</v>
      </c>
      <c r="AG21" s="19"/>
      <c r="AH21" s="35">
        <v>0.13</v>
      </c>
      <c r="AI21" s="19"/>
      <c r="AJ21" s="19">
        <v>0.13</v>
      </c>
      <c r="AK21" s="19"/>
      <c r="AL21" s="19">
        <v>0.1</v>
      </c>
      <c r="AM21" s="19"/>
      <c r="AN21" s="19">
        <v>0.1</v>
      </c>
      <c r="AO21" s="19"/>
      <c r="AP21" s="19">
        <v>0.11</v>
      </c>
      <c r="AQ21" s="19"/>
      <c r="AR21" s="34">
        <f>AVERAGE(0.1,0.1,0.11)</f>
        <v>0.10333333333333333</v>
      </c>
      <c r="AS21" s="34"/>
      <c r="AT21" s="34"/>
      <c r="AU21" s="34"/>
      <c r="AV21" s="34"/>
      <c r="AW21" s="34"/>
      <c r="AX21" s="34"/>
      <c r="AY21" s="34"/>
      <c r="AZ21" s="26">
        <f t="shared" si="0"/>
        <v>1.6666666666666663</v>
      </c>
    </row>
    <row r="22" spans="2:52" ht="12.75">
      <c r="B22" s="18" t="s">
        <v>89</v>
      </c>
      <c r="D22" s="18" t="s">
        <v>29</v>
      </c>
      <c r="F22" s="19">
        <v>0.32</v>
      </c>
      <c r="G22" s="19"/>
      <c r="H22" s="19">
        <v>0.37</v>
      </c>
      <c r="I22" s="19"/>
      <c r="J22" s="19">
        <v>0.34</v>
      </c>
      <c r="K22" s="19"/>
      <c r="L22" s="34">
        <f>AVERAGE(0.32,0.37,0.34)</f>
        <v>0.3433333333333333</v>
      </c>
      <c r="M22" s="19"/>
      <c r="N22" s="19">
        <v>1.01</v>
      </c>
      <c r="O22" s="19"/>
      <c r="P22" s="19">
        <v>1.13</v>
      </c>
      <c r="Q22" s="19"/>
      <c r="R22" s="19">
        <v>1.13</v>
      </c>
      <c r="S22" s="19"/>
      <c r="T22" s="19">
        <f>AVERAGE(1.01,1.13,1.13)</f>
        <v>1.0899999999999999</v>
      </c>
      <c r="U22" s="19"/>
      <c r="V22" s="19"/>
      <c r="W22" s="19"/>
      <c r="X22" s="19"/>
      <c r="Y22" s="19"/>
      <c r="Z22" s="19"/>
      <c r="AA22" s="19"/>
      <c r="AB22" s="19"/>
      <c r="AC22" s="19"/>
      <c r="AD22" s="35">
        <v>0.02</v>
      </c>
      <c r="AE22" s="19"/>
      <c r="AF22" s="35">
        <v>0.02</v>
      </c>
      <c r="AG22" s="19"/>
      <c r="AH22" s="35">
        <v>0.02</v>
      </c>
      <c r="AI22" s="19"/>
      <c r="AJ22" s="19">
        <v>0.02</v>
      </c>
      <c r="AK22" s="19"/>
      <c r="AL22" s="19">
        <v>0.1</v>
      </c>
      <c r="AM22" s="19"/>
      <c r="AN22" s="19">
        <v>0.1</v>
      </c>
      <c r="AO22" s="19"/>
      <c r="AP22" s="19">
        <v>0.11</v>
      </c>
      <c r="AQ22" s="19"/>
      <c r="AR22" s="34">
        <f>AVERAGE(0.1,0.1,0.11)</f>
        <v>0.10333333333333333</v>
      </c>
      <c r="AS22" s="34"/>
      <c r="AT22" s="34"/>
      <c r="AU22" s="34"/>
      <c r="AV22" s="34"/>
      <c r="AW22" s="34"/>
      <c r="AX22" s="34"/>
      <c r="AY22" s="34"/>
      <c r="AZ22" s="26">
        <f t="shared" si="0"/>
        <v>1.5566666666666664</v>
      </c>
    </row>
    <row r="23" spans="2:52" ht="12.75">
      <c r="B23" s="18" t="s">
        <v>90</v>
      </c>
      <c r="D23" s="18" t="s">
        <v>29</v>
      </c>
      <c r="F23" s="19">
        <v>0.17</v>
      </c>
      <c r="G23" s="19"/>
      <c r="H23" s="19">
        <v>0.21</v>
      </c>
      <c r="I23" s="19"/>
      <c r="J23" s="19">
        <v>0.09</v>
      </c>
      <c r="K23" s="19"/>
      <c r="L23" s="34">
        <f>AVERAGE(0.17,0.21,0.09)</f>
        <v>0.15666666666666665</v>
      </c>
      <c r="M23" s="19"/>
      <c r="N23" s="19">
        <v>0.25</v>
      </c>
      <c r="O23" s="19"/>
      <c r="P23" s="19">
        <v>0.28</v>
      </c>
      <c r="Q23" s="19"/>
      <c r="R23" s="19">
        <v>0.28</v>
      </c>
      <c r="S23" s="19"/>
      <c r="T23" s="19">
        <f>AVERAGE(0.25,0.28,0.28)</f>
        <v>0.27</v>
      </c>
      <c r="U23" s="19"/>
      <c r="V23" s="19"/>
      <c r="W23" s="19"/>
      <c r="X23" s="19"/>
      <c r="Y23" s="19"/>
      <c r="Z23" s="19"/>
      <c r="AA23" s="19"/>
      <c r="AB23" s="19"/>
      <c r="AC23" s="19"/>
      <c r="AD23" s="35">
        <v>0</v>
      </c>
      <c r="AE23" s="19"/>
      <c r="AF23" s="35">
        <v>0</v>
      </c>
      <c r="AG23" s="19"/>
      <c r="AH23" s="35">
        <v>0</v>
      </c>
      <c r="AI23" s="19"/>
      <c r="AJ23" s="19">
        <v>0</v>
      </c>
      <c r="AK23" s="19"/>
      <c r="AL23" s="19">
        <v>0.02</v>
      </c>
      <c r="AM23" s="19"/>
      <c r="AN23" s="19">
        <v>0.03</v>
      </c>
      <c r="AO23" s="19"/>
      <c r="AP23" s="19">
        <v>0.03</v>
      </c>
      <c r="AQ23" s="19"/>
      <c r="AR23" s="34">
        <v>0.0266</v>
      </c>
      <c r="AS23" s="34"/>
      <c r="AT23" s="34"/>
      <c r="AU23" s="34"/>
      <c r="AV23" s="34"/>
      <c r="AW23" s="34"/>
      <c r="AX23" s="34"/>
      <c r="AY23" s="34"/>
      <c r="AZ23" s="26">
        <f t="shared" si="0"/>
        <v>0.45326666666666665</v>
      </c>
    </row>
    <row r="24" spans="2:52" ht="12.75">
      <c r="B24" s="18" t="s">
        <v>91</v>
      </c>
      <c r="D24" s="18" t="s">
        <v>29</v>
      </c>
      <c r="F24" s="19">
        <v>0.16</v>
      </c>
      <c r="G24" s="19"/>
      <c r="H24" s="19">
        <v>0.19</v>
      </c>
      <c r="I24" s="19"/>
      <c r="J24" s="19">
        <v>0.17</v>
      </c>
      <c r="K24" s="19"/>
      <c r="L24" s="34">
        <v>0.17</v>
      </c>
      <c r="M24" s="19"/>
      <c r="N24" s="19">
        <v>0.5</v>
      </c>
      <c r="O24" s="19"/>
      <c r="P24" s="19">
        <v>0.57</v>
      </c>
      <c r="Q24" s="19"/>
      <c r="R24" s="19">
        <v>0.57</v>
      </c>
      <c r="S24" s="19"/>
      <c r="T24" s="34">
        <f>AVERAGE(0.5,0.57,0.57)</f>
        <v>0.5466666666666665</v>
      </c>
      <c r="U24" s="34"/>
      <c r="V24" s="34"/>
      <c r="W24" s="34"/>
      <c r="X24" s="34"/>
      <c r="Y24" s="34"/>
      <c r="Z24" s="34"/>
      <c r="AA24" s="34"/>
      <c r="AB24" s="34"/>
      <c r="AC24" s="34"/>
      <c r="AD24" s="34">
        <v>0.09</v>
      </c>
      <c r="AE24" s="34"/>
      <c r="AF24" s="34">
        <v>0.09</v>
      </c>
      <c r="AG24" s="34"/>
      <c r="AH24" s="34">
        <v>0.09</v>
      </c>
      <c r="AI24" s="34"/>
      <c r="AJ24" s="19">
        <v>0.09</v>
      </c>
      <c r="AK24" s="19"/>
      <c r="AL24" s="19">
        <v>0.07</v>
      </c>
      <c r="AM24" s="19"/>
      <c r="AN24" s="19">
        <v>0.05</v>
      </c>
      <c r="AO24" s="19"/>
      <c r="AP24" s="19">
        <v>0.05</v>
      </c>
      <c r="AQ24" s="19"/>
      <c r="AR24" s="34">
        <f>AVERAGE(0.07,0.05,0.05)</f>
        <v>0.05666666666666667</v>
      </c>
      <c r="AS24" s="34"/>
      <c r="AT24" s="34"/>
      <c r="AU24" s="34"/>
      <c r="AV24" s="34"/>
      <c r="AW24" s="34"/>
      <c r="AX24" s="34"/>
      <c r="AY24" s="34"/>
      <c r="AZ24" s="26">
        <f t="shared" si="0"/>
        <v>0.8633333333333332</v>
      </c>
    </row>
    <row r="25" spans="2:52" ht="12.75">
      <c r="B25" s="18" t="s">
        <v>92</v>
      </c>
      <c r="D25" s="18" t="s">
        <v>29</v>
      </c>
      <c r="F25" s="19">
        <v>0.32</v>
      </c>
      <c r="G25" s="19"/>
      <c r="H25" s="19">
        <v>0.37</v>
      </c>
      <c r="I25" s="19"/>
      <c r="J25" s="19">
        <v>0.34</v>
      </c>
      <c r="K25" s="19"/>
      <c r="L25" s="34">
        <v>0.34</v>
      </c>
      <c r="M25" s="19"/>
      <c r="N25" s="19">
        <v>1.01</v>
      </c>
      <c r="O25" s="19"/>
      <c r="P25" s="19">
        <v>1.13</v>
      </c>
      <c r="Q25" s="19"/>
      <c r="R25" s="19">
        <v>1.13</v>
      </c>
      <c r="S25" s="19"/>
      <c r="T25" s="19">
        <f>AVERAGE(1.01,1.13,1.13)</f>
        <v>1.0899999999999999</v>
      </c>
      <c r="U25" s="19"/>
      <c r="V25" s="19"/>
      <c r="W25" s="19"/>
      <c r="X25" s="19"/>
      <c r="Y25" s="19"/>
      <c r="Z25" s="19"/>
      <c r="AA25" s="19"/>
      <c r="AB25" s="19"/>
      <c r="AC25" s="19"/>
      <c r="AD25" s="35">
        <v>0.03</v>
      </c>
      <c r="AE25" s="19"/>
      <c r="AF25" s="35">
        <v>0.03</v>
      </c>
      <c r="AG25" s="19"/>
      <c r="AH25" s="35">
        <v>0.03</v>
      </c>
      <c r="AI25" s="19"/>
      <c r="AJ25" s="19">
        <v>0.03</v>
      </c>
      <c r="AK25" s="19"/>
      <c r="AL25" s="19">
        <v>0.1</v>
      </c>
      <c r="AM25" s="19"/>
      <c r="AN25" s="19">
        <v>0.1</v>
      </c>
      <c r="AO25" s="19"/>
      <c r="AP25" s="19">
        <v>0.11</v>
      </c>
      <c r="AQ25" s="19"/>
      <c r="AR25" s="34">
        <f>AVERAGE(0.1,0.1,0.11)</f>
        <v>0.10333333333333333</v>
      </c>
      <c r="AS25" s="34"/>
      <c r="AT25" s="34"/>
      <c r="AU25" s="34"/>
      <c r="AV25" s="34"/>
      <c r="AW25" s="34"/>
      <c r="AX25" s="34"/>
      <c r="AY25" s="34"/>
      <c r="AZ25" s="26">
        <f t="shared" si="0"/>
        <v>1.5633333333333332</v>
      </c>
    </row>
    <row r="26" spans="13:51" ht="12.75">
      <c r="M26" s="4"/>
      <c r="N26" s="4"/>
      <c r="O26" s="4"/>
      <c r="P26" s="4"/>
      <c r="Q26" s="4"/>
      <c r="R26" s="4"/>
      <c r="S26" s="4"/>
      <c r="AJ26" s="19"/>
      <c r="AK26" s="19"/>
      <c r="AL26" s="19"/>
      <c r="AM26" s="19"/>
      <c r="AN26" s="19"/>
      <c r="AO26" s="19"/>
      <c r="AP26" s="19"/>
      <c r="AQ26" s="19"/>
      <c r="AR26" s="4"/>
      <c r="AS26" s="4"/>
      <c r="AT26" s="4"/>
      <c r="AU26" s="4"/>
      <c r="AV26" s="4"/>
      <c r="AW26" s="4"/>
      <c r="AX26" s="4"/>
      <c r="AY26" s="4"/>
    </row>
    <row r="27" spans="2:52" ht="12.75">
      <c r="B27" s="18" t="s">
        <v>42</v>
      </c>
      <c r="D27" s="18" t="s">
        <v>25</v>
      </c>
      <c r="F27" s="19">
        <f>emiss!$G$14</f>
        <v>51467</v>
      </c>
      <c r="H27" s="19">
        <f>emiss!$I$14</f>
        <v>51467</v>
      </c>
      <c r="J27" s="19">
        <f>emiss!$K$14</f>
        <v>51467</v>
      </c>
      <c r="L27" s="19">
        <f>emiss!$M$14</f>
        <v>51467</v>
      </c>
      <c r="M27" s="4"/>
      <c r="N27" s="19">
        <f>emiss!$G$14</f>
        <v>51467</v>
      </c>
      <c r="O27" s="4"/>
      <c r="P27" s="19">
        <f>emiss!$I$14</f>
        <v>51467</v>
      </c>
      <c r="Q27" s="4"/>
      <c r="R27" s="19">
        <f>emiss!$K$14</f>
        <v>51467</v>
      </c>
      <c r="S27" s="4"/>
      <c r="T27" s="19">
        <f>emiss!$M$14</f>
        <v>51467</v>
      </c>
      <c r="U27" s="19"/>
      <c r="V27" s="19"/>
      <c r="W27" s="19"/>
      <c r="X27" s="19"/>
      <c r="Y27" s="19"/>
      <c r="Z27" s="19"/>
      <c r="AA27" s="19"/>
      <c r="AB27" s="19"/>
      <c r="AC27" s="28"/>
      <c r="AD27" s="19">
        <f>emiss!$G$14</f>
        <v>51467</v>
      </c>
      <c r="AE27" s="4"/>
      <c r="AF27" s="19">
        <f>emiss!$I$14</f>
        <v>51467</v>
      </c>
      <c r="AG27" s="4"/>
      <c r="AH27" s="19">
        <f>emiss!$K$14</f>
        <v>51467</v>
      </c>
      <c r="AI27" s="4"/>
      <c r="AJ27" s="19">
        <f>emiss!$M$14</f>
        <v>51467</v>
      </c>
      <c r="AK27" s="28"/>
      <c r="AL27" s="19">
        <f>emiss!$G$14</f>
        <v>51467</v>
      </c>
      <c r="AM27" s="4"/>
      <c r="AN27" s="19">
        <f>emiss!$I$14</f>
        <v>51467</v>
      </c>
      <c r="AO27" s="4"/>
      <c r="AP27" s="19">
        <f>emiss!$K$14</f>
        <v>51467</v>
      </c>
      <c r="AQ27" s="4"/>
      <c r="AR27" s="19">
        <f>emiss!$M$14</f>
        <v>51467</v>
      </c>
      <c r="AS27" s="28"/>
      <c r="AT27" s="19">
        <f>emiss!$G$14</f>
        <v>51467</v>
      </c>
      <c r="AU27" s="4"/>
      <c r="AV27" s="19">
        <f>emiss!$I$14</f>
        <v>51467</v>
      </c>
      <c r="AW27" s="4"/>
      <c r="AX27" s="19">
        <f>emiss!$K$14</f>
        <v>51467</v>
      </c>
      <c r="AY27" s="28"/>
      <c r="AZ27" s="13">
        <f>AVERAGE(AT27,AV27,AX27)</f>
        <v>51467</v>
      </c>
    </row>
    <row r="28" spans="2:52" ht="12.75">
      <c r="B28" s="18" t="s">
        <v>43</v>
      </c>
      <c r="D28" s="18" t="s">
        <v>26</v>
      </c>
      <c r="F28" s="19">
        <f>emiss!$G$15</f>
        <v>7</v>
      </c>
      <c r="H28" s="19">
        <f>emiss!$I$15</f>
        <v>7</v>
      </c>
      <c r="J28" s="19">
        <f>emiss!$K$15</f>
        <v>7</v>
      </c>
      <c r="L28" s="19">
        <f>emiss!$M$15</f>
        <v>7</v>
      </c>
      <c r="N28" s="19">
        <f>emiss!$G$15</f>
        <v>7</v>
      </c>
      <c r="O28" s="4"/>
      <c r="P28" s="19">
        <f>emiss!$I$15</f>
        <v>7</v>
      </c>
      <c r="Q28" s="4"/>
      <c r="R28" s="19">
        <f>emiss!$K$15</f>
        <v>7</v>
      </c>
      <c r="S28" s="4"/>
      <c r="T28" s="19">
        <f>emiss!$M$15</f>
        <v>7</v>
      </c>
      <c r="U28" s="19"/>
      <c r="V28" s="19"/>
      <c r="W28" s="19"/>
      <c r="X28" s="19"/>
      <c r="Y28" s="19"/>
      <c r="Z28" s="19"/>
      <c r="AA28" s="19"/>
      <c r="AB28" s="19"/>
      <c r="AD28" s="19">
        <f>emiss!$G$15</f>
        <v>7</v>
      </c>
      <c r="AE28" s="4"/>
      <c r="AF28" s="19">
        <f>emiss!$I$15</f>
        <v>7</v>
      </c>
      <c r="AG28" s="4"/>
      <c r="AH28" s="19">
        <f>emiss!$K$15</f>
        <v>7</v>
      </c>
      <c r="AI28" s="4"/>
      <c r="AJ28" s="19">
        <f>emiss!$M$15</f>
        <v>7</v>
      </c>
      <c r="AL28" s="19">
        <f>emiss!$G$15</f>
        <v>7</v>
      </c>
      <c r="AM28" s="4"/>
      <c r="AN28" s="24">
        <f>emiss!$I$15</f>
        <v>7</v>
      </c>
      <c r="AO28" s="4"/>
      <c r="AP28" s="24">
        <f>emiss!$K$15</f>
        <v>7</v>
      </c>
      <c r="AQ28" s="4"/>
      <c r="AR28" s="24">
        <f>emiss!$M$15</f>
        <v>7</v>
      </c>
      <c r="AT28" s="19">
        <f>emiss!$G$15</f>
        <v>7</v>
      </c>
      <c r="AU28" s="4"/>
      <c r="AV28" s="24">
        <f>emiss!$I$15</f>
        <v>7</v>
      </c>
      <c r="AW28" s="4"/>
      <c r="AX28" s="24">
        <f>emiss!$K$15</f>
        <v>7</v>
      </c>
      <c r="AZ28" s="13">
        <f>AVERAGE(AT28,AV28,AX28)</f>
        <v>7</v>
      </c>
    </row>
    <row r="29" spans="13:52" ht="12.75">
      <c r="M29" s="4"/>
      <c r="N29" s="4"/>
      <c r="O29" s="4"/>
      <c r="P29" s="4"/>
      <c r="Q29" s="4"/>
      <c r="R29" s="4"/>
      <c r="S29" s="4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20:35" ht="12.75"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2:52" ht="12.75">
      <c r="B31" s="18" t="s">
        <v>142</v>
      </c>
      <c r="D31" s="18" t="s">
        <v>39</v>
      </c>
      <c r="F31" s="24"/>
      <c r="H31" s="24"/>
      <c r="J31" s="24"/>
      <c r="L31" s="24"/>
      <c r="M31" s="4"/>
      <c r="N31" s="4"/>
      <c r="O31" s="4"/>
      <c r="P31" s="4"/>
      <c r="Q31" s="4"/>
      <c r="R31" s="4"/>
      <c r="S31" s="4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1">
        <f>AZ27*60/9000*(21-AZ28)/21</f>
        <v>228.74222222222224</v>
      </c>
    </row>
    <row r="32" spans="6:52" ht="12.75">
      <c r="F32" s="20"/>
      <c r="H32" s="20"/>
      <c r="J32" s="20"/>
      <c r="L32" s="20"/>
      <c r="M32" s="4"/>
      <c r="N32" s="4"/>
      <c r="O32" s="4"/>
      <c r="P32" s="4"/>
      <c r="Q32" s="4"/>
      <c r="R32" s="4"/>
      <c r="S32" s="4"/>
      <c r="AJ32" s="19"/>
      <c r="AK32" s="19"/>
      <c r="AL32" s="19"/>
      <c r="AM32" s="19"/>
      <c r="AN32" s="19"/>
      <c r="AO32" s="19"/>
      <c r="AP32" s="19"/>
      <c r="AQ32" s="19"/>
      <c r="AR32" s="4"/>
      <c r="AS32" s="4"/>
      <c r="AT32" s="4"/>
      <c r="AU32" s="4"/>
      <c r="AV32" s="4"/>
      <c r="AW32" s="4"/>
      <c r="AX32" s="4"/>
      <c r="AY32" s="4"/>
      <c r="AZ32" s="24"/>
    </row>
    <row r="33" spans="2:52" ht="12.75">
      <c r="B33" s="36" t="s">
        <v>77</v>
      </c>
      <c r="C33" s="36"/>
      <c r="F33" s="20"/>
      <c r="H33" s="20"/>
      <c r="J33" s="20"/>
      <c r="L33" s="20"/>
      <c r="M33" s="4"/>
      <c r="N33" s="4"/>
      <c r="O33" s="4"/>
      <c r="P33" s="4"/>
      <c r="Q33" s="4"/>
      <c r="R33" s="4"/>
      <c r="S33" s="4"/>
      <c r="AJ33" s="19"/>
      <c r="AK33" s="19"/>
      <c r="AL33" s="19"/>
      <c r="AM33" s="19"/>
      <c r="AN33" s="19"/>
      <c r="AO33" s="19"/>
      <c r="AP33" s="19"/>
      <c r="AQ33" s="19"/>
      <c r="AR33" s="4"/>
      <c r="AS33" s="4"/>
      <c r="AT33" s="4"/>
      <c r="AU33" s="4"/>
      <c r="AV33" s="4"/>
      <c r="AW33" s="4"/>
      <c r="AX33" s="4"/>
      <c r="AY33" s="4"/>
      <c r="AZ33" s="24"/>
    </row>
    <row r="34" spans="2:52" ht="12.75">
      <c r="B34" s="18" t="s">
        <v>33</v>
      </c>
      <c r="D34" s="18" t="s">
        <v>44</v>
      </c>
      <c r="F34" s="24">
        <f>F14/F27/60/0.0283*1000*(21-7)/(21-F28)</f>
        <v>2.540308342626628</v>
      </c>
      <c r="H34" s="24">
        <f>H14/H27/60/0.0283*1000*(21-7)/(21-H28)</f>
        <v>6.785598410709866</v>
      </c>
      <c r="J34" s="24">
        <f>J14/J27/60/0.0283*1000*(21-7)/(21-J28)</f>
        <v>3.9363336480340547</v>
      </c>
      <c r="L34" s="24">
        <f>L14/L27/60/0.0283*1000*(21-7)/(21-L28)</f>
        <v>4.4207468004568495</v>
      </c>
      <c r="M34" s="4"/>
      <c r="N34" s="24">
        <f>N14/N27/60/0.0283*1000*(21-7)/(21-N28)</f>
        <v>4.622903470365576</v>
      </c>
      <c r="O34" s="4"/>
      <c r="P34" s="24">
        <f>P14/P27/60/0.0283*1000*(21-7)/(21-P28)</f>
        <v>5.183602158602985</v>
      </c>
      <c r="Q34" s="4"/>
      <c r="R34" s="24">
        <f>R14/R27/60/0.0283*1000*(21-7)/(21-R28)</f>
        <v>6.476641990660683</v>
      </c>
      <c r="S34" s="4"/>
      <c r="T34" s="24">
        <f>T14/T27/60/0.0283*1000*(21-7)/(21-T28)</f>
        <v>5.427715873209747</v>
      </c>
      <c r="U34" s="24"/>
      <c r="V34" s="24">
        <f>F34+N34</f>
        <v>7.163211812992204</v>
      </c>
      <c r="W34" s="24"/>
      <c r="X34" s="24">
        <f>H34+P34</f>
        <v>11.96920056931285</v>
      </c>
      <c r="Y34" s="24"/>
      <c r="Z34" s="24">
        <f>J34+R34</f>
        <v>10.412975638694737</v>
      </c>
      <c r="AA34" s="24"/>
      <c r="AB34" s="24">
        <f>L34+T34</f>
        <v>9.848462673666596</v>
      </c>
      <c r="AC34" s="24"/>
      <c r="AD34" s="24">
        <f>AD14/AD27/60/0.0283*1000*(21-7)/(21-AD28)</f>
        <v>0.057214151860960086</v>
      </c>
      <c r="AE34" s="4"/>
      <c r="AF34" s="24">
        <f>AF14/AF27/60/0.0283*1000*(21-7)/(21-AF28)</f>
        <v>0.057214151860960086</v>
      </c>
      <c r="AG34" s="4"/>
      <c r="AH34" s="24">
        <f>AH14/AH27/60/0.0283*1000*(21-7)/(21-AH28)</f>
        <v>0.057214151860960086</v>
      </c>
      <c r="AI34" s="4"/>
      <c r="AJ34" s="24">
        <f>AJ14/AJ27/60/0.0283*1000*(21-7)/(21-AJ28)</f>
        <v>0.057214151860960086</v>
      </c>
      <c r="AK34" s="24"/>
      <c r="AL34" s="24">
        <f>AL14/AL27/60/0.0283*1000*(21-7)/(21-AL28)</f>
        <v>116.8312981000805</v>
      </c>
      <c r="AM34" s="4"/>
      <c r="AN34" s="24">
        <f>AN14/AN27/60/0.0283*1000*(21-7)/(21-AN28)</f>
        <v>141.650797177365</v>
      </c>
      <c r="AO34" s="4"/>
      <c r="AP34" s="24">
        <f>AP14/AP27/60/0.0283*1000*(21-7)/(21-AP28)</f>
        <v>121.53430138305143</v>
      </c>
      <c r="AQ34" s="4"/>
      <c r="AR34" s="24">
        <f>AR14/AR27/60/0.0283*1000*(21-7)/(21-AR28)</f>
        <v>126.67213222016565</v>
      </c>
      <c r="AS34" s="24"/>
      <c r="AT34" s="24">
        <f>SUM(AL34,AD34,N34,F34)</f>
        <v>124.05172406493367</v>
      </c>
      <c r="AU34" s="24"/>
      <c r="AV34" s="24">
        <f>SUM(AN34,AF34,P34,H34)</f>
        <v>153.67721189853881</v>
      </c>
      <c r="AW34" s="24"/>
      <c r="AX34" s="24">
        <f>SUM(AP34,AH34,R34,J34)</f>
        <v>132.00449117360714</v>
      </c>
      <c r="AY34" s="24"/>
      <c r="AZ34" s="28">
        <f>AVERAGE(AT34,AV34,AX34)</f>
        <v>136.57780904569321</v>
      </c>
    </row>
    <row r="35" spans="2:52" ht="12.75">
      <c r="B35" s="18" t="s">
        <v>34</v>
      </c>
      <c r="D35" s="18" t="s">
        <v>45</v>
      </c>
      <c r="F35" s="24">
        <f aca="true" t="shared" si="1" ref="F35:F45">F15/F$27/60/0.0283*1000000*(21-7)/(21-F$28)</f>
        <v>34.32849111657606</v>
      </c>
      <c r="H35" s="24">
        <f aca="true" t="shared" si="2" ref="H35:H45">H15/H$27/60/0.0283*1000000*(21-7)/(21-H$28)</f>
        <v>823.8837867978253</v>
      </c>
      <c r="J35" s="24">
        <f aca="true" t="shared" si="3" ref="J35:J45">J15/J$27/60/0.0283*1000000*(21-7)/(21-J$28)</f>
        <v>709.4554830759051</v>
      </c>
      <c r="L35" s="24">
        <f aca="true" t="shared" si="4" ref="L35:L45">L15/L$27/60/0.0283*1000000*(21-7)/(21-L$28)</f>
        <v>522.5559203301021</v>
      </c>
      <c r="M35" s="24"/>
      <c r="N35" s="24">
        <f aca="true" t="shared" si="5" ref="N35:N45">N15/N$27/60/0.0283*1000000*(21-7)/(21-N$28)</f>
        <v>2151.2521099720993</v>
      </c>
      <c r="O35" s="24"/>
      <c r="P35" s="24">
        <f aca="true" t="shared" si="6" ref="P35:P45">P15/P$27/60/0.0283*1000000*(21-7)/(21-P$28)</f>
        <v>2414.437208532516</v>
      </c>
      <c r="Q35" s="24"/>
      <c r="R35" s="24">
        <f aca="true" t="shared" si="7" ref="R35:R45">R15/R$27/60/0.0283*1000000*(21-7)/(21-R$28)</f>
        <v>2048.2666366223716</v>
      </c>
      <c r="S35" s="24"/>
      <c r="T35" s="24">
        <f aca="true" t="shared" si="8" ref="T35:T45">T15/T$27/60/0.0283*1000000*(21-7)/(21-T$28)</f>
        <v>2204.6519850423288</v>
      </c>
      <c r="U35" s="24"/>
      <c r="V35" s="24">
        <f aca="true" t="shared" si="9" ref="V35:V48">F35+N35</f>
        <v>2185.5806010886754</v>
      </c>
      <c r="W35" s="24"/>
      <c r="X35" s="24">
        <f aca="true" t="shared" si="10" ref="X35:X48">H35+P35</f>
        <v>3238.3209953303412</v>
      </c>
      <c r="Y35" s="24"/>
      <c r="Z35" s="24">
        <f aca="true" t="shared" si="11" ref="Z35:Z48">J35+R35</f>
        <v>2757.722119698277</v>
      </c>
      <c r="AA35" s="24"/>
      <c r="AB35" s="24">
        <f aca="true" t="shared" si="12" ref="AB35:AB48">L35+T35</f>
        <v>2727.207905372431</v>
      </c>
      <c r="AC35" s="24"/>
      <c r="AD35" s="24">
        <f aca="true" t="shared" si="13" ref="AD35:AD45">AD15/AD$27/60/0.0283*1000000*(21-7)/(21-AD$28)</f>
        <v>57.21415186096009</v>
      </c>
      <c r="AE35" s="24"/>
      <c r="AF35" s="24">
        <f aca="true" t="shared" si="14" ref="AF35:AF45">AF15/AF$27/60/0.0283*1000000*(21-7)/(21-AF$28)</f>
        <v>57.21415186096009</v>
      </c>
      <c r="AG35" s="24"/>
      <c r="AH35" s="24">
        <f aca="true" t="shared" si="15" ref="AH35:AH45">AH15/AH$27/60/0.0283*1000000*(21-7)/(21-AH$28)</f>
        <v>57.21415186096009</v>
      </c>
      <c r="AI35" s="24"/>
      <c r="AJ35" s="24">
        <f aca="true" t="shared" si="16" ref="AJ35:AJ45">AJ15/AJ$27/60/0.0283*1000000*(21-7)/(21-AJ$28)</f>
        <v>57.21415186096009</v>
      </c>
      <c r="AK35" s="24"/>
      <c r="AL35" s="24">
        <f aca="true" t="shared" si="17" ref="AL35:AL45">AL15/AL$27/60/0.0283*1000000*(21-7)/(21-AL$28)</f>
        <v>194.5281163272643</v>
      </c>
      <c r="AM35" s="24"/>
      <c r="AN35" s="24">
        <f aca="true" t="shared" si="18" ref="AN35:AN45">AN15/AN$27/60/0.0283*1000000*(21-7)/(21-AN$28)</f>
        <v>251.7422681882244</v>
      </c>
      <c r="AO35" s="24"/>
      <c r="AP35" s="24">
        <f aca="true" t="shared" si="19" ref="AP35:AP45">AP15/AP$27/60/0.0283*1000000*(21-7)/(21-AP$28)</f>
        <v>228.85660744384035</v>
      </c>
      <c r="AQ35" s="24"/>
      <c r="AR35" s="24">
        <f aca="true" t="shared" si="20" ref="AR35:AR45">AR15/AR$27/60/0.0283*1000000*(21-7)/(21-AR$28)</f>
        <v>225.0423306531097</v>
      </c>
      <c r="AS35" s="24"/>
      <c r="AT35" s="24">
        <f>SUM(AL35,AD35,N35,F35)</f>
        <v>2437.3228692769</v>
      </c>
      <c r="AU35" s="24"/>
      <c r="AV35" s="24">
        <f>SUM(AN35,AF35,P35,H35)</f>
        <v>3547.277415379526</v>
      </c>
      <c r="AW35" s="24"/>
      <c r="AX35" s="24">
        <f>SUM(AP35,AH35,R35,J35)</f>
        <v>3043.7928790030774</v>
      </c>
      <c r="AY35" s="24"/>
      <c r="AZ35" s="28">
        <f>AVERAGE(AT35,AV35,AX35)</f>
        <v>3009.4643878865013</v>
      </c>
    </row>
    <row r="36" spans="2:52" ht="12.75">
      <c r="B36" s="18" t="s">
        <v>83</v>
      </c>
      <c r="D36" s="18" t="s">
        <v>45</v>
      </c>
      <c r="F36" s="24">
        <f t="shared" si="1"/>
        <v>21.741377707164833</v>
      </c>
      <c r="H36" s="24">
        <f t="shared" si="2"/>
        <v>25.403083426266285</v>
      </c>
      <c r="J36" s="24">
        <f t="shared" si="3"/>
        <v>23.68665887043748</v>
      </c>
      <c r="L36" s="24">
        <f t="shared" si="4"/>
        <v>23.610373334622864</v>
      </c>
      <c r="M36" s="4"/>
      <c r="N36" s="24">
        <f t="shared" si="5"/>
        <v>69.2291237517617</v>
      </c>
      <c r="O36" s="4"/>
      <c r="P36" s="24">
        <f t="shared" si="6"/>
        <v>77.81124653090573</v>
      </c>
      <c r="Q36" s="4"/>
      <c r="R36" s="24">
        <f t="shared" si="7"/>
        <v>77.81124653090573</v>
      </c>
      <c r="S36" s="4"/>
      <c r="T36" s="24">
        <f t="shared" si="8"/>
        <v>74.95053893785773</v>
      </c>
      <c r="U36" s="24"/>
      <c r="V36" s="24">
        <f t="shared" si="9"/>
        <v>90.97050145892653</v>
      </c>
      <c r="W36" s="24"/>
      <c r="X36" s="24">
        <f t="shared" si="10"/>
        <v>103.21432995717203</v>
      </c>
      <c r="Y36" s="24"/>
      <c r="Z36" s="24">
        <f t="shared" si="11"/>
        <v>101.49790540134322</v>
      </c>
      <c r="AA36" s="24"/>
      <c r="AB36" s="24">
        <f t="shared" si="12"/>
        <v>98.56091227248059</v>
      </c>
      <c r="AC36" s="24"/>
      <c r="AD36" s="24">
        <f t="shared" si="13"/>
        <v>0.22885660744384037</v>
      </c>
      <c r="AE36" s="4"/>
      <c r="AF36" s="24">
        <f t="shared" si="14"/>
        <v>2.2885660744384038</v>
      </c>
      <c r="AG36" s="4"/>
      <c r="AH36" s="24">
        <f t="shared" si="15"/>
        <v>0.22885660744384037</v>
      </c>
      <c r="AI36" s="4"/>
      <c r="AJ36" s="24">
        <f t="shared" si="16"/>
        <v>0.22885660744384037</v>
      </c>
      <c r="AK36" s="24"/>
      <c r="AL36" s="24">
        <f t="shared" si="17"/>
        <v>6.751269919593291</v>
      </c>
      <c r="AM36" s="4"/>
      <c r="AN36" s="24">
        <f t="shared" si="18"/>
        <v>7.094554830759051</v>
      </c>
      <c r="AO36" s="4"/>
      <c r="AP36" s="24">
        <f t="shared" si="19"/>
        <v>7.323411438202892</v>
      </c>
      <c r="AQ36" s="4"/>
      <c r="AR36" s="24">
        <f t="shared" si="20"/>
        <v>7.056412062851744</v>
      </c>
      <c r="AS36" s="24"/>
      <c r="AT36" s="24">
        <f aca="true" t="shared" si="21" ref="AT36:AT45">SUM(AL36,AD36,N36,F36)</f>
        <v>97.95062798596366</v>
      </c>
      <c r="AU36" s="24"/>
      <c r="AV36" s="24">
        <f aca="true" t="shared" si="22" ref="AV36:AV45">SUM(AN36,AF36,P36,H36)</f>
        <v>112.59745086236947</v>
      </c>
      <c r="AW36" s="24"/>
      <c r="AX36" s="24">
        <f aca="true" t="shared" si="23" ref="AX36:AX45">SUM(AP36,AH36,R36,J36)</f>
        <v>109.05017344698994</v>
      </c>
      <c r="AY36" s="24"/>
      <c r="AZ36" s="28">
        <f aca="true" t="shared" si="24" ref="AZ36:AZ48">AVERAGE(AT36,AV36,AX36)</f>
        <v>106.5327507651077</v>
      </c>
    </row>
    <row r="37" spans="2:52" ht="12.75">
      <c r="B37" s="18" t="s">
        <v>84</v>
      </c>
      <c r="D37" s="18" t="s">
        <v>45</v>
      </c>
      <c r="F37" s="24">
        <f t="shared" si="1"/>
        <v>3.661705719101446</v>
      </c>
      <c r="H37" s="24">
        <f t="shared" si="2"/>
        <v>4.233847237711047</v>
      </c>
      <c r="J37" s="24">
        <f t="shared" si="3"/>
        <v>3.8905623265452864</v>
      </c>
      <c r="L37" s="24">
        <f t="shared" si="4"/>
        <v>3.9287050944525927</v>
      </c>
      <c r="M37" s="4"/>
      <c r="N37" s="24">
        <f t="shared" si="5"/>
        <v>11.557258675913939</v>
      </c>
      <c r="O37" s="4"/>
      <c r="P37" s="24">
        <f t="shared" si="6"/>
        <v>12.93039832057698</v>
      </c>
      <c r="Q37" s="4"/>
      <c r="R37" s="24">
        <f t="shared" si="7"/>
        <v>12.93039832057698</v>
      </c>
      <c r="S37" s="4"/>
      <c r="T37" s="24">
        <f t="shared" si="8"/>
        <v>12.472685105689298</v>
      </c>
      <c r="U37" s="24"/>
      <c r="V37" s="24">
        <f t="shared" si="9"/>
        <v>15.218964395015385</v>
      </c>
      <c r="W37" s="24"/>
      <c r="X37" s="24">
        <f t="shared" si="10"/>
        <v>17.164245558288027</v>
      </c>
      <c r="Y37" s="24"/>
      <c r="Z37" s="24">
        <f t="shared" si="11"/>
        <v>16.820960647122266</v>
      </c>
      <c r="AA37" s="24"/>
      <c r="AB37" s="24">
        <f t="shared" si="12"/>
        <v>16.40139020014189</v>
      </c>
      <c r="AC37" s="24"/>
      <c r="AD37" s="24">
        <f t="shared" si="13"/>
        <v>0.22885660744384037</v>
      </c>
      <c r="AE37" s="4"/>
      <c r="AF37" s="24">
        <f t="shared" si="14"/>
        <v>2.2885660744384038</v>
      </c>
      <c r="AG37" s="4"/>
      <c r="AH37" s="24">
        <f t="shared" si="15"/>
        <v>0.22885660744384037</v>
      </c>
      <c r="AI37" s="4"/>
      <c r="AJ37" s="24">
        <f t="shared" si="16"/>
        <v>0.22885660744384037</v>
      </c>
      <c r="AK37" s="24"/>
      <c r="AL37" s="24">
        <f t="shared" si="17"/>
        <v>1.1442830372192019</v>
      </c>
      <c r="AM37" s="4"/>
      <c r="AN37" s="24">
        <f t="shared" si="18"/>
        <v>1.1442830372192019</v>
      </c>
      <c r="AO37" s="4"/>
      <c r="AP37" s="24">
        <f t="shared" si="19"/>
        <v>1.2587113409411221</v>
      </c>
      <c r="AQ37" s="4"/>
      <c r="AR37" s="24">
        <f t="shared" si="20"/>
        <v>1.1442830372192019</v>
      </c>
      <c r="AS37" s="24"/>
      <c r="AT37" s="24">
        <f t="shared" si="21"/>
        <v>16.592104039678425</v>
      </c>
      <c r="AU37" s="24"/>
      <c r="AV37" s="24">
        <f t="shared" si="22"/>
        <v>20.597094669945633</v>
      </c>
      <c r="AW37" s="24"/>
      <c r="AX37" s="24">
        <f t="shared" si="23"/>
        <v>18.30852859550723</v>
      </c>
      <c r="AY37" s="24"/>
      <c r="AZ37" s="28">
        <f t="shared" si="24"/>
        <v>18.499242435043765</v>
      </c>
    </row>
    <row r="38" spans="2:52" ht="12.75">
      <c r="B38" s="18" t="s">
        <v>85</v>
      </c>
      <c r="D38" s="18" t="s">
        <v>45</v>
      </c>
      <c r="F38" s="24">
        <f t="shared" si="1"/>
        <v>1.830852859550723</v>
      </c>
      <c r="H38" s="24">
        <f t="shared" si="2"/>
        <v>2.1741377707164835</v>
      </c>
      <c r="J38" s="24">
        <f t="shared" si="3"/>
        <v>1.9452811632726432</v>
      </c>
      <c r="L38" s="24">
        <f t="shared" si="4"/>
        <v>1.98342393117995</v>
      </c>
      <c r="M38" s="4"/>
      <c r="N38" s="24">
        <f t="shared" si="5"/>
        <v>5.721415186096009</v>
      </c>
      <c r="O38" s="4"/>
      <c r="P38" s="24">
        <f t="shared" si="6"/>
        <v>6.5224133121494505</v>
      </c>
      <c r="Q38" s="4"/>
      <c r="R38" s="24">
        <f t="shared" si="7"/>
        <v>6.5224133121494505</v>
      </c>
      <c r="S38" s="4"/>
      <c r="T38" s="24">
        <f t="shared" si="8"/>
        <v>6.255413936798301</v>
      </c>
      <c r="U38" s="24"/>
      <c r="V38" s="24">
        <f t="shared" si="9"/>
        <v>7.552268045646732</v>
      </c>
      <c r="W38" s="24"/>
      <c r="X38" s="24">
        <f t="shared" si="10"/>
        <v>8.696551082865934</v>
      </c>
      <c r="Y38" s="24"/>
      <c r="Z38" s="24">
        <f t="shared" si="11"/>
        <v>8.467694475422094</v>
      </c>
      <c r="AA38" s="24"/>
      <c r="AB38" s="24">
        <f t="shared" si="12"/>
        <v>8.238837867978251</v>
      </c>
      <c r="AC38" s="24"/>
      <c r="AD38" s="24">
        <f t="shared" si="13"/>
        <v>4.233847237711047</v>
      </c>
      <c r="AE38" s="4"/>
      <c r="AF38" s="24">
        <f t="shared" si="14"/>
        <v>4.233847237711047</v>
      </c>
      <c r="AG38" s="4"/>
      <c r="AH38" s="24">
        <f t="shared" si="15"/>
        <v>4.233847237711047</v>
      </c>
      <c r="AI38" s="4"/>
      <c r="AJ38" s="24">
        <f t="shared" si="16"/>
        <v>4.233847237711047</v>
      </c>
      <c r="AK38" s="24"/>
      <c r="AL38" s="24">
        <f t="shared" si="17"/>
        <v>0.5721415186096009</v>
      </c>
      <c r="AM38" s="4"/>
      <c r="AN38" s="24">
        <f t="shared" si="18"/>
        <v>15.447821002459227</v>
      </c>
      <c r="AO38" s="4"/>
      <c r="AP38" s="24">
        <f t="shared" si="19"/>
        <v>0.5721415186096009</v>
      </c>
      <c r="AQ38" s="4"/>
      <c r="AR38" s="24">
        <f t="shared" si="20"/>
        <v>5.530701346559476</v>
      </c>
      <c r="AS38" s="24"/>
      <c r="AT38" s="24">
        <f t="shared" si="21"/>
        <v>12.35825680196738</v>
      </c>
      <c r="AU38" s="24"/>
      <c r="AV38" s="24">
        <f t="shared" si="22"/>
        <v>28.37821932303621</v>
      </c>
      <c r="AW38" s="24"/>
      <c r="AX38" s="24">
        <f t="shared" si="23"/>
        <v>13.27368323174274</v>
      </c>
      <c r="AY38" s="24"/>
      <c r="AZ38" s="28">
        <f t="shared" si="24"/>
        <v>18.003386452248776</v>
      </c>
    </row>
    <row r="39" spans="2:52" ht="12.75">
      <c r="B39" s="18" t="s">
        <v>86</v>
      </c>
      <c r="D39" s="18" t="s">
        <v>45</v>
      </c>
      <c r="F39" s="24">
        <f t="shared" si="1"/>
        <v>1.830852859550723</v>
      </c>
      <c r="H39" s="24">
        <f t="shared" si="2"/>
        <v>2.1741377707164835</v>
      </c>
      <c r="J39" s="24">
        <f t="shared" si="3"/>
        <v>1.9452811632726432</v>
      </c>
      <c r="L39" s="24">
        <f t="shared" si="4"/>
        <v>1.98342393117995</v>
      </c>
      <c r="M39" s="4"/>
      <c r="N39" s="24">
        <f t="shared" si="5"/>
        <v>5.721415186096009</v>
      </c>
      <c r="O39" s="4"/>
      <c r="P39" s="24">
        <f t="shared" si="6"/>
        <v>6.5224133121494505</v>
      </c>
      <c r="Q39" s="4"/>
      <c r="R39" s="24">
        <f t="shared" si="7"/>
        <v>6.5224133121494505</v>
      </c>
      <c r="S39" s="4"/>
      <c r="T39" s="24">
        <f t="shared" si="8"/>
        <v>6.255413936798301</v>
      </c>
      <c r="U39" s="24"/>
      <c r="V39" s="24">
        <f t="shared" si="9"/>
        <v>7.552268045646732</v>
      </c>
      <c r="W39" s="24"/>
      <c r="X39" s="24">
        <f t="shared" si="10"/>
        <v>8.696551082865934</v>
      </c>
      <c r="Y39" s="24"/>
      <c r="Z39" s="24">
        <f t="shared" si="11"/>
        <v>8.467694475422094</v>
      </c>
      <c r="AA39" s="24"/>
      <c r="AB39" s="24">
        <f t="shared" si="12"/>
        <v>8.238837867978251</v>
      </c>
      <c r="AC39" s="24"/>
      <c r="AD39" s="24">
        <f t="shared" si="13"/>
        <v>0</v>
      </c>
      <c r="AE39" s="4"/>
      <c r="AF39" s="24">
        <f t="shared" si="14"/>
        <v>0</v>
      </c>
      <c r="AG39" s="4"/>
      <c r="AH39" s="24">
        <f t="shared" si="15"/>
        <v>0</v>
      </c>
      <c r="AI39" s="4"/>
      <c r="AJ39" s="24">
        <f t="shared" si="16"/>
        <v>0</v>
      </c>
      <c r="AK39" s="24"/>
      <c r="AL39" s="24">
        <f t="shared" si="17"/>
        <v>0.5721415186096009</v>
      </c>
      <c r="AM39" s="4"/>
      <c r="AN39" s="24">
        <f t="shared" si="18"/>
        <v>0.5721415186096009</v>
      </c>
      <c r="AO39" s="4"/>
      <c r="AP39" s="24">
        <f t="shared" si="19"/>
        <v>0.5721415186096009</v>
      </c>
      <c r="AQ39" s="4"/>
      <c r="AR39" s="24">
        <f t="shared" si="20"/>
        <v>0.5721415186096009</v>
      </c>
      <c r="AS39" s="24"/>
      <c r="AT39" s="24">
        <f t="shared" si="21"/>
        <v>8.124409564256332</v>
      </c>
      <c r="AU39" s="24"/>
      <c r="AV39" s="24">
        <f t="shared" si="22"/>
        <v>9.268692601475536</v>
      </c>
      <c r="AW39" s="24"/>
      <c r="AX39" s="24">
        <f t="shared" si="23"/>
        <v>9.039835994031694</v>
      </c>
      <c r="AY39" s="24"/>
      <c r="AZ39" s="28">
        <f t="shared" si="24"/>
        <v>8.810979386587855</v>
      </c>
    </row>
    <row r="40" spans="2:52" ht="12.75">
      <c r="B40" s="18" t="s">
        <v>87</v>
      </c>
      <c r="D40" s="18" t="s">
        <v>45</v>
      </c>
      <c r="F40" s="24">
        <f t="shared" si="1"/>
        <v>1.830852859550723</v>
      </c>
      <c r="H40" s="24">
        <f t="shared" si="2"/>
        <v>2.1741377707164835</v>
      </c>
      <c r="J40" s="24">
        <f t="shared" si="3"/>
        <v>1.9452811632726432</v>
      </c>
      <c r="L40" s="24">
        <f t="shared" si="4"/>
        <v>1.98342393117995</v>
      </c>
      <c r="M40" s="4"/>
      <c r="N40" s="24">
        <f t="shared" si="5"/>
        <v>5.721415186096009</v>
      </c>
      <c r="O40" s="4"/>
      <c r="P40" s="24">
        <f t="shared" si="6"/>
        <v>6.5224133121494505</v>
      </c>
      <c r="Q40" s="4"/>
      <c r="R40" s="24">
        <f t="shared" si="7"/>
        <v>6.5224133121494505</v>
      </c>
      <c r="S40" s="4"/>
      <c r="T40" s="24">
        <f t="shared" si="8"/>
        <v>6.255413936798301</v>
      </c>
      <c r="U40" s="24"/>
      <c r="V40" s="24">
        <f t="shared" si="9"/>
        <v>7.552268045646732</v>
      </c>
      <c r="W40" s="24"/>
      <c r="X40" s="24">
        <f t="shared" si="10"/>
        <v>8.696551082865934</v>
      </c>
      <c r="Y40" s="24"/>
      <c r="Z40" s="24">
        <f t="shared" si="11"/>
        <v>8.467694475422094</v>
      </c>
      <c r="AA40" s="24"/>
      <c r="AB40" s="24">
        <f t="shared" si="12"/>
        <v>8.238837867978251</v>
      </c>
      <c r="AC40" s="24"/>
      <c r="AD40" s="24">
        <f t="shared" si="13"/>
        <v>0.11442830372192019</v>
      </c>
      <c r="AE40" s="4"/>
      <c r="AF40" s="24">
        <f t="shared" si="14"/>
        <v>0.11442830372192019</v>
      </c>
      <c r="AG40" s="4"/>
      <c r="AH40" s="24">
        <f t="shared" si="15"/>
        <v>0.11442830372192019</v>
      </c>
      <c r="AI40" s="4"/>
      <c r="AJ40" s="24">
        <f t="shared" si="16"/>
        <v>0.11442830372192019</v>
      </c>
      <c r="AK40" s="24"/>
      <c r="AL40" s="24">
        <f t="shared" si="17"/>
        <v>0.5721415186096009</v>
      </c>
      <c r="AM40" s="4"/>
      <c r="AN40" s="24">
        <f t="shared" si="18"/>
        <v>0.5721415186096009</v>
      </c>
      <c r="AO40" s="4"/>
      <c r="AP40" s="24">
        <f t="shared" si="19"/>
        <v>0.5721415186096009</v>
      </c>
      <c r="AQ40" s="4"/>
      <c r="AR40" s="24">
        <f t="shared" si="20"/>
        <v>0.5721415186096009</v>
      </c>
      <c r="AS40" s="24"/>
      <c r="AT40" s="24">
        <f t="shared" si="21"/>
        <v>8.238837867978253</v>
      </c>
      <c r="AU40" s="24"/>
      <c r="AV40" s="24">
        <f t="shared" si="22"/>
        <v>9.383120905197455</v>
      </c>
      <c r="AW40" s="24"/>
      <c r="AX40" s="24">
        <f t="shared" si="23"/>
        <v>9.154264297753615</v>
      </c>
      <c r="AY40" s="24"/>
      <c r="AZ40" s="28">
        <f t="shared" si="24"/>
        <v>8.925407690309774</v>
      </c>
    </row>
    <row r="41" spans="2:52" ht="12.75">
      <c r="B41" s="18" t="s">
        <v>88</v>
      </c>
      <c r="D41" s="18" t="s">
        <v>45</v>
      </c>
      <c r="F41" s="24">
        <f t="shared" si="1"/>
        <v>3.661705719101446</v>
      </c>
      <c r="H41" s="24">
        <f t="shared" si="2"/>
        <v>4.233847237711047</v>
      </c>
      <c r="J41" s="24">
        <f t="shared" si="3"/>
        <v>3.8905623265452864</v>
      </c>
      <c r="L41" s="24">
        <f t="shared" si="4"/>
        <v>3.9287050944525927</v>
      </c>
      <c r="M41" s="4"/>
      <c r="N41" s="24">
        <f t="shared" si="5"/>
        <v>11.557258675913939</v>
      </c>
      <c r="O41" s="4"/>
      <c r="P41" s="24">
        <f t="shared" si="6"/>
        <v>12.93039832057698</v>
      </c>
      <c r="Q41" s="4"/>
      <c r="R41" s="24">
        <f t="shared" si="7"/>
        <v>12.93039832057698</v>
      </c>
      <c r="S41" s="4"/>
      <c r="T41" s="24">
        <f t="shared" si="8"/>
        <v>12.472685105689298</v>
      </c>
      <c r="U41" s="24"/>
      <c r="V41" s="24">
        <f t="shared" si="9"/>
        <v>15.218964395015385</v>
      </c>
      <c r="W41" s="24"/>
      <c r="X41" s="24">
        <f t="shared" si="10"/>
        <v>17.164245558288027</v>
      </c>
      <c r="Y41" s="24"/>
      <c r="Z41" s="24">
        <f t="shared" si="11"/>
        <v>16.820960647122266</v>
      </c>
      <c r="AA41" s="24"/>
      <c r="AB41" s="24">
        <f t="shared" si="12"/>
        <v>16.40139020014189</v>
      </c>
      <c r="AC41" s="24"/>
      <c r="AD41" s="24">
        <f t="shared" si="13"/>
        <v>1.4875679483849624</v>
      </c>
      <c r="AE41" s="4"/>
      <c r="AF41" s="24">
        <f t="shared" si="14"/>
        <v>1.4875679483849624</v>
      </c>
      <c r="AG41" s="4"/>
      <c r="AH41" s="24">
        <f t="shared" si="15"/>
        <v>1.4875679483849624</v>
      </c>
      <c r="AI41" s="4"/>
      <c r="AJ41" s="24">
        <f t="shared" si="16"/>
        <v>1.4875679483849624</v>
      </c>
      <c r="AK41" s="24"/>
      <c r="AL41" s="24">
        <f t="shared" si="17"/>
        <v>1.1442830372192019</v>
      </c>
      <c r="AM41" s="4"/>
      <c r="AN41" s="24">
        <f t="shared" si="18"/>
        <v>1.1442830372192019</v>
      </c>
      <c r="AO41" s="4"/>
      <c r="AP41" s="24">
        <f t="shared" si="19"/>
        <v>1.2587113409411221</v>
      </c>
      <c r="AQ41" s="4"/>
      <c r="AR41" s="24">
        <f t="shared" si="20"/>
        <v>1.1824258051265084</v>
      </c>
      <c r="AS41" s="24"/>
      <c r="AT41" s="24">
        <f t="shared" si="21"/>
        <v>17.850815380619547</v>
      </c>
      <c r="AU41" s="24"/>
      <c r="AV41" s="24">
        <f t="shared" si="22"/>
        <v>19.79609654389219</v>
      </c>
      <c r="AW41" s="24"/>
      <c r="AX41" s="24">
        <f t="shared" si="23"/>
        <v>19.567239936448352</v>
      </c>
      <c r="AY41" s="24"/>
      <c r="AZ41" s="28">
        <f t="shared" si="24"/>
        <v>19.071383953653363</v>
      </c>
    </row>
    <row r="42" spans="2:52" ht="12.75">
      <c r="B42" s="18" t="s">
        <v>89</v>
      </c>
      <c r="D42" s="18" t="s">
        <v>45</v>
      </c>
      <c r="F42" s="24">
        <f t="shared" si="1"/>
        <v>3.661705719101446</v>
      </c>
      <c r="H42" s="24">
        <f t="shared" si="2"/>
        <v>4.233847237711047</v>
      </c>
      <c r="J42" s="24">
        <f t="shared" si="3"/>
        <v>3.8905623265452864</v>
      </c>
      <c r="L42" s="24">
        <f t="shared" si="4"/>
        <v>3.9287050944525927</v>
      </c>
      <c r="M42" s="4"/>
      <c r="N42" s="24">
        <f t="shared" si="5"/>
        <v>11.557258675913939</v>
      </c>
      <c r="O42" s="4"/>
      <c r="P42" s="24">
        <f t="shared" si="6"/>
        <v>12.93039832057698</v>
      </c>
      <c r="Q42" s="4"/>
      <c r="R42" s="24">
        <f t="shared" si="7"/>
        <v>12.93039832057698</v>
      </c>
      <c r="S42" s="4"/>
      <c r="T42" s="24">
        <f t="shared" si="8"/>
        <v>12.472685105689298</v>
      </c>
      <c r="U42" s="24"/>
      <c r="V42" s="24">
        <f t="shared" si="9"/>
        <v>15.218964395015385</v>
      </c>
      <c r="W42" s="24"/>
      <c r="X42" s="24">
        <f t="shared" si="10"/>
        <v>17.164245558288027</v>
      </c>
      <c r="Y42" s="24"/>
      <c r="Z42" s="24">
        <f t="shared" si="11"/>
        <v>16.820960647122266</v>
      </c>
      <c r="AA42" s="24"/>
      <c r="AB42" s="24">
        <f t="shared" si="12"/>
        <v>16.40139020014189</v>
      </c>
      <c r="AC42" s="24"/>
      <c r="AD42" s="24">
        <f t="shared" si="13"/>
        <v>0.22885660744384037</v>
      </c>
      <c r="AE42" s="4"/>
      <c r="AF42" s="24">
        <f t="shared" si="14"/>
        <v>0.22885660744384037</v>
      </c>
      <c r="AG42" s="4"/>
      <c r="AH42" s="24">
        <f t="shared" si="15"/>
        <v>0.22885660744384037</v>
      </c>
      <c r="AI42" s="4"/>
      <c r="AJ42" s="24">
        <f t="shared" si="16"/>
        <v>0.22885660744384037</v>
      </c>
      <c r="AK42" s="24"/>
      <c r="AL42" s="24">
        <f t="shared" si="17"/>
        <v>1.1442830372192019</v>
      </c>
      <c r="AM42" s="4"/>
      <c r="AN42" s="24">
        <f t="shared" si="18"/>
        <v>1.1442830372192019</v>
      </c>
      <c r="AO42" s="4"/>
      <c r="AP42" s="24">
        <f t="shared" si="19"/>
        <v>1.2587113409411221</v>
      </c>
      <c r="AQ42" s="4"/>
      <c r="AR42" s="24">
        <f t="shared" si="20"/>
        <v>1.1824258051265084</v>
      </c>
      <c r="AS42" s="24"/>
      <c r="AT42" s="24">
        <f t="shared" si="21"/>
        <v>16.592104039678425</v>
      </c>
      <c r="AU42" s="24"/>
      <c r="AV42" s="24">
        <f t="shared" si="22"/>
        <v>18.537385202951068</v>
      </c>
      <c r="AW42" s="24"/>
      <c r="AX42" s="24">
        <f t="shared" si="23"/>
        <v>18.30852859550723</v>
      </c>
      <c r="AY42" s="24"/>
      <c r="AZ42" s="28">
        <f t="shared" si="24"/>
        <v>17.812672612712237</v>
      </c>
    </row>
    <row r="43" spans="2:52" ht="12.75">
      <c r="B43" s="18" t="s">
        <v>90</v>
      </c>
      <c r="D43" s="18" t="s">
        <v>45</v>
      </c>
      <c r="F43" s="24">
        <f t="shared" si="1"/>
        <v>1.9452811632726432</v>
      </c>
      <c r="H43" s="24">
        <f t="shared" si="2"/>
        <v>2.402994378160323</v>
      </c>
      <c r="J43" s="24">
        <f t="shared" si="3"/>
        <v>1.0298547334972816</v>
      </c>
      <c r="L43" s="24">
        <f t="shared" si="4"/>
        <v>1.7927100916434162</v>
      </c>
      <c r="M43" s="4"/>
      <c r="N43" s="24">
        <f t="shared" si="5"/>
        <v>2.8607075930480046</v>
      </c>
      <c r="O43" s="4"/>
      <c r="P43" s="24">
        <f t="shared" si="6"/>
        <v>3.203992504213766</v>
      </c>
      <c r="Q43" s="4"/>
      <c r="R43" s="24">
        <f t="shared" si="7"/>
        <v>3.203992504213766</v>
      </c>
      <c r="S43" s="4"/>
      <c r="T43" s="24">
        <f t="shared" si="8"/>
        <v>3.089564200491845</v>
      </c>
      <c r="U43" s="24"/>
      <c r="V43" s="24">
        <f t="shared" si="9"/>
        <v>4.805988756320648</v>
      </c>
      <c r="W43" s="24"/>
      <c r="X43" s="24">
        <f t="shared" si="10"/>
        <v>5.606986882374089</v>
      </c>
      <c r="Y43" s="24"/>
      <c r="Z43" s="24">
        <f t="shared" si="11"/>
        <v>4.233847237711047</v>
      </c>
      <c r="AA43" s="24"/>
      <c r="AB43" s="24">
        <f t="shared" si="12"/>
        <v>4.8822742921352615</v>
      </c>
      <c r="AC43" s="24"/>
      <c r="AD43" s="24">
        <f t="shared" si="13"/>
        <v>0</v>
      </c>
      <c r="AE43" s="4"/>
      <c r="AF43" s="24">
        <f t="shared" si="14"/>
        <v>0</v>
      </c>
      <c r="AG43" s="4"/>
      <c r="AH43" s="24">
        <f t="shared" si="15"/>
        <v>0</v>
      </c>
      <c r="AI43" s="4"/>
      <c r="AJ43" s="24">
        <f t="shared" si="16"/>
        <v>0</v>
      </c>
      <c r="AK43" s="24"/>
      <c r="AL43" s="24">
        <f t="shared" si="17"/>
        <v>0.22885660744384037</v>
      </c>
      <c r="AM43" s="4"/>
      <c r="AN43" s="24">
        <f t="shared" si="18"/>
        <v>0.3432849111657606</v>
      </c>
      <c r="AO43" s="4"/>
      <c r="AP43" s="24">
        <f t="shared" si="19"/>
        <v>0.3432849111657606</v>
      </c>
      <c r="AQ43" s="4"/>
      <c r="AR43" s="24">
        <f t="shared" si="20"/>
        <v>0.30437928790030766</v>
      </c>
      <c r="AS43" s="24"/>
      <c r="AT43" s="24">
        <f t="shared" si="21"/>
        <v>5.0348453637644885</v>
      </c>
      <c r="AU43" s="24"/>
      <c r="AV43" s="24">
        <f t="shared" si="22"/>
        <v>5.95027179353985</v>
      </c>
      <c r="AW43" s="24"/>
      <c r="AX43" s="24">
        <f t="shared" si="23"/>
        <v>4.577132148876808</v>
      </c>
      <c r="AY43" s="24"/>
      <c r="AZ43" s="28">
        <f t="shared" si="24"/>
        <v>5.1874164353937156</v>
      </c>
    </row>
    <row r="44" spans="2:52" ht="12.75">
      <c r="B44" s="18" t="s">
        <v>91</v>
      </c>
      <c r="D44" s="18" t="s">
        <v>45</v>
      </c>
      <c r="F44" s="24">
        <f t="shared" si="1"/>
        <v>1.830852859550723</v>
      </c>
      <c r="H44" s="24">
        <f t="shared" si="2"/>
        <v>2.1741377707164835</v>
      </c>
      <c r="J44" s="24">
        <f t="shared" si="3"/>
        <v>1.9452811632726432</v>
      </c>
      <c r="L44" s="24">
        <f t="shared" si="4"/>
        <v>1.9452811632726432</v>
      </c>
      <c r="M44" s="4"/>
      <c r="N44" s="24">
        <f t="shared" si="5"/>
        <v>5.721415186096009</v>
      </c>
      <c r="O44" s="4"/>
      <c r="P44" s="24">
        <f t="shared" si="6"/>
        <v>6.5224133121494505</v>
      </c>
      <c r="Q44" s="4"/>
      <c r="R44" s="24">
        <f t="shared" si="7"/>
        <v>6.5224133121494505</v>
      </c>
      <c r="S44" s="4"/>
      <c r="T44" s="24">
        <f t="shared" si="8"/>
        <v>6.255413936798301</v>
      </c>
      <c r="U44" s="24"/>
      <c r="V44" s="24">
        <f t="shared" si="9"/>
        <v>7.552268045646732</v>
      </c>
      <c r="W44" s="24"/>
      <c r="X44" s="24">
        <f t="shared" si="10"/>
        <v>8.696551082865934</v>
      </c>
      <c r="Y44" s="24"/>
      <c r="Z44" s="24">
        <f t="shared" si="11"/>
        <v>8.467694475422094</v>
      </c>
      <c r="AA44" s="24"/>
      <c r="AB44" s="24">
        <f t="shared" si="12"/>
        <v>8.200695100070945</v>
      </c>
      <c r="AC44" s="24"/>
      <c r="AD44" s="24">
        <f t="shared" si="13"/>
        <v>1.0298547334972816</v>
      </c>
      <c r="AE44" s="4"/>
      <c r="AF44" s="24">
        <f t="shared" si="14"/>
        <v>1.0298547334972816</v>
      </c>
      <c r="AG44" s="4"/>
      <c r="AH44" s="24">
        <f t="shared" si="15"/>
        <v>1.0298547334972816</v>
      </c>
      <c r="AI44" s="4"/>
      <c r="AJ44" s="24">
        <f t="shared" si="16"/>
        <v>1.0298547334972816</v>
      </c>
      <c r="AK44" s="24"/>
      <c r="AL44" s="24">
        <f t="shared" si="17"/>
        <v>0.8009981260534415</v>
      </c>
      <c r="AM44" s="4"/>
      <c r="AN44" s="24">
        <f t="shared" si="18"/>
        <v>0.5721415186096009</v>
      </c>
      <c r="AO44" s="4"/>
      <c r="AP44" s="24">
        <f t="shared" si="19"/>
        <v>0.5721415186096009</v>
      </c>
      <c r="AQ44" s="4"/>
      <c r="AR44" s="24">
        <f t="shared" si="20"/>
        <v>0.6484270544242144</v>
      </c>
      <c r="AS44" s="24"/>
      <c r="AT44" s="24">
        <f t="shared" si="21"/>
        <v>9.383120905197455</v>
      </c>
      <c r="AU44" s="24"/>
      <c r="AV44" s="24">
        <f t="shared" si="22"/>
        <v>10.298547334972817</v>
      </c>
      <c r="AW44" s="24"/>
      <c r="AX44" s="24">
        <f t="shared" si="23"/>
        <v>10.069690727528975</v>
      </c>
      <c r="AY44" s="24"/>
      <c r="AZ44" s="28">
        <f t="shared" si="24"/>
        <v>9.917119655899748</v>
      </c>
    </row>
    <row r="45" spans="2:52" ht="12.75">
      <c r="B45" s="18" t="s">
        <v>92</v>
      </c>
      <c r="D45" s="18" t="s">
        <v>45</v>
      </c>
      <c r="F45" s="24">
        <f t="shared" si="1"/>
        <v>3.661705719101446</v>
      </c>
      <c r="H45" s="24">
        <f t="shared" si="2"/>
        <v>4.233847237711047</v>
      </c>
      <c r="J45" s="24">
        <f t="shared" si="3"/>
        <v>3.8905623265452864</v>
      </c>
      <c r="L45" s="24">
        <f t="shared" si="4"/>
        <v>3.8905623265452864</v>
      </c>
      <c r="M45" s="4"/>
      <c r="N45" s="24">
        <f t="shared" si="5"/>
        <v>11.557258675913939</v>
      </c>
      <c r="O45" s="4"/>
      <c r="P45" s="24">
        <f t="shared" si="6"/>
        <v>12.93039832057698</v>
      </c>
      <c r="Q45" s="4"/>
      <c r="R45" s="24">
        <f t="shared" si="7"/>
        <v>12.93039832057698</v>
      </c>
      <c r="S45" s="4"/>
      <c r="T45" s="24">
        <f t="shared" si="8"/>
        <v>12.472685105689298</v>
      </c>
      <c r="U45" s="24"/>
      <c r="V45" s="24">
        <f t="shared" si="9"/>
        <v>15.218964395015385</v>
      </c>
      <c r="W45" s="24"/>
      <c r="X45" s="24">
        <f t="shared" si="10"/>
        <v>17.164245558288027</v>
      </c>
      <c r="Y45" s="24"/>
      <c r="Z45" s="24">
        <f t="shared" si="11"/>
        <v>16.820960647122266</v>
      </c>
      <c r="AA45" s="24"/>
      <c r="AB45" s="24">
        <f t="shared" si="12"/>
        <v>16.363247432234584</v>
      </c>
      <c r="AC45" s="24"/>
      <c r="AD45" s="24">
        <f t="shared" si="13"/>
        <v>0.3432849111657606</v>
      </c>
      <c r="AE45" s="4"/>
      <c r="AF45" s="24">
        <f t="shared" si="14"/>
        <v>0.3432849111657606</v>
      </c>
      <c r="AG45" s="4"/>
      <c r="AH45" s="24">
        <f t="shared" si="15"/>
        <v>0.3432849111657606</v>
      </c>
      <c r="AI45" s="4"/>
      <c r="AJ45" s="24">
        <f t="shared" si="16"/>
        <v>0.3432849111657606</v>
      </c>
      <c r="AK45" s="24"/>
      <c r="AL45" s="24">
        <f t="shared" si="17"/>
        <v>1.1442830372192019</v>
      </c>
      <c r="AM45" s="4"/>
      <c r="AN45" s="24">
        <f t="shared" si="18"/>
        <v>1.1442830372192019</v>
      </c>
      <c r="AO45" s="4"/>
      <c r="AP45" s="24">
        <f t="shared" si="19"/>
        <v>1.2587113409411221</v>
      </c>
      <c r="AQ45" s="4"/>
      <c r="AR45" s="24">
        <f t="shared" si="20"/>
        <v>1.1824258051265084</v>
      </c>
      <c r="AS45" s="24"/>
      <c r="AT45" s="24">
        <f t="shared" si="21"/>
        <v>16.706532343400347</v>
      </c>
      <c r="AU45" s="24"/>
      <c r="AV45" s="24">
        <f t="shared" si="22"/>
        <v>18.65181350667299</v>
      </c>
      <c r="AW45" s="24"/>
      <c r="AX45" s="24">
        <f t="shared" si="23"/>
        <v>18.42295689922915</v>
      </c>
      <c r="AY45" s="24"/>
      <c r="AZ45" s="28">
        <f t="shared" si="24"/>
        <v>17.92710091643416</v>
      </c>
    </row>
    <row r="46" spans="6:52" ht="12.75">
      <c r="F46" s="24"/>
      <c r="H46" s="24"/>
      <c r="J46" s="24"/>
      <c r="L46" s="24"/>
      <c r="M46" s="4"/>
      <c r="N46" s="24"/>
      <c r="O46" s="4"/>
      <c r="P46" s="24"/>
      <c r="Q46" s="4"/>
      <c r="R46" s="24"/>
      <c r="S46" s="4"/>
      <c r="T46" s="24"/>
      <c r="U46" s="24"/>
      <c r="V46" s="24"/>
      <c r="W46" s="24"/>
      <c r="X46" s="24"/>
      <c r="Y46" s="24"/>
      <c r="Z46" s="24"/>
      <c r="AA46" s="24"/>
      <c r="AB46" s="24"/>
      <c r="AD46" s="24"/>
      <c r="AE46" s="4"/>
      <c r="AF46" s="24"/>
      <c r="AG46" s="4"/>
      <c r="AH46" s="24"/>
      <c r="AI46" s="4"/>
      <c r="AJ46" s="24"/>
      <c r="AK46" s="24"/>
      <c r="AL46" s="24"/>
      <c r="AM46" s="4"/>
      <c r="AN46" s="24"/>
      <c r="AO46" s="4"/>
      <c r="AP46" s="24"/>
      <c r="AQ46" s="4"/>
      <c r="AR46" s="24"/>
      <c r="AS46" s="4"/>
      <c r="AT46" s="4"/>
      <c r="AU46" s="4"/>
      <c r="AV46" s="4"/>
      <c r="AW46" s="4"/>
      <c r="AX46" s="4"/>
      <c r="AY46" s="4"/>
      <c r="AZ46" s="28"/>
    </row>
    <row r="47" spans="2:52" ht="12.75">
      <c r="B47" s="18" t="s">
        <v>49</v>
      </c>
      <c r="D47" s="18" t="s">
        <v>45</v>
      </c>
      <c r="F47" s="24">
        <f>(F42+F40)</f>
        <v>5.492558578652169</v>
      </c>
      <c r="H47" s="24">
        <f>(H42+H40)</f>
        <v>6.407985008427531</v>
      </c>
      <c r="J47" s="24">
        <f>(J42+J40)</f>
        <v>5.83584348981793</v>
      </c>
      <c r="L47" s="24">
        <f>(L42+L40)</f>
        <v>5.9121290256325425</v>
      </c>
      <c r="M47" s="4"/>
      <c r="N47" s="24">
        <f>(N42+N40)</f>
        <v>17.27867386200995</v>
      </c>
      <c r="O47" s="4"/>
      <c r="P47" s="24">
        <f>(P42+P40)</f>
        <v>19.45281163272643</v>
      </c>
      <c r="Q47" s="4"/>
      <c r="R47" s="24">
        <f>(R42+R40)</f>
        <v>19.45281163272643</v>
      </c>
      <c r="S47" s="4"/>
      <c r="T47" s="24">
        <f>(T42+T40)</f>
        <v>18.7280990424876</v>
      </c>
      <c r="U47" s="24"/>
      <c r="V47" s="24">
        <f t="shared" si="9"/>
        <v>22.771232440662118</v>
      </c>
      <c r="W47" s="24"/>
      <c r="X47" s="24">
        <f t="shared" si="10"/>
        <v>25.86079664115396</v>
      </c>
      <c r="Y47" s="24"/>
      <c r="Z47" s="24">
        <f t="shared" si="11"/>
        <v>25.28865512254436</v>
      </c>
      <c r="AA47" s="24"/>
      <c r="AB47" s="24">
        <f t="shared" si="12"/>
        <v>24.64022806812014</v>
      </c>
      <c r="AC47" s="24"/>
      <c r="AD47" s="24">
        <f>(AD42+AD40)</f>
        <v>0.34328491116576054</v>
      </c>
      <c r="AE47" s="4"/>
      <c r="AF47" s="24">
        <f>(AF42+AF40)</f>
        <v>0.34328491116576054</v>
      </c>
      <c r="AG47" s="4"/>
      <c r="AH47" s="24">
        <f>(AH42+AH40)</f>
        <v>0.34328491116576054</v>
      </c>
      <c r="AI47" s="4"/>
      <c r="AJ47" s="24">
        <f>(AJ42+AJ40)</f>
        <v>0.34328491116576054</v>
      </c>
      <c r="AK47" s="24"/>
      <c r="AL47" s="24">
        <f>(AL42+AL40)</f>
        <v>1.716424555828803</v>
      </c>
      <c r="AM47" s="4"/>
      <c r="AN47" s="24">
        <f>(AN42+AN40)</f>
        <v>1.716424555828803</v>
      </c>
      <c r="AO47" s="4"/>
      <c r="AP47" s="24">
        <f>(AP42+AP40)</f>
        <v>1.8308528595507232</v>
      </c>
      <c r="AQ47" s="4"/>
      <c r="AR47" s="24">
        <f>(AR42+AR40)</f>
        <v>1.7545673237361092</v>
      </c>
      <c r="AS47" s="24"/>
      <c r="AT47" s="24">
        <f>SUM(AL47,AD47,N47,F47)</f>
        <v>24.830941907656683</v>
      </c>
      <c r="AU47" s="24"/>
      <c r="AV47" s="24">
        <f>SUM(AN47,AF47,P47,H47)</f>
        <v>27.920506108148523</v>
      </c>
      <c r="AW47" s="24"/>
      <c r="AX47" s="24">
        <f>SUM(AP47,AH47,R47,J47)</f>
        <v>27.462792893260843</v>
      </c>
      <c r="AY47" s="24"/>
      <c r="AZ47" s="28">
        <f t="shared" si="24"/>
        <v>26.738080303022016</v>
      </c>
    </row>
    <row r="48" spans="2:52" ht="12.75">
      <c r="B48" s="18" t="s">
        <v>50</v>
      </c>
      <c r="D48" s="18" t="s">
        <v>45</v>
      </c>
      <c r="F48" s="24">
        <f>(F37+F39+F41)</f>
        <v>9.154264297753615</v>
      </c>
      <c r="H48" s="24">
        <f>(H37+H39+H41)</f>
        <v>10.641832246138577</v>
      </c>
      <c r="J48" s="24">
        <f>(J37+J39+J41)</f>
        <v>9.726405816363217</v>
      </c>
      <c r="L48" s="24">
        <f>(L37+L39+L41)</f>
        <v>9.840834120085136</v>
      </c>
      <c r="M48" s="4"/>
      <c r="N48" s="24">
        <f>(N37+N39+N41)</f>
        <v>28.835932537923888</v>
      </c>
      <c r="O48" s="4"/>
      <c r="P48" s="24">
        <f>(P37+P39+P41)</f>
        <v>32.38320995330341</v>
      </c>
      <c r="Q48" s="4"/>
      <c r="R48" s="24">
        <f>(R37+R39+R41)</f>
        <v>32.38320995330341</v>
      </c>
      <c r="S48" s="4"/>
      <c r="T48" s="24">
        <f>(T37+T39+T41)</f>
        <v>31.200784148176897</v>
      </c>
      <c r="U48" s="24"/>
      <c r="V48" s="24">
        <f t="shared" si="9"/>
        <v>37.9901968356775</v>
      </c>
      <c r="W48" s="24"/>
      <c r="X48" s="24">
        <f t="shared" si="10"/>
        <v>43.025042199441984</v>
      </c>
      <c r="Y48" s="24"/>
      <c r="Z48" s="24">
        <f t="shared" si="11"/>
        <v>42.109615769666625</v>
      </c>
      <c r="AA48" s="24"/>
      <c r="AB48" s="24">
        <f t="shared" si="12"/>
        <v>41.041618268262035</v>
      </c>
      <c r="AC48" s="24"/>
      <c r="AD48" s="24">
        <f>(AD37+AD39+AD41)</f>
        <v>1.7164245558288027</v>
      </c>
      <c r="AE48" s="4"/>
      <c r="AF48" s="24">
        <f>(AF37+AF39+AF41)</f>
        <v>3.776134022823366</v>
      </c>
      <c r="AG48" s="4"/>
      <c r="AH48" s="24">
        <f>(AH37+AH39+AH41)</f>
        <v>1.7164245558288027</v>
      </c>
      <c r="AI48" s="4"/>
      <c r="AJ48" s="24">
        <f>(AJ37+AJ39+AJ41)</f>
        <v>1.7164245558288027</v>
      </c>
      <c r="AK48" s="24"/>
      <c r="AL48" s="24">
        <f>(AL37+AL39+AL41)</f>
        <v>2.860707593048005</v>
      </c>
      <c r="AM48" s="4"/>
      <c r="AN48" s="24">
        <f>(AN37+AN39+AN41)</f>
        <v>2.860707593048005</v>
      </c>
      <c r="AO48" s="4"/>
      <c r="AP48" s="24">
        <f>(AP37+AP39+AP41)</f>
        <v>3.0895642004918455</v>
      </c>
      <c r="AQ48" s="4"/>
      <c r="AR48" s="24">
        <f>(AR37+AR39+AR41)</f>
        <v>2.8988503609553113</v>
      </c>
      <c r="AS48" s="24"/>
      <c r="AT48" s="24">
        <f>SUM(AL48,AD48,N48,F48)</f>
        <v>42.56732898455431</v>
      </c>
      <c r="AU48" s="24"/>
      <c r="AV48" s="24">
        <f>SUM(AN48,AF48,P48,H48)</f>
        <v>49.66188381531335</v>
      </c>
      <c r="AW48" s="24"/>
      <c r="AX48" s="24">
        <f>SUM(AP48,AH48,R48,J48)</f>
        <v>46.91560452598727</v>
      </c>
      <c r="AY48" s="24"/>
      <c r="AZ48" s="28">
        <f t="shared" si="24"/>
        <v>46.38160577528498</v>
      </c>
    </row>
    <row r="49" spans="13:51" ht="12.75">
      <c r="M49" s="4"/>
      <c r="N49" s="4"/>
      <c r="O49" s="4"/>
      <c r="P49" s="4"/>
      <c r="Q49" s="4"/>
      <c r="R49" s="4"/>
      <c r="S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3:51" ht="12.75">
      <c r="M50" s="4"/>
      <c r="N50" s="4"/>
      <c r="O50" s="4"/>
      <c r="P50" s="4"/>
      <c r="Q50" s="4"/>
      <c r="R50" s="4"/>
      <c r="S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3:51" ht="12.75">
      <c r="M51" s="4"/>
      <c r="N51" s="4"/>
      <c r="O51" s="4"/>
      <c r="P51" s="4"/>
      <c r="Q51" s="4"/>
      <c r="R51" s="4"/>
      <c r="S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2" ht="12.75">
      <c r="A52" s="20" t="s">
        <v>107</v>
      </c>
      <c r="B52" s="17" t="s">
        <v>105</v>
      </c>
      <c r="C52" s="17"/>
      <c r="F52" s="4" t="s">
        <v>113</v>
      </c>
      <c r="H52" s="4" t="s">
        <v>114</v>
      </c>
      <c r="J52" s="4" t="s">
        <v>115</v>
      </c>
      <c r="L52" s="19" t="s">
        <v>28</v>
      </c>
      <c r="N52" s="4" t="s">
        <v>113</v>
      </c>
      <c r="O52" s="4"/>
      <c r="P52" s="4" t="s">
        <v>114</v>
      </c>
      <c r="Q52" s="4"/>
      <c r="R52" s="4" t="s">
        <v>115</v>
      </c>
      <c r="S52" s="4"/>
      <c r="T52" s="19" t="s">
        <v>28</v>
      </c>
      <c r="U52" s="19"/>
      <c r="V52" s="19"/>
      <c r="W52" s="19"/>
      <c r="X52" s="19"/>
      <c r="Y52" s="19"/>
      <c r="Z52" s="19"/>
      <c r="AA52" s="19"/>
      <c r="AB52" s="19"/>
      <c r="AD52" s="4" t="s">
        <v>113</v>
      </c>
      <c r="AE52" s="4"/>
      <c r="AF52" s="4" t="s">
        <v>114</v>
      </c>
      <c r="AG52" s="4"/>
      <c r="AH52" s="4" t="s">
        <v>115</v>
      </c>
      <c r="AI52" s="4"/>
      <c r="AJ52" s="19" t="s">
        <v>28</v>
      </c>
      <c r="AL52" s="4" t="s">
        <v>113</v>
      </c>
      <c r="AM52" s="4"/>
      <c r="AN52" s="4" t="s">
        <v>114</v>
      </c>
      <c r="AO52" s="4"/>
      <c r="AP52" s="4" t="s">
        <v>115</v>
      </c>
      <c r="AQ52" s="4"/>
      <c r="AR52" s="19" t="s">
        <v>28</v>
      </c>
      <c r="AT52" s="4" t="s">
        <v>113</v>
      </c>
      <c r="AU52" s="4"/>
      <c r="AV52" s="4" t="s">
        <v>114</v>
      </c>
      <c r="AW52" s="4"/>
      <c r="AX52" s="4" t="s">
        <v>115</v>
      </c>
      <c r="AY52" s="4"/>
      <c r="AZ52" s="19" t="s">
        <v>28</v>
      </c>
    </row>
    <row r="53" spans="20:43" ht="12.75"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2:52" ht="12.75">
      <c r="B54" s="18" t="s">
        <v>131</v>
      </c>
      <c r="F54" s="4" t="s">
        <v>134</v>
      </c>
      <c r="H54" s="4" t="s">
        <v>134</v>
      </c>
      <c r="J54" s="4" t="s">
        <v>134</v>
      </c>
      <c r="L54" s="4" t="s">
        <v>134</v>
      </c>
      <c r="N54" s="4" t="s">
        <v>135</v>
      </c>
      <c r="P54" s="4" t="s">
        <v>135</v>
      </c>
      <c r="R54" s="4" t="s">
        <v>135</v>
      </c>
      <c r="T54" s="4" t="s">
        <v>135</v>
      </c>
      <c r="U54" s="4"/>
      <c r="V54" s="4"/>
      <c r="W54" s="4"/>
      <c r="X54" s="4"/>
      <c r="Y54" s="4"/>
      <c r="Z54" s="4"/>
      <c r="AA54" s="4"/>
      <c r="AB54" s="4"/>
      <c r="AC54" s="19"/>
      <c r="AD54" s="4" t="s">
        <v>136</v>
      </c>
      <c r="AE54" s="19"/>
      <c r="AF54" s="4" t="s">
        <v>136</v>
      </c>
      <c r="AG54" s="19"/>
      <c r="AH54" s="4" t="s">
        <v>136</v>
      </c>
      <c r="AI54" s="19"/>
      <c r="AJ54" s="4" t="s">
        <v>136</v>
      </c>
      <c r="AK54" s="19"/>
      <c r="AL54" s="4" t="s">
        <v>138</v>
      </c>
      <c r="AM54" s="19"/>
      <c r="AN54" s="4" t="s">
        <v>138</v>
      </c>
      <c r="AO54" s="19"/>
      <c r="AP54" s="4" t="s">
        <v>138</v>
      </c>
      <c r="AQ54" s="19"/>
      <c r="AR54" s="4" t="s">
        <v>138</v>
      </c>
      <c r="AT54" s="4" t="s">
        <v>139</v>
      </c>
      <c r="AV54" s="4" t="s">
        <v>139</v>
      </c>
      <c r="AX54" s="4" t="s">
        <v>139</v>
      </c>
      <c r="AZ54" s="4" t="s">
        <v>139</v>
      </c>
    </row>
    <row r="55" spans="2:52" ht="12.75">
      <c r="B55" s="18" t="s">
        <v>132</v>
      </c>
      <c r="F55" s="4" t="s">
        <v>133</v>
      </c>
      <c r="H55" s="4" t="s">
        <v>133</v>
      </c>
      <c r="J55" s="4" t="s">
        <v>133</v>
      </c>
      <c r="L55" s="4" t="s">
        <v>133</v>
      </c>
      <c r="N55" s="4" t="s">
        <v>133</v>
      </c>
      <c r="P55" s="4" t="s">
        <v>133</v>
      </c>
      <c r="R55" s="4" t="s">
        <v>133</v>
      </c>
      <c r="T55" s="4" t="s">
        <v>133</v>
      </c>
      <c r="U55" s="4"/>
      <c r="V55" s="4"/>
      <c r="W55" s="4"/>
      <c r="X55" s="4"/>
      <c r="Y55" s="4"/>
      <c r="Z55" s="4"/>
      <c r="AA55" s="4"/>
      <c r="AB55" s="4"/>
      <c r="AC55" s="19"/>
      <c r="AD55" s="4" t="s">
        <v>137</v>
      </c>
      <c r="AE55" s="19"/>
      <c r="AF55" s="4" t="s">
        <v>137</v>
      </c>
      <c r="AG55" s="19"/>
      <c r="AH55" s="4" t="s">
        <v>137</v>
      </c>
      <c r="AI55" s="19"/>
      <c r="AJ55" s="4" t="s">
        <v>137</v>
      </c>
      <c r="AK55" s="19"/>
      <c r="AL55" s="4" t="s">
        <v>35</v>
      </c>
      <c r="AM55" s="19"/>
      <c r="AN55" s="4" t="s">
        <v>35</v>
      </c>
      <c r="AO55" s="19"/>
      <c r="AP55" s="4" t="s">
        <v>35</v>
      </c>
      <c r="AQ55" s="19"/>
      <c r="AR55" s="4" t="s">
        <v>35</v>
      </c>
      <c r="AT55" s="4" t="s">
        <v>67</v>
      </c>
      <c r="AV55" s="4" t="s">
        <v>67</v>
      </c>
      <c r="AX55" s="4" t="s">
        <v>67</v>
      </c>
      <c r="AZ55" s="4" t="s">
        <v>67</v>
      </c>
    </row>
    <row r="56" spans="2:52" ht="12.75">
      <c r="B56" s="18" t="s">
        <v>140</v>
      </c>
      <c r="L56" s="4"/>
      <c r="N56" s="4"/>
      <c r="P56" s="4"/>
      <c r="R56" s="4"/>
      <c r="T56" s="4"/>
      <c r="U56" s="4"/>
      <c r="V56" s="4" t="s">
        <v>47</v>
      </c>
      <c r="W56" s="4"/>
      <c r="X56" s="4" t="s">
        <v>47</v>
      </c>
      <c r="Y56" s="4"/>
      <c r="Z56" s="4" t="s">
        <v>47</v>
      </c>
      <c r="AA56" s="4"/>
      <c r="AB56" s="4" t="s">
        <v>47</v>
      </c>
      <c r="AC56" s="19"/>
      <c r="AD56" s="4" t="s">
        <v>141</v>
      </c>
      <c r="AE56" s="19"/>
      <c r="AF56" s="4" t="s">
        <v>141</v>
      </c>
      <c r="AG56" s="19"/>
      <c r="AH56" s="4" t="s">
        <v>141</v>
      </c>
      <c r="AI56" s="19"/>
      <c r="AJ56" s="4" t="s">
        <v>141</v>
      </c>
      <c r="AK56" s="19"/>
      <c r="AL56" s="4" t="s">
        <v>35</v>
      </c>
      <c r="AM56" s="19"/>
      <c r="AN56" s="4" t="s">
        <v>35</v>
      </c>
      <c r="AO56" s="19"/>
      <c r="AP56" s="4" t="s">
        <v>35</v>
      </c>
      <c r="AQ56" s="19"/>
      <c r="AR56" s="4" t="s">
        <v>35</v>
      </c>
      <c r="AT56" s="4" t="s">
        <v>67</v>
      </c>
      <c r="AV56" s="4" t="s">
        <v>67</v>
      </c>
      <c r="AX56" s="4" t="s">
        <v>67</v>
      </c>
      <c r="AZ56" s="4" t="s">
        <v>67</v>
      </c>
    </row>
    <row r="57" spans="2:52" ht="12.75">
      <c r="B57" s="18" t="s">
        <v>104</v>
      </c>
      <c r="F57" s="19" t="s">
        <v>65</v>
      </c>
      <c r="H57" s="19" t="s">
        <v>65</v>
      </c>
      <c r="J57" s="19" t="s">
        <v>65</v>
      </c>
      <c r="L57" s="19" t="s">
        <v>65</v>
      </c>
      <c r="M57" s="19"/>
      <c r="N57" s="19" t="s">
        <v>66</v>
      </c>
      <c r="O57" s="19"/>
      <c r="P57" s="19" t="s">
        <v>66</v>
      </c>
      <c r="Q57" s="19"/>
      <c r="R57" s="19" t="s">
        <v>66</v>
      </c>
      <c r="S57" s="19"/>
      <c r="T57" s="19" t="s">
        <v>66</v>
      </c>
      <c r="U57" s="19"/>
      <c r="V57" s="19"/>
      <c r="W57" s="19"/>
      <c r="X57" s="19"/>
      <c r="Y57" s="19"/>
      <c r="Z57" s="19"/>
      <c r="AA57" s="19"/>
      <c r="AB57" s="19"/>
      <c r="AC57" s="19"/>
      <c r="AD57" s="19" t="s">
        <v>68</v>
      </c>
      <c r="AE57" s="19"/>
      <c r="AF57" s="19" t="s">
        <v>68</v>
      </c>
      <c r="AG57" s="19"/>
      <c r="AH57" s="19" t="s">
        <v>68</v>
      </c>
      <c r="AI57" s="19"/>
      <c r="AJ57" s="19" t="s">
        <v>68</v>
      </c>
      <c r="AK57" s="19"/>
      <c r="AL57" s="19" t="s">
        <v>35</v>
      </c>
      <c r="AM57" s="19"/>
      <c r="AN57" s="19" t="s">
        <v>35</v>
      </c>
      <c r="AO57" s="19"/>
      <c r="AP57" s="19" t="s">
        <v>35</v>
      </c>
      <c r="AQ57" s="19"/>
      <c r="AR57" s="19" t="s">
        <v>35</v>
      </c>
      <c r="AS57" s="19"/>
      <c r="AT57" s="19" t="s">
        <v>67</v>
      </c>
      <c r="AU57" s="19"/>
      <c r="AV57" s="19" t="s">
        <v>67</v>
      </c>
      <c r="AW57" s="19"/>
      <c r="AX57" s="19" t="s">
        <v>67</v>
      </c>
      <c r="AY57" s="19"/>
      <c r="AZ57" s="19" t="s">
        <v>67</v>
      </c>
    </row>
    <row r="58" spans="2:36" ht="12.75">
      <c r="B58" s="18" t="s">
        <v>108</v>
      </c>
      <c r="D58" s="18" t="s">
        <v>29</v>
      </c>
      <c r="L58" s="20"/>
      <c r="N58" s="20">
        <v>1288120</v>
      </c>
      <c r="P58" s="20">
        <v>1288120</v>
      </c>
      <c r="R58" s="20">
        <v>1288120</v>
      </c>
      <c r="T58" s="20">
        <v>1288120</v>
      </c>
      <c r="AD58" s="20">
        <v>1361985</v>
      </c>
      <c r="AF58" s="20">
        <v>1363423</v>
      </c>
      <c r="AJ58" s="20">
        <f>AVERAGE(1362,1363,1364)*1000</f>
        <v>1363000</v>
      </c>
    </row>
    <row r="59" spans="2:51" ht="12.75">
      <c r="B59" s="18" t="s">
        <v>41</v>
      </c>
      <c r="D59" s="18" t="s">
        <v>39</v>
      </c>
      <c r="L59" s="21"/>
      <c r="M59" s="21"/>
      <c r="N59" s="21"/>
      <c r="O59" s="21"/>
      <c r="P59" s="21"/>
      <c r="Q59" s="21"/>
      <c r="R59" s="21"/>
      <c r="S59" s="21"/>
      <c r="T59" s="21">
        <f>T58/453.6*T60/1000000</f>
        <v>36.13608245149912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>
        <f>AJ58/AJ10*AJ11</f>
        <v>75.27278121879637</v>
      </c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</row>
    <row r="60" spans="2:51" ht="12.75">
      <c r="B60" s="18" t="s">
        <v>40</v>
      </c>
      <c r="D60" s="18" t="s">
        <v>30</v>
      </c>
      <c r="L60" s="25"/>
      <c r="R60" s="26"/>
      <c r="T60" s="25">
        <f>T12</f>
        <v>12725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5">
        <v>25089</v>
      </c>
      <c r="AK60" s="25"/>
      <c r="AL60" s="25"/>
      <c r="AM60" s="25"/>
      <c r="AN60" s="25"/>
      <c r="AO60" s="25"/>
      <c r="AP60" s="25"/>
      <c r="AQ60" s="25"/>
      <c r="AR60" s="22"/>
      <c r="AS60" s="22"/>
      <c r="AT60" s="22"/>
      <c r="AU60" s="22"/>
      <c r="AV60" s="22"/>
      <c r="AW60" s="22"/>
      <c r="AX60" s="22"/>
      <c r="AY60" s="22"/>
    </row>
    <row r="61" spans="13:51" ht="12.75">
      <c r="M61" s="4"/>
      <c r="N61" s="4"/>
      <c r="O61" s="4"/>
      <c r="P61" s="4"/>
      <c r="Q61" s="4"/>
      <c r="R61" s="4"/>
      <c r="S61" s="4"/>
      <c r="AJ61" s="19"/>
      <c r="AK61" s="19"/>
      <c r="AL61" s="19"/>
      <c r="AM61" s="19"/>
      <c r="AN61" s="19"/>
      <c r="AO61" s="19"/>
      <c r="AP61" s="19"/>
      <c r="AQ61" s="19"/>
      <c r="AR61" s="4"/>
      <c r="AS61" s="4"/>
      <c r="AT61" s="4"/>
      <c r="AU61" s="4"/>
      <c r="AV61" s="4"/>
      <c r="AW61" s="4"/>
      <c r="AX61" s="4"/>
      <c r="AY61" s="4"/>
    </row>
    <row r="62" spans="13:51" ht="12.75">
      <c r="M62" s="4"/>
      <c r="N62" s="4"/>
      <c r="O62" s="4"/>
      <c r="P62" s="4"/>
      <c r="Q62" s="4"/>
      <c r="R62" s="4"/>
      <c r="S62" s="4"/>
      <c r="AJ62" s="19"/>
      <c r="AK62" s="19"/>
      <c r="AL62" s="19"/>
      <c r="AM62" s="19"/>
      <c r="AN62" s="19"/>
      <c r="AO62" s="19"/>
      <c r="AP62" s="19"/>
      <c r="AQ62" s="19"/>
      <c r="AR62" s="4"/>
      <c r="AS62" s="4"/>
      <c r="AT62" s="4"/>
      <c r="AU62" s="4"/>
      <c r="AV62" s="4"/>
      <c r="AW62" s="4"/>
      <c r="AX62" s="4"/>
      <c r="AY62" s="4"/>
    </row>
    <row r="63" spans="2:51" ht="12.75">
      <c r="B63" s="17" t="s">
        <v>93</v>
      </c>
      <c r="C63" s="17"/>
      <c r="M63" s="4"/>
      <c r="N63" s="4"/>
      <c r="O63" s="4"/>
      <c r="P63" s="4"/>
      <c r="Q63" s="4"/>
      <c r="R63" s="4"/>
      <c r="S63" s="4"/>
      <c r="AJ63" s="19"/>
      <c r="AK63" s="19"/>
      <c r="AL63" s="19"/>
      <c r="AM63" s="19"/>
      <c r="AN63" s="19"/>
      <c r="AO63" s="19"/>
      <c r="AP63" s="19"/>
      <c r="AQ63" s="19"/>
      <c r="AR63" s="4"/>
      <c r="AS63" s="4"/>
      <c r="AT63" s="4"/>
      <c r="AU63" s="4"/>
      <c r="AV63" s="4"/>
      <c r="AW63" s="4"/>
      <c r="AX63" s="4"/>
      <c r="AY63" s="4"/>
    </row>
    <row r="64" spans="13:51" ht="12.75">
      <c r="M64" s="4"/>
      <c r="N64" s="4"/>
      <c r="O64" s="4"/>
      <c r="P64" s="4"/>
      <c r="Q64" s="4"/>
      <c r="R64" s="4"/>
      <c r="S64" s="4"/>
      <c r="AJ64" s="19"/>
      <c r="AK64" s="19"/>
      <c r="AL64" s="19"/>
      <c r="AM64" s="19"/>
      <c r="AN64" s="19"/>
      <c r="AO64" s="19"/>
      <c r="AP64" s="19"/>
      <c r="AQ64" s="19"/>
      <c r="AR64" s="4"/>
      <c r="AS64" s="4"/>
      <c r="AT64" s="4"/>
      <c r="AU64" s="4"/>
      <c r="AV64" s="4"/>
      <c r="AW64" s="4"/>
      <c r="AX64" s="4"/>
      <c r="AY64" s="4"/>
    </row>
    <row r="65" spans="2:51" ht="12.75">
      <c r="B65" t="s">
        <v>83</v>
      </c>
      <c r="C65"/>
      <c r="D65" t="s">
        <v>29</v>
      </c>
      <c r="L65" s="37">
        <v>13219</v>
      </c>
      <c r="M65" s="4"/>
      <c r="N65" s="4"/>
      <c r="O65" s="4"/>
      <c r="P65" s="4"/>
      <c r="Q65" s="4"/>
      <c r="R65" s="4"/>
      <c r="S65" s="4"/>
      <c r="AJ65" s="19"/>
      <c r="AK65" s="19"/>
      <c r="AL65" s="19"/>
      <c r="AM65" s="19"/>
      <c r="AN65" s="19"/>
      <c r="AO65" s="19"/>
      <c r="AP65" s="19"/>
      <c r="AQ65" s="19"/>
      <c r="AR65" s="4"/>
      <c r="AS65" s="4"/>
      <c r="AT65" s="4"/>
      <c r="AU65" s="4"/>
      <c r="AV65" s="4"/>
      <c r="AW65" s="4"/>
      <c r="AX65" s="4"/>
      <c r="AY65" s="4"/>
    </row>
    <row r="66" spans="2:51" ht="12.75">
      <c r="B66" t="s">
        <v>84</v>
      </c>
      <c r="C66"/>
      <c r="D66" t="s">
        <v>29</v>
      </c>
      <c r="L66" s="37">
        <v>101</v>
      </c>
      <c r="M66" s="4"/>
      <c r="N66" s="4"/>
      <c r="O66" s="4"/>
      <c r="P66" s="4"/>
      <c r="Q66" s="4"/>
      <c r="R66" s="4"/>
      <c r="S66" s="4"/>
      <c r="AJ66" s="19"/>
      <c r="AK66" s="19"/>
      <c r="AL66" s="19"/>
      <c r="AM66" s="19"/>
      <c r="AN66" s="19"/>
      <c r="AO66" s="19"/>
      <c r="AP66" s="19"/>
      <c r="AQ66" s="19"/>
      <c r="AR66" s="4"/>
      <c r="AS66" s="4"/>
      <c r="AT66" s="4"/>
      <c r="AU66" s="4"/>
      <c r="AV66" s="4"/>
      <c r="AW66" s="4"/>
      <c r="AX66" s="4"/>
      <c r="AY66" s="4"/>
    </row>
    <row r="67" spans="2:51" ht="12.75">
      <c r="B67" t="s">
        <v>85</v>
      </c>
      <c r="C67"/>
      <c r="D67" t="s">
        <v>29</v>
      </c>
      <c r="L67" s="37">
        <v>2203182</v>
      </c>
      <c r="M67" s="4"/>
      <c r="N67" s="4"/>
      <c r="O67" s="4"/>
      <c r="P67" s="4"/>
      <c r="Q67" s="4"/>
      <c r="R67" s="4"/>
      <c r="S67" s="4"/>
      <c r="AJ67" s="19"/>
      <c r="AK67" s="19"/>
      <c r="AL67" s="19"/>
      <c r="AM67" s="19"/>
      <c r="AN67" s="19"/>
      <c r="AO67" s="19"/>
      <c r="AP67" s="19"/>
      <c r="AQ67" s="19"/>
      <c r="AR67" s="4"/>
      <c r="AS67" s="4"/>
      <c r="AT67" s="4"/>
      <c r="AU67" s="4"/>
      <c r="AV67" s="4"/>
      <c r="AW67" s="4"/>
      <c r="AX67" s="4"/>
      <c r="AY67" s="4"/>
    </row>
    <row r="68" spans="2:51" ht="12.75">
      <c r="B68" t="s">
        <v>86</v>
      </c>
      <c r="C68"/>
      <c r="D68" t="s">
        <v>29</v>
      </c>
      <c r="L68" s="37">
        <v>185</v>
      </c>
      <c r="M68" s="4"/>
      <c r="N68" s="4"/>
      <c r="O68" s="4"/>
      <c r="P68" s="4"/>
      <c r="Q68" s="4"/>
      <c r="R68" s="4"/>
      <c r="S68" s="4"/>
      <c r="AJ68" s="19"/>
      <c r="AK68" s="19"/>
      <c r="AL68" s="19"/>
      <c r="AM68" s="19"/>
      <c r="AN68" s="19"/>
      <c r="AO68" s="19"/>
      <c r="AP68" s="19"/>
      <c r="AQ68" s="19"/>
      <c r="AR68" s="4"/>
      <c r="AS68" s="4"/>
      <c r="AT68" s="4"/>
      <c r="AU68" s="4"/>
      <c r="AV68" s="4"/>
      <c r="AW68" s="4"/>
      <c r="AX68" s="4"/>
      <c r="AY68" s="4"/>
    </row>
    <row r="69" spans="2:51" ht="12.75">
      <c r="B69" t="s">
        <v>87</v>
      </c>
      <c r="C69"/>
      <c r="D69" t="s">
        <v>29</v>
      </c>
      <c r="L69" s="37">
        <v>247</v>
      </c>
      <c r="M69" s="4"/>
      <c r="N69" s="4"/>
      <c r="O69" s="4"/>
      <c r="P69" s="4"/>
      <c r="Q69" s="4"/>
      <c r="R69" s="4"/>
      <c r="S69" s="4"/>
      <c r="AJ69" s="19"/>
      <c r="AK69" s="19"/>
      <c r="AL69" s="19"/>
      <c r="AM69" s="19"/>
      <c r="AN69" s="19"/>
      <c r="AO69" s="19"/>
      <c r="AP69" s="19"/>
      <c r="AQ69" s="19"/>
      <c r="AR69" s="4"/>
      <c r="AS69" s="4"/>
      <c r="AT69" s="4"/>
      <c r="AU69" s="4"/>
      <c r="AV69" s="4"/>
      <c r="AW69" s="4"/>
      <c r="AX69" s="4"/>
      <c r="AY69" s="4"/>
    </row>
    <row r="70" spans="2:51" ht="12.75">
      <c r="B70" t="s">
        <v>88</v>
      </c>
      <c r="C70"/>
      <c r="D70" t="s">
        <v>29</v>
      </c>
      <c r="L70" s="37">
        <v>36.6</v>
      </c>
      <c r="M70" s="4"/>
      <c r="N70" s="4"/>
      <c r="O70" s="4"/>
      <c r="P70" s="4"/>
      <c r="Q70" s="4"/>
      <c r="R70" s="4"/>
      <c r="S70" s="4"/>
      <c r="AJ70" s="19"/>
      <c r="AK70" s="19"/>
      <c r="AL70" s="19"/>
      <c r="AM70" s="19"/>
      <c r="AN70" s="19"/>
      <c r="AO70" s="19"/>
      <c r="AP70" s="19"/>
      <c r="AQ70" s="19"/>
      <c r="AR70" s="4"/>
      <c r="AS70" s="4"/>
      <c r="AT70" s="4"/>
      <c r="AU70" s="4"/>
      <c r="AV70" s="4"/>
      <c r="AW70" s="4"/>
      <c r="AX70" s="4"/>
      <c r="AY70" s="4"/>
    </row>
    <row r="71" spans="2:51" ht="12.75">
      <c r="B71" t="s">
        <v>89</v>
      </c>
      <c r="C71"/>
      <c r="D71" t="s">
        <v>29</v>
      </c>
      <c r="L71" s="37">
        <v>3966</v>
      </c>
      <c r="M71" s="4"/>
      <c r="N71" s="4"/>
      <c r="O71" s="4"/>
      <c r="P71" s="4"/>
      <c r="Q71" s="4"/>
      <c r="R71" s="4"/>
      <c r="S71" s="4"/>
      <c r="AJ71" s="19"/>
      <c r="AK71" s="19"/>
      <c r="AL71" s="19"/>
      <c r="AM71" s="19"/>
      <c r="AN71" s="19"/>
      <c r="AO71" s="19"/>
      <c r="AP71" s="19"/>
      <c r="AQ71" s="19"/>
      <c r="AR71" s="4"/>
      <c r="AS71" s="4"/>
      <c r="AT71" s="4"/>
      <c r="AU71" s="4"/>
      <c r="AV71" s="4"/>
      <c r="AW71" s="4"/>
      <c r="AX71" s="4"/>
      <c r="AY71" s="4"/>
    </row>
    <row r="72" spans="2:51" ht="12.75">
      <c r="B72" t="s">
        <v>90</v>
      </c>
      <c r="C72"/>
      <c r="D72" t="s">
        <v>29</v>
      </c>
      <c r="L72" s="37">
        <v>13219</v>
      </c>
      <c r="M72" s="4"/>
      <c r="N72" s="4"/>
      <c r="O72" s="4"/>
      <c r="P72" s="4"/>
      <c r="Q72" s="4"/>
      <c r="R72" s="4"/>
      <c r="S72" s="4"/>
      <c r="AJ72" s="19"/>
      <c r="AK72" s="19"/>
      <c r="AL72" s="19"/>
      <c r="AM72" s="19"/>
      <c r="AN72" s="19"/>
      <c r="AO72" s="19"/>
      <c r="AP72" s="19"/>
      <c r="AQ72" s="19"/>
      <c r="AR72" s="4"/>
      <c r="AS72" s="4"/>
      <c r="AT72" s="4"/>
      <c r="AU72" s="4"/>
      <c r="AV72" s="4"/>
      <c r="AW72" s="4"/>
      <c r="AX72" s="4"/>
      <c r="AY72" s="4"/>
    </row>
    <row r="73" spans="2:51" ht="12.75">
      <c r="B73" t="s">
        <v>91</v>
      </c>
      <c r="C73"/>
      <c r="D73" t="s">
        <v>29</v>
      </c>
      <c r="L73" s="37">
        <v>132190</v>
      </c>
      <c r="M73" s="4"/>
      <c r="N73" s="4"/>
      <c r="O73" s="4"/>
      <c r="P73" s="4"/>
      <c r="Q73" s="4"/>
      <c r="R73" s="4"/>
      <c r="S73" s="4"/>
      <c r="AJ73" s="19"/>
      <c r="AK73" s="19"/>
      <c r="AL73" s="19"/>
      <c r="AM73" s="19"/>
      <c r="AN73" s="19"/>
      <c r="AO73" s="19"/>
      <c r="AP73" s="19"/>
      <c r="AQ73" s="19"/>
      <c r="AR73" s="4"/>
      <c r="AS73" s="4"/>
      <c r="AT73" s="4"/>
      <c r="AU73" s="4"/>
      <c r="AV73" s="4"/>
      <c r="AW73" s="4"/>
      <c r="AX73" s="4"/>
      <c r="AY73" s="4"/>
    </row>
    <row r="74" spans="2:51" ht="12.75">
      <c r="B74" t="s">
        <v>92</v>
      </c>
      <c r="C74"/>
      <c r="D74" t="s">
        <v>29</v>
      </c>
      <c r="L74" s="37">
        <v>22032</v>
      </c>
      <c r="M74" s="4"/>
      <c r="N74" s="4"/>
      <c r="O74" s="4"/>
      <c r="P74" s="4"/>
      <c r="Q74" s="4"/>
      <c r="R74" s="4"/>
      <c r="S74" s="4"/>
      <c r="AJ74" s="19"/>
      <c r="AK74" s="19"/>
      <c r="AL74" s="19"/>
      <c r="AM74" s="19"/>
      <c r="AN74" s="19"/>
      <c r="AO74" s="19"/>
      <c r="AP74" s="19"/>
      <c r="AQ74" s="19"/>
      <c r="AR74" s="4"/>
      <c r="AS74" s="4"/>
      <c r="AT74" s="4"/>
      <c r="AU74" s="4"/>
      <c r="AV74" s="4"/>
      <c r="AW74" s="4"/>
      <c r="AX74" s="4"/>
      <c r="AY74" s="4"/>
    </row>
    <row r="75" spans="2:52" ht="12.75">
      <c r="B75" t="s">
        <v>34</v>
      </c>
      <c r="C75"/>
      <c r="D75" t="s">
        <v>29</v>
      </c>
      <c r="L75" s="37">
        <v>17625</v>
      </c>
      <c r="M75" s="4"/>
      <c r="N75" s="4"/>
      <c r="O75" s="4"/>
      <c r="P75" s="4"/>
      <c r="Q75" s="4"/>
      <c r="R75" s="4"/>
      <c r="S75" s="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4"/>
      <c r="AS75" s="4"/>
      <c r="AT75" s="4"/>
      <c r="AU75" s="4"/>
      <c r="AV75" s="4"/>
      <c r="AW75" s="4"/>
      <c r="AX75" s="4"/>
      <c r="AY75" s="4"/>
      <c r="AZ75" s="28"/>
    </row>
    <row r="76" spans="12:52" ht="12.75">
      <c r="L76" s="24"/>
      <c r="M76" s="4"/>
      <c r="N76" s="4"/>
      <c r="O76" s="4"/>
      <c r="P76" s="4"/>
      <c r="Q76" s="4"/>
      <c r="R76" s="4"/>
      <c r="S76" s="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4"/>
      <c r="AS76" s="4"/>
      <c r="AT76" s="4"/>
      <c r="AU76" s="4"/>
      <c r="AV76" s="4"/>
      <c r="AW76" s="4"/>
      <c r="AX76" s="4"/>
      <c r="AY76" s="4"/>
      <c r="AZ76" s="24"/>
    </row>
    <row r="77" spans="13:51" ht="12.75">
      <c r="M77" s="4"/>
      <c r="N77" s="4"/>
      <c r="O77" s="4"/>
      <c r="P77" s="4"/>
      <c r="Q77" s="4"/>
      <c r="R77" s="4"/>
      <c r="S77" s="4"/>
      <c r="AJ77" s="19"/>
      <c r="AK77" s="19"/>
      <c r="AL77" s="19"/>
      <c r="AM77" s="19"/>
      <c r="AN77" s="19"/>
      <c r="AO77" s="19"/>
      <c r="AP77" s="19"/>
      <c r="AQ77" s="19"/>
      <c r="AR77" s="4"/>
      <c r="AS77" s="4"/>
      <c r="AT77" s="4"/>
      <c r="AU77" s="4"/>
      <c r="AV77" s="4"/>
      <c r="AW77" s="4"/>
      <c r="AX77" s="4"/>
      <c r="AY77" s="4"/>
    </row>
    <row r="78" spans="12:52" ht="12.75">
      <c r="L78" s="24"/>
      <c r="M78" s="4"/>
      <c r="N78" s="4"/>
      <c r="O78" s="4"/>
      <c r="P78" s="4"/>
      <c r="Q78" s="4"/>
      <c r="R78" s="4"/>
      <c r="S78" s="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1"/>
    </row>
    <row r="79" spans="12:52" ht="12.75">
      <c r="L79" s="20"/>
      <c r="M79" s="4"/>
      <c r="N79" s="4"/>
      <c r="O79" s="4"/>
      <c r="P79" s="4"/>
      <c r="Q79" s="4"/>
      <c r="R79" s="4"/>
      <c r="S79" s="4"/>
      <c r="AJ79" s="19"/>
      <c r="AK79" s="19"/>
      <c r="AL79" s="19"/>
      <c r="AM79" s="19"/>
      <c r="AN79" s="19"/>
      <c r="AO79" s="19"/>
      <c r="AP79" s="19"/>
      <c r="AQ79" s="19"/>
      <c r="AR79" s="4"/>
      <c r="AS79" s="4"/>
      <c r="AT79" s="4"/>
      <c r="AU79" s="4"/>
      <c r="AV79" s="4"/>
      <c r="AW79" s="4"/>
      <c r="AX79" s="4"/>
      <c r="AY79" s="4"/>
      <c r="AZ79" s="24"/>
    </row>
    <row r="80" spans="12:51" ht="12.75">
      <c r="L80" s="24"/>
      <c r="M80" s="4"/>
      <c r="N80" s="4"/>
      <c r="O80" s="4"/>
      <c r="P80" s="4"/>
      <c r="Q80" s="4"/>
      <c r="R80" s="4"/>
      <c r="S80" s="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4"/>
      <c r="AS80" s="4"/>
      <c r="AT80" s="4"/>
      <c r="AU80" s="4"/>
      <c r="AV80" s="4"/>
      <c r="AW80" s="4"/>
      <c r="AX80" s="4"/>
      <c r="AY80" s="4"/>
    </row>
    <row r="81" spans="12:51" ht="12.75">
      <c r="L81" s="24"/>
      <c r="M81" s="4"/>
      <c r="N81" s="4"/>
      <c r="O81" s="4"/>
      <c r="P81" s="4"/>
      <c r="Q81" s="4"/>
      <c r="R81" s="4"/>
      <c r="S81" s="4"/>
      <c r="AJ81" s="24"/>
      <c r="AK81" s="24"/>
      <c r="AL81" s="24"/>
      <c r="AM81" s="24"/>
      <c r="AN81" s="24"/>
      <c r="AO81" s="24"/>
      <c r="AP81" s="24"/>
      <c r="AQ81" s="24"/>
      <c r="AR81" s="4"/>
      <c r="AS81" s="4"/>
      <c r="AT81" s="4"/>
      <c r="AU81" s="4"/>
      <c r="AV81" s="4"/>
      <c r="AW81" s="4"/>
      <c r="AX81" s="4"/>
      <c r="AY81" s="4"/>
    </row>
    <row r="82" spans="12:51" ht="12.75">
      <c r="L82" s="24"/>
      <c r="M82" s="4"/>
      <c r="N82" s="4"/>
      <c r="O82" s="4"/>
      <c r="P82" s="4"/>
      <c r="Q82" s="4"/>
      <c r="R82" s="4"/>
      <c r="S82" s="4"/>
      <c r="AJ82" s="24"/>
      <c r="AK82" s="24"/>
      <c r="AL82" s="24"/>
      <c r="AM82" s="24"/>
      <c r="AN82" s="24"/>
      <c r="AO82" s="24"/>
      <c r="AP82" s="24"/>
      <c r="AQ82" s="24"/>
      <c r="AR82" s="4"/>
      <c r="AS82" s="4"/>
      <c r="AT82" s="4"/>
      <c r="AU82" s="4"/>
      <c r="AV82" s="4"/>
      <c r="AW82" s="4"/>
      <c r="AX82" s="4"/>
      <c r="AY82" s="4"/>
    </row>
    <row r="83" spans="12:51" ht="12.75">
      <c r="L83" s="24"/>
      <c r="M83" s="4"/>
      <c r="N83" s="4"/>
      <c r="O83" s="4"/>
      <c r="P83" s="4"/>
      <c r="Q83" s="4"/>
      <c r="R83" s="4"/>
      <c r="S83" s="4"/>
      <c r="AJ83" s="24"/>
      <c r="AK83" s="24"/>
      <c r="AL83" s="24"/>
      <c r="AM83" s="24"/>
      <c r="AN83" s="24"/>
      <c r="AO83" s="24"/>
      <c r="AP83" s="24"/>
      <c r="AQ83" s="24"/>
      <c r="AR83" s="4"/>
      <c r="AS83" s="4"/>
      <c r="AT83" s="4"/>
      <c r="AU83" s="4"/>
      <c r="AV83" s="4"/>
      <c r="AW83" s="4"/>
      <c r="AX83" s="4"/>
      <c r="AY83" s="4"/>
    </row>
    <row r="84" spans="12:51" ht="12.75">
      <c r="L84" s="24"/>
      <c r="M84" s="4"/>
      <c r="N84" s="4"/>
      <c r="O84" s="4"/>
      <c r="P84" s="4"/>
      <c r="Q84" s="4"/>
      <c r="R84" s="4"/>
      <c r="S84" s="4"/>
      <c r="AJ84" s="24"/>
      <c r="AK84" s="24"/>
      <c r="AL84" s="24"/>
      <c r="AM84" s="24"/>
      <c r="AN84" s="24"/>
      <c r="AO84" s="24"/>
      <c r="AP84" s="24"/>
      <c r="AQ84" s="24"/>
      <c r="AR84" s="4"/>
      <c r="AS84" s="4"/>
      <c r="AT84" s="4"/>
      <c r="AU84" s="4"/>
      <c r="AV84" s="4"/>
      <c r="AW84" s="4"/>
      <c r="AX84" s="4"/>
      <c r="AY84" s="4"/>
    </row>
    <row r="85" spans="12:51" ht="12.75">
      <c r="L85" s="24"/>
      <c r="M85" s="4"/>
      <c r="N85" s="4"/>
      <c r="O85" s="4"/>
      <c r="P85" s="4"/>
      <c r="Q85" s="4"/>
      <c r="R85" s="4"/>
      <c r="S85" s="4"/>
      <c r="AJ85" s="24"/>
      <c r="AK85" s="24"/>
      <c r="AL85" s="24"/>
      <c r="AM85" s="24"/>
      <c r="AN85" s="24"/>
      <c r="AO85" s="24"/>
      <c r="AP85" s="24"/>
      <c r="AQ85" s="24"/>
      <c r="AR85" s="4"/>
      <c r="AS85" s="4"/>
      <c r="AT85" s="4"/>
      <c r="AU85" s="4"/>
      <c r="AV85" s="4"/>
      <c r="AW85" s="4"/>
      <c r="AX85" s="4"/>
      <c r="AY85" s="4"/>
    </row>
    <row r="86" spans="12:51" ht="12.75">
      <c r="L86" s="24"/>
      <c r="M86" s="4"/>
      <c r="N86" s="4"/>
      <c r="O86" s="4"/>
      <c r="P86" s="4"/>
      <c r="Q86" s="4"/>
      <c r="R86" s="4"/>
      <c r="S86" s="4"/>
      <c r="AJ86" s="24"/>
      <c r="AK86" s="24"/>
      <c r="AL86" s="24"/>
      <c r="AM86" s="24"/>
      <c r="AN86" s="24"/>
      <c r="AO86" s="24"/>
      <c r="AP86" s="24"/>
      <c r="AQ86" s="24"/>
      <c r="AR86" s="4"/>
      <c r="AS86" s="4"/>
      <c r="AT86" s="4"/>
      <c r="AU86" s="4"/>
      <c r="AV86" s="4"/>
      <c r="AW86" s="4"/>
      <c r="AX86" s="4"/>
      <c r="AY86" s="4"/>
    </row>
    <row r="87" spans="12:51" ht="12.75">
      <c r="L87" s="24"/>
      <c r="M87" s="4"/>
      <c r="N87" s="4"/>
      <c r="O87" s="4"/>
      <c r="P87" s="4"/>
      <c r="Q87" s="4"/>
      <c r="R87" s="4"/>
      <c r="S87" s="4"/>
      <c r="AJ87" s="24"/>
      <c r="AK87" s="24"/>
      <c r="AL87" s="24"/>
      <c r="AM87" s="24"/>
      <c r="AN87" s="24"/>
      <c r="AO87" s="24"/>
      <c r="AP87" s="24"/>
      <c r="AQ87" s="24"/>
      <c r="AR87" s="4"/>
      <c r="AS87" s="4"/>
      <c r="AT87" s="4"/>
      <c r="AU87" s="4"/>
      <c r="AV87" s="4"/>
      <c r="AW87" s="4"/>
      <c r="AX87" s="4"/>
      <c r="AY87" s="4"/>
    </row>
    <row r="88" spans="12:51" ht="12.75">
      <c r="L88" s="24"/>
      <c r="M88" s="4"/>
      <c r="N88" s="4"/>
      <c r="O88" s="4"/>
      <c r="P88" s="4"/>
      <c r="Q88" s="4"/>
      <c r="R88" s="4"/>
      <c r="S88" s="4"/>
      <c r="AJ88" s="24"/>
      <c r="AK88" s="24"/>
      <c r="AL88" s="24"/>
      <c r="AM88" s="24"/>
      <c r="AN88" s="24"/>
      <c r="AO88" s="24"/>
      <c r="AP88" s="24"/>
      <c r="AQ88" s="24"/>
      <c r="AR88" s="4"/>
      <c r="AS88" s="4"/>
      <c r="AT88" s="4"/>
      <c r="AU88" s="4"/>
      <c r="AV88" s="4"/>
      <c r="AW88" s="4"/>
      <c r="AX88" s="4"/>
      <c r="AY88" s="4"/>
    </row>
    <row r="89" spans="12:51" ht="12.75">
      <c r="L89" s="24"/>
      <c r="M89" s="4"/>
      <c r="N89" s="4"/>
      <c r="O89" s="4"/>
      <c r="P89" s="4"/>
      <c r="Q89" s="4"/>
      <c r="R89" s="4"/>
      <c r="S89" s="4"/>
      <c r="AJ89" s="24"/>
      <c r="AK89" s="24"/>
      <c r="AL89" s="24"/>
      <c r="AM89" s="24"/>
      <c r="AN89" s="24"/>
      <c r="AO89" s="24"/>
      <c r="AP89" s="24"/>
      <c r="AQ89" s="24"/>
      <c r="AR89" s="4"/>
      <c r="AS89" s="4"/>
      <c r="AT89" s="4"/>
      <c r="AU89" s="4"/>
      <c r="AV89" s="4"/>
      <c r="AW89" s="4"/>
      <c r="AX89" s="4"/>
      <c r="AY89" s="4"/>
    </row>
    <row r="90" spans="12:51" ht="12.75">
      <c r="L90" s="24"/>
      <c r="M90" s="4"/>
      <c r="N90" s="4"/>
      <c r="O90" s="4"/>
      <c r="P90" s="4"/>
      <c r="Q90" s="4"/>
      <c r="R90" s="4"/>
      <c r="S90" s="4"/>
      <c r="AJ90" s="24"/>
      <c r="AK90" s="24"/>
      <c r="AL90" s="24"/>
      <c r="AM90" s="24"/>
      <c r="AN90" s="24"/>
      <c r="AO90" s="24"/>
      <c r="AP90" s="24"/>
      <c r="AQ90" s="24"/>
      <c r="AR90" s="4"/>
      <c r="AS90" s="4"/>
      <c r="AT90" s="4"/>
      <c r="AU90" s="4"/>
      <c r="AV90" s="4"/>
      <c r="AW90" s="4"/>
      <c r="AX90" s="4"/>
      <c r="AY90" s="4"/>
    </row>
    <row r="91" spans="12:51" ht="12.75">
      <c r="L91" s="24"/>
      <c r="M91" s="4"/>
      <c r="N91" s="4"/>
      <c r="O91" s="4"/>
      <c r="P91" s="4"/>
      <c r="Q91" s="4"/>
      <c r="R91" s="4"/>
      <c r="S91" s="4"/>
      <c r="AJ91" s="24"/>
      <c r="AK91" s="24"/>
      <c r="AL91" s="24"/>
      <c r="AM91" s="24"/>
      <c r="AN91" s="24"/>
      <c r="AO91" s="24"/>
      <c r="AP91" s="24"/>
      <c r="AQ91" s="24"/>
      <c r="AR91" s="4"/>
      <c r="AS91" s="4"/>
      <c r="AT91" s="4"/>
      <c r="AU91" s="4"/>
      <c r="AV91" s="4"/>
      <c r="AW91" s="4"/>
      <c r="AX91" s="4"/>
      <c r="AY91" s="4"/>
    </row>
    <row r="92" spans="12:51" ht="12.75">
      <c r="L92" s="27"/>
      <c r="M92" s="4"/>
      <c r="N92" s="4"/>
      <c r="O92" s="4"/>
      <c r="P92" s="4"/>
      <c r="Q92" s="4"/>
      <c r="R92" s="4"/>
      <c r="S92" s="4"/>
      <c r="AJ92" s="19"/>
      <c r="AK92" s="19"/>
      <c r="AL92" s="19"/>
      <c r="AM92" s="19"/>
      <c r="AN92" s="19"/>
      <c r="AO92" s="19"/>
      <c r="AP92" s="19"/>
      <c r="AQ92" s="19"/>
      <c r="AR92" s="4"/>
      <c r="AS92" s="4"/>
      <c r="AT92" s="4"/>
      <c r="AU92" s="4"/>
      <c r="AV92" s="4"/>
      <c r="AW92" s="4"/>
      <c r="AX92" s="4"/>
      <c r="AY92" s="4"/>
    </row>
    <row r="93" spans="12:51" ht="12.75">
      <c r="L93" s="24"/>
      <c r="M93" s="4"/>
      <c r="N93" s="4"/>
      <c r="O93" s="4"/>
      <c r="P93" s="4"/>
      <c r="Q93" s="4"/>
      <c r="R93" s="4"/>
      <c r="S93" s="4"/>
      <c r="AJ93" s="24"/>
      <c r="AK93" s="24"/>
      <c r="AL93" s="24"/>
      <c r="AM93" s="24"/>
      <c r="AN93" s="24"/>
      <c r="AO93" s="24"/>
      <c r="AP93" s="24"/>
      <c r="AQ93" s="24"/>
      <c r="AR93" s="4"/>
      <c r="AS93" s="4"/>
      <c r="AT93" s="4"/>
      <c r="AU93" s="4"/>
      <c r="AV93" s="4"/>
      <c r="AW93" s="4"/>
      <c r="AX93" s="4"/>
      <c r="AY93" s="4"/>
    </row>
    <row r="94" spans="12:43" ht="12.75">
      <c r="L94" s="24"/>
      <c r="AJ94" s="24"/>
      <c r="AK94" s="24"/>
      <c r="AL94" s="24"/>
      <c r="AM94" s="24"/>
      <c r="AN94" s="24"/>
      <c r="AO94" s="24"/>
      <c r="AP94" s="24"/>
      <c r="AQ94" s="24"/>
    </row>
    <row r="95" spans="2:3" ht="12.75">
      <c r="B95" s="17"/>
      <c r="C95" s="17"/>
    </row>
    <row r="98" ht="12.75">
      <c r="L98" s="27"/>
    </row>
    <row r="99" ht="12.75">
      <c r="L99" s="27"/>
    </row>
    <row r="100" ht="12.75">
      <c r="L100" s="27"/>
    </row>
    <row r="101" ht="12.75">
      <c r="L101" s="27"/>
    </row>
    <row r="102" spans="12:51" ht="12.75">
      <c r="L102" s="27"/>
      <c r="M102" s="4"/>
      <c r="N102" s="4"/>
      <c r="O102" s="4"/>
      <c r="P102" s="4"/>
      <c r="Q102" s="4"/>
      <c r="R102" s="4"/>
      <c r="S102" s="4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</row>
    <row r="103" spans="12:51" ht="12.75">
      <c r="L103" s="27"/>
      <c r="M103" s="4"/>
      <c r="N103" s="4"/>
      <c r="O103" s="4"/>
      <c r="P103" s="4"/>
      <c r="Q103" s="4"/>
      <c r="R103" s="4"/>
      <c r="S103" s="4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</row>
    <row r="104" spans="12:51" ht="12.75">
      <c r="L104" s="27"/>
      <c r="M104" s="4"/>
      <c r="N104" s="4"/>
      <c r="O104" s="4"/>
      <c r="P104" s="4"/>
      <c r="Q104" s="4"/>
      <c r="R104" s="4"/>
      <c r="S104" s="4"/>
      <c r="AJ104" s="19"/>
      <c r="AK104" s="19"/>
      <c r="AL104" s="19"/>
      <c r="AM104" s="19"/>
      <c r="AN104" s="19"/>
      <c r="AO104" s="19"/>
      <c r="AP104" s="19"/>
      <c r="AQ104" s="19"/>
      <c r="AR104" s="4"/>
      <c r="AS104" s="4"/>
      <c r="AT104" s="4"/>
      <c r="AU104" s="4"/>
      <c r="AV104" s="4"/>
      <c r="AW104" s="4"/>
      <c r="AX104" s="4"/>
      <c r="AY104" s="4"/>
    </row>
    <row r="105" spans="12:51" ht="12.75">
      <c r="L105" s="27"/>
      <c r="M105" s="4"/>
      <c r="N105" s="4"/>
      <c r="O105" s="4"/>
      <c r="P105" s="4"/>
      <c r="Q105" s="4"/>
      <c r="R105" s="4"/>
      <c r="S105" s="4"/>
      <c r="AJ105" s="19"/>
      <c r="AK105" s="19"/>
      <c r="AL105" s="19"/>
      <c r="AM105" s="19"/>
      <c r="AN105" s="19"/>
      <c r="AO105" s="19"/>
      <c r="AP105" s="19"/>
      <c r="AQ105" s="19"/>
      <c r="AR105" s="4"/>
      <c r="AS105" s="4"/>
      <c r="AT105" s="4"/>
      <c r="AU105" s="4"/>
      <c r="AV105" s="4"/>
      <c r="AW105" s="4"/>
      <c r="AX105" s="4"/>
      <c r="AY105" s="4"/>
    </row>
    <row r="106" spans="12:51" ht="12.75">
      <c r="L106" s="27"/>
      <c r="M106" s="4"/>
      <c r="N106" s="4"/>
      <c r="O106" s="4"/>
      <c r="P106" s="4"/>
      <c r="Q106" s="4"/>
      <c r="R106" s="4"/>
      <c r="S106" s="4"/>
      <c r="AJ106" s="19"/>
      <c r="AK106" s="19"/>
      <c r="AL106" s="19"/>
      <c r="AM106" s="19"/>
      <c r="AN106" s="19"/>
      <c r="AO106" s="19"/>
      <c r="AP106" s="19"/>
      <c r="AQ106" s="19"/>
      <c r="AR106" s="4"/>
      <c r="AS106" s="4"/>
      <c r="AT106" s="4"/>
      <c r="AU106" s="4"/>
      <c r="AV106" s="4"/>
      <c r="AW106" s="4"/>
      <c r="AX106" s="4"/>
      <c r="AY106" s="4"/>
    </row>
    <row r="107" spans="12:51" ht="12.75">
      <c r="L107" s="27"/>
      <c r="M107" s="4"/>
      <c r="N107" s="4"/>
      <c r="O107" s="4"/>
      <c r="P107" s="4"/>
      <c r="Q107" s="4"/>
      <c r="R107" s="4"/>
      <c r="S107" s="4"/>
      <c r="AJ107" s="19"/>
      <c r="AK107" s="19"/>
      <c r="AL107" s="19"/>
      <c r="AM107" s="19"/>
      <c r="AN107" s="19"/>
      <c r="AO107" s="19"/>
      <c r="AP107" s="19"/>
      <c r="AQ107" s="19"/>
      <c r="AR107" s="4"/>
      <c r="AS107" s="4"/>
      <c r="AT107" s="4"/>
      <c r="AU107" s="4"/>
      <c r="AV107" s="4"/>
      <c r="AW107" s="4"/>
      <c r="AX107" s="4"/>
      <c r="AY107" s="4"/>
    </row>
    <row r="108" spans="12:51" ht="12.75">
      <c r="L108" s="27"/>
      <c r="M108" s="4"/>
      <c r="N108" s="4"/>
      <c r="O108" s="4"/>
      <c r="P108" s="4"/>
      <c r="Q108" s="4"/>
      <c r="R108" s="4"/>
      <c r="S108" s="4"/>
      <c r="AJ108" s="19"/>
      <c r="AK108" s="19"/>
      <c r="AL108" s="19"/>
      <c r="AM108" s="19"/>
      <c r="AN108" s="19"/>
      <c r="AO108" s="19"/>
      <c r="AP108" s="19"/>
      <c r="AQ108" s="19"/>
      <c r="AR108" s="4"/>
      <c r="AS108" s="4"/>
      <c r="AT108" s="4"/>
      <c r="AU108" s="4"/>
      <c r="AV108" s="4"/>
      <c r="AW108" s="4"/>
      <c r="AX108" s="4"/>
      <c r="AY108" s="4"/>
    </row>
    <row r="109" spans="12:51" ht="12.75">
      <c r="L109" s="27"/>
      <c r="M109" s="4"/>
      <c r="N109" s="4"/>
      <c r="O109" s="4"/>
      <c r="P109" s="4"/>
      <c r="Q109" s="4"/>
      <c r="R109" s="4"/>
      <c r="S109" s="4"/>
      <c r="AJ109" s="19"/>
      <c r="AK109" s="19"/>
      <c r="AL109" s="19"/>
      <c r="AM109" s="19"/>
      <c r="AN109" s="19"/>
      <c r="AO109" s="19"/>
      <c r="AP109" s="19"/>
      <c r="AQ109" s="19"/>
      <c r="AR109" s="4"/>
      <c r="AS109" s="4"/>
      <c r="AT109" s="4"/>
      <c r="AU109" s="4"/>
      <c r="AV109" s="4"/>
      <c r="AW109" s="4"/>
      <c r="AX109" s="4"/>
      <c r="AY109" s="4"/>
    </row>
    <row r="110" spans="12:51" ht="12.75">
      <c r="L110" s="27"/>
      <c r="M110" s="4"/>
      <c r="N110" s="4"/>
      <c r="O110" s="4"/>
      <c r="P110" s="4"/>
      <c r="Q110" s="4"/>
      <c r="R110" s="4"/>
      <c r="S110" s="4"/>
      <c r="AJ110" s="19"/>
      <c r="AK110" s="19"/>
      <c r="AL110" s="19"/>
      <c r="AM110" s="19"/>
      <c r="AN110" s="19"/>
      <c r="AO110" s="19"/>
      <c r="AP110" s="19"/>
      <c r="AQ110" s="19"/>
      <c r="AR110" s="4"/>
      <c r="AS110" s="4"/>
      <c r="AT110" s="4"/>
      <c r="AU110" s="4"/>
      <c r="AV110" s="4"/>
      <c r="AW110" s="4"/>
      <c r="AX110" s="4"/>
      <c r="AY110" s="4"/>
    </row>
    <row r="111" spans="12:51" ht="12.75">
      <c r="L111" s="27"/>
      <c r="M111" s="4"/>
      <c r="N111" s="4"/>
      <c r="O111" s="4"/>
      <c r="P111" s="4"/>
      <c r="Q111" s="4"/>
      <c r="R111" s="4"/>
      <c r="S111" s="4"/>
      <c r="AJ111" s="19"/>
      <c r="AK111" s="19"/>
      <c r="AL111" s="19"/>
      <c r="AM111" s="19"/>
      <c r="AN111" s="19"/>
      <c r="AO111" s="19"/>
      <c r="AP111" s="19"/>
      <c r="AQ111" s="19"/>
      <c r="AR111" s="4"/>
      <c r="AS111" s="4"/>
      <c r="AT111" s="4"/>
      <c r="AU111" s="4"/>
      <c r="AV111" s="4"/>
      <c r="AW111" s="4"/>
      <c r="AX111" s="4"/>
      <c r="AY111" s="4"/>
    </row>
    <row r="112" spans="12:51" ht="12.75">
      <c r="L112" s="27"/>
      <c r="M112" s="4"/>
      <c r="N112" s="4"/>
      <c r="O112" s="4"/>
      <c r="P112" s="4"/>
      <c r="Q112" s="4"/>
      <c r="R112" s="4"/>
      <c r="S112" s="4"/>
      <c r="AJ112" s="19"/>
      <c r="AK112" s="19"/>
      <c r="AL112" s="19"/>
      <c r="AM112" s="19"/>
      <c r="AN112" s="19"/>
      <c r="AO112" s="19"/>
      <c r="AP112" s="19"/>
      <c r="AQ112" s="19"/>
      <c r="AR112" s="4"/>
      <c r="AS112" s="4"/>
      <c r="AT112" s="4"/>
      <c r="AU112" s="4"/>
      <c r="AV112" s="4"/>
      <c r="AW112" s="4"/>
      <c r="AX112" s="4"/>
      <c r="AY112" s="4"/>
    </row>
    <row r="113" spans="12:51" ht="12.75">
      <c r="L113" s="27"/>
      <c r="M113" s="4"/>
      <c r="N113" s="4"/>
      <c r="O113" s="4"/>
      <c r="P113" s="4"/>
      <c r="Q113" s="4"/>
      <c r="R113" s="4"/>
      <c r="S113" s="4"/>
      <c r="AJ113" s="19"/>
      <c r="AK113" s="19"/>
      <c r="AL113" s="19"/>
      <c r="AM113" s="19"/>
      <c r="AN113" s="19"/>
      <c r="AO113" s="19"/>
      <c r="AP113" s="19"/>
      <c r="AQ113" s="19"/>
      <c r="AR113" s="4"/>
      <c r="AS113" s="4"/>
      <c r="AT113" s="4"/>
      <c r="AU113" s="4"/>
      <c r="AV113" s="4"/>
      <c r="AW113" s="4"/>
      <c r="AX113" s="4"/>
      <c r="AY113" s="4"/>
    </row>
    <row r="116" spans="2:3" ht="12.75">
      <c r="B116" s="17"/>
      <c r="C116" s="17"/>
    </row>
    <row r="119" ht="12.75">
      <c r="L119" s="27"/>
    </row>
    <row r="120" ht="12.75">
      <c r="L120" s="27"/>
    </row>
    <row r="121" ht="12.75">
      <c r="L121" s="27"/>
    </row>
    <row r="122" ht="12.75">
      <c r="L122" s="27"/>
    </row>
    <row r="123" spans="12:51" ht="12.75">
      <c r="L123" s="27"/>
      <c r="M123" s="4"/>
      <c r="N123" s="4"/>
      <c r="O123" s="4"/>
      <c r="P123" s="4"/>
      <c r="Q123" s="4"/>
      <c r="R123" s="4"/>
      <c r="S123" s="4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</row>
    <row r="124" spans="12:51" ht="12.75">
      <c r="L124" s="27"/>
      <c r="M124" s="4"/>
      <c r="N124" s="4"/>
      <c r="O124" s="4"/>
      <c r="P124" s="4"/>
      <c r="Q124" s="4"/>
      <c r="R124" s="4"/>
      <c r="S124" s="4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</row>
    <row r="125" spans="12:51" ht="12.75">
      <c r="L125" s="27"/>
      <c r="M125" s="4"/>
      <c r="N125" s="4"/>
      <c r="O125" s="4"/>
      <c r="P125" s="4"/>
      <c r="Q125" s="4"/>
      <c r="R125" s="4"/>
      <c r="S125" s="4"/>
      <c r="AJ125" s="19"/>
      <c r="AK125" s="19"/>
      <c r="AL125" s="19"/>
      <c r="AM125" s="19"/>
      <c r="AN125" s="19"/>
      <c r="AO125" s="19"/>
      <c r="AP125" s="19"/>
      <c r="AQ125" s="19"/>
      <c r="AR125" s="4"/>
      <c r="AS125" s="4"/>
      <c r="AT125" s="4"/>
      <c r="AU125" s="4"/>
      <c r="AV125" s="4"/>
      <c r="AW125" s="4"/>
      <c r="AX125" s="4"/>
      <c r="AY125" s="4"/>
    </row>
    <row r="126" spans="12:51" ht="12.75">
      <c r="L126" s="27"/>
      <c r="M126" s="4"/>
      <c r="N126" s="4"/>
      <c r="O126" s="4"/>
      <c r="P126" s="4"/>
      <c r="Q126" s="4"/>
      <c r="R126" s="4"/>
      <c r="S126" s="4"/>
      <c r="AJ126" s="19"/>
      <c r="AK126" s="19"/>
      <c r="AL126" s="19"/>
      <c r="AM126" s="19"/>
      <c r="AN126" s="19"/>
      <c r="AO126" s="19"/>
      <c r="AP126" s="19"/>
      <c r="AQ126" s="19"/>
      <c r="AR126" s="4"/>
      <c r="AS126" s="4"/>
      <c r="AT126" s="4"/>
      <c r="AU126" s="4"/>
      <c r="AV126" s="4"/>
      <c r="AW126" s="4"/>
      <c r="AX126" s="4"/>
      <c r="AY126" s="4"/>
    </row>
    <row r="127" spans="12:51" ht="12.75">
      <c r="L127" s="27"/>
      <c r="M127" s="4"/>
      <c r="N127" s="4"/>
      <c r="O127" s="4"/>
      <c r="P127" s="4"/>
      <c r="Q127" s="4"/>
      <c r="R127" s="4"/>
      <c r="S127" s="4"/>
      <c r="AJ127" s="19"/>
      <c r="AK127" s="19"/>
      <c r="AL127" s="19"/>
      <c r="AM127" s="19"/>
      <c r="AN127" s="19"/>
      <c r="AO127" s="19"/>
      <c r="AP127" s="19"/>
      <c r="AQ127" s="19"/>
      <c r="AR127" s="4"/>
      <c r="AS127" s="4"/>
      <c r="AT127" s="4"/>
      <c r="AU127" s="4"/>
      <c r="AV127" s="4"/>
      <c r="AW127" s="4"/>
      <c r="AX127" s="4"/>
      <c r="AY127" s="4"/>
    </row>
    <row r="128" spans="12:51" ht="12.75">
      <c r="L128" s="27"/>
      <c r="M128" s="4"/>
      <c r="N128" s="4"/>
      <c r="O128" s="4"/>
      <c r="P128" s="4"/>
      <c r="Q128" s="4"/>
      <c r="R128" s="4"/>
      <c r="S128" s="4"/>
      <c r="AJ128" s="19"/>
      <c r="AK128" s="19"/>
      <c r="AL128" s="19"/>
      <c r="AM128" s="19"/>
      <c r="AN128" s="19"/>
      <c r="AO128" s="19"/>
      <c r="AP128" s="19"/>
      <c r="AQ128" s="19"/>
      <c r="AR128" s="4"/>
      <c r="AS128" s="4"/>
      <c r="AT128" s="4"/>
      <c r="AU128" s="4"/>
      <c r="AV128" s="4"/>
      <c r="AW128" s="4"/>
      <c r="AX128" s="4"/>
      <c r="AY128" s="4"/>
    </row>
    <row r="129" spans="12:51" ht="12.75">
      <c r="L129" s="27"/>
      <c r="M129" s="4"/>
      <c r="N129" s="4"/>
      <c r="O129" s="4"/>
      <c r="P129" s="4"/>
      <c r="Q129" s="4"/>
      <c r="R129" s="4"/>
      <c r="S129" s="4"/>
      <c r="AJ129" s="19"/>
      <c r="AK129" s="19"/>
      <c r="AL129" s="19"/>
      <c r="AM129" s="19"/>
      <c r="AN129" s="19"/>
      <c r="AO129" s="19"/>
      <c r="AP129" s="19"/>
      <c r="AQ129" s="19"/>
      <c r="AR129" s="4"/>
      <c r="AS129" s="4"/>
      <c r="AT129" s="4"/>
      <c r="AU129" s="4"/>
      <c r="AV129" s="4"/>
      <c r="AW129" s="4"/>
      <c r="AX129" s="4"/>
      <c r="AY129" s="4"/>
    </row>
    <row r="130" spans="12:51" ht="12.75">
      <c r="L130" s="27"/>
      <c r="M130" s="4"/>
      <c r="N130" s="4"/>
      <c r="O130" s="4"/>
      <c r="P130" s="4"/>
      <c r="Q130" s="4"/>
      <c r="R130" s="4"/>
      <c r="S130" s="4"/>
      <c r="AJ130" s="19"/>
      <c r="AK130" s="19"/>
      <c r="AL130" s="19"/>
      <c r="AM130" s="19"/>
      <c r="AN130" s="19"/>
      <c r="AO130" s="19"/>
      <c r="AP130" s="19"/>
      <c r="AQ130" s="19"/>
      <c r="AR130" s="4"/>
      <c r="AS130" s="4"/>
      <c r="AT130" s="4"/>
      <c r="AU130" s="4"/>
      <c r="AV130" s="4"/>
      <c r="AW130" s="4"/>
      <c r="AX130" s="4"/>
      <c r="AY130" s="4"/>
    </row>
    <row r="131" spans="12:51" ht="12.75">
      <c r="L131" s="27"/>
      <c r="M131" s="4"/>
      <c r="N131" s="4"/>
      <c r="O131" s="4"/>
      <c r="P131" s="4"/>
      <c r="Q131" s="4"/>
      <c r="R131" s="4"/>
      <c r="S131" s="4"/>
      <c r="AJ131" s="19"/>
      <c r="AK131" s="19"/>
      <c r="AL131" s="19"/>
      <c r="AM131" s="19"/>
      <c r="AN131" s="19"/>
      <c r="AO131" s="19"/>
      <c r="AP131" s="19"/>
      <c r="AQ131" s="19"/>
      <c r="AR131" s="4"/>
      <c r="AS131" s="4"/>
      <c r="AT131" s="4"/>
      <c r="AU131" s="4"/>
      <c r="AV131" s="4"/>
      <c r="AW131" s="4"/>
      <c r="AX131" s="4"/>
      <c r="AY131" s="4"/>
    </row>
    <row r="132" spans="12:51" ht="12.75">
      <c r="L132" s="27"/>
      <c r="M132" s="4"/>
      <c r="N132" s="4"/>
      <c r="O132" s="4"/>
      <c r="P132" s="4"/>
      <c r="Q132" s="4"/>
      <c r="R132" s="4"/>
      <c r="S132" s="4"/>
      <c r="AJ132" s="19"/>
      <c r="AK132" s="19"/>
      <c r="AL132" s="19"/>
      <c r="AM132" s="19"/>
      <c r="AN132" s="19"/>
      <c r="AO132" s="19"/>
      <c r="AP132" s="19"/>
      <c r="AQ132" s="19"/>
      <c r="AR132" s="4"/>
      <c r="AS132" s="4"/>
      <c r="AT132" s="4"/>
      <c r="AU132" s="4"/>
      <c r="AV132" s="4"/>
      <c r="AW132" s="4"/>
      <c r="AX132" s="4"/>
      <c r="AY132" s="4"/>
    </row>
    <row r="133" spans="12:51" ht="12.75">
      <c r="L133" s="27"/>
      <c r="M133" s="4"/>
      <c r="N133" s="4"/>
      <c r="O133" s="4"/>
      <c r="P133" s="4"/>
      <c r="Q133" s="4"/>
      <c r="R133" s="4"/>
      <c r="S133" s="4"/>
      <c r="AJ133" s="19"/>
      <c r="AK133" s="19"/>
      <c r="AL133" s="19"/>
      <c r="AM133" s="19"/>
      <c r="AN133" s="19"/>
      <c r="AO133" s="19"/>
      <c r="AP133" s="19"/>
      <c r="AQ133" s="19"/>
      <c r="AR133" s="4"/>
      <c r="AS133" s="4"/>
      <c r="AT133" s="4"/>
      <c r="AU133" s="4"/>
      <c r="AV133" s="4"/>
      <c r="AW133" s="4"/>
      <c r="AX133" s="4"/>
      <c r="AY133" s="4"/>
    </row>
    <row r="134" spans="12:51" ht="12.75">
      <c r="L134" s="27"/>
      <c r="M134" s="4"/>
      <c r="N134" s="4"/>
      <c r="O134" s="4"/>
      <c r="P134" s="4"/>
      <c r="Q134" s="4"/>
      <c r="R134" s="4"/>
      <c r="S134" s="4"/>
      <c r="AJ134" s="19"/>
      <c r="AK134" s="19"/>
      <c r="AL134" s="19"/>
      <c r="AM134" s="19"/>
      <c r="AN134" s="19"/>
      <c r="AO134" s="19"/>
      <c r="AP134" s="19"/>
      <c r="AQ134" s="19"/>
      <c r="AR134" s="4"/>
      <c r="AS134" s="4"/>
      <c r="AT134" s="4"/>
      <c r="AU134" s="4"/>
      <c r="AV134" s="4"/>
      <c r="AW134" s="4"/>
      <c r="AX134" s="4"/>
      <c r="AY134" s="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3" sqref="C13"/>
    </sheetView>
  </sheetViews>
  <sheetFormatPr defaultColWidth="9.140625" defaultRowHeight="12.75"/>
  <cols>
    <col min="1" max="1" width="30.28125" style="2" customWidth="1"/>
    <col min="2" max="16384" width="9.140625" style="2" customWidth="1"/>
  </cols>
  <sheetData>
    <row r="1" ht="12.75">
      <c r="A1" s="1" t="s">
        <v>38</v>
      </c>
    </row>
    <row r="2" spans="2:3" ht="12.75">
      <c r="B2" s="2" t="s">
        <v>20</v>
      </c>
      <c r="C2" s="2" t="s">
        <v>28</v>
      </c>
    </row>
    <row r="3" ht="12.75">
      <c r="A3" s="1" t="str">
        <f>feed!B4</f>
        <v>774C1</v>
      </c>
    </row>
    <row r="5" ht="12.75">
      <c r="A5" s="2" t="s">
        <v>70</v>
      </c>
    </row>
    <row r="7" ht="12.75">
      <c r="A7" s="1" t="str">
        <f>feed!B52</f>
        <v>774C2</v>
      </c>
    </row>
    <row r="8" ht="12.75">
      <c r="A8" s="1"/>
    </row>
    <row r="9" spans="1:3" ht="12.75">
      <c r="A9" s="2" t="s">
        <v>72</v>
      </c>
      <c r="B9" s="2" t="s">
        <v>69</v>
      </c>
      <c r="C9" s="2">
        <v>1332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2004-02-25T20:18:24Z</cp:lastPrinted>
  <dcterms:created xsi:type="dcterms:W3CDTF">2000-01-10T00:44:42Z</dcterms:created>
  <dcterms:modified xsi:type="dcterms:W3CDTF">2004-02-25T20:18:38Z</dcterms:modified>
  <cp:category/>
  <cp:version/>
  <cp:contentType/>
  <cp:contentStatus/>
</cp:coreProperties>
</file>