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555" yWindow="2775" windowWidth="12120" windowHeight="6780" tabRatio="679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4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<sst xmlns="http://schemas.openxmlformats.org/spreadsheetml/2006/main" count="1115" uniqueCount="223">
  <si>
    <t>Stack Gas Emissions</t>
  </si>
  <si>
    <t>HW</t>
  </si>
  <si>
    <t>PM</t>
  </si>
  <si>
    <t>HCl</t>
  </si>
  <si>
    <t>Cl2</t>
  </si>
  <si>
    <t>SVM</t>
  </si>
  <si>
    <t>LVM</t>
  </si>
  <si>
    <t>CO</t>
  </si>
  <si>
    <t>DRE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</si>
  <si>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</si>
  <si>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</si>
  <si>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</si>
  <si>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</si>
  <si>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</si>
  <si>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</si>
  <si>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</si>
  <si>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</si>
  <si>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</si>
  <si>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</si>
  <si>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</si>
  <si>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</si>
  <si>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</si>
  <si>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</si>
  <si>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</si>
  <si>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</si>
  <si>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</si>
  <si>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Natural gas</t>
  </si>
  <si>
    <t>Stack Characteristics</t>
  </si>
  <si>
    <t xml:space="preserve">     Report Name/Date</t>
  </si>
  <si>
    <t xml:space="preserve">     Report Prepar</t>
  </si>
  <si>
    <t xml:space="preserve">     Testing Firm</t>
  </si>
  <si>
    <t xml:space="preserve">     Testing Dates</t>
  </si>
  <si>
    <t xml:space="preserve">     Content</t>
  </si>
  <si>
    <t>Units</t>
  </si>
  <si>
    <t>Run</t>
  </si>
  <si>
    <t>Cond Avg</t>
  </si>
  <si>
    <t>y</t>
  </si>
  <si>
    <t>n</t>
  </si>
  <si>
    <t xml:space="preserve">   Stack Gas Flowrate</t>
  </si>
  <si>
    <t xml:space="preserve">   Temperature</t>
  </si>
  <si>
    <t>nd</t>
  </si>
  <si>
    <t>&gt;</t>
  </si>
  <si>
    <t>Density</t>
  </si>
  <si>
    <t>Heat Content</t>
  </si>
  <si>
    <t>lb/hr</t>
  </si>
  <si>
    <t>Chlorine</t>
  </si>
  <si>
    <t>Stack Gas Flowrate</t>
  </si>
  <si>
    <t>Btu/lb</t>
  </si>
  <si>
    <t>Process Information</t>
  </si>
  <si>
    <t>Avg</t>
  </si>
  <si>
    <t>I-TEF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</si>
  <si>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</si>
  <si>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</si>
  <si>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</si>
  <si>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</si>
  <si>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</si>
  <si>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</si>
  <si>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</si>
  <si>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</si>
  <si>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</si>
  <si>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</si>
  <si>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</si>
  <si>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</si>
  <si>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</si>
  <si>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</si>
  <si>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</si>
  <si>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</si>
  <si>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</si>
  <si>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</si>
  <si>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</si>
  <si>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</si>
  <si>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</si>
  <si>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</si>
  <si>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</si>
  <si>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</si>
  <si>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</si>
  <si>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O2 (%)</t>
  </si>
  <si>
    <t>PCDD/PCDF (ng in sample)</t>
  </si>
  <si>
    <t>PCDD/PCDF (ng/dscm @ 7% O2)</t>
  </si>
  <si>
    <t>Orange</t>
  </si>
  <si>
    <t>E.I. duPont de Nemours &amp; Co., Inc.</t>
  </si>
  <si>
    <t>METCO Environmental, Inc.</t>
  </si>
  <si>
    <t>None</t>
  </si>
  <si>
    <t xml:space="preserve">Source Emissions Survey of E.I. Dupont De Nemours &amp; Company, Inc. Sabine River Works </t>
  </si>
  <si>
    <t>g/hr</t>
  </si>
  <si>
    <t>Antimony</t>
  </si>
  <si>
    <t>Arsenic</t>
  </si>
  <si>
    <t>Barium</t>
  </si>
  <si>
    <t>Beryllium</t>
  </si>
  <si>
    <t>Cadmium</t>
  </si>
  <si>
    <t>Lead</t>
  </si>
  <si>
    <t>Mercury</t>
  </si>
  <si>
    <t>Silver</t>
  </si>
  <si>
    <t>Thallium</t>
  </si>
  <si>
    <t>soot blowing</t>
  </si>
  <si>
    <t>July 9, 14, 15, 16, 1998</t>
  </si>
  <si>
    <t>ug/l</t>
  </si>
  <si>
    <t>Chromium</t>
  </si>
  <si>
    <t>Nickel</t>
  </si>
  <si>
    <t>Selenium</t>
  </si>
  <si>
    <t>Zinc</t>
  </si>
  <si>
    <t>Run 4</t>
  </si>
  <si>
    <t>760C1</t>
  </si>
  <si>
    <t>760C2</t>
  </si>
  <si>
    <t>760C3</t>
  </si>
  <si>
    <t>760C4</t>
  </si>
  <si>
    <t>Diamine</t>
  </si>
  <si>
    <t>NVR, HMD and Diamine liquid waste</t>
  </si>
  <si>
    <t>NA</t>
  </si>
  <si>
    <t>PM, HCl, Cl2, DRE monochlorobenzene</t>
  </si>
  <si>
    <t>Trial burn; DRE</t>
  </si>
  <si>
    <t>Risk burn</t>
  </si>
  <si>
    <t>PM, metals, PCDD/PCDF, other organics</t>
  </si>
  <si>
    <t>CoC; max temp, haz waste feed and prod rate</t>
  </si>
  <si>
    <t>PM, CO, Cr(+6)/Cr</t>
  </si>
  <si>
    <t>CoC; min comb temp</t>
  </si>
  <si>
    <t>Tier IA for metals (except Cr) and chlorine</t>
  </si>
  <si>
    <t>Boiler No. 8</t>
  </si>
  <si>
    <t>Hazardous Wastes</t>
  </si>
  <si>
    <t>Haz Waste Description</t>
  </si>
  <si>
    <t>Liq</t>
  </si>
  <si>
    <t>Permitting Status</t>
  </si>
  <si>
    <t>July 20-24, 1998</t>
  </si>
  <si>
    <t>Monochlorobenzene</t>
  </si>
  <si>
    <t>ppmw</t>
  </si>
  <si>
    <t>ml/g?</t>
  </si>
  <si>
    <t>PCDD/PCDF</t>
  </si>
  <si>
    <t>1/2 ND</t>
  </si>
  <si>
    <t>TEQ Cond Avg</t>
  </si>
  <si>
    <t>?</t>
  </si>
  <si>
    <t>can't make MTEC calcs -- need total mass feedrates</t>
  </si>
  <si>
    <t>MMBtu/hr</t>
  </si>
  <si>
    <t>HMD waste</t>
  </si>
  <si>
    <t>Thermal Feedrate</t>
  </si>
  <si>
    <t>ug/dscm</t>
  </si>
  <si>
    <t>Mlb/hr</t>
  </si>
  <si>
    <t>Feedstreams</t>
  </si>
  <si>
    <t>Capacity (MMBtu/hr)</t>
  </si>
  <si>
    <t>TX</t>
  </si>
  <si>
    <t>Supplemental Fuel</t>
  </si>
  <si>
    <t>7% O2</t>
  </si>
  <si>
    <t>Feedrate MTEC Calculations</t>
  </si>
  <si>
    <t>Burner Temp</t>
  </si>
  <si>
    <t>Production Rate</t>
  </si>
  <si>
    <t>Particle Size Distribution</t>
  </si>
  <si>
    <t>0.5-2.5</t>
  </si>
  <si>
    <t>2.5-5</t>
  </si>
  <si>
    <t>5-7.5</t>
  </si>
  <si>
    <t>7.5-10</t>
  </si>
  <si>
    <t>Phase II ID No.</t>
  </si>
  <si>
    <t>Source Description</t>
  </si>
  <si>
    <t xml:space="preserve">     Cond Description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</si>
  <si>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</si>
  <si>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</si>
  <si>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</si>
  <si>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</si>
  <si>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</si>
  <si>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</si>
  <si>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</si>
  <si>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g/s</t>
  </si>
  <si>
    <t>% wt</t>
  </si>
  <si>
    <t>Comments</t>
  </si>
  <si>
    <t>total</t>
  </si>
  <si>
    <t>front half</t>
  </si>
  <si>
    <t>PM, HCl/Cl2</t>
  </si>
  <si>
    <t>PM, metals</t>
  </si>
  <si>
    <t>Emission Rate</t>
  </si>
  <si>
    <t xml:space="preserve">   O2</t>
  </si>
  <si>
    <t xml:space="preserve">   Moisture</t>
  </si>
  <si>
    <t>in microns</t>
  </si>
  <si>
    <t>&gt;10</t>
  </si>
  <si>
    <t>POHC DRE</t>
  </si>
  <si>
    <t>Feedrate</t>
  </si>
  <si>
    <t>Total Chlorine</t>
  </si>
  <si>
    <t>CO (RA)</t>
  </si>
  <si>
    <t>CO (MHRA)</t>
  </si>
  <si>
    <t>Sampling Train</t>
  </si>
  <si>
    <t>*</t>
  </si>
  <si>
    <t>Feed Rate</t>
  </si>
  <si>
    <t>Feedstream Description</t>
  </si>
  <si>
    <t>HWC Burn Status (Date if Terminated)</t>
  </si>
  <si>
    <t>TXD008079642</t>
  </si>
  <si>
    <t>NVR</t>
  </si>
  <si>
    <t>HMD</t>
  </si>
  <si>
    <t xml:space="preserve">     Cond Dates</t>
  </si>
  <si>
    <t>R1</t>
  </si>
  <si>
    <t>R2</t>
  </si>
  <si>
    <t>R3</t>
  </si>
  <si>
    <t>Liquid-fired boiler</t>
  </si>
  <si>
    <t>Cond Description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</si>
  <si>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</si>
  <si>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</si>
  <si>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</si>
  <si>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</si>
  <si>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</si>
  <si>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</si>
  <si>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Chromium (Hex)</t>
  </si>
  <si>
    <t>E1</t>
  </si>
  <si>
    <t>source</t>
  </si>
  <si>
    <t xml:space="preserve">cond 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</si>
  <si>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</si>
  <si>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</si>
  <si>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</si>
  <si>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</si>
  <si>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</si>
  <si>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</si>
  <si>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</si>
  <si>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</si>
  <si>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F3</t>
  </si>
  <si>
    <t>F4</t>
  </si>
  <si>
    <t>Chromium (Tri)</t>
  </si>
  <si>
    <t>Feed Class 2</t>
  </si>
  <si>
    <t>Estimated Firing Rate</t>
  </si>
  <si>
    <t>high nds?</t>
  </si>
  <si>
    <t xml:space="preserve">Facility Name and ID: </t>
  </si>
  <si>
    <t>DuPont Orange TX, Boiler No. 8</t>
  </si>
  <si>
    <t>Condition ID:</t>
  </si>
  <si>
    <t xml:space="preserve">Condition/Test Date:  </t>
  </si>
  <si>
    <t>Risk burn, July 20-24, 1998</t>
  </si>
  <si>
    <t>df c4</t>
  </si>
  <si>
    <t>PM (total)</t>
  </si>
  <si>
    <t>Full ND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</si>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</sst>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0"/>
    <numFmt numFmtId="169" formatCode="0.00000"/>
    <numFmt numFmtId="170" formatCode="0.0000000"/>
    <numFmt numFmtId="171" formatCode="0.00000000"/>
    <numFmt numFmtId="172" formatCode="0.0E+00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1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5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65" fontId="5" fillId="0" borderId="0" xfId="19" applyNumberFormat="1" applyFont="1" applyAlignment="1">
      <alignment horizontal="left"/>
      <protection/>
    </xf>
    <xf numFmtId="0" fontId="5" fillId="0" borderId="0" xfId="19" applyFont="1" applyAlignment="1">
      <alignment vertical="top" wrapText="1"/>
      <protection/>
    </xf>
    <xf numFmtId="167" fontId="5" fillId="0" borderId="0" xfId="19" applyNumberFormat="1" applyFont="1" applyAlignment="1">
      <alignment horizontal="left"/>
      <protection/>
    </xf>
    <xf numFmtId="15" fontId="5" fillId="0" borderId="0" xfId="19" applyNumberFormat="1" applyFont="1">
      <alignment/>
      <protection/>
    </xf>
    <xf numFmtId="0" fontId="10" fillId="0" borderId="0" xfId="0" applyFont="1" applyAlignment="1">
      <alignment/>
    </xf>
    <xf numFmtId="1" fontId="5" fillId="0" borderId="0" xfId="19" applyNumberFormat="1" applyFont="1" applyAlignment="1">
      <alignment horizontal="left"/>
      <protection/>
    </xf>
    <xf numFmtId="17" fontId="5" fillId="0" borderId="0" xfId="19" applyNumberFormat="1" applyFont="1" applyAlignment="1">
      <alignment horizontal="left"/>
      <protection/>
    </xf>
    <xf numFmtId="0" fontId="5" fillId="0" borderId="0" xfId="19" applyFont="1" applyAlignment="1">
      <alignment wrapText="1"/>
      <protection/>
    </xf>
    <xf numFmtId="0" fontId="4" fillId="0" borderId="0" xfId="0" applyFont="1" applyAlignment="1">
      <alignment vertical="top" wrapText="1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1" fontId="5" fillId="0" borderId="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-75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198</v>
      </c>
    </row>
    <row r="2" ht="12.75">
      <c r="A2" t="s">
        <v>199</v>
      </c>
    </row>
    <row r="3" ht="12.75">
      <c r="A3" t="s">
        <v>200</v>
      </c>
    </row>
    <row r="4" ht="12.75">
      <c r="A4" t="s">
        <v>201</v>
      </c>
    </row>
    <row r="5" ht="12.75">
      <c r="A5" t="s">
        <v>202</v>
      </c>
    </row>
    <row r="6" ht="12.75">
      <c r="A6" t="s">
        <v>219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C31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46" hidden="1" customWidth="1"/>
    <col min="2" max="2" width="24.7109375" style="46" customWidth="1"/>
    <col min="3" max="3" width="54.00390625" style="46" customWidth="1"/>
    <col min="4" max="4" width="13.7109375" style="46" customWidth="1"/>
    <col min="5" max="16384" width="11.421875" style="46" customWidth="1"/>
  </cols>
  <sheetData>
    <row r="1" ht="12.75">
      <c r="B1" s="45" t="s">
        <v>150</v>
      </c>
    </row>
    <row r="3" spans="2:3" ht="12.75">
      <c r="B3" s="46" t="s">
        <v>149</v>
      </c>
      <c r="C3" s="47">
        <v>760</v>
      </c>
    </row>
    <row r="4" spans="2:3" ht="12.75">
      <c r="B4" s="46" t="s">
        <v>19</v>
      </c>
      <c r="C4" s="46" t="s">
        <v>181</v>
      </c>
    </row>
    <row r="5" spans="2:3" ht="12.75">
      <c r="B5" s="46" t="s">
        <v>20</v>
      </c>
      <c r="C5" s="46" t="s">
        <v>80</v>
      </c>
    </row>
    <row r="6" ht="12.75">
      <c r="B6" s="46" t="s">
        <v>21</v>
      </c>
    </row>
    <row r="7" spans="2:3" ht="12.75">
      <c r="B7" s="46" t="s">
        <v>153</v>
      </c>
      <c r="C7" s="46" t="s">
        <v>79</v>
      </c>
    </row>
    <row r="8" spans="2:3" ht="12.75">
      <c r="B8" s="46" t="s">
        <v>154</v>
      </c>
      <c r="C8" s="46" t="s">
        <v>138</v>
      </c>
    </row>
    <row r="9" spans="2:3" ht="12.75">
      <c r="B9" s="46" t="s">
        <v>22</v>
      </c>
      <c r="C9" s="46" t="s">
        <v>117</v>
      </c>
    </row>
    <row r="10" spans="2:3" ht="12.75">
      <c r="B10" s="46" t="s">
        <v>23</v>
      </c>
      <c r="C10" s="46" t="s">
        <v>82</v>
      </c>
    </row>
    <row r="11" spans="2:3" ht="12.75">
      <c r="B11" s="46" t="s">
        <v>190</v>
      </c>
      <c r="C11" s="47">
        <v>0</v>
      </c>
    </row>
    <row r="12" spans="2:3" ht="12.75">
      <c r="B12" s="46" t="s">
        <v>194</v>
      </c>
      <c r="C12" s="46" t="s">
        <v>188</v>
      </c>
    </row>
    <row r="13" spans="2:3" ht="12.75">
      <c r="B13" s="46" t="s">
        <v>191</v>
      </c>
      <c r="C13" s="46" t="s">
        <v>195</v>
      </c>
    </row>
    <row r="14" ht="12.75">
      <c r="B14" s="46" t="s">
        <v>24</v>
      </c>
    </row>
    <row r="15" spans="2:3" ht="12.75">
      <c r="B15" s="46" t="s">
        <v>137</v>
      </c>
      <c r="C15" s="47">
        <v>350</v>
      </c>
    </row>
    <row r="16" spans="2:3" ht="12.75">
      <c r="B16" s="46" t="s">
        <v>152</v>
      </c>
      <c r="C16" s="47"/>
    </row>
    <row r="17" spans="2:3" ht="12.75">
      <c r="B17" s="46" t="s">
        <v>192</v>
      </c>
      <c r="C17" s="46" t="s">
        <v>82</v>
      </c>
    </row>
    <row r="18" ht="12.75">
      <c r="B18" s="46" t="s">
        <v>193</v>
      </c>
    </row>
    <row r="19" spans="2:3" ht="12.75">
      <c r="B19" s="46" t="s">
        <v>25</v>
      </c>
      <c r="C19" s="46" t="s">
        <v>108</v>
      </c>
    </row>
    <row r="20" spans="2:3" ht="12.75">
      <c r="B20" s="46" t="s">
        <v>118</v>
      </c>
      <c r="C20" s="46" t="s">
        <v>120</v>
      </c>
    </row>
    <row r="21" spans="2:3" ht="12.75">
      <c r="B21" s="46" t="s">
        <v>119</v>
      </c>
      <c r="C21" s="46" t="s">
        <v>107</v>
      </c>
    </row>
    <row r="22" spans="2:3" ht="12.75">
      <c r="B22" s="46" t="s">
        <v>139</v>
      </c>
      <c r="C22" s="46" t="s">
        <v>26</v>
      </c>
    </row>
    <row r="24" ht="12.75">
      <c r="B24" s="46" t="s">
        <v>27</v>
      </c>
    </row>
    <row r="25" spans="2:3" ht="12.75">
      <c r="B25" s="46" t="s">
        <v>155</v>
      </c>
      <c r="C25" s="48">
        <v>10</v>
      </c>
    </row>
    <row r="26" spans="2:3" ht="12.75">
      <c r="B26" s="46" t="s">
        <v>156</v>
      </c>
      <c r="C26" s="53">
        <v>152</v>
      </c>
    </row>
    <row r="27" spans="2:3" ht="12.75">
      <c r="B27" s="46" t="s">
        <v>157</v>
      </c>
      <c r="C27" s="48">
        <f>6/0.3048</f>
        <v>19.68503937007874</v>
      </c>
    </row>
    <row r="28" spans="2:3" ht="12.75">
      <c r="B28" s="46" t="s">
        <v>158</v>
      </c>
      <c r="C28" s="47"/>
    </row>
    <row r="30" spans="2:3" ht="12.75">
      <c r="B30" s="46" t="s">
        <v>121</v>
      </c>
      <c r="C30" s="46" t="s">
        <v>116</v>
      </c>
    </row>
    <row r="31" s="55" customFormat="1" ht="25.5">
      <c r="B31" s="55" t="s">
        <v>180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C41"/>
  <sheetViews>
    <sheetView workbookViewId="0" topLeftCell="B1">
      <selection activeCell="B1" sqref="A1:IV16384"/>
    </sheetView>
  </sheetViews>
  <sheetFormatPr defaultColWidth="9.140625" defaultRowHeight="12.75"/>
  <cols>
    <col min="1" max="1" width="9.140625" style="2" hidden="1" customWidth="1"/>
    <col min="2" max="2" width="23.57421875" style="2" customWidth="1"/>
    <col min="3" max="3" width="58.8515625" style="2" customWidth="1"/>
    <col min="4" max="16384" width="9.140625" style="2" customWidth="1"/>
  </cols>
  <sheetData>
    <row r="1" ht="12.75">
      <c r="B1" s="1" t="s">
        <v>189</v>
      </c>
    </row>
    <row r="3" ht="15" customHeight="1">
      <c r="B3" s="56" t="s">
        <v>102</v>
      </c>
    </row>
    <row r="4" ht="12.75">
      <c r="B4" s="56"/>
    </row>
    <row r="5" spans="2:3" s="49" customFormat="1" ht="25.5">
      <c r="B5" s="49" t="s">
        <v>28</v>
      </c>
      <c r="C5" s="49" t="s">
        <v>83</v>
      </c>
    </row>
    <row r="6" spans="2:3" s="46" customFormat="1" ht="12.75">
      <c r="B6" s="46" t="s">
        <v>29</v>
      </c>
      <c r="C6" s="46" t="s">
        <v>81</v>
      </c>
    </row>
    <row r="7" spans="2:3" s="46" customFormat="1" ht="12.75">
      <c r="B7" s="46" t="s">
        <v>30</v>
      </c>
      <c r="C7" s="46" t="s">
        <v>81</v>
      </c>
    </row>
    <row r="8" spans="2:3" s="46" customFormat="1" ht="12.75">
      <c r="B8" s="46" t="s">
        <v>31</v>
      </c>
      <c r="C8" s="50">
        <v>33403</v>
      </c>
    </row>
    <row r="9" spans="2:3" s="46" customFormat="1" ht="12.75">
      <c r="B9" s="46" t="s">
        <v>184</v>
      </c>
      <c r="C9" s="54">
        <v>33389</v>
      </c>
    </row>
    <row r="10" spans="2:3" s="46" customFormat="1" ht="12.75">
      <c r="B10" s="46" t="s">
        <v>151</v>
      </c>
      <c r="C10" s="46" t="s">
        <v>113</v>
      </c>
    </row>
    <row r="11" spans="2:3" s="46" customFormat="1" ht="12.75">
      <c r="B11" s="46" t="s">
        <v>32</v>
      </c>
      <c r="C11" s="46" t="s">
        <v>114</v>
      </c>
    </row>
    <row r="12" s="46" customFormat="1" ht="12.75"/>
    <row r="13" s="46" customFormat="1" ht="12.75">
      <c r="B13" s="56" t="s">
        <v>103</v>
      </c>
    </row>
    <row r="14" ht="12.75">
      <c r="B14" s="56"/>
    </row>
    <row r="15" spans="2:3" s="49" customFormat="1" ht="25.5">
      <c r="B15" s="49" t="s">
        <v>28</v>
      </c>
      <c r="C15" s="49" t="s">
        <v>83</v>
      </c>
    </row>
    <row r="16" spans="2:3" s="46" customFormat="1" ht="12.75">
      <c r="B16" s="46" t="s">
        <v>29</v>
      </c>
      <c r="C16" s="46" t="s">
        <v>81</v>
      </c>
    </row>
    <row r="17" spans="2:3" s="46" customFormat="1" ht="12.75">
      <c r="B17" s="46" t="s">
        <v>30</v>
      </c>
      <c r="C17" s="46" t="s">
        <v>81</v>
      </c>
    </row>
    <row r="18" spans="2:3" s="46" customFormat="1" ht="12.75">
      <c r="B18" s="46" t="s">
        <v>31</v>
      </c>
      <c r="C18" s="50">
        <v>33402</v>
      </c>
    </row>
    <row r="19" spans="2:3" s="46" customFormat="1" ht="12.75">
      <c r="B19" s="46" t="s">
        <v>184</v>
      </c>
      <c r="C19" s="54">
        <v>33389</v>
      </c>
    </row>
    <row r="20" spans="2:3" s="46" customFormat="1" ht="12.75">
      <c r="B20" s="46" t="s">
        <v>151</v>
      </c>
      <c r="C20" s="46" t="s">
        <v>115</v>
      </c>
    </row>
    <row r="21" spans="2:3" s="46" customFormat="1" ht="12.75">
      <c r="B21" s="46" t="s">
        <v>32</v>
      </c>
      <c r="C21" s="46" t="s">
        <v>7</v>
      </c>
    </row>
    <row r="22" s="46" customFormat="1" ht="12.75"/>
    <row r="23" s="46" customFormat="1" ht="12.75">
      <c r="B23" s="56" t="s">
        <v>104</v>
      </c>
    </row>
    <row r="24" s="46" customFormat="1" ht="12.75">
      <c r="B24" s="56"/>
    </row>
    <row r="25" spans="2:3" s="49" customFormat="1" ht="25.5">
      <c r="B25" s="49" t="s">
        <v>28</v>
      </c>
      <c r="C25" s="49" t="s">
        <v>83</v>
      </c>
    </row>
    <row r="26" spans="2:3" s="46" customFormat="1" ht="12.75">
      <c r="B26" s="46" t="s">
        <v>29</v>
      </c>
      <c r="C26" s="46" t="s">
        <v>81</v>
      </c>
    </row>
    <row r="27" spans="2:3" s="46" customFormat="1" ht="12.75">
      <c r="B27" s="46" t="s">
        <v>30</v>
      </c>
      <c r="C27" s="46" t="s">
        <v>81</v>
      </c>
    </row>
    <row r="28" spans="2:3" s="46" customFormat="1" ht="12.75">
      <c r="B28" s="46" t="s">
        <v>31</v>
      </c>
      <c r="C28" s="51" t="s">
        <v>95</v>
      </c>
    </row>
    <row r="29" spans="2:3" s="46" customFormat="1" ht="12.75">
      <c r="B29" s="46" t="s">
        <v>184</v>
      </c>
      <c r="C29" s="54">
        <v>34515</v>
      </c>
    </row>
    <row r="30" spans="2:3" s="46" customFormat="1" ht="12.75">
      <c r="B30" s="46" t="s">
        <v>151</v>
      </c>
      <c r="C30" s="46" t="s">
        <v>110</v>
      </c>
    </row>
    <row r="31" spans="2:3" s="46" customFormat="1" ht="12.75">
      <c r="B31" s="46" t="s">
        <v>32</v>
      </c>
      <c r="C31" s="46" t="s">
        <v>109</v>
      </c>
    </row>
    <row r="32" s="46" customFormat="1" ht="12.75"/>
    <row r="33" s="46" customFormat="1" ht="12.75">
      <c r="B33" s="56" t="s">
        <v>105</v>
      </c>
    </row>
    <row r="34" s="46" customFormat="1" ht="12.75">
      <c r="B34" s="56"/>
    </row>
    <row r="35" spans="2:3" s="49" customFormat="1" ht="25.5">
      <c r="B35" s="49" t="s">
        <v>28</v>
      </c>
      <c r="C35" s="49" t="s">
        <v>83</v>
      </c>
    </row>
    <row r="36" spans="2:3" s="46" customFormat="1" ht="12.75">
      <c r="B36" s="46" t="s">
        <v>29</v>
      </c>
      <c r="C36" s="46" t="s">
        <v>81</v>
      </c>
    </row>
    <row r="37" spans="2:3" s="46" customFormat="1" ht="12.75">
      <c r="B37" s="46" t="s">
        <v>30</v>
      </c>
      <c r="C37" s="46" t="s">
        <v>81</v>
      </c>
    </row>
    <row r="38" spans="2:3" s="46" customFormat="1" ht="12.75">
      <c r="B38" s="46" t="s">
        <v>31</v>
      </c>
      <c r="C38" s="46" t="s">
        <v>122</v>
      </c>
    </row>
    <row r="39" spans="2:3" s="46" customFormat="1" ht="12.75">
      <c r="B39" s="46" t="s">
        <v>184</v>
      </c>
      <c r="C39" s="54">
        <v>34515</v>
      </c>
    </row>
    <row r="40" spans="2:3" s="46" customFormat="1" ht="12.75">
      <c r="B40" s="46" t="s">
        <v>151</v>
      </c>
      <c r="C40" s="46" t="s">
        <v>111</v>
      </c>
    </row>
    <row r="41" spans="2:3" s="46" customFormat="1" ht="12.75">
      <c r="B41" s="46" t="s">
        <v>32</v>
      </c>
      <c r="C41" s="46" t="s">
        <v>112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05"/>
  <sheetViews>
    <sheetView zoomScale="75" zoomScaleNormal="75" workbookViewId="0" topLeftCell="B1">
      <selection activeCell="M99" sqref="M99"/>
    </sheetView>
  </sheetViews>
  <sheetFormatPr defaultColWidth="9.140625" defaultRowHeight="12.75"/>
  <cols>
    <col min="1" max="1" width="9.140625" style="2" hidden="1" customWidth="1"/>
    <col min="2" max="2" width="23.00390625" style="2" customWidth="1"/>
    <col min="3" max="3" width="12.00390625" style="2" customWidth="1"/>
    <col min="4" max="4" width="8.00390625" style="2" customWidth="1"/>
    <col min="5" max="5" width="4.57421875" style="2" customWidth="1"/>
    <col min="6" max="6" width="4.00390625" style="3" customWidth="1"/>
    <col min="7" max="7" width="7.7109375" style="2" customWidth="1"/>
    <col min="8" max="8" width="3.8515625" style="3" customWidth="1"/>
    <col min="9" max="9" width="8.421875" style="2" customWidth="1"/>
    <col min="10" max="10" width="4.00390625" style="3" customWidth="1"/>
    <col min="11" max="11" width="10.28125" style="2" customWidth="1"/>
    <col min="12" max="12" width="3.8515625" style="2" customWidth="1"/>
    <col min="13" max="13" width="9.8515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0</v>
      </c>
      <c r="C1" s="1"/>
    </row>
    <row r="3" spans="3:15" ht="12.75">
      <c r="C3" s="2" t="s">
        <v>161</v>
      </c>
      <c r="D3" s="2" t="s">
        <v>33</v>
      </c>
      <c r="E3" s="2" t="s">
        <v>140</v>
      </c>
      <c r="O3" s="3"/>
    </row>
    <row r="4" spans="7:12" ht="12.75">
      <c r="G4" s="3"/>
      <c r="I4" s="3"/>
      <c r="K4" s="5" t="s">
        <v>94</v>
      </c>
      <c r="L4" s="3"/>
    </row>
    <row r="5" spans="7:12" ht="12.75">
      <c r="G5" s="3"/>
      <c r="I5" s="3"/>
      <c r="K5" s="5"/>
      <c r="L5" s="3"/>
    </row>
    <row r="6" spans="1:13" s="7" customFormat="1" ht="12.75">
      <c r="A6" s="7">
        <v>1</v>
      </c>
      <c r="B6" s="6" t="s">
        <v>102</v>
      </c>
      <c r="C6" s="6"/>
      <c r="F6" s="5"/>
      <c r="G6" s="3" t="s">
        <v>185</v>
      </c>
      <c r="H6" s="3"/>
      <c r="I6" s="3" t="s">
        <v>186</v>
      </c>
      <c r="J6" s="3"/>
      <c r="K6" s="3" t="s">
        <v>187</v>
      </c>
      <c r="L6" s="4"/>
      <c r="M6" s="3" t="s">
        <v>35</v>
      </c>
    </row>
    <row r="7" spans="2:12" s="7" customFormat="1" ht="12.75" customHeight="1">
      <c r="B7" s="8"/>
      <c r="C7" s="8"/>
      <c r="F7" s="5"/>
      <c r="G7" s="5"/>
      <c r="H7" s="5"/>
      <c r="I7" s="5"/>
      <c r="J7" s="5"/>
      <c r="K7" s="5"/>
      <c r="L7" s="5"/>
    </row>
    <row r="8" spans="2:14" s="7" customFormat="1" ht="12.75">
      <c r="B8" s="7" t="s">
        <v>220</v>
      </c>
      <c r="C8" s="7" t="s">
        <v>197</v>
      </c>
      <c r="D8" s="7" t="s">
        <v>11</v>
      </c>
      <c r="E8" s="7" t="s">
        <v>36</v>
      </c>
      <c r="F8" s="5"/>
      <c r="G8" s="7">
        <v>0.0241</v>
      </c>
      <c r="H8" s="5"/>
      <c r="I8" s="7">
        <v>0.0246</v>
      </c>
      <c r="J8" s="5"/>
      <c r="K8" s="7">
        <v>0.0378</v>
      </c>
      <c r="M8" s="9">
        <f>AVERAGE(G8,I8,K8)</f>
        <v>0.028833333333333332</v>
      </c>
      <c r="N8" s="7" t="s">
        <v>162</v>
      </c>
    </row>
    <row r="9" spans="2:14" s="7" customFormat="1" ht="12.75">
      <c r="B9" s="7" t="s">
        <v>2</v>
      </c>
      <c r="C9" s="7" t="s">
        <v>197</v>
      </c>
      <c r="D9" s="7" t="s">
        <v>11</v>
      </c>
      <c r="E9" s="7" t="s">
        <v>36</v>
      </c>
      <c r="F9" s="5"/>
      <c r="G9" s="7">
        <v>0.0223</v>
      </c>
      <c r="H9" s="5"/>
      <c r="I9" s="7">
        <v>0.0195</v>
      </c>
      <c r="J9" s="5"/>
      <c r="K9" s="7">
        <v>0.0359</v>
      </c>
      <c r="M9" s="9">
        <v>0.0259</v>
      </c>
      <c r="N9" s="7" t="s">
        <v>163</v>
      </c>
    </row>
    <row r="10" spans="2:13" s="7" customFormat="1" ht="12.75">
      <c r="B10" s="7" t="s">
        <v>175</v>
      </c>
      <c r="C10" s="7" t="s">
        <v>197</v>
      </c>
      <c r="D10" s="7" t="s">
        <v>12</v>
      </c>
      <c r="E10" s="7" t="s">
        <v>36</v>
      </c>
      <c r="F10" s="5"/>
      <c r="G10" s="7">
        <v>42.1</v>
      </c>
      <c r="H10" s="5"/>
      <c r="I10" s="7">
        <v>39.5</v>
      </c>
      <c r="J10" s="5"/>
      <c r="K10" s="7">
        <v>92.1</v>
      </c>
      <c r="M10" s="10">
        <v>57.9</v>
      </c>
    </row>
    <row r="11" spans="2:13" s="7" customFormat="1" ht="12.75">
      <c r="B11" s="7" t="s">
        <v>174</v>
      </c>
      <c r="C11" s="7" t="s">
        <v>197</v>
      </c>
      <c r="D11" s="7" t="s">
        <v>12</v>
      </c>
      <c r="E11" s="7" t="s">
        <v>36</v>
      </c>
      <c r="F11" s="5"/>
      <c r="G11" s="10">
        <v>34</v>
      </c>
      <c r="H11" s="5"/>
      <c r="I11" s="7">
        <v>33.6</v>
      </c>
      <c r="J11" s="5"/>
      <c r="K11" s="7">
        <v>42.7</v>
      </c>
      <c r="M11" s="10">
        <f>AVERAGE(G11,I11,K11)</f>
        <v>36.766666666666666</v>
      </c>
    </row>
    <row r="12" spans="2:13" s="7" customFormat="1" ht="12.75">
      <c r="B12" s="7" t="s">
        <v>196</v>
      </c>
      <c r="D12" s="7" t="s">
        <v>44</v>
      </c>
      <c r="F12" s="5"/>
      <c r="G12" s="7">
        <v>0.011</v>
      </c>
      <c r="H12" s="5"/>
      <c r="I12" s="7">
        <v>0.009</v>
      </c>
      <c r="J12" s="5"/>
      <c r="K12" s="7">
        <v>0.015</v>
      </c>
      <c r="M12" s="11">
        <f>AVERAGE(G12,I12,K12)</f>
        <v>0.011666666666666665</v>
      </c>
    </row>
    <row r="13" spans="2:13" s="7" customFormat="1" ht="12.75" customHeight="1">
      <c r="B13" s="7" t="s">
        <v>97</v>
      </c>
      <c r="D13" s="7" t="s">
        <v>44</v>
      </c>
      <c r="F13" s="5"/>
      <c r="G13" s="7">
        <v>0.144</v>
      </c>
      <c r="H13" s="5"/>
      <c r="I13" s="7">
        <v>0.121</v>
      </c>
      <c r="J13" s="5"/>
      <c r="K13" s="7">
        <v>0.254</v>
      </c>
      <c r="M13" s="11">
        <f>AVERAGE(G13,I13,K13)</f>
        <v>0.17300000000000001</v>
      </c>
    </row>
    <row r="14" ht="12" customHeight="1"/>
    <row r="15" spans="2:4" ht="12" customHeight="1">
      <c r="B15" s="2" t="s">
        <v>176</v>
      </c>
      <c r="C15" s="2" t="s">
        <v>2</v>
      </c>
      <c r="D15" s="2" t="s">
        <v>197</v>
      </c>
    </row>
    <row r="16" spans="2:13" s="7" customFormat="1" ht="12.75">
      <c r="B16" s="7" t="s">
        <v>38</v>
      </c>
      <c r="D16" s="7" t="s">
        <v>16</v>
      </c>
      <c r="F16" s="5"/>
      <c r="G16" s="7">
        <v>76240</v>
      </c>
      <c r="H16" s="5"/>
      <c r="I16" s="7">
        <v>78092</v>
      </c>
      <c r="J16" s="5"/>
      <c r="K16" s="7">
        <v>77453</v>
      </c>
      <c r="M16" s="12">
        <f>AVERAGE(G16,I16,K16)</f>
        <v>77261.66666666667</v>
      </c>
    </row>
    <row r="17" spans="2:13" s="7" customFormat="1" ht="12.75">
      <c r="B17" s="7" t="s">
        <v>167</v>
      </c>
      <c r="D17" s="7" t="s">
        <v>17</v>
      </c>
      <c r="F17" s="5"/>
      <c r="G17" s="10">
        <v>7</v>
      </c>
      <c r="H17" s="5"/>
      <c r="I17" s="7">
        <v>6.8</v>
      </c>
      <c r="J17" s="5"/>
      <c r="K17" s="7">
        <v>6.8</v>
      </c>
      <c r="M17" s="10">
        <f>AVERAGE(G17,I17,K17)</f>
        <v>6.866666666666667</v>
      </c>
    </row>
    <row r="18" spans="2:13" s="7" customFormat="1" ht="12.75">
      <c r="B18" s="7" t="s">
        <v>168</v>
      </c>
      <c r="D18" s="7" t="s">
        <v>17</v>
      </c>
      <c r="F18" s="5"/>
      <c r="G18" s="7">
        <v>17.11</v>
      </c>
      <c r="H18" s="5"/>
      <c r="I18" s="7">
        <v>16.77</v>
      </c>
      <c r="J18" s="5"/>
      <c r="K18" s="7">
        <v>17.39</v>
      </c>
      <c r="M18" s="13">
        <f>AVERAGE(G18,I18,K18)</f>
        <v>17.09</v>
      </c>
    </row>
    <row r="19" spans="2:13" s="7" customFormat="1" ht="12.75">
      <c r="B19" s="7" t="s">
        <v>39</v>
      </c>
      <c r="D19" s="7" t="s">
        <v>18</v>
      </c>
      <c r="F19" s="5"/>
      <c r="G19" s="7">
        <v>379</v>
      </c>
      <c r="H19" s="5"/>
      <c r="I19" s="7">
        <v>393</v>
      </c>
      <c r="J19" s="5"/>
      <c r="K19" s="7">
        <v>384</v>
      </c>
      <c r="M19" s="10">
        <f>AVERAGE(G19,I19,K19)</f>
        <v>385.3333333333333</v>
      </c>
    </row>
    <row r="20" spans="6:13" s="7" customFormat="1" ht="12.75">
      <c r="F20" s="5"/>
      <c r="H20" s="5"/>
      <c r="J20" s="5"/>
      <c r="M20" s="10"/>
    </row>
    <row r="21" spans="2:13" s="7" customFormat="1" ht="12.75">
      <c r="B21" s="7" t="s">
        <v>196</v>
      </c>
      <c r="C21" s="7" t="s">
        <v>197</v>
      </c>
      <c r="D21" s="7" t="s">
        <v>13</v>
      </c>
      <c r="E21" s="7" t="s">
        <v>36</v>
      </c>
      <c r="F21" s="5"/>
      <c r="G21" s="10">
        <f>G12*454/G$16/60/0.0283*1000000*(21-7)/(21-G$17)</f>
        <v>38.576956780213</v>
      </c>
      <c r="H21" s="5"/>
      <c r="I21" s="10">
        <f>I12*454/I$16/60/0.0283*1000000*(21-7)/(21-I$17)</f>
        <v>30.380423394071634</v>
      </c>
      <c r="J21" s="5"/>
      <c r="K21" s="10">
        <f>K12*454/K$16/60/0.0283*1000000*(21-7)/(21-K$17)</f>
        <v>51.051778146958846</v>
      </c>
      <c r="M21" s="10">
        <f>M12*454/M$16/60/0.0283*1000000*(21-7)/(21-M$17)</f>
        <v>39.99303083594777</v>
      </c>
    </row>
    <row r="22" spans="2:13" s="7" customFormat="1" ht="12.75">
      <c r="B22" s="7" t="s">
        <v>97</v>
      </c>
      <c r="C22" s="7" t="s">
        <v>197</v>
      </c>
      <c r="D22" s="7" t="s">
        <v>13</v>
      </c>
      <c r="E22" s="7" t="s">
        <v>36</v>
      </c>
      <c r="F22" s="5"/>
      <c r="G22" s="10">
        <f>G13*454/G$16/60/0.0283*1000000*(21-7)/(21-G$17)</f>
        <v>505.0074342136974</v>
      </c>
      <c r="H22" s="5"/>
      <c r="I22" s="10">
        <f>I13*454/I$16/60/0.0283*1000000*(21-7)/(21-I$17)</f>
        <v>408.4479145202965</v>
      </c>
      <c r="J22" s="5"/>
      <c r="K22" s="10">
        <f>K13*454/K$16/60/0.0283*1000000*(21-7)/(21-K$17)</f>
        <v>864.4767766218366</v>
      </c>
      <c r="M22" s="10">
        <f>M13*454/M$16/60/0.0283*1000000*(21-7)/(21-M$17)</f>
        <v>593.0395143959113</v>
      </c>
    </row>
    <row r="23" spans="2:13" ht="12.75" customHeight="1">
      <c r="B23" s="2" t="s">
        <v>6</v>
      </c>
      <c r="C23" s="7" t="s">
        <v>197</v>
      </c>
      <c r="D23" s="7" t="s">
        <v>13</v>
      </c>
      <c r="E23" s="7" t="s">
        <v>36</v>
      </c>
      <c r="G23" s="16">
        <f>G22</f>
        <v>505.0074342136974</v>
      </c>
      <c r="I23" s="16">
        <f>I22</f>
        <v>408.4479145202965</v>
      </c>
      <c r="K23" s="16">
        <f>K22</f>
        <v>864.4767766218366</v>
      </c>
      <c r="M23" s="16">
        <f>M22</f>
        <v>593.0395143959113</v>
      </c>
    </row>
    <row r="24" spans="7:12" ht="12.75" customHeight="1">
      <c r="G24" s="14"/>
      <c r="H24" s="22"/>
      <c r="I24" s="14"/>
      <c r="J24" s="22"/>
      <c r="K24" s="14"/>
      <c r="L24" s="14"/>
    </row>
    <row r="25" spans="7:12" ht="12.75" customHeight="1">
      <c r="G25" s="14"/>
      <c r="H25" s="22"/>
      <c r="I25" s="14"/>
      <c r="J25" s="22"/>
      <c r="K25" s="14"/>
      <c r="L25" s="14"/>
    </row>
    <row r="26" spans="1:13" ht="12.75" customHeight="1">
      <c r="A26" s="2">
        <v>2</v>
      </c>
      <c r="B26" s="6" t="s">
        <v>103</v>
      </c>
      <c r="C26" s="6"/>
      <c r="D26" s="7"/>
      <c r="E26" s="7"/>
      <c r="F26" s="5"/>
      <c r="G26" s="3" t="s">
        <v>185</v>
      </c>
      <c r="I26" s="3" t="s">
        <v>186</v>
      </c>
      <c r="K26" s="3" t="s">
        <v>187</v>
      </c>
      <c r="L26" s="4"/>
      <c r="M26" s="3" t="s">
        <v>35</v>
      </c>
    </row>
    <row r="27" ht="12.75" customHeight="1"/>
    <row r="28" spans="2:13" ht="12.75" customHeight="1">
      <c r="B28" s="2" t="s">
        <v>175</v>
      </c>
      <c r="C28" s="2" t="s">
        <v>197</v>
      </c>
      <c r="D28" s="2" t="s">
        <v>12</v>
      </c>
      <c r="E28" s="2" t="s">
        <v>36</v>
      </c>
      <c r="G28" s="2">
        <v>30.8</v>
      </c>
      <c r="I28" s="2">
        <v>40.9</v>
      </c>
      <c r="K28" s="2">
        <v>29.2</v>
      </c>
      <c r="M28" s="2">
        <v>33.6</v>
      </c>
    </row>
    <row r="29" spans="2:13" ht="12.75">
      <c r="B29" s="2" t="s">
        <v>174</v>
      </c>
      <c r="C29" s="2" t="s">
        <v>197</v>
      </c>
      <c r="D29" s="2" t="s">
        <v>12</v>
      </c>
      <c r="E29" s="2" t="s">
        <v>36</v>
      </c>
      <c r="G29" s="2">
        <v>17.1</v>
      </c>
      <c r="I29" s="2">
        <v>16.5</v>
      </c>
      <c r="K29" s="2">
        <v>15.3</v>
      </c>
      <c r="M29" s="2">
        <f>AVERAGE(G29,I29,K29)</f>
        <v>16.3</v>
      </c>
    </row>
    <row r="30" ht="12.75" customHeight="1"/>
    <row r="31" spans="2:4" ht="12.75" customHeight="1">
      <c r="B31" s="2" t="s">
        <v>176</v>
      </c>
      <c r="C31" s="2" t="s">
        <v>7</v>
      </c>
      <c r="D31" s="2" t="s">
        <v>197</v>
      </c>
    </row>
    <row r="32" spans="2:13" ht="12.75">
      <c r="B32" s="2" t="s">
        <v>38</v>
      </c>
      <c r="D32" s="2" t="s">
        <v>16</v>
      </c>
      <c r="G32" s="2">
        <v>55847</v>
      </c>
      <c r="I32" s="2">
        <v>53240</v>
      </c>
      <c r="K32" s="2">
        <v>48928</v>
      </c>
      <c r="M32" s="15">
        <f>AVERAGE(G32,I32,K32)</f>
        <v>52671.666666666664</v>
      </c>
    </row>
    <row r="33" spans="2:13" ht="12.75">
      <c r="B33" s="2" t="s">
        <v>167</v>
      </c>
      <c r="D33" s="2" t="s">
        <v>17</v>
      </c>
      <c r="G33" s="2">
        <v>13.6</v>
      </c>
      <c r="I33" s="2">
        <v>12.8</v>
      </c>
      <c r="K33" s="2">
        <v>12.8</v>
      </c>
      <c r="M33" s="16">
        <f>AVERAGE(G33,I33,K33)</f>
        <v>13.066666666666668</v>
      </c>
    </row>
    <row r="34" spans="2:13" ht="12.75">
      <c r="B34" s="2" t="s">
        <v>168</v>
      </c>
      <c r="D34" s="2" t="s">
        <v>17</v>
      </c>
      <c r="G34" s="17">
        <v>12</v>
      </c>
      <c r="I34" s="2">
        <v>13.04</v>
      </c>
      <c r="K34" s="2">
        <v>13.34</v>
      </c>
      <c r="M34" s="16">
        <f>AVERAGE(G34,I34,K34)</f>
        <v>12.793333333333331</v>
      </c>
    </row>
    <row r="35" spans="2:13" ht="12.75">
      <c r="B35" s="2" t="s">
        <v>39</v>
      </c>
      <c r="D35" s="2" t="s">
        <v>18</v>
      </c>
      <c r="G35" s="2">
        <v>285</v>
      </c>
      <c r="I35" s="2">
        <v>286</v>
      </c>
      <c r="K35" s="2">
        <v>286</v>
      </c>
      <c r="M35" s="16">
        <f>AVERAGE(G35,I35,K35)</f>
        <v>285.6666666666667</v>
      </c>
    </row>
    <row r="36" ht="12.75" customHeight="1"/>
    <row r="37" spans="1:13" ht="14.25" customHeight="1">
      <c r="A37" s="2">
        <v>3</v>
      </c>
      <c r="B37" s="6" t="s">
        <v>104</v>
      </c>
      <c r="C37" s="6"/>
      <c r="D37" s="7"/>
      <c r="E37" s="7"/>
      <c r="F37" s="5"/>
      <c r="G37" s="3" t="s">
        <v>185</v>
      </c>
      <c r="I37" s="3" t="s">
        <v>186</v>
      </c>
      <c r="K37" s="3" t="s">
        <v>187</v>
      </c>
      <c r="L37" s="4"/>
      <c r="M37" s="3" t="s">
        <v>35</v>
      </c>
    </row>
    <row r="38" ht="14.25" customHeight="1"/>
    <row r="39" spans="2:13" ht="14.25" customHeight="1">
      <c r="B39" s="2" t="s">
        <v>2</v>
      </c>
      <c r="C39" s="2" t="s">
        <v>197</v>
      </c>
      <c r="D39" s="2" t="s">
        <v>11</v>
      </c>
      <c r="E39" s="2" t="s">
        <v>36</v>
      </c>
      <c r="G39" s="2">
        <v>0.0119</v>
      </c>
      <c r="I39" s="2">
        <v>0.008</v>
      </c>
      <c r="K39" s="2">
        <v>0.0076</v>
      </c>
      <c r="M39" s="18">
        <v>0.0092</v>
      </c>
    </row>
    <row r="40" spans="2:13" ht="12.75" customHeight="1">
      <c r="B40" s="2" t="s">
        <v>3</v>
      </c>
      <c r="D40" s="2" t="s">
        <v>12</v>
      </c>
      <c r="E40" s="2" t="s">
        <v>37</v>
      </c>
      <c r="G40" s="2">
        <v>61.4</v>
      </c>
      <c r="I40" s="2">
        <v>60</v>
      </c>
      <c r="K40" s="2">
        <v>65.2</v>
      </c>
      <c r="M40" s="19"/>
    </row>
    <row r="41" spans="2:13" ht="12.75" customHeight="1">
      <c r="B41" s="2" t="s">
        <v>4</v>
      </c>
      <c r="D41" s="2" t="s">
        <v>12</v>
      </c>
      <c r="E41" s="2" t="s">
        <v>37</v>
      </c>
      <c r="F41" s="3" t="s">
        <v>40</v>
      </c>
      <c r="G41" s="2">
        <v>0.2</v>
      </c>
      <c r="H41" s="3" t="s">
        <v>40</v>
      </c>
      <c r="I41" s="2">
        <v>0.2</v>
      </c>
      <c r="J41" s="3" t="s">
        <v>40</v>
      </c>
      <c r="K41" s="2">
        <v>0.2</v>
      </c>
      <c r="M41" s="19"/>
    </row>
    <row r="42" ht="12.75" customHeight="1">
      <c r="M42" s="19"/>
    </row>
    <row r="43" spans="2:13" ht="14.25" customHeight="1">
      <c r="B43" s="2" t="s">
        <v>171</v>
      </c>
      <c r="C43" s="2" t="s">
        <v>123</v>
      </c>
      <c r="M43" s="19"/>
    </row>
    <row r="44" spans="2:13" ht="14.25" customHeight="1">
      <c r="B44" s="2" t="s">
        <v>172</v>
      </c>
      <c r="M44" s="19"/>
    </row>
    <row r="45" spans="2:13" ht="14.25" customHeight="1">
      <c r="B45" s="2" t="s">
        <v>166</v>
      </c>
      <c r="C45" s="2" t="s">
        <v>197</v>
      </c>
      <c r="D45" s="2" t="s">
        <v>13</v>
      </c>
      <c r="F45" s="3" t="s">
        <v>40</v>
      </c>
      <c r="G45" s="2">
        <v>5.363</v>
      </c>
      <c r="H45" s="3" t="s">
        <v>40</v>
      </c>
      <c r="I45" s="2">
        <v>8.197</v>
      </c>
      <c r="J45" s="3" t="s">
        <v>40</v>
      </c>
      <c r="K45" s="19">
        <v>4.68</v>
      </c>
      <c r="M45" s="19"/>
    </row>
    <row r="46" spans="2:11" ht="12.75">
      <c r="B46" s="2" t="s">
        <v>8</v>
      </c>
      <c r="C46" s="2" t="s">
        <v>197</v>
      </c>
      <c r="D46" s="2" t="s">
        <v>17</v>
      </c>
      <c r="F46" s="3" t="s">
        <v>41</v>
      </c>
      <c r="G46" s="2">
        <v>99.998</v>
      </c>
      <c r="H46" s="3" t="s">
        <v>41</v>
      </c>
      <c r="I46" s="2">
        <v>99.997</v>
      </c>
      <c r="J46" s="3" t="s">
        <v>41</v>
      </c>
      <c r="K46" s="2">
        <v>99.998</v>
      </c>
    </row>
    <row r="48" spans="2:4" ht="12.75">
      <c r="B48" s="2" t="s">
        <v>176</v>
      </c>
      <c r="C48" s="2" t="s">
        <v>164</v>
      </c>
      <c r="D48" s="2" t="s">
        <v>197</v>
      </c>
    </row>
    <row r="49" spans="2:13" ht="12.75">
      <c r="B49" s="2" t="s">
        <v>38</v>
      </c>
      <c r="D49" s="2" t="s">
        <v>16</v>
      </c>
      <c r="G49" s="2">
        <v>59298</v>
      </c>
      <c r="I49" s="2">
        <v>60000</v>
      </c>
      <c r="K49" s="2">
        <v>59566</v>
      </c>
      <c r="M49" s="16">
        <f>AVERAGE(G49,I49,K49)</f>
        <v>59621.333333333336</v>
      </c>
    </row>
    <row r="50" spans="2:13" ht="12.75">
      <c r="B50" s="2" t="s">
        <v>167</v>
      </c>
      <c r="D50" s="2" t="s">
        <v>17</v>
      </c>
      <c r="G50" s="2">
        <v>11.9</v>
      </c>
      <c r="I50" s="2">
        <v>11.5</v>
      </c>
      <c r="K50" s="2">
        <v>11.9</v>
      </c>
      <c r="M50" s="16">
        <f>AVERAGE(G50,I50,K50)</f>
        <v>11.766666666666666</v>
      </c>
    </row>
    <row r="51" spans="2:13" ht="12.75">
      <c r="B51" s="2" t="s">
        <v>168</v>
      </c>
      <c r="D51" s="2" t="s">
        <v>17</v>
      </c>
      <c r="G51" s="2">
        <v>18.34</v>
      </c>
      <c r="I51" s="2">
        <v>18.12</v>
      </c>
      <c r="K51" s="2">
        <v>17.83</v>
      </c>
      <c r="M51" s="17">
        <f>AVERAGE(G51,I51,K51)</f>
        <v>18.096666666666668</v>
      </c>
    </row>
    <row r="52" spans="2:13" ht="12.75">
      <c r="B52" s="2" t="s">
        <v>39</v>
      </c>
      <c r="D52" s="2" t="s">
        <v>18</v>
      </c>
      <c r="G52" s="2">
        <v>330</v>
      </c>
      <c r="I52" s="2">
        <v>328</v>
      </c>
      <c r="K52" s="2">
        <v>322</v>
      </c>
      <c r="M52" s="17">
        <f>AVERAGE(G52,I52,K52)</f>
        <v>326.6666666666667</v>
      </c>
    </row>
    <row r="53" ht="12.75">
      <c r="M53" s="17"/>
    </row>
    <row r="54" spans="2:13" ht="12.75">
      <c r="B54" s="2" t="s">
        <v>3</v>
      </c>
      <c r="C54" s="2" t="s">
        <v>197</v>
      </c>
      <c r="D54" s="2" t="s">
        <v>12</v>
      </c>
      <c r="E54" s="2" t="s">
        <v>36</v>
      </c>
      <c r="G54" s="16">
        <f>G40*(21-7)/(21-G50)</f>
        <v>94.46153846153847</v>
      </c>
      <c r="I54" s="16">
        <f>I40*(21-7)/(21-I50)</f>
        <v>88.42105263157895</v>
      </c>
      <c r="K54" s="16">
        <f>K40*(21-7)/(21-K50)</f>
        <v>100.30769230769232</v>
      </c>
      <c r="M54" s="16">
        <f>AVERAGE(K54,I54,G54)</f>
        <v>94.39676113360325</v>
      </c>
    </row>
    <row r="55" spans="2:13" ht="12.75">
      <c r="B55" s="2" t="s">
        <v>4</v>
      </c>
      <c r="C55" s="2" t="s">
        <v>197</v>
      </c>
      <c r="D55" s="2" t="s">
        <v>12</v>
      </c>
      <c r="E55" s="2" t="s">
        <v>36</v>
      </c>
      <c r="G55" s="16">
        <f>G41*(21-7)/(21-G50)</f>
        <v>0.3076923076923077</v>
      </c>
      <c r="I55" s="16">
        <f>I41*(21-7)/(21-I50)</f>
        <v>0.2947368421052632</v>
      </c>
      <c r="K55" s="16">
        <f>K41*(21-7)/(21-K50)</f>
        <v>0.3076923076923077</v>
      </c>
      <c r="M55" s="16">
        <f>AVERAGE(K55,I55,G55)</f>
        <v>0.30337381916329287</v>
      </c>
    </row>
    <row r="56" spans="2:13" ht="12.75">
      <c r="B56" s="2" t="s">
        <v>173</v>
      </c>
      <c r="C56" s="2" t="s">
        <v>197</v>
      </c>
      <c r="D56" s="2" t="s">
        <v>12</v>
      </c>
      <c r="E56" s="2" t="s">
        <v>36</v>
      </c>
      <c r="G56" s="16">
        <f>2*G55+G54</f>
        <v>95.07692307692308</v>
      </c>
      <c r="I56" s="16">
        <f>2*I55+I54</f>
        <v>89.01052631578948</v>
      </c>
      <c r="K56" s="16">
        <f>2*K55+K54</f>
        <v>100.92307692307693</v>
      </c>
      <c r="M56" s="16">
        <f>AVERAGE(K56,I56,G56)</f>
        <v>95.00350877192983</v>
      </c>
    </row>
    <row r="58" spans="1:13" ht="14.25" customHeight="1">
      <c r="A58" s="2">
        <v>4</v>
      </c>
      <c r="B58" s="6" t="s">
        <v>105</v>
      </c>
      <c r="C58" s="6"/>
      <c r="D58" s="7"/>
      <c r="E58" s="7"/>
      <c r="F58" s="5"/>
      <c r="G58" s="3" t="s">
        <v>185</v>
      </c>
      <c r="I58" s="3" t="s">
        <v>186</v>
      </c>
      <c r="K58" s="3" t="s">
        <v>187</v>
      </c>
      <c r="L58" s="4"/>
      <c r="M58" s="3" t="s">
        <v>35</v>
      </c>
    </row>
    <row r="59" ht="12.75" customHeight="1"/>
    <row r="60" spans="2:13" ht="12.75" customHeight="1">
      <c r="B60" s="2" t="s">
        <v>2</v>
      </c>
      <c r="C60" s="2" t="s">
        <v>197</v>
      </c>
      <c r="D60" s="2" t="s">
        <v>11</v>
      </c>
      <c r="E60" s="2" t="s">
        <v>36</v>
      </c>
      <c r="G60" s="18">
        <v>0.0062</v>
      </c>
      <c r="H60" s="23"/>
      <c r="I60" s="18">
        <v>0.004</v>
      </c>
      <c r="J60" s="23"/>
      <c r="K60" s="18">
        <v>0.0051</v>
      </c>
      <c r="M60" s="18">
        <f>AVERAGE(G60,I60,K60)</f>
        <v>0.0051</v>
      </c>
    </row>
    <row r="61" spans="2:13" ht="12.75" customHeight="1">
      <c r="B61" s="2" t="s">
        <v>85</v>
      </c>
      <c r="D61" s="2" t="s">
        <v>13</v>
      </c>
      <c r="E61" s="2" t="s">
        <v>37</v>
      </c>
      <c r="F61" s="3" t="s">
        <v>40</v>
      </c>
      <c r="G61" s="16">
        <v>38.9</v>
      </c>
      <c r="H61" s="3" t="s">
        <v>40</v>
      </c>
      <c r="I61" s="16">
        <v>13.809</v>
      </c>
      <c r="J61" s="3" t="s">
        <v>40</v>
      </c>
      <c r="K61" s="16">
        <v>5.882</v>
      </c>
      <c r="M61" s="19"/>
    </row>
    <row r="62" spans="2:13" ht="12.75" customHeight="1">
      <c r="B62" s="2" t="s">
        <v>86</v>
      </c>
      <c r="D62" s="2" t="str">
        <f>D61</f>
        <v>µg/dscm</v>
      </c>
      <c r="E62" s="2" t="s">
        <v>37</v>
      </c>
      <c r="F62" s="3" t="s">
        <v>40</v>
      </c>
      <c r="G62" s="16">
        <v>141.887</v>
      </c>
      <c r="H62" s="3" t="s">
        <v>40</v>
      </c>
      <c r="I62" s="16">
        <v>40.726</v>
      </c>
      <c r="J62" s="3" t="s">
        <v>40</v>
      </c>
      <c r="K62" s="16">
        <v>45.041</v>
      </c>
      <c r="M62" s="19"/>
    </row>
    <row r="63" spans="2:13" ht="12.75" customHeight="1">
      <c r="B63" s="2" t="s">
        <v>87</v>
      </c>
      <c r="D63" s="2" t="str">
        <f aca="true" t="shared" si="0" ref="D63:D73">D62</f>
        <v>µg/dscm</v>
      </c>
      <c r="E63" s="2" t="s">
        <v>37</v>
      </c>
      <c r="F63" s="3" t="s">
        <v>40</v>
      </c>
      <c r="G63" s="16">
        <v>138.78</v>
      </c>
      <c r="H63" s="3" t="s">
        <v>40</v>
      </c>
      <c r="I63" s="16">
        <v>36.68</v>
      </c>
      <c r="J63" s="3" t="s">
        <v>40</v>
      </c>
      <c r="K63" s="16">
        <v>34.814</v>
      </c>
      <c r="M63" s="19"/>
    </row>
    <row r="64" spans="2:13" ht="12.75" customHeight="1">
      <c r="B64" s="2" t="s">
        <v>88</v>
      </c>
      <c r="D64" s="2" t="str">
        <f t="shared" si="0"/>
        <v>µg/dscm</v>
      </c>
      <c r="E64" s="2" t="s">
        <v>37</v>
      </c>
      <c r="F64" s="3" t="s">
        <v>40</v>
      </c>
      <c r="G64" s="16">
        <v>2.91</v>
      </c>
      <c r="H64" s="3" t="s">
        <v>40</v>
      </c>
      <c r="I64" s="16">
        <v>0.782</v>
      </c>
      <c r="J64" s="3" t="s">
        <v>40</v>
      </c>
      <c r="K64" s="16">
        <v>0.742</v>
      </c>
      <c r="M64" s="19"/>
    </row>
    <row r="65" spans="2:13" ht="12.75" customHeight="1">
      <c r="B65" s="2" t="s">
        <v>89</v>
      </c>
      <c r="D65" s="2" t="str">
        <f t="shared" si="0"/>
        <v>µg/dscm</v>
      </c>
      <c r="E65" s="2" t="s">
        <v>37</v>
      </c>
      <c r="F65" s="3" t="s">
        <v>40</v>
      </c>
      <c r="G65" s="16">
        <v>2.91</v>
      </c>
      <c r="H65" s="3" t="s">
        <v>40</v>
      </c>
      <c r="I65" s="16">
        <v>0.782</v>
      </c>
      <c r="J65" s="3" t="s">
        <v>40</v>
      </c>
      <c r="K65" s="16">
        <v>0.848</v>
      </c>
      <c r="M65" s="19"/>
    </row>
    <row r="66" spans="2:13" ht="12.75" customHeight="1">
      <c r="B66" s="2" t="s">
        <v>97</v>
      </c>
      <c r="D66" s="2" t="str">
        <f t="shared" si="0"/>
        <v>µg/dscm</v>
      </c>
      <c r="E66" s="2" t="s">
        <v>37</v>
      </c>
      <c r="F66" s="3" t="s">
        <v>40</v>
      </c>
      <c r="G66" s="16">
        <v>49.031</v>
      </c>
      <c r="H66" s="3" t="s">
        <v>40</v>
      </c>
      <c r="I66" s="16">
        <v>51.487</v>
      </c>
      <c r="K66" s="16">
        <v>62.951</v>
      </c>
      <c r="M66" s="19"/>
    </row>
    <row r="67" spans="2:13" ht="12.75" customHeight="1">
      <c r="B67" s="2" t="s">
        <v>90</v>
      </c>
      <c r="D67" s="2" t="str">
        <f>D66</f>
        <v>µg/dscm</v>
      </c>
      <c r="E67" s="2" t="s">
        <v>37</v>
      </c>
      <c r="F67" s="3" t="s">
        <v>40</v>
      </c>
      <c r="G67" s="16">
        <v>47.827</v>
      </c>
      <c r="H67" s="3" t="s">
        <v>40</v>
      </c>
      <c r="I67" s="16">
        <v>19.5</v>
      </c>
      <c r="J67" s="3" t="s">
        <v>40</v>
      </c>
      <c r="K67" s="16">
        <v>11.472</v>
      </c>
      <c r="M67" s="19"/>
    </row>
    <row r="68" spans="2:13" ht="12.75" customHeight="1">
      <c r="B68" s="2" t="s">
        <v>91</v>
      </c>
      <c r="D68" s="2" t="str">
        <f t="shared" si="0"/>
        <v>µg/dscm</v>
      </c>
      <c r="E68" s="2" t="s">
        <v>37</v>
      </c>
      <c r="F68" s="3" t="s">
        <v>40</v>
      </c>
      <c r="G68" s="16">
        <v>1.007</v>
      </c>
      <c r="H68" s="3" t="s">
        <v>40</v>
      </c>
      <c r="I68" s="16">
        <v>0.917</v>
      </c>
      <c r="J68" s="3" t="s">
        <v>40</v>
      </c>
      <c r="K68" s="16">
        <v>1.033</v>
      </c>
      <c r="M68" s="19"/>
    </row>
    <row r="69" spans="2:13" ht="12.75" customHeight="1">
      <c r="B69" s="2" t="s">
        <v>98</v>
      </c>
      <c r="D69" s="2" t="str">
        <f t="shared" si="0"/>
        <v>µg/dscm</v>
      </c>
      <c r="E69" s="2" t="s">
        <v>37</v>
      </c>
      <c r="F69" s="3" t="s">
        <v>40</v>
      </c>
      <c r="G69" s="16">
        <v>9.963</v>
      </c>
      <c r="H69" s="3" t="s">
        <v>40</v>
      </c>
      <c r="I69" s="16">
        <v>7.929</v>
      </c>
      <c r="J69" s="3" t="s">
        <v>40</v>
      </c>
      <c r="K69" s="16">
        <v>7.154</v>
      </c>
      <c r="M69" s="19"/>
    </row>
    <row r="70" spans="2:13" ht="12.75" customHeight="1">
      <c r="B70" s="2" t="s">
        <v>99</v>
      </c>
      <c r="D70" s="2" t="str">
        <f t="shared" si="0"/>
        <v>µg/dscm</v>
      </c>
      <c r="E70" s="2" t="s">
        <v>37</v>
      </c>
      <c r="F70" s="3" t="s">
        <v>40</v>
      </c>
      <c r="G70" s="16">
        <v>128.454</v>
      </c>
      <c r="H70" s="3" t="s">
        <v>40</v>
      </c>
      <c r="I70" s="16">
        <v>39.647</v>
      </c>
      <c r="J70" s="3" t="s">
        <v>40</v>
      </c>
      <c r="K70" s="16">
        <v>37.357</v>
      </c>
      <c r="M70" s="19"/>
    </row>
    <row r="71" spans="2:13" ht="12.75" customHeight="1">
      <c r="B71" s="2" t="s">
        <v>92</v>
      </c>
      <c r="D71" s="2" t="str">
        <f t="shared" si="0"/>
        <v>µg/dscm</v>
      </c>
      <c r="E71" s="2" t="s">
        <v>37</v>
      </c>
      <c r="F71" s="3" t="s">
        <v>40</v>
      </c>
      <c r="G71" s="16">
        <v>3.778</v>
      </c>
      <c r="H71" s="3" t="s">
        <v>40</v>
      </c>
      <c r="I71" s="16">
        <v>1.591</v>
      </c>
      <c r="J71" s="3" t="s">
        <v>40</v>
      </c>
      <c r="K71" s="16">
        <v>1.51</v>
      </c>
      <c r="M71" s="19"/>
    </row>
    <row r="72" spans="2:13" ht="12.75" customHeight="1">
      <c r="B72" s="2" t="s">
        <v>93</v>
      </c>
      <c r="D72" s="2" t="str">
        <f t="shared" si="0"/>
        <v>µg/dscm</v>
      </c>
      <c r="E72" s="2" t="s">
        <v>37</v>
      </c>
      <c r="F72" s="3" t="s">
        <v>40</v>
      </c>
      <c r="G72" s="16">
        <v>470.157</v>
      </c>
      <c r="H72" s="3" t="s">
        <v>40</v>
      </c>
      <c r="I72" s="16">
        <v>318.255</v>
      </c>
      <c r="J72" s="3" t="s">
        <v>40</v>
      </c>
      <c r="K72" s="16">
        <v>299.389</v>
      </c>
      <c r="M72" s="19"/>
    </row>
    <row r="73" spans="2:13" ht="12.75" customHeight="1">
      <c r="B73" s="2" t="s">
        <v>100</v>
      </c>
      <c r="D73" s="2" t="str">
        <f t="shared" si="0"/>
        <v>µg/dscm</v>
      </c>
      <c r="E73" s="2" t="s">
        <v>37</v>
      </c>
      <c r="G73" s="16">
        <v>34.786</v>
      </c>
      <c r="I73" s="16">
        <v>12.272</v>
      </c>
      <c r="J73" s="24"/>
      <c r="K73" s="16">
        <v>11.737</v>
      </c>
      <c r="L73" s="19"/>
      <c r="M73" s="19"/>
    </row>
    <row r="74" spans="2:13" ht="12.75" customHeight="1">
      <c r="B74" s="7" t="s">
        <v>196</v>
      </c>
      <c r="D74" s="2" t="s">
        <v>159</v>
      </c>
      <c r="F74" s="3" t="s">
        <v>40</v>
      </c>
      <c r="G74" s="44">
        <v>9.58E-05</v>
      </c>
      <c r="H74" s="3" t="s">
        <v>40</v>
      </c>
      <c r="I74" s="20">
        <v>0.000103</v>
      </c>
      <c r="J74" s="3" t="s">
        <v>40</v>
      </c>
      <c r="K74" s="20">
        <v>0.000127</v>
      </c>
      <c r="M74" s="20"/>
    </row>
    <row r="75" ht="12.75" customHeight="1"/>
    <row r="76" spans="2:4" ht="12.75">
      <c r="B76" s="2" t="s">
        <v>176</v>
      </c>
      <c r="C76" s="2" t="s">
        <v>165</v>
      </c>
      <c r="D76" s="2" t="s">
        <v>197</v>
      </c>
    </row>
    <row r="77" spans="2:13" ht="12.75">
      <c r="B77" s="2" t="s">
        <v>38</v>
      </c>
      <c r="D77" s="2" t="s">
        <v>16</v>
      </c>
      <c r="G77" s="2">
        <v>59027</v>
      </c>
      <c r="I77" s="2">
        <v>60347</v>
      </c>
      <c r="K77" s="2">
        <v>61296</v>
      </c>
      <c r="M77" s="15">
        <f>AVERAGE(G77,I77,K77)</f>
        <v>60223.333333333336</v>
      </c>
    </row>
    <row r="78" spans="2:13" ht="12.75">
      <c r="B78" s="2" t="s">
        <v>167</v>
      </c>
      <c r="D78" s="2" t="s">
        <v>17</v>
      </c>
      <c r="G78" s="2">
        <v>12.4</v>
      </c>
      <c r="I78" s="2">
        <v>12.3</v>
      </c>
      <c r="K78" s="16">
        <v>13</v>
      </c>
      <c r="M78" s="16">
        <f>AVERAGE(G78,I78,K78)</f>
        <v>12.566666666666668</v>
      </c>
    </row>
    <row r="79" spans="2:13" ht="12.75">
      <c r="B79" s="2" t="s">
        <v>168</v>
      </c>
      <c r="D79" s="2" t="s">
        <v>17</v>
      </c>
      <c r="G79" s="2">
        <v>14.41</v>
      </c>
      <c r="I79" s="2">
        <v>14.07</v>
      </c>
      <c r="K79" s="2">
        <v>13.87</v>
      </c>
      <c r="M79" s="17">
        <f>AVERAGE(G79,I79,K79)</f>
        <v>14.116666666666667</v>
      </c>
    </row>
    <row r="80" spans="2:13" ht="12.75">
      <c r="B80" s="2" t="s">
        <v>39</v>
      </c>
      <c r="D80" s="2" t="s">
        <v>18</v>
      </c>
      <c r="G80" s="2">
        <v>277</v>
      </c>
      <c r="I80" s="2">
        <v>275</v>
      </c>
      <c r="K80" s="2">
        <v>286</v>
      </c>
      <c r="M80" s="15">
        <f>AVERAGE(G80,I80,K80)</f>
        <v>279.3333333333333</v>
      </c>
    </row>
    <row r="81" ht="12.75">
      <c r="M81" s="21"/>
    </row>
    <row r="82" spans="2:13" ht="12.75">
      <c r="B82" s="2" t="s">
        <v>85</v>
      </c>
      <c r="C82" s="2" t="s">
        <v>197</v>
      </c>
      <c r="D82" s="2" t="s">
        <v>13</v>
      </c>
      <c r="E82" s="2" t="s">
        <v>36</v>
      </c>
      <c r="F82" s="3" t="s">
        <v>40</v>
      </c>
      <c r="G82" s="16">
        <f>G61*(21-7)/(21-G$78)</f>
        <v>63.32558139534884</v>
      </c>
      <c r="H82" s="3" t="s">
        <v>40</v>
      </c>
      <c r="I82" s="16">
        <f>I61*(21-7)/(21-I$78)</f>
        <v>22.22137931034483</v>
      </c>
      <c r="J82" s="3" t="s">
        <v>40</v>
      </c>
      <c r="K82" s="16">
        <f aca="true" t="shared" si="1" ref="K82:K94">K61*(21-7)/(21-K$78)</f>
        <v>10.2935</v>
      </c>
      <c r="L82" s="2">
        <v>100</v>
      </c>
      <c r="M82" s="16">
        <f>AVERAGE(G82,I82,K82)</f>
        <v>31.94682023523122</v>
      </c>
    </row>
    <row r="83" spans="2:14" ht="12.75">
      <c r="B83" s="2" t="s">
        <v>86</v>
      </c>
      <c r="C83" s="2" t="s">
        <v>197</v>
      </c>
      <c r="D83" s="2" t="str">
        <f aca="true" t="shared" si="2" ref="D83:D88">D82</f>
        <v>µg/dscm</v>
      </c>
      <c r="E83" s="2" t="s">
        <v>36</v>
      </c>
      <c r="F83" s="3" t="s">
        <v>40</v>
      </c>
      <c r="G83" s="16">
        <f aca="true" t="shared" si="3" ref="G83:I94">G62*(21-7)/(21-G$78)</f>
        <v>230.97883720930236</v>
      </c>
      <c r="H83" s="3" t="s">
        <v>40</v>
      </c>
      <c r="I83" s="16">
        <f t="shared" si="3"/>
        <v>65.536091954023</v>
      </c>
      <c r="J83" s="3" t="s">
        <v>40</v>
      </c>
      <c r="K83" s="16">
        <f t="shared" si="1"/>
        <v>78.82175</v>
      </c>
      <c r="L83" s="2">
        <v>100</v>
      </c>
      <c r="M83" s="16">
        <f aca="true" t="shared" si="4" ref="M83:M95">AVERAGE(G83,I83,K83)</f>
        <v>125.11222638777512</v>
      </c>
      <c r="N83" s="2" t="s">
        <v>213</v>
      </c>
    </row>
    <row r="84" spans="2:13" ht="12.75">
      <c r="B84" s="2" t="s">
        <v>87</v>
      </c>
      <c r="C84" s="2" t="s">
        <v>197</v>
      </c>
      <c r="D84" s="2" t="str">
        <f t="shared" si="2"/>
        <v>µg/dscm</v>
      </c>
      <c r="E84" s="2" t="s">
        <v>36</v>
      </c>
      <c r="F84" s="3" t="s">
        <v>40</v>
      </c>
      <c r="G84" s="16">
        <f t="shared" si="3"/>
        <v>225.92093023255816</v>
      </c>
      <c r="H84" s="3" t="s">
        <v>40</v>
      </c>
      <c r="I84" s="16">
        <f t="shared" si="3"/>
        <v>59.02528735632184</v>
      </c>
      <c r="J84" s="3" t="s">
        <v>40</v>
      </c>
      <c r="K84" s="16">
        <f t="shared" si="1"/>
        <v>60.9245</v>
      </c>
      <c r="L84" s="2">
        <v>100</v>
      </c>
      <c r="M84" s="16">
        <f t="shared" si="4"/>
        <v>115.29023919629334</v>
      </c>
    </row>
    <row r="85" spans="2:13" ht="12.75">
      <c r="B85" s="2" t="s">
        <v>88</v>
      </c>
      <c r="C85" s="2" t="s">
        <v>197</v>
      </c>
      <c r="D85" s="2" t="str">
        <f t="shared" si="2"/>
        <v>µg/dscm</v>
      </c>
      <c r="E85" s="2" t="s">
        <v>36</v>
      </c>
      <c r="F85" s="3" t="s">
        <v>40</v>
      </c>
      <c r="G85" s="16">
        <f t="shared" si="3"/>
        <v>4.7372093023255815</v>
      </c>
      <c r="H85" s="3" t="s">
        <v>40</v>
      </c>
      <c r="I85" s="16">
        <f t="shared" si="3"/>
        <v>1.2583908045977013</v>
      </c>
      <c r="J85" s="3" t="s">
        <v>40</v>
      </c>
      <c r="K85" s="16">
        <f t="shared" si="1"/>
        <v>1.2985</v>
      </c>
      <c r="L85" s="2">
        <v>100</v>
      </c>
      <c r="M85" s="16">
        <f t="shared" si="4"/>
        <v>2.4313667023077605</v>
      </c>
    </row>
    <row r="86" spans="2:13" ht="12.75">
      <c r="B86" s="2" t="s">
        <v>89</v>
      </c>
      <c r="C86" s="2" t="s">
        <v>197</v>
      </c>
      <c r="D86" s="2" t="str">
        <f t="shared" si="2"/>
        <v>µg/dscm</v>
      </c>
      <c r="E86" s="2" t="s">
        <v>36</v>
      </c>
      <c r="F86" s="3" t="s">
        <v>40</v>
      </c>
      <c r="G86" s="16">
        <f t="shared" si="3"/>
        <v>4.7372093023255815</v>
      </c>
      <c r="H86" s="3" t="s">
        <v>40</v>
      </c>
      <c r="I86" s="16">
        <f t="shared" si="3"/>
        <v>1.2583908045977013</v>
      </c>
      <c r="J86" s="3" t="s">
        <v>40</v>
      </c>
      <c r="K86" s="16">
        <f t="shared" si="1"/>
        <v>1.484</v>
      </c>
      <c r="L86" s="2">
        <v>100</v>
      </c>
      <c r="M86" s="16">
        <f t="shared" si="4"/>
        <v>2.493200035641094</v>
      </c>
    </row>
    <row r="87" spans="2:13" ht="12.75">
      <c r="B87" s="2" t="s">
        <v>97</v>
      </c>
      <c r="C87" s="2" t="s">
        <v>197</v>
      </c>
      <c r="D87" s="2" t="str">
        <f t="shared" si="2"/>
        <v>µg/dscm</v>
      </c>
      <c r="E87" s="2" t="s">
        <v>36</v>
      </c>
      <c r="F87" s="3" t="s">
        <v>40</v>
      </c>
      <c r="G87" s="16">
        <f t="shared" si="3"/>
        <v>79.81790697674418</v>
      </c>
      <c r="H87" s="3" t="s">
        <v>40</v>
      </c>
      <c r="I87" s="16">
        <f t="shared" si="3"/>
        <v>82.85264367816093</v>
      </c>
      <c r="K87" s="16">
        <f t="shared" si="1"/>
        <v>110.16425</v>
      </c>
      <c r="L87" s="2">
        <f>SUM(G87,I87)/M87/3*100</f>
        <v>59.622361320636244</v>
      </c>
      <c r="M87" s="16">
        <f t="shared" si="4"/>
        <v>90.94493355163503</v>
      </c>
    </row>
    <row r="88" spans="2:13" ht="12.75">
      <c r="B88" s="2" t="s">
        <v>90</v>
      </c>
      <c r="C88" s="2" t="s">
        <v>197</v>
      </c>
      <c r="D88" s="2" t="str">
        <f t="shared" si="2"/>
        <v>µg/dscm</v>
      </c>
      <c r="E88" s="2" t="s">
        <v>36</v>
      </c>
      <c r="F88" s="3" t="s">
        <v>40</v>
      </c>
      <c r="G88" s="16">
        <f t="shared" si="3"/>
        <v>77.85790697674419</v>
      </c>
      <c r="H88" s="3" t="s">
        <v>40</v>
      </c>
      <c r="I88" s="16">
        <f t="shared" si="3"/>
        <v>31.379310344827587</v>
      </c>
      <c r="J88" s="3" t="s">
        <v>40</v>
      </c>
      <c r="K88" s="16">
        <f t="shared" si="1"/>
        <v>20.076</v>
      </c>
      <c r="L88" s="2">
        <v>100</v>
      </c>
      <c r="M88" s="16">
        <f t="shared" si="4"/>
        <v>43.10440577385726</v>
      </c>
    </row>
    <row r="89" spans="2:13" ht="12.75">
      <c r="B89" s="2" t="s">
        <v>91</v>
      </c>
      <c r="C89" s="2" t="s">
        <v>197</v>
      </c>
      <c r="D89" s="2" t="str">
        <f aca="true" t="shared" si="5" ref="D89:D94">D88</f>
        <v>µg/dscm</v>
      </c>
      <c r="E89" s="2" t="s">
        <v>36</v>
      </c>
      <c r="F89" s="3" t="s">
        <v>40</v>
      </c>
      <c r="G89" s="16">
        <f t="shared" si="3"/>
        <v>1.6393023255813952</v>
      </c>
      <c r="H89" s="3" t="s">
        <v>40</v>
      </c>
      <c r="I89" s="16">
        <f t="shared" si="3"/>
        <v>1.4756321839080462</v>
      </c>
      <c r="J89" s="3" t="s">
        <v>40</v>
      </c>
      <c r="K89" s="16">
        <f t="shared" si="1"/>
        <v>1.80775</v>
      </c>
      <c r="L89" s="2">
        <v>100</v>
      </c>
      <c r="M89" s="16">
        <f t="shared" si="4"/>
        <v>1.6408948364964804</v>
      </c>
    </row>
    <row r="90" spans="2:13" ht="12.75">
      <c r="B90" s="2" t="s">
        <v>98</v>
      </c>
      <c r="C90" s="2" t="s">
        <v>197</v>
      </c>
      <c r="D90" s="2" t="str">
        <f t="shared" si="5"/>
        <v>µg/dscm</v>
      </c>
      <c r="E90" s="2" t="s">
        <v>36</v>
      </c>
      <c r="F90" s="3" t="s">
        <v>40</v>
      </c>
      <c r="G90" s="16">
        <f t="shared" si="3"/>
        <v>16.218837209302325</v>
      </c>
      <c r="H90" s="3" t="s">
        <v>40</v>
      </c>
      <c r="I90" s="16">
        <f t="shared" si="3"/>
        <v>12.759310344827588</v>
      </c>
      <c r="J90" s="3" t="s">
        <v>40</v>
      </c>
      <c r="K90" s="16">
        <f t="shared" si="1"/>
        <v>12.5195</v>
      </c>
      <c r="L90" s="2">
        <v>100</v>
      </c>
      <c r="M90" s="16">
        <f t="shared" si="4"/>
        <v>13.83254918470997</v>
      </c>
    </row>
    <row r="91" spans="2:13" ht="12.75">
      <c r="B91" s="2" t="s">
        <v>99</v>
      </c>
      <c r="C91" s="2" t="s">
        <v>197</v>
      </c>
      <c r="D91" s="2" t="str">
        <f t="shared" si="5"/>
        <v>µg/dscm</v>
      </c>
      <c r="E91" s="2" t="s">
        <v>36</v>
      </c>
      <c r="F91" s="3" t="s">
        <v>40</v>
      </c>
      <c r="G91" s="16">
        <f t="shared" si="3"/>
        <v>209.1111627906977</v>
      </c>
      <c r="H91" s="3" t="s">
        <v>40</v>
      </c>
      <c r="I91" s="16">
        <f t="shared" si="3"/>
        <v>63.79977011494253</v>
      </c>
      <c r="J91" s="3" t="s">
        <v>40</v>
      </c>
      <c r="K91" s="16">
        <f t="shared" si="1"/>
        <v>65.37475</v>
      </c>
      <c r="L91" s="2">
        <v>100</v>
      </c>
      <c r="M91" s="16">
        <f t="shared" si="4"/>
        <v>112.76189430188009</v>
      </c>
    </row>
    <row r="92" spans="2:13" ht="12.75">
      <c r="B92" s="2" t="s">
        <v>92</v>
      </c>
      <c r="C92" s="2" t="s">
        <v>197</v>
      </c>
      <c r="D92" s="2" t="str">
        <f t="shared" si="5"/>
        <v>µg/dscm</v>
      </c>
      <c r="E92" s="2" t="s">
        <v>36</v>
      </c>
      <c r="F92" s="3" t="s">
        <v>40</v>
      </c>
      <c r="G92" s="16">
        <f t="shared" si="3"/>
        <v>6.150232558139535</v>
      </c>
      <c r="H92" s="3" t="s">
        <v>40</v>
      </c>
      <c r="I92" s="16">
        <f t="shared" si="3"/>
        <v>2.5602298850574714</v>
      </c>
      <c r="J92" s="3" t="s">
        <v>40</v>
      </c>
      <c r="K92" s="16">
        <f t="shared" si="1"/>
        <v>2.6425</v>
      </c>
      <c r="L92" s="2">
        <v>100</v>
      </c>
      <c r="M92" s="16">
        <f t="shared" si="4"/>
        <v>3.784320814399002</v>
      </c>
    </row>
    <row r="93" spans="2:13" ht="12.75">
      <c r="B93" s="2" t="s">
        <v>93</v>
      </c>
      <c r="C93" s="2" t="s">
        <v>197</v>
      </c>
      <c r="D93" s="2" t="str">
        <f t="shared" si="5"/>
        <v>µg/dscm</v>
      </c>
      <c r="E93" s="2" t="s">
        <v>36</v>
      </c>
      <c r="F93" s="3" t="s">
        <v>40</v>
      </c>
      <c r="G93" s="16">
        <f t="shared" si="3"/>
        <v>765.3718604651162</v>
      </c>
      <c r="H93" s="3" t="s">
        <v>40</v>
      </c>
      <c r="I93" s="16">
        <f t="shared" si="3"/>
        <v>512.1344827586207</v>
      </c>
      <c r="J93" s="3" t="s">
        <v>40</v>
      </c>
      <c r="K93" s="16">
        <f t="shared" si="1"/>
        <v>523.93075</v>
      </c>
      <c r="L93" s="2">
        <v>100</v>
      </c>
      <c r="M93" s="16">
        <f t="shared" si="4"/>
        <v>600.479031074579</v>
      </c>
    </row>
    <row r="94" spans="2:13" ht="12.75">
      <c r="B94" s="2" t="s">
        <v>100</v>
      </c>
      <c r="C94" s="2" t="s">
        <v>197</v>
      </c>
      <c r="D94" s="2" t="str">
        <f t="shared" si="5"/>
        <v>µg/dscm</v>
      </c>
      <c r="E94" s="2" t="s">
        <v>36</v>
      </c>
      <c r="G94" s="16">
        <f t="shared" si="3"/>
        <v>56.62837209302326</v>
      </c>
      <c r="I94" s="16">
        <f t="shared" si="3"/>
        <v>19.748045977011493</v>
      </c>
      <c r="K94" s="16">
        <f t="shared" si="1"/>
        <v>20.53975</v>
      </c>
      <c r="M94" s="16">
        <f t="shared" si="4"/>
        <v>32.305389356678255</v>
      </c>
    </row>
    <row r="95" spans="2:13" ht="12.75">
      <c r="B95" s="7" t="s">
        <v>196</v>
      </c>
      <c r="C95" s="2" t="s">
        <v>197</v>
      </c>
      <c r="D95" s="2" t="s">
        <v>13</v>
      </c>
      <c r="E95" s="2" t="s">
        <v>36</v>
      </c>
      <c r="F95" s="3" t="s">
        <v>40</v>
      </c>
      <c r="G95" s="16">
        <f>G74*60/G77/0.0283*1000000*(21-7)/(21-G78)</f>
        <v>5.601562644971287</v>
      </c>
      <c r="H95" s="3" t="s">
        <v>40</v>
      </c>
      <c r="I95" s="16">
        <f>I74*60/I77/0.0283*1000000*(21-7)/(21-I78)</f>
        <v>5.8231119227411</v>
      </c>
      <c r="J95" s="3" t="s">
        <v>40</v>
      </c>
      <c r="K95" s="16">
        <f>K74*60/K77/0.0283*1000000*(21-7)/(21-K78)</f>
        <v>7.687310973433206</v>
      </c>
      <c r="L95" s="2">
        <v>100</v>
      </c>
      <c r="M95" s="16">
        <f t="shared" si="4"/>
        <v>6.370661847048531</v>
      </c>
    </row>
    <row r="97" spans="2:13" ht="12.75">
      <c r="B97" s="2" t="s">
        <v>5</v>
      </c>
      <c r="C97" s="2" t="s">
        <v>197</v>
      </c>
      <c r="D97" s="2" t="s">
        <v>13</v>
      </c>
      <c r="E97" s="2" t="s">
        <v>36</v>
      </c>
      <c r="F97" s="3">
        <v>100</v>
      </c>
      <c r="G97" s="16">
        <f>(G86+G88)</f>
        <v>82.59511627906977</v>
      </c>
      <c r="H97" s="3">
        <v>100</v>
      </c>
      <c r="I97" s="16">
        <f>(I86+I88)</f>
        <v>32.63770114942529</v>
      </c>
      <c r="J97" s="3">
        <v>100</v>
      </c>
      <c r="K97" s="16">
        <f>(K86+K88)</f>
        <v>21.560000000000002</v>
      </c>
      <c r="L97" s="2">
        <v>100</v>
      </c>
      <c r="M97" s="16">
        <f>AVERAGE(K97,I97,G97)</f>
        <v>45.597605809498354</v>
      </c>
    </row>
    <row r="98" spans="2:13" ht="12.75">
      <c r="B98" s="2" t="s">
        <v>6</v>
      </c>
      <c r="C98" s="2" t="s">
        <v>197</v>
      </c>
      <c r="D98" s="2" t="s">
        <v>13</v>
      </c>
      <c r="E98" s="2" t="s">
        <v>36</v>
      </c>
      <c r="F98" s="3">
        <v>100</v>
      </c>
      <c r="G98" s="16">
        <f>(G87+G83+G85)</f>
        <v>315.53395348837216</v>
      </c>
      <c r="H98" s="3">
        <v>100</v>
      </c>
      <c r="I98" s="16">
        <f>(I87+I83+I85)</f>
        <v>149.6471264367816</v>
      </c>
      <c r="J98" s="3">
        <f>SUM(K85,K83)/K98*100</f>
        <v>42.10550517777328</v>
      </c>
      <c r="K98" s="16">
        <f>(K87+K83+K85)</f>
        <v>190.28449999999998</v>
      </c>
      <c r="L98" s="2">
        <f>SUM(G98,I98,(K98*J98/100))/M98*100/3</f>
        <v>83.19297711825241</v>
      </c>
      <c r="M98" s="16">
        <f>AVERAGE(K98,I98,G98)</f>
        <v>218.48852664171793</v>
      </c>
    </row>
    <row r="100" spans="2:3" ht="12.75">
      <c r="B100" s="2" t="s">
        <v>144</v>
      </c>
      <c r="C100" s="2" t="s">
        <v>169</v>
      </c>
    </row>
    <row r="101" spans="2:11" ht="12.75">
      <c r="B101" s="2" t="s">
        <v>145</v>
      </c>
      <c r="D101" s="2" t="s">
        <v>160</v>
      </c>
      <c r="G101" s="2">
        <v>90.3</v>
      </c>
      <c r="I101" s="2">
        <v>93.1</v>
      </c>
      <c r="K101" s="2">
        <v>92</v>
      </c>
    </row>
    <row r="102" spans="2:11" ht="12.75">
      <c r="B102" s="2" t="s">
        <v>146</v>
      </c>
      <c r="D102" s="2" t="s">
        <v>160</v>
      </c>
      <c r="G102" s="2">
        <v>7.5</v>
      </c>
      <c r="I102" s="2">
        <v>5.4</v>
      </c>
      <c r="K102" s="2">
        <v>6.2</v>
      </c>
    </row>
    <row r="103" spans="2:11" ht="12.75">
      <c r="B103" s="2" t="s">
        <v>147</v>
      </c>
      <c r="D103" s="2" t="s">
        <v>160</v>
      </c>
      <c r="G103" s="2">
        <v>1.7</v>
      </c>
      <c r="I103" s="2">
        <v>0.8</v>
      </c>
      <c r="K103" s="2">
        <v>1.3</v>
      </c>
    </row>
    <row r="104" spans="2:11" ht="12.75">
      <c r="B104" s="2" t="s">
        <v>148</v>
      </c>
      <c r="D104" s="2" t="s">
        <v>160</v>
      </c>
      <c r="G104" s="2">
        <v>0.2</v>
      </c>
      <c r="I104" s="2">
        <v>0.6</v>
      </c>
      <c r="K104" s="2">
        <v>0.2</v>
      </c>
    </row>
    <row r="105" spans="2:11" ht="12.75">
      <c r="B105" s="2" t="s">
        <v>170</v>
      </c>
      <c r="D105" s="2" t="s">
        <v>160</v>
      </c>
      <c r="G105" s="2">
        <v>0.2</v>
      </c>
      <c r="I105" s="2">
        <v>0.1</v>
      </c>
      <c r="K105" s="2">
        <v>0.3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J126"/>
  <sheetViews>
    <sheetView zoomScale="75" zoomScaleNormal="75" workbookViewId="0" topLeftCell="Y1">
      <selection activeCell="D3" sqref="D3"/>
    </sheetView>
  </sheetViews>
  <sheetFormatPr defaultColWidth="9.140625" defaultRowHeight="12.75"/>
  <cols>
    <col min="1" max="1" width="9.140625" style="2" hidden="1" customWidth="1"/>
    <col min="2" max="2" width="20.28125" style="2" customWidth="1"/>
    <col min="3" max="3" width="2.421875" style="2" customWidth="1"/>
    <col min="4" max="4" width="9.00390625" style="2" customWidth="1"/>
    <col min="5" max="5" width="4.140625" style="3" customWidth="1"/>
    <col min="6" max="6" width="8.00390625" style="3" bestFit="1" customWidth="1"/>
    <col min="7" max="7" width="4.57421875" style="3" customWidth="1"/>
    <col min="8" max="8" width="8.00390625" style="3" bestFit="1" customWidth="1"/>
    <col min="9" max="9" width="4.421875" style="3" customWidth="1"/>
    <col min="10" max="10" width="8.00390625" style="3" bestFit="1" customWidth="1"/>
    <col min="11" max="11" width="4.140625" style="3" customWidth="1"/>
    <col min="12" max="12" width="9.28125" style="2" bestFit="1" customWidth="1"/>
    <col min="13" max="13" width="3.28125" style="3" customWidth="1"/>
    <col min="14" max="14" width="8.421875" style="3" customWidth="1"/>
    <col min="15" max="15" width="3.28125" style="3" customWidth="1"/>
    <col min="16" max="16" width="8.57421875" style="3" customWidth="1"/>
    <col min="17" max="17" width="3.28125" style="3" customWidth="1"/>
    <col min="18" max="18" width="8.7109375" style="3" customWidth="1"/>
    <col min="19" max="19" width="3.28125" style="3" customWidth="1"/>
    <col min="20" max="20" width="12.8515625" style="2" customWidth="1"/>
    <col min="21" max="21" width="4.421875" style="2" customWidth="1"/>
    <col min="22" max="22" width="10.57421875" style="2" customWidth="1"/>
    <col min="23" max="23" width="4.28125" style="2" customWidth="1"/>
    <col min="24" max="24" width="10.57421875" style="2" customWidth="1"/>
    <col min="25" max="25" width="3.8515625" style="2" customWidth="1"/>
    <col min="26" max="26" width="6.57421875" style="2" bestFit="1" customWidth="1"/>
    <col min="27" max="27" width="4.28125" style="2" customWidth="1"/>
    <col min="28" max="28" width="9.28125" style="2" bestFit="1" customWidth="1"/>
    <col min="29" max="29" width="2.7109375" style="2" customWidth="1"/>
    <col min="30" max="30" width="8.421875" style="2" customWidth="1"/>
    <col min="31" max="31" width="2.7109375" style="2" customWidth="1"/>
    <col min="32" max="32" width="8.57421875" style="2" customWidth="1"/>
    <col min="33" max="33" width="2.7109375" style="2" customWidth="1"/>
    <col min="34" max="34" width="8.57421875" style="2" customWidth="1"/>
    <col min="35" max="35" width="2.7109375" style="2" customWidth="1"/>
    <col min="36" max="36" width="8.7109375" style="2" customWidth="1"/>
    <col min="37" max="37" width="4.28125" style="2" customWidth="1"/>
    <col min="38" max="38" width="6.57421875" style="2" bestFit="1" customWidth="1"/>
    <col min="39" max="39" width="4.28125" style="2" customWidth="1"/>
    <col min="40" max="40" width="6.57421875" style="2" bestFit="1" customWidth="1"/>
    <col min="41" max="41" width="4.8515625" style="2" customWidth="1"/>
    <col min="42" max="42" width="11.7109375" style="2" customWidth="1"/>
    <col min="43" max="43" width="4.28125" style="2" customWidth="1"/>
    <col min="44" max="44" width="9.28125" style="2" bestFit="1" customWidth="1"/>
    <col min="45" max="45" width="9.8515625" style="2" customWidth="1"/>
    <col min="46" max="46" width="10.421875" style="2" customWidth="1"/>
    <col min="47" max="47" width="3.7109375" style="2" customWidth="1"/>
    <col min="48" max="48" width="10.7109375" style="2" bestFit="1" customWidth="1"/>
    <col min="49" max="49" width="8.8515625" style="2" customWidth="1"/>
    <col min="50" max="50" width="10.7109375" style="2" customWidth="1"/>
    <col min="51" max="51" width="3.57421875" style="2" customWidth="1"/>
    <col min="52" max="56" width="11.421875" style="2" customWidth="1"/>
    <col min="57" max="62" width="11.421875" style="0" customWidth="1"/>
    <col min="63" max="16384" width="11.421875" style="2" customWidth="1"/>
  </cols>
  <sheetData>
    <row r="1" spans="2:3" ht="12.75">
      <c r="B1" s="1" t="s">
        <v>136</v>
      </c>
      <c r="C1" s="1"/>
    </row>
    <row r="2" ht="12.75" customHeight="1"/>
    <row r="3" ht="12.75" customHeight="1"/>
    <row r="4" spans="2:51" ht="12.75">
      <c r="B4" s="1" t="s">
        <v>102</v>
      </c>
      <c r="F4" s="3" t="s">
        <v>185</v>
      </c>
      <c r="H4" s="3" t="s">
        <v>186</v>
      </c>
      <c r="J4" s="3" t="s">
        <v>187</v>
      </c>
      <c r="L4" s="2" t="s">
        <v>35</v>
      </c>
      <c r="N4" s="3" t="s">
        <v>185</v>
      </c>
      <c r="P4" s="3" t="s">
        <v>186</v>
      </c>
      <c r="R4" s="3" t="s">
        <v>187</v>
      </c>
      <c r="T4" s="2" t="s">
        <v>35</v>
      </c>
      <c r="V4" s="3" t="s">
        <v>185</v>
      </c>
      <c r="W4" s="3"/>
      <c r="X4" s="3" t="s">
        <v>186</v>
      </c>
      <c r="Y4" s="3"/>
      <c r="Z4" s="3" t="s">
        <v>187</v>
      </c>
      <c r="AA4" s="3"/>
      <c r="AB4" s="2" t="s">
        <v>35</v>
      </c>
      <c r="AD4" s="3" t="s">
        <v>185</v>
      </c>
      <c r="AE4" s="3"/>
      <c r="AF4" s="3" t="s">
        <v>186</v>
      </c>
      <c r="AG4" s="3"/>
      <c r="AH4" s="3" t="s">
        <v>187</v>
      </c>
      <c r="AI4" s="3"/>
      <c r="AJ4" s="2" t="s">
        <v>35</v>
      </c>
      <c r="AL4" s="3" t="s">
        <v>185</v>
      </c>
      <c r="AM4" s="3"/>
      <c r="AN4" s="3" t="s">
        <v>186</v>
      </c>
      <c r="AO4" s="3"/>
      <c r="AP4" s="3" t="s">
        <v>187</v>
      </c>
      <c r="AQ4" s="3"/>
      <c r="AR4" s="2" t="s">
        <v>35</v>
      </c>
      <c r="AV4" s="3"/>
      <c r="AW4" s="3"/>
      <c r="AX4" s="3"/>
      <c r="AY4" s="3"/>
    </row>
    <row r="5" spans="1:3" ht="12.75">
      <c r="A5" s="2" t="s">
        <v>177</v>
      </c>
      <c r="C5" s="1"/>
    </row>
    <row r="6" spans="2:62" s="7" customFormat="1" ht="12.75">
      <c r="B6" s="7" t="s">
        <v>203</v>
      </c>
      <c r="E6" s="5"/>
      <c r="F6" s="5" t="s">
        <v>205</v>
      </c>
      <c r="G6" s="5"/>
      <c r="H6" s="5" t="s">
        <v>205</v>
      </c>
      <c r="I6" s="5"/>
      <c r="J6" s="5" t="s">
        <v>205</v>
      </c>
      <c r="K6" s="5"/>
      <c r="L6" s="5" t="s">
        <v>205</v>
      </c>
      <c r="M6" s="5"/>
      <c r="N6" s="5" t="s">
        <v>207</v>
      </c>
      <c r="O6" s="5"/>
      <c r="P6" s="5" t="s">
        <v>207</v>
      </c>
      <c r="Q6" s="5"/>
      <c r="R6" s="5" t="s">
        <v>207</v>
      </c>
      <c r="S6" s="5"/>
      <c r="T6" s="5" t="s">
        <v>207</v>
      </c>
      <c r="U6" s="5"/>
      <c r="V6" s="5"/>
      <c r="W6" s="5"/>
      <c r="X6" s="5"/>
      <c r="Y6" s="5"/>
      <c r="Z6" s="5"/>
      <c r="AA6" s="5"/>
      <c r="AB6" s="5"/>
      <c r="AD6" s="5" t="s">
        <v>208</v>
      </c>
      <c r="AF6" s="5" t="s">
        <v>208</v>
      </c>
      <c r="AH6" s="5" t="s">
        <v>208</v>
      </c>
      <c r="AJ6" s="5" t="s">
        <v>208</v>
      </c>
      <c r="AL6" s="5" t="s">
        <v>209</v>
      </c>
      <c r="AN6" s="5" t="s">
        <v>209</v>
      </c>
      <c r="AP6" s="5" t="s">
        <v>209</v>
      </c>
      <c r="AR6" s="5" t="s">
        <v>209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/>
      <c r="BF6"/>
      <c r="BG6"/>
      <c r="BH6"/>
      <c r="BI6"/>
      <c r="BJ6"/>
    </row>
    <row r="7" spans="2:62" s="7" customFormat="1" ht="12.75">
      <c r="B7" s="7" t="s">
        <v>204</v>
      </c>
      <c r="E7" s="5"/>
      <c r="F7" s="5" t="s">
        <v>206</v>
      </c>
      <c r="G7" s="5"/>
      <c r="H7" s="5" t="s">
        <v>206</v>
      </c>
      <c r="I7" s="5"/>
      <c r="J7" s="5" t="s">
        <v>206</v>
      </c>
      <c r="K7" s="5"/>
      <c r="L7" s="5" t="s">
        <v>206</v>
      </c>
      <c r="M7" s="5"/>
      <c r="N7" s="5" t="s">
        <v>206</v>
      </c>
      <c r="O7" s="5"/>
      <c r="P7" s="5" t="s">
        <v>206</v>
      </c>
      <c r="Q7" s="5"/>
      <c r="R7" s="5" t="s">
        <v>206</v>
      </c>
      <c r="S7" s="5"/>
      <c r="T7" s="5" t="s">
        <v>206</v>
      </c>
      <c r="U7" s="5"/>
      <c r="V7" s="5"/>
      <c r="W7" s="5"/>
      <c r="X7" s="5"/>
      <c r="Y7" s="5"/>
      <c r="Z7" s="5"/>
      <c r="AA7" s="5"/>
      <c r="AB7" s="5"/>
      <c r="AD7" s="5" t="s">
        <v>14</v>
      </c>
      <c r="AF7" s="5" t="s">
        <v>14</v>
      </c>
      <c r="AH7" s="5" t="s">
        <v>14</v>
      </c>
      <c r="AJ7" s="5" t="s">
        <v>14</v>
      </c>
      <c r="AL7" s="5" t="s">
        <v>54</v>
      </c>
      <c r="AN7" s="5" t="s">
        <v>54</v>
      </c>
      <c r="AP7" s="5" t="s">
        <v>54</v>
      </c>
      <c r="AR7" s="5" t="s">
        <v>54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/>
      <c r="BF7"/>
      <c r="BG7"/>
      <c r="BH7"/>
      <c r="BI7"/>
      <c r="BJ7"/>
    </row>
    <row r="8" spans="2:62" s="7" customFormat="1" ht="12.75">
      <c r="B8" s="7" t="s">
        <v>211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</v>
      </c>
      <c r="W8" s="5"/>
      <c r="X8" s="5" t="s">
        <v>1</v>
      </c>
      <c r="Y8" s="5"/>
      <c r="Z8" s="5" t="s">
        <v>1</v>
      </c>
      <c r="AA8" s="5"/>
      <c r="AB8" s="5" t="s">
        <v>1</v>
      </c>
      <c r="AD8" s="5" t="s">
        <v>14</v>
      </c>
      <c r="AF8" s="5" t="s">
        <v>14</v>
      </c>
      <c r="AH8" s="5" t="s">
        <v>14</v>
      </c>
      <c r="AJ8" s="5" t="s">
        <v>14</v>
      </c>
      <c r="AL8" s="5" t="s">
        <v>54</v>
      </c>
      <c r="AN8" s="5" t="s">
        <v>54</v>
      </c>
      <c r="AP8" s="5" t="s">
        <v>54</v>
      </c>
      <c r="AR8" s="5" t="s">
        <v>54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/>
      <c r="BF8"/>
      <c r="BG8"/>
      <c r="BH8"/>
      <c r="BI8"/>
      <c r="BJ8"/>
    </row>
    <row r="9" spans="2:62" ht="12.75">
      <c r="B9" s="2" t="s">
        <v>179</v>
      </c>
      <c r="F9" s="40" t="s">
        <v>182</v>
      </c>
      <c r="H9" s="40" t="s">
        <v>182</v>
      </c>
      <c r="J9" s="40" t="s">
        <v>182</v>
      </c>
      <c r="L9" s="40" t="s">
        <v>182</v>
      </c>
      <c r="M9" s="40"/>
      <c r="N9" s="40" t="s">
        <v>183</v>
      </c>
      <c r="O9" s="40"/>
      <c r="P9" s="40" t="s">
        <v>183</v>
      </c>
      <c r="Q9" s="40"/>
      <c r="R9" s="40" t="s">
        <v>183</v>
      </c>
      <c r="S9" s="40"/>
      <c r="T9" s="40" t="s">
        <v>183</v>
      </c>
      <c r="U9" s="40"/>
      <c r="V9" s="40"/>
      <c r="W9" s="40"/>
      <c r="X9" s="40"/>
      <c r="Y9" s="40"/>
      <c r="Z9" s="40"/>
      <c r="AA9" s="40"/>
      <c r="AB9" s="40"/>
      <c r="AC9" s="40"/>
      <c r="AD9" s="40" t="s">
        <v>14</v>
      </c>
      <c r="AE9" s="40"/>
      <c r="AF9" s="40" t="s">
        <v>14</v>
      </c>
      <c r="AG9" s="40"/>
      <c r="AH9" s="40" t="s">
        <v>14</v>
      </c>
      <c r="AI9" s="40"/>
      <c r="AJ9" s="40" t="s">
        <v>14</v>
      </c>
      <c r="AK9" s="40"/>
      <c r="AL9" s="40" t="s">
        <v>54</v>
      </c>
      <c r="AM9" s="40"/>
      <c r="AN9" s="40" t="s">
        <v>54</v>
      </c>
      <c r="AO9" s="40"/>
      <c r="AP9" s="40" t="s">
        <v>54</v>
      </c>
      <c r="AQ9" s="40"/>
      <c r="AR9" s="40" t="s">
        <v>54</v>
      </c>
      <c r="BE9" s="2"/>
      <c r="BF9" s="2"/>
      <c r="BG9" s="2"/>
      <c r="BH9" s="2"/>
      <c r="BI9" s="2"/>
      <c r="BJ9" s="2"/>
    </row>
    <row r="10" spans="2:43" ht="12.75">
      <c r="B10" s="2" t="s">
        <v>178</v>
      </c>
      <c r="D10" s="2" t="s">
        <v>84</v>
      </c>
      <c r="F10" s="40">
        <v>8123976</v>
      </c>
      <c r="G10" s="40"/>
      <c r="H10" s="40">
        <v>8314488</v>
      </c>
      <c r="I10" s="40"/>
      <c r="J10" s="40">
        <v>8269128</v>
      </c>
      <c r="L10" s="15">
        <v>8235864</v>
      </c>
      <c r="N10" s="3">
        <v>1955016</v>
      </c>
      <c r="P10" s="3">
        <v>1397088</v>
      </c>
      <c r="R10" s="3">
        <v>1759968</v>
      </c>
      <c r="T10" s="15">
        <v>1704024</v>
      </c>
      <c r="U10" s="15"/>
      <c r="V10" s="15"/>
      <c r="W10" s="15"/>
      <c r="X10" s="15"/>
      <c r="Y10" s="15"/>
      <c r="Z10" s="15"/>
      <c r="AA10" s="15"/>
      <c r="AB10" s="15"/>
      <c r="AC10" s="15"/>
      <c r="AD10" s="15">
        <v>42266</v>
      </c>
      <c r="AE10" s="15"/>
      <c r="AF10" s="15">
        <v>42938</v>
      </c>
      <c r="AG10" s="15"/>
      <c r="AH10" s="15">
        <v>42693</v>
      </c>
      <c r="AI10" s="15"/>
      <c r="AJ10" s="15">
        <v>42632.333333333336</v>
      </c>
      <c r="AK10" s="15"/>
      <c r="AL10" s="15"/>
      <c r="AM10" s="15"/>
      <c r="AN10" s="15"/>
      <c r="AO10" s="15"/>
      <c r="AP10" s="15"/>
      <c r="AQ10" s="15"/>
    </row>
    <row r="11" spans="2:43" ht="12.75">
      <c r="B11" s="2" t="s">
        <v>43</v>
      </c>
      <c r="D11" s="2" t="s">
        <v>47</v>
      </c>
      <c r="F11" s="15">
        <v>8031.427571209778</v>
      </c>
      <c r="G11" s="40"/>
      <c r="H11" s="15">
        <v>8031.427571209778</v>
      </c>
      <c r="I11" s="40"/>
      <c r="J11" s="15">
        <v>8031.427571209778</v>
      </c>
      <c r="L11" s="15">
        <v>8031.427571209778</v>
      </c>
      <c r="N11" s="15">
        <v>2027.4578447302713</v>
      </c>
      <c r="P11" s="15">
        <v>2027.4578447302713</v>
      </c>
      <c r="R11" s="15">
        <v>2027.4578447302713</v>
      </c>
      <c r="T11" s="15">
        <v>2027.4578447302713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2:44" ht="12.75">
      <c r="B12" s="2" t="s">
        <v>133</v>
      </c>
      <c r="D12" s="2" t="s">
        <v>131</v>
      </c>
      <c r="F12" s="40">
        <v>147</v>
      </c>
      <c r="G12" s="40"/>
      <c r="H12" s="40">
        <v>142</v>
      </c>
      <c r="I12" s="40"/>
      <c r="J12" s="40">
        <v>148</v>
      </c>
      <c r="L12" s="16">
        <f>145666666.666667/1000000</f>
        <v>145.66666666666703</v>
      </c>
      <c r="N12" s="3">
        <v>3.52</v>
      </c>
      <c r="P12" s="3">
        <v>9.24</v>
      </c>
      <c r="R12" s="3">
        <v>8.77</v>
      </c>
      <c r="T12" s="16">
        <f>7176666.66666667/1000000</f>
        <v>7.176666666666669</v>
      </c>
      <c r="U12" s="16"/>
      <c r="V12" s="16">
        <f>F12+N12</f>
        <v>150.52</v>
      </c>
      <c r="W12" s="16"/>
      <c r="X12" s="16">
        <f>H12+P12</f>
        <v>151.24</v>
      </c>
      <c r="Y12" s="16"/>
      <c r="Z12" s="16">
        <f>J12+R12</f>
        <v>156.77</v>
      </c>
      <c r="AA12" s="16"/>
      <c r="AB12" s="16">
        <f>L12+T12</f>
        <v>152.8433333333337</v>
      </c>
      <c r="AC12" s="16"/>
      <c r="AD12" s="16"/>
      <c r="AE12" s="16"/>
      <c r="AF12" s="16"/>
      <c r="AG12" s="16"/>
      <c r="AH12" s="16"/>
      <c r="AI12" s="16"/>
      <c r="AJ12" s="15"/>
      <c r="AK12" s="15"/>
      <c r="AL12" s="16">
        <f>SUM(AD12,N12,F12)</f>
        <v>150.52</v>
      </c>
      <c r="AN12" s="16">
        <f>SUM(AF12,P12,H12)</f>
        <v>151.24</v>
      </c>
      <c r="AP12" s="16">
        <f>SUM(AH12,R12,J12)</f>
        <v>156.77</v>
      </c>
      <c r="AR12" s="16">
        <f>SUM(AJ12,T12,L12)</f>
        <v>152.8433333333337</v>
      </c>
    </row>
    <row r="13" spans="2:43" ht="12.75">
      <c r="B13" s="2" t="s">
        <v>9</v>
      </c>
      <c r="D13" s="2" t="s">
        <v>84</v>
      </c>
      <c r="E13" s="3" t="s">
        <v>40</v>
      </c>
      <c r="F13" s="40">
        <v>4060</v>
      </c>
      <c r="G13" s="40" t="s">
        <v>40</v>
      </c>
      <c r="H13" s="40">
        <v>4160</v>
      </c>
      <c r="I13" s="40" t="s">
        <v>40</v>
      </c>
      <c r="J13" s="40">
        <v>4130</v>
      </c>
      <c r="L13" s="15">
        <v>4116.666666666667</v>
      </c>
      <c r="N13" s="3">
        <v>977</v>
      </c>
      <c r="P13" s="3">
        <v>698</v>
      </c>
      <c r="R13" s="3">
        <v>879</v>
      </c>
      <c r="T13" s="15">
        <v>851.3333333333334</v>
      </c>
      <c r="U13" s="15"/>
      <c r="V13" s="15"/>
      <c r="W13" s="15"/>
      <c r="X13" s="15"/>
      <c r="Y13" s="15"/>
      <c r="Z13" s="15"/>
      <c r="AA13" s="15"/>
      <c r="AB13" s="15"/>
      <c r="AC13" s="15"/>
      <c r="AD13" s="15">
        <v>2485.728</v>
      </c>
      <c r="AE13" s="15"/>
      <c r="AF13" s="15">
        <v>2526.552</v>
      </c>
      <c r="AG13" s="15"/>
      <c r="AH13" s="15">
        <v>2522.016</v>
      </c>
      <c r="AI13" s="15"/>
      <c r="AJ13" s="15">
        <v>2510.76</v>
      </c>
      <c r="AK13" s="15"/>
      <c r="AL13" s="15"/>
      <c r="AM13" s="15"/>
      <c r="AN13" s="15"/>
      <c r="AO13" s="15"/>
      <c r="AP13" s="15"/>
      <c r="AQ13" s="15"/>
    </row>
    <row r="14" spans="2:36" ht="12.75" customHeight="1">
      <c r="B14" s="2" t="s">
        <v>210</v>
      </c>
      <c r="D14" s="2" t="s">
        <v>84</v>
      </c>
      <c r="F14" s="40"/>
      <c r="G14" s="40"/>
      <c r="H14" s="40"/>
      <c r="I14" s="40"/>
      <c r="J14" s="40"/>
      <c r="L14" s="16"/>
      <c r="AD14" s="2">
        <v>512.568</v>
      </c>
      <c r="AF14" s="2">
        <v>521.64</v>
      </c>
      <c r="AH14" s="2">
        <v>517.104</v>
      </c>
      <c r="AJ14" s="2">
        <v>517</v>
      </c>
    </row>
    <row r="15" spans="2:62" s="7" customFormat="1" ht="12.75">
      <c r="B15" s="7" t="s">
        <v>45</v>
      </c>
      <c r="D15" s="7" t="s">
        <v>84</v>
      </c>
      <c r="E15" s="5" t="s">
        <v>40</v>
      </c>
      <c r="F15" s="40">
        <v>988.394</v>
      </c>
      <c r="G15" s="39" t="s">
        <v>40</v>
      </c>
      <c r="H15" s="39">
        <v>987.033</v>
      </c>
      <c r="I15" s="39" t="s">
        <v>40</v>
      </c>
      <c r="J15" s="39">
        <v>987.034</v>
      </c>
      <c r="K15" s="5"/>
      <c r="L15" s="10">
        <v>987.4870000000001</v>
      </c>
      <c r="M15" s="5"/>
      <c r="N15" s="5"/>
      <c r="O15" s="5"/>
      <c r="P15" s="5"/>
      <c r="Q15" s="5"/>
      <c r="R15" s="5"/>
      <c r="S15" s="5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/>
      <c r="BF15"/>
      <c r="BG15"/>
      <c r="BH15"/>
      <c r="BI15"/>
      <c r="BJ15"/>
    </row>
    <row r="16" spans="2:12" ht="12.75">
      <c r="B16" s="2" t="s">
        <v>85</v>
      </c>
      <c r="D16" s="2" t="s">
        <v>84</v>
      </c>
      <c r="E16" s="3" t="s">
        <v>40</v>
      </c>
      <c r="F16" s="39">
        <v>15.004</v>
      </c>
      <c r="G16" s="40" t="s">
        <v>40</v>
      </c>
      <c r="H16" s="40">
        <v>15.792</v>
      </c>
      <c r="I16" s="40" t="s">
        <v>40</v>
      </c>
      <c r="J16" s="40">
        <v>15.792</v>
      </c>
      <c r="L16" s="16">
        <v>15.529333333333334</v>
      </c>
    </row>
    <row r="17" spans="2:12" ht="12.75">
      <c r="B17" s="2" t="s">
        <v>86</v>
      </c>
      <c r="D17" s="2" t="s">
        <v>84</v>
      </c>
      <c r="E17" s="3" t="s">
        <v>40</v>
      </c>
      <c r="F17" s="40">
        <v>1.681</v>
      </c>
      <c r="G17" s="40" t="s">
        <v>40</v>
      </c>
      <c r="H17" s="40">
        <v>0.789</v>
      </c>
      <c r="I17" s="40" t="s">
        <v>40</v>
      </c>
      <c r="J17" s="40">
        <v>0.789</v>
      </c>
      <c r="L17" s="16">
        <v>1.0863333333333334</v>
      </c>
    </row>
    <row r="18" spans="2:12" ht="12.75">
      <c r="B18" s="2" t="s">
        <v>87</v>
      </c>
      <c r="D18" s="2" t="s">
        <v>84</v>
      </c>
      <c r="E18" s="3" t="s">
        <v>40</v>
      </c>
      <c r="F18" s="40">
        <v>0.557</v>
      </c>
      <c r="G18" s="40"/>
      <c r="H18" s="40">
        <v>0.973</v>
      </c>
      <c r="I18" s="40" t="s">
        <v>40</v>
      </c>
      <c r="J18" s="40">
        <v>0.395</v>
      </c>
      <c r="L18" s="16">
        <v>0.6416666666666667</v>
      </c>
    </row>
    <row r="19" spans="2:12" ht="12.75">
      <c r="B19" s="2" t="s">
        <v>88</v>
      </c>
      <c r="D19" s="2" t="s">
        <v>84</v>
      </c>
      <c r="F19" s="40">
        <v>0.494</v>
      </c>
      <c r="G19" s="40"/>
      <c r="H19" s="40">
        <v>0.493</v>
      </c>
      <c r="I19" s="40" t="s">
        <v>40</v>
      </c>
      <c r="J19" s="40">
        <v>0.494</v>
      </c>
      <c r="L19" s="16">
        <v>0.49366666666666664</v>
      </c>
    </row>
    <row r="20" spans="2:12" ht="12.75">
      <c r="B20" s="2" t="s">
        <v>89</v>
      </c>
      <c r="D20" s="2" t="s">
        <v>84</v>
      </c>
      <c r="E20" s="3" t="s">
        <v>40</v>
      </c>
      <c r="F20" s="40">
        <v>0.198</v>
      </c>
      <c r="G20" s="40"/>
      <c r="H20" s="40">
        <v>0.197</v>
      </c>
      <c r="I20" s="40"/>
      <c r="J20" s="40">
        <v>0.198</v>
      </c>
      <c r="L20" s="16">
        <v>0.19766666666666666</v>
      </c>
    </row>
    <row r="21" spans="2:12" ht="12.75">
      <c r="B21" s="2" t="s">
        <v>97</v>
      </c>
      <c r="D21" s="2" t="s">
        <v>84</v>
      </c>
      <c r="E21" s="3" t="s">
        <v>40</v>
      </c>
      <c r="F21" s="40">
        <v>238.89</v>
      </c>
      <c r="G21" s="40" t="s">
        <v>40</v>
      </c>
      <c r="H21" s="40">
        <v>205.82</v>
      </c>
      <c r="I21" s="40"/>
      <c r="J21" s="40">
        <v>425.328</v>
      </c>
      <c r="L21" s="16">
        <v>290.0126666666667</v>
      </c>
    </row>
    <row r="22" spans="2:12" ht="12.75">
      <c r="B22" s="2" t="s">
        <v>90</v>
      </c>
      <c r="D22" s="2" t="s">
        <v>84</v>
      </c>
      <c r="E22" s="3" t="s">
        <v>40</v>
      </c>
      <c r="F22" s="40">
        <v>15.814</v>
      </c>
      <c r="G22" s="40" t="s">
        <v>40</v>
      </c>
      <c r="H22" s="40">
        <v>15.792</v>
      </c>
      <c r="I22" s="40" t="s">
        <v>40</v>
      </c>
      <c r="J22" s="40">
        <v>15.792</v>
      </c>
      <c r="L22" s="16">
        <v>15.799333333333335</v>
      </c>
    </row>
    <row r="23" spans="2:12" ht="12.75">
      <c r="B23" s="2" t="s">
        <v>91</v>
      </c>
      <c r="D23" s="2" t="s">
        <v>84</v>
      </c>
      <c r="E23" s="3" t="s">
        <v>40</v>
      </c>
      <c r="F23" s="40">
        <v>0.099</v>
      </c>
      <c r="G23" s="40" t="s">
        <v>40</v>
      </c>
      <c r="H23" s="40">
        <v>0.099</v>
      </c>
      <c r="I23" s="40" t="s">
        <v>40</v>
      </c>
      <c r="J23" s="40">
        <v>0.099</v>
      </c>
      <c r="L23" s="16">
        <v>0.09900000000000002</v>
      </c>
    </row>
    <row r="24" spans="2:12" ht="12.75">
      <c r="B24" s="2" t="s">
        <v>92</v>
      </c>
      <c r="D24" s="2" t="s">
        <v>84</v>
      </c>
      <c r="E24" s="3" t="s">
        <v>40</v>
      </c>
      <c r="F24" s="40">
        <v>2.489</v>
      </c>
      <c r="G24" s="40" t="s">
        <v>40</v>
      </c>
      <c r="H24" s="40">
        <v>2.566</v>
      </c>
      <c r="I24" s="40" t="s">
        <v>40</v>
      </c>
      <c r="J24" s="40">
        <v>2.549</v>
      </c>
      <c r="L24" s="16">
        <v>2.5346666666666664</v>
      </c>
    </row>
    <row r="25" spans="2:12" ht="12.75">
      <c r="B25" s="2" t="s">
        <v>93</v>
      </c>
      <c r="D25" s="2" t="s">
        <v>84</v>
      </c>
      <c r="E25" s="3" t="s">
        <v>40</v>
      </c>
      <c r="F25" s="40">
        <v>61.638</v>
      </c>
      <c r="G25" s="40" t="s">
        <v>40</v>
      </c>
      <c r="H25" s="40">
        <v>63.17</v>
      </c>
      <c r="I25" s="40" t="s">
        <v>40</v>
      </c>
      <c r="J25" s="40">
        <v>63.17</v>
      </c>
      <c r="L25" s="16">
        <v>62.659333333333336</v>
      </c>
    </row>
    <row r="27" spans="2:44" ht="12.75">
      <c r="B27" s="2" t="s">
        <v>46</v>
      </c>
      <c r="D27" s="2" t="s">
        <v>16</v>
      </c>
      <c r="F27" s="40">
        <f>emiss!$G$16</f>
        <v>76240</v>
      </c>
      <c r="H27" s="40">
        <f>emiss!$I$16</f>
        <v>78092</v>
      </c>
      <c r="J27" s="40">
        <f>emiss!$K$16</f>
        <v>77453</v>
      </c>
      <c r="L27" s="16">
        <f>emiss!$M$16</f>
        <v>77261.66666666667</v>
      </c>
      <c r="N27" s="40">
        <f>emiss!$G$16</f>
        <v>76240</v>
      </c>
      <c r="P27" s="40">
        <f>emiss!$I$16</f>
        <v>78092</v>
      </c>
      <c r="R27" s="40">
        <f>emiss!$K$16</f>
        <v>77453</v>
      </c>
      <c r="T27" s="16">
        <f>emiss!$M$16</f>
        <v>77261.66666666667</v>
      </c>
      <c r="U27" s="16"/>
      <c r="V27" s="16"/>
      <c r="W27" s="16"/>
      <c r="X27" s="16"/>
      <c r="Y27" s="16"/>
      <c r="Z27" s="16"/>
      <c r="AA27" s="16"/>
      <c r="AB27" s="16"/>
      <c r="AC27" s="16"/>
      <c r="AD27" s="40">
        <f>emiss!$G$16</f>
        <v>76240</v>
      </c>
      <c r="AE27" s="3"/>
      <c r="AF27" s="40">
        <f>emiss!$I$16</f>
        <v>78092</v>
      </c>
      <c r="AG27" s="3"/>
      <c r="AH27" s="40">
        <f>emiss!$K$16</f>
        <v>77453</v>
      </c>
      <c r="AI27" s="3"/>
      <c r="AJ27" s="16">
        <f>emiss!$M$16</f>
        <v>77261.66666666667</v>
      </c>
      <c r="AK27" s="16"/>
      <c r="AL27" s="40">
        <f>emiss!$G$16</f>
        <v>76240</v>
      </c>
      <c r="AM27" s="3"/>
      <c r="AN27" s="40">
        <f>emiss!$I$16</f>
        <v>78092</v>
      </c>
      <c r="AO27" s="3"/>
      <c r="AP27" s="40">
        <f>emiss!$K$16</f>
        <v>77453</v>
      </c>
      <c r="AQ27" s="3"/>
      <c r="AR27" s="16">
        <f>emiss!$M$16</f>
        <v>77261.66666666667</v>
      </c>
    </row>
    <row r="28" spans="2:44" ht="12.75">
      <c r="B28" s="2" t="s">
        <v>10</v>
      </c>
      <c r="D28" s="2" t="s">
        <v>17</v>
      </c>
      <c r="F28" s="40">
        <f>emiss!$G$17</f>
        <v>7</v>
      </c>
      <c r="H28" s="40">
        <f>emiss!$I$17</f>
        <v>6.8</v>
      </c>
      <c r="J28" s="40">
        <f>emiss!$K$17</f>
        <v>6.8</v>
      </c>
      <c r="L28" s="16">
        <f>emiss!$M$17</f>
        <v>6.866666666666667</v>
      </c>
      <c r="N28" s="40">
        <f>emiss!$G$17</f>
        <v>7</v>
      </c>
      <c r="P28" s="40">
        <f>emiss!$I$17</f>
        <v>6.8</v>
      </c>
      <c r="R28" s="40">
        <f>emiss!$K$17</f>
        <v>6.8</v>
      </c>
      <c r="T28" s="16">
        <f>emiss!$M$17</f>
        <v>6.866666666666667</v>
      </c>
      <c r="U28" s="16"/>
      <c r="V28" s="16"/>
      <c r="W28" s="16"/>
      <c r="X28" s="16"/>
      <c r="Y28" s="16"/>
      <c r="Z28" s="16"/>
      <c r="AA28" s="16"/>
      <c r="AB28" s="16"/>
      <c r="AC28" s="16"/>
      <c r="AD28" s="40">
        <f>emiss!$G$17</f>
        <v>7</v>
      </c>
      <c r="AE28" s="3"/>
      <c r="AF28" s="40">
        <f>emiss!$I$17</f>
        <v>6.8</v>
      </c>
      <c r="AG28" s="3"/>
      <c r="AH28" s="40">
        <f>emiss!$K$17</f>
        <v>6.8</v>
      </c>
      <c r="AI28" s="3"/>
      <c r="AJ28" s="16">
        <f>emiss!$M$17</f>
        <v>6.866666666666667</v>
      </c>
      <c r="AK28" s="16"/>
      <c r="AL28" s="40">
        <f>emiss!$G$17</f>
        <v>7</v>
      </c>
      <c r="AM28" s="3"/>
      <c r="AN28" s="40">
        <f>emiss!$I$17</f>
        <v>6.8</v>
      </c>
      <c r="AO28" s="3"/>
      <c r="AP28" s="40">
        <f>emiss!$K$17</f>
        <v>6.8</v>
      </c>
      <c r="AQ28" s="3"/>
      <c r="AR28" s="16">
        <f>emiss!$M$17</f>
        <v>6.866666666666667</v>
      </c>
    </row>
    <row r="29" spans="2:44" ht="12.75">
      <c r="B29" s="2" t="s">
        <v>212</v>
      </c>
      <c r="D29" s="2" t="s">
        <v>131</v>
      </c>
      <c r="AL29" s="16">
        <f>AL27/9000*(21-AL28)/21*60</f>
        <v>338.84444444444443</v>
      </c>
      <c r="AN29" s="16">
        <f>AN27/9000*(21-AN28)/21*60</f>
        <v>352.03377777777774</v>
      </c>
      <c r="AP29" s="16">
        <f>AP27/9000*(21-AP28)/21*60</f>
        <v>349.1532063492063</v>
      </c>
      <c r="AR29" s="16">
        <f>AR27/9000*(21-AR28)/21*60</f>
        <v>346.655520282187</v>
      </c>
    </row>
    <row r="30" ht="12.75">
      <c r="AR30" s="16"/>
    </row>
    <row r="31" spans="2:44" ht="12.75">
      <c r="B31" s="52" t="s">
        <v>141</v>
      </c>
      <c r="C31" s="52"/>
      <c r="AR31" s="16"/>
    </row>
    <row r="32" spans="2:44" ht="12.75">
      <c r="B32" s="2" t="s">
        <v>9</v>
      </c>
      <c r="D32" s="2" t="s">
        <v>15</v>
      </c>
      <c r="E32" s="3">
        <v>100</v>
      </c>
      <c r="F32" s="16">
        <f>F13/F27/60/0.0283*1000*(21-7)/(21-F28)</f>
        <v>31.362123453677373</v>
      </c>
      <c r="G32" s="3">
        <v>100</v>
      </c>
      <c r="H32" s="16">
        <f>H13/H27/60/0.0283*1000*(21-7)/(21-H28)</f>
        <v>30.930631747268237</v>
      </c>
      <c r="I32" s="3">
        <v>100</v>
      </c>
      <c r="J32" s="16">
        <f>J13/J27/60/0.0283*1000*(21-7)/(21-J28)</f>
        <v>30.960916849770935</v>
      </c>
      <c r="K32" s="3">
        <f>AVERAGE(E32*F32,G32*H32,I32*J32)/L32</f>
        <v>99.99999999999999</v>
      </c>
      <c r="L32" s="16">
        <f>AVERAGE(J32,H32,F32)</f>
        <v>31.08455735023885</v>
      </c>
      <c r="N32" s="16">
        <f>N13/N27/60/0.0283*1000*(21-7)/(21-N28)</f>
        <v>7.5469937473504425</v>
      </c>
      <c r="P32" s="16">
        <f>P13/P27/60/0.0283*1000*(21-7)/(21-P28)</f>
        <v>5.189803115286834</v>
      </c>
      <c r="R32" s="16">
        <f>R13/R27/60/0.0283*1000*(21-7)/(21-R28)</f>
        <v>6.589502641876187</v>
      </c>
      <c r="T32" s="16">
        <f>AVERAGE(R32,P32,N32)</f>
        <v>6.442099834837822</v>
      </c>
      <c r="U32" s="2">
        <f>E32</f>
        <v>100</v>
      </c>
      <c r="V32" s="16">
        <f>F32+N32</f>
        <v>38.90911720102782</v>
      </c>
      <c r="W32" s="2">
        <f>G32</f>
        <v>100</v>
      </c>
      <c r="X32" s="16">
        <f>H32+P32</f>
        <v>36.12043486255507</v>
      </c>
      <c r="Y32" s="2">
        <f>I32</f>
        <v>100</v>
      </c>
      <c r="Z32" s="16">
        <f>J32+R32</f>
        <v>37.55041949164712</v>
      </c>
      <c r="AA32" s="3">
        <f>AVERAGE(U32*V32,W32*X32,Y32*Z32)/AB32</f>
        <v>99.99999999999999</v>
      </c>
      <c r="AB32" s="16">
        <f>L32+T32</f>
        <v>37.52665718507667</v>
      </c>
      <c r="AC32" s="16"/>
      <c r="AD32" s="16">
        <f>AD13/AD27/60/0.0283*1000*(21-7)/(21-AD28)</f>
        <v>19.201406011887325</v>
      </c>
      <c r="AE32" s="3"/>
      <c r="AF32" s="16">
        <f>AF13/AF27/60/0.0283*1000*(21-7)/(21-AF28)</f>
        <v>18.785540745750982</v>
      </c>
      <c r="AG32" s="3"/>
      <c r="AH32" s="16">
        <f>AH13/AH27/60/0.0283*1000*(21-7)/(21-AH28)</f>
        <v>18.906520016898764</v>
      </c>
      <c r="AI32" s="3"/>
      <c r="AJ32" s="16">
        <f>AVERAGE(AH32,AF32,AD32)</f>
        <v>18.964488924845693</v>
      </c>
      <c r="AK32" s="15">
        <f>(U32*V32+AC32*AD32)/AL32</f>
        <v>66.9570932246919</v>
      </c>
      <c r="AL32" s="16">
        <f>SUM(AD32,V32)</f>
        <v>58.11052321291514</v>
      </c>
      <c r="AM32" s="15">
        <f>(W32*X32+AE32*AF32)/AN32</f>
        <v>65.78598132967308</v>
      </c>
      <c r="AN32" s="16">
        <f>SUM(AF32,X32)</f>
        <v>54.90597560830605</v>
      </c>
      <c r="AO32" s="15">
        <f>(Y32*Z32+AG32*AH32)/AP32</f>
        <v>66.51161012006878</v>
      </c>
      <c r="AP32" s="16">
        <f>SUM(AH32,Z32)</f>
        <v>56.45693950854589</v>
      </c>
      <c r="AQ32" s="15">
        <f>(AA32*AB32+AI32*AJ32)/AR32</f>
        <v>66.42927214125916</v>
      </c>
      <c r="AR32" s="16">
        <f>SUM(AJ32,AB32)</f>
        <v>56.49114610992237</v>
      </c>
    </row>
    <row r="33" spans="2:44" ht="12.75">
      <c r="B33" s="2" t="s">
        <v>210</v>
      </c>
      <c r="D33" s="2" t="s">
        <v>134</v>
      </c>
      <c r="F33" s="16">
        <f>F14/F$27/60/0.0283*1000000*(21-7)/(21-F$28)</f>
        <v>0</v>
      </c>
      <c r="G33" s="40"/>
      <c r="H33" s="16">
        <f>H14/H$27/60/0.0283*1000000*(21-7)/(21-H$28)</f>
        <v>0</v>
      </c>
      <c r="I33" s="40"/>
      <c r="J33" s="16">
        <f aca="true" t="shared" si="0" ref="J33:J44">J14/J$27/60/0.0283*1000000*(21-7)/(21-J$28)</f>
        <v>0</v>
      </c>
      <c r="L33" s="16">
        <f>AVERAGE(J33,H33,F33)</f>
        <v>0</v>
      </c>
      <c r="T33" s="16"/>
      <c r="U33" s="16"/>
      <c r="V33" s="16"/>
      <c r="W33" s="16"/>
      <c r="X33" s="16"/>
      <c r="Y33" s="16"/>
      <c r="Z33" s="16"/>
      <c r="AA33" s="16"/>
      <c r="AB33" s="16"/>
      <c r="AC33" s="40"/>
      <c r="AD33" s="16">
        <f>AD14/AD$27/60/0.0283*1000000*(21-7)/(21-AD$28)</f>
        <v>3959.4140134001236</v>
      </c>
      <c r="AE33" s="40"/>
      <c r="AF33" s="16">
        <f>AF14/AF$27/60/0.0283*1000000*(21-7)/(21-AF$28)</f>
        <v>3878.522775155049</v>
      </c>
      <c r="AG33" s="40"/>
      <c r="AH33" s="16">
        <f>AH14/AH$27/60/0.0283*1000000*(21-7)/(21-AH$28)</f>
        <v>3876.516694112336</v>
      </c>
      <c r="AI33" s="3"/>
      <c r="AJ33" s="16">
        <f>AVERAGE(AH33,AF33,AD33)</f>
        <v>3904.817827555836</v>
      </c>
      <c r="AK33" s="15">
        <f>(U33*V33+AC33*AD33)/AL33</f>
        <v>0</v>
      </c>
      <c r="AL33" s="16">
        <f aca="true" t="shared" si="1" ref="AL33:AR44">SUM(AD33,V33)</f>
        <v>3959.4140134001236</v>
      </c>
      <c r="AM33" s="15">
        <f>(W33*X33+AE33*AF33)/AN33</f>
        <v>0</v>
      </c>
      <c r="AN33" s="16">
        <f t="shared" si="1"/>
        <v>3878.522775155049</v>
      </c>
      <c r="AO33" s="15">
        <f>(Y33*Z33+AG33*AH33)/AP33</f>
        <v>0</v>
      </c>
      <c r="AP33" s="16">
        <f t="shared" si="1"/>
        <v>3876.516694112336</v>
      </c>
      <c r="AQ33" s="15">
        <f>(AA33*AB33+AI33*AJ33)/AR33</f>
        <v>0</v>
      </c>
      <c r="AR33" s="16">
        <f t="shared" si="1"/>
        <v>3904.817827555836</v>
      </c>
    </row>
    <row r="34" spans="2:44" ht="12.75">
      <c r="B34" s="7" t="s">
        <v>45</v>
      </c>
      <c r="C34" s="7"/>
      <c r="D34" s="2" t="s">
        <v>134</v>
      </c>
      <c r="E34" s="3">
        <v>100</v>
      </c>
      <c r="F34" s="16">
        <f aca="true" t="shared" si="2" ref="F34:F44">F15/F$27/60/0.0283*1000000*(21-7)/(21-F$28)</f>
        <v>7635.008534205417</v>
      </c>
      <c r="G34" s="3">
        <v>100</v>
      </c>
      <c r="H34" s="16">
        <f aca="true" t="shared" si="3" ref="H34:H44">H15/H$27/60/0.0283*1000000*(21-7)/(21-H$28)</f>
        <v>7338.83515514457</v>
      </c>
      <c r="I34" s="3">
        <v>100</v>
      </c>
      <c r="J34" s="16">
        <f t="shared" si="0"/>
        <v>7399.389249853949</v>
      </c>
      <c r="K34" s="5"/>
      <c r="L34" s="16">
        <f>AVERAGE(J34,H34,F34)</f>
        <v>7457.744313067979</v>
      </c>
      <c r="U34" s="2">
        <f aca="true" t="shared" si="4" ref="U34:U44">E34</f>
        <v>100</v>
      </c>
      <c r="V34" s="16">
        <f>F34+N34</f>
        <v>7635.008534205417</v>
      </c>
      <c r="W34" s="2">
        <f aca="true" t="shared" si="5" ref="W34:W44">G34</f>
        <v>100</v>
      </c>
      <c r="X34" s="16">
        <f>H34+P34</f>
        <v>7338.83515514457</v>
      </c>
      <c r="Y34" s="2">
        <f aca="true" t="shared" si="6" ref="Y34:Y44">I34</f>
        <v>100</v>
      </c>
      <c r="Z34" s="16">
        <f>J34+R34</f>
        <v>7399.389249853949</v>
      </c>
      <c r="AA34" s="3">
        <f>AVERAGE(U34*V34,W34*X34,Y34*Z34)/AB34</f>
        <v>100</v>
      </c>
      <c r="AB34" s="16">
        <f>L34+T34</f>
        <v>7457.744313067979</v>
      </c>
      <c r="AK34" s="15">
        <f>(U34*V34+AC34*AD34)/AL34</f>
        <v>100</v>
      </c>
      <c r="AL34" s="16">
        <f t="shared" si="1"/>
        <v>7635.008534205417</v>
      </c>
      <c r="AM34" s="15">
        <f>(W34*X34+AE34*AF34)/AN34</f>
        <v>100</v>
      </c>
      <c r="AN34" s="16">
        <f t="shared" si="1"/>
        <v>7338.83515514457</v>
      </c>
      <c r="AO34" s="15">
        <f>(Y34*Z34+AG34*AH34)/AP34</f>
        <v>100</v>
      </c>
      <c r="AP34" s="16">
        <f t="shared" si="1"/>
        <v>7399.389249853949</v>
      </c>
      <c r="AQ34" s="15">
        <f>(AA34*AB34+AI34*AJ34)/AR34</f>
        <v>100</v>
      </c>
      <c r="AR34" s="16">
        <f t="shared" si="1"/>
        <v>7457.744313067979</v>
      </c>
    </row>
    <row r="35" spans="2:44" ht="12.75">
      <c r="B35" s="2" t="s">
        <v>85</v>
      </c>
      <c r="D35" s="2" t="s">
        <v>134</v>
      </c>
      <c r="E35" s="3">
        <v>100</v>
      </c>
      <c r="F35" s="16">
        <f t="shared" si="2"/>
        <v>115.900812881521</v>
      </c>
      <c r="G35" s="3">
        <v>100</v>
      </c>
      <c r="H35" s="16">
        <f t="shared" si="3"/>
        <v>117.41743667136058</v>
      </c>
      <c r="I35" s="3">
        <v>100</v>
      </c>
      <c r="J35" s="16">
        <f t="shared" si="0"/>
        <v>118.38614985268345</v>
      </c>
      <c r="L35" s="16">
        <f aca="true" t="shared" si="7" ref="L35:L47">AVERAGE(J35,H35,F35)</f>
        <v>117.234799801855</v>
      </c>
      <c r="U35" s="2">
        <f t="shared" si="4"/>
        <v>100</v>
      </c>
      <c r="V35" s="16">
        <f aca="true" t="shared" si="8" ref="V35:V44">F35+N35</f>
        <v>115.900812881521</v>
      </c>
      <c r="W35" s="2">
        <f t="shared" si="5"/>
        <v>100</v>
      </c>
      <c r="X35" s="16">
        <f aca="true" t="shared" si="9" ref="X35:X44">H35+P35</f>
        <v>117.41743667136058</v>
      </c>
      <c r="Y35" s="2">
        <f t="shared" si="6"/>
        <v>100</v>
      </c>
      <c r="Z35" s="16">
        <f aca="true" t="shared" si="10" ref="Z35:Z44">J35+R35</f>
        <v>118.38614985268345</v>
      </c>
      <c r="AA35" s="3">
        <f aca="true" t="shared" si="11" ref="AA35:AA44">AVERAGE(U35*V35,W35*X35,Y35*Z35)/AB35</f>
        <v>100.00000000000001</v>
      </c>
      <c r="AB35" s="16">
        <f aca="true" t="shared" si="12" ref="AB35:AB44">L35+T35</f>
        <v>117.234799801855</v>
      </c>
      <c r="AK35" s="15">
        <f>(U35*V35+AC35*AD35)/AL35</f>
        <v>100.00000000000001</v>
      </c>
      <c r="AL35" s="16">
        <f t="shared" si="1"/>
        <v>115.900812881521</v>
      </c>
      <c r="AM35" s="15">
        <f>(W35*X35+AE35*AF35)/AN35</f>
        <v>100</v>
      </c>
      <c r="AN35" s="16">
        <f t="shared" si="1"/>
        <v>117.41743667136058</v>
      </c>
      <c r="AO35" s="15">
        <f>(Y35*Z35+AG35*AH35)/AP35</f>
        <v>100</v>
      </c>
      <c r="AP35" s="16">
        <f t="shared" si="1"/>
        <v>118.38614985268345</v>
      </c>
      <c r="AQ35" s="15">
        <f>(AA35*AB35+AI35*AJ35)/AR35</f>
        <v>100.00000000000001</v>
      </c>
      <c r="AR35" s="16">
        <f t="shared" si="1"/>
        <v>117.234799801855</v>
      </c>
    </row>
    <row r="36" spans="2:44" ht="12.75">
      <c r="B36" s="2" t="s">
        <v>86</v>
      </c>
      <c r="D36" s="2" t="s">
        <v>134</v>
      </c>
      <c r="E36" s="3">
        <v>100</v>
      </c>
      <c r="F36" s="16">
        <f t="shared" si="2"/>
        <v>12.985155055574301</v>
      </c>
      <c r="G36" s="3">
        <v>100</v>
      </c>
      <c r="H36" s="16">
        <f t="shared" si="3"/>
        <v>5.866410684758326</v>
      </c>
      <c r="I36" s="3">
        <v>100</v>
      </c>
      <c r="J36" s="16">
        <f t="shared" si="0"/>
        <v>5.914809538612414</v>
      </c>
      <c r="L36" s="16">
        <f t="shared" si="7"/>
        <v>8.255458426315014</v>
      </c>
      <c r="U36" s="2">
        <f t="shared" si="4"/>
        <v>100</v>
      </c>
      <c r="V36" s="16">
        <f t="shared" si="8"/>
        <v>12.985155055574301</v>
      </c>
      <c r="W36" s="2">
        <f t="shared" si="5"/>
        <v>100</v>
      </c>
      <c r="X36" s="16">
        <f t="shared" si="9"/>
        <v>5.866410684758326</v>
      </c>
      <c r="Y36" s="2">
        <f t="shared" si="6"/>
        <v>100</v>
      </c>
      <c r="Z36" s="16">
        <f t="shared" si="10"/>
        <v>5.914809538612414</v>
      </c>
      <c r="AA36" s="3">
        <f t="shared" si="11"/>
        <v>100</v>
      </c>
      <c r="AB36" s="16">
        <f t="shared" si="12"/>
        <v>8.255458426315014</v>
      </c>
      <c r="AK36" s="15">
        <f aca="true" t="shared" si="13" ref="AK36:AQ47">(U36*V36+AC36*AD36)/AL36</f>
        <v>100</v>
      </c>
      <c r="AL36" s="16">
        <f t="shared" si="1"/>
        <v>12.985155055574301</v>
      </c>
      <c r="AM36" s="15">
        <f t="shared" si="13"/>
        <v>99.99999999999999</v>
      </c>
      <c r="AN36" s="16">
        <f t="shared" si="1"/>
        <v>5.866410684758326</v>
      </c>
      <c r="AO36" s="15">
        <f t="shared" si="13"/>
        <v>100</v>
      </c>
      <c r="AP36" s="16">
        <f t="shared" si="1"/>
        <v>5.914809538612414</v>
      </c>
      <c r="AQ36" s="15">
        <f t="shared" si="13"/>
        <v>100</v>
      </c>
      <c r="AR36" s="16">
        <f t="shared" si="1"/>
        <v>8.255458426315014</v>
      </c>
    </row>
    <row r="37" spans="2:44" ht="12.75">
      <c r="B37" s="2" t="s">
        <v>87</v>
      </c>
      <c r="D37" s="2" t="s">
        <v>134</v>
      </c>
      <c r="E37" s="3">
        <v>100</v>
      </c>
      <c r="F37" s="16">
        <f t="shared" si="2"/>
        <v>4.302636148694162</v>
      </c>
      <c r="G37" s="40"/>
      <c r="H37" s="16">
        <f t="shared" si="3"/>
        <v>7.234496319733653</v>
      </c>
      <c r="I37" s="3">
        <v>100</v>
      </c>
      <c r="J37" s="16">
        <f t="shared" si="0"/>
        <v>2.9611530643243387</v>
      </c>
      <c r="L37" s="16">
        <f t="shared" si="7"/>
        <v>4.832761844250718</v>
      </c>
      <c r="U37" s="2">
        <f t="shared" si="4"/>
        <v>100</v>
      </c>
      <c r="V37" s="16">
        <f t="shared" si="8"/>
        <v>4.302636148694162</v>
      </c>
      <c r="W37" s="2">
        <f t="shared" si="5"/>
        <v>0</v>
      </c>
      <c r="X37" s="16">
        <f t="shared" si="9"/>
        <v>7.234496319733653</v>
      </c>
      <c r="Y37" s="2">
        <f t="shared" si="6"/>
        <v>100</v>
      </c>
      <c r="Z37" s="16">
        <f t="shared" si="10"/>
        <v>2.9611530643243387</v>
      </c>
      <c r="AA37" s="3">
        <f t="shared" si="11"/>
        <v>50.101021921587474</v>
      </c>
      <c r="AB37" s="16">
        <f t="shared" si="12"/>
        <v>4.832761844250718</v>
      </c>
      <c r="AK37" s="15">
        <f t="shared" si="13"/>
        <v>100</v>
      </c>
      <c r="AL37" s="16">
        <f t="shared" si="1"/>
        <v>4.302636148694162</v>
      </c>
      <c r="AM37" s="15">
        <f t="shared" si="13"/>
        <v>0</v>
      </c>
      <c r="AN37" s="16">
        <f t="shared" si="1"/>
        <v>7.234496319733653</v>
      </c>
      <c r="AO37" s="15">
        <f t="shared" si="13"/>
        <v>99.99999999999999</v>
      </c>
      <c r="AP37" s="16">
        <f t="shared" si="1"/>
        <v>2.9611530643243387</v>
      </c>
      <c r="AQ37" s="15">
        <f t="shared" si="13"/>
        <v>50.101021921587474</v>
      </c>
      <c r="AR37" s="16">
        <f t="shared" si="1"/>
        <v>4.832761844250718</v>
      </c>
    </row>
    <row r="38" spans="2:44" ht="12.75">
      <c r="B38" s="2" t="s">
        <v>88</v>
      </c>
      <c r="D38" s="2" t="s">
        <v>134</v>
      </c>
      <c r="F38" s="16">
        <f t="shared" si="2"/>
        <v>3.8159825088957198</v>
      </c>
      <c r="G38" s="40"/>
      <c r="H38" s="16">
        <f t="shared" si="3"/>
        <v>3.665577271971933</v>
      </c>
      <c r="I38" s="3">
        <v>100</v>
      </c>
      <c r="J38" s="16">
        <f t="shared" si="0"/>
        <v>3.7033154779144897</v>
      </c>
      <c r="L38" s="16">
        <f t="shared" si="7"/>
        <v>3.728291752927381</v>
      </c>
      <c r="U38" s="2">
        <f t="shared" si="4"/>
        <v>0</v>
      </c>
      <c r="V38" s="16">
        <f t="shared" si="8"/>
        <v>3.8159825088957198</v>
      </c>
      <c r="W38" s="2">
        <f t="shared" si="5"/>
        <v>0</v>
      </c>
      <c r="X38" s="16">
        <f t="shared" si="9"/>
        <v>3.665577271971933</v>
      </c>
      <c r="Y38" s="2">
        <f t="shared" si="6"/>
        <v>100</v>
      </c>
      <c r="Z38" s="16">
        <f t="shared" si="10"/>
        <v>3.7033154779144897</v>
      </c>
      <c r="AA38" s="3">
        <f t="shared" si="11"/>
        <v>33.1100293229173</v>
      </c>
      <c r="AB38" s="16">
        <f t="shared" si="12"/>
        <v>3.728291752927381</v>
      </c>
      <c r="AK38" s="15">
        <f t="shared" si="13"/>
        <v>0</v>
      </c>
      <c r="AL38" s="16">
        <f t="shared" si="1"/>
        <v>3.8159825088957198</v>
      </c>
      <c r="AM38" s="15">
        <f t="shared" si="13"/>
        <v>0</v>
      </c>
      <c r="AN38" s="16">
        <f t="shared" si="1"/>
        <v>3.665577271971933</v>
      </c>
      <c r="AO38" s="15">
        <f t="shared" si="13"/>
        <v>99.99999999999999</v>
      </c>
      <c r="AP38" s="16">
        <f t="shared" si="1"/>
        <v>3.7033154779144897</v>
      </c>
      <c r="AQ38" s="15">
        <f t="shared" si="13"/>
        <v>33.1100293229173</v>
      </c>
      <c r="AR38" s="16">
        <f t="shared" si="1"/>
        <v>3.728291752927381</v>
      </c>
    </row>
    <row r="39" spans="2:44" ht="12.75">
      <c r="B39" s="2" t="s">
        <v>89</v>
      </c>
      <c r="D39" s="2" t="s">
        <v>134</v>
      </c>
      <c r="E39" s="3">
        <v>100</v>
      </c>
      <c r="F39" s="16">
        <f t="shared" si="2"/>
        <v>1.5294828679379606</v>
      </c>
      <c r="G39" s="40"/>
      <c r="H39" s="16">
        <f t="shared" si="3"/>
        <v>1.464743859185539</v>
      </c>
      <c r="I39" s="40"/>
      <c r="J39" s="16">
        <f t="shared" si="0"/>
        <v>1.4843248271803016</v>
      </c>
      <c r="L39" s="16">
        <f t="shared" si="7"/>
        <v>1.4928505181012672</v>
      </c>
      <c r="U39" s="2">
        <f t="shared" si="4"/>
        <v>100</v>
      </c>
      <c r="V39" s="16">
        <f t="shared" si="8"/>
        <v>1.5294828679379606</v>
      </c>
      <c r="W39" s="2">
        <f t="shared" si="5"/>
        <v>0</v>
      </c>
      <c r="X39" s="16">
        <f t="shared" si="9"/>
        <v>1.464743859185539</v>
      </c>
      <c r="Y39" s="2">
        <f t="shared" si="6"/>
        <v>0</v>
      </c>
      <c r="Z39" s="16">
        <f t="shared" si="10"/>
        <v>1.4843248271803016</v>
      </c>
      <c r="AA39" s="3">
        <f>AVERAGE(U39*V39,W39*X39,Y39*Z39)/AB39</f>
        <v>34.15128416838603</v>
      </c>
      <c r="AB39" s="16">
        <f t="shared" si="12"/>
        <v>1.4928505181012672</v>
      </c>
      <c r="AK39" s="15">
        <f t="shared" si="13"/>
        <v>100</v>
      </c>
      <c r="AL39" s="16">
        <f t="shared" si="1"/>
        <v>1.5294828679379606</v>
      </c>
      <c r="AM39" s="15">
        <f t="shared" si="13"/>
        <v>0</v>
      </c>
      <c r="AN39" s="16">
        <f t="shared" si="1"/>
        <v>1.464743859185539</v>
      </c>
      <c r="AO39" s="15">
        <f t="shared" si="13"/>
        <v>0</v>
      </c>
      <c r="AP39" s="16">
        <f t="shared" si="1"/>
        <v>1.4843248271803016</v>
      </c>
      <c r="AQ39" s="15">
        <f t="shared" si="13"/>
        <v>34.15128416838603</v>
      </c>
      <c r="AR39" s="16">
        <f t="shared" si="1"/>
        <v>1.4928505181012672</v>
      </c>
    </row>
    <row r="40" spans="2:44" ht="12.75">
      <c r="B40" s="2" t="s">
        <v>97</v>
      </c>
      <c r="D40" s="2" t="s">
        <v>134</v>
      </c>
      <c r="E40" s="3">
        <v>100</v>
      </c>
      <c r="F40" s="16">
        <f t="shared" si="2"/>
        <v>1845.3442541499967</v>
      </c>
      <c r="G40" s="3">
        <v>100</v>
      </c>
      <c r="H40" s="16">
        <f t="shared" si="3"/>
        <v>1530.3227466881606</v>
      </c>
      <c r="I40" s="40"/>
      <c r="J40" s="16">
        <f t="shared" si="0"/>
        <v>3188.509646944158</v>
      </c>
      <c r="L40" s="16">
        <f t="shared" si="7"/>
        <v>2188.058882594105</v>
      </c>
      <c r="U40" s="2">
        <f t="shared" si="4"/>
        <v>100</v>
      </c>
      <c r="V40" s="16">
        <f t="shared" si="8"/>
        <v>1845.3442541499967</v>
      </c>
      <c r="W40" s="2">
        <f t="shared" si="5"/>
        <v>100</v>
      </c>
      <c r="X40" s="16">
        <f t="shared" si="9"/>
        <v>1530.3227466881606</v>
      </c>
      <c r="Y40" s="2">
        <f t="shared" si="6"/>
        <v>0</v>
      </c>
      <c r="Z40" s="16">
        <f t="shared" si="10"/>
        <v>3188.509646944158</v>
      </c>
      <c r="AA40" s="3">
        <f t="shared" si="11"/>
        <v>51.425596567067025</v>
      </c>
      <c r="AB40" s="16">
        <f t="shared" si="12"/>
        <v>2188.058882594105</v>
      </c>
      <c r="AD40" s="16">
        <f>AD33</f>
        <v>3959.4140134001236</v>
      </c>
      <c r="AF40" s="16">
        <f>AF33</f>
        <v>3878.522775155049</v>
      </c>
      <c r="AH40" s="16">
        <f>AH33</f>
        <v>3876.516694112336</v>
      </c>
      <c r="AJ40" s="16">
        <f>AJ33</f>
        <v>3904.817827555836</v>
      </c>
      <c r="AK40" s="15">
        <f t="shared" si="13"/>
        <v>31.790199851488705</v>
      </c>
      <c r="AL40" s="16">
        <f t="shared" si="1"/>
        <v>5804.75826755012</v>
      </c>
      <c r="AM40" s="15">
        <f t="shared" si="13"/>
        <v>28.29296456162538</v>
      </c>
      <c r="AN40" s="16">
        <f t="shared" si="1"/>
        <v>5408.84552184321</v>
      </c>
      <c r="AO40" s="15">
        <f t="shared" si="13"/>
        <v>0</v>
      </c>
      <c r="AP40" s="16">
        <f t="shared" si="1"/>
        <v>7065.026341056494</v>
      </c>
      <c r="AQ40" s="15">
        <f t="shared" si="13"/>
        <v>18.467833621813565</v>
      </c>
      <c r="AR40" s="16">
        <f t="shared" si="1"/>
        <v>6092.876710149942</v>
      </c>
    </row>
    <row r="41" spans="2:44" ht="12.75">
      <c r="B41" s="2" t="s">
        <v>90</v>
      </c>
      <c r="D41" s="2" t="s">
        <v>134</v>
      </c>
      <c r="E41" s="3">
        <v>100</v>
      </c>
      <c r="F41" s="16">
        <f t="shared" si="2"/>
        <v>122.15778825035811</v>
      </c>
      <c r="G41" s="3">
        <v>100</v>
      </c>
      <c r="H41" s="16">
        <f t="shared" si="3"/>
        <v>117.41743667136058</v>
      </c>
      <c r="I41" s="3">
        <v>100</v>
      </c>
      <c r="J41" s="16">
        <f t="shared" si="0"/>
        <v>118.38614985268345</v>
      </c>
      <c r="L41" s="16">
        <f t="shared" si="7"/>
        <v>119.32045825813405</v>
      </c>
      <c r="U41" s="2">
        <f t="shared" si="4"/>
        <v>100</v>
      </c>
      <c r="V41" s="16">
        <f t="shared" si="8"/>
        <v>122.15778825035811</v>
      </c>
      <c r="W41" s="2">
        <f t="shared" si="5"/>
        <v>100</v>
      </c>
      <c r="X41" s="16">
        <f t="shared" si="9"/>
        <v>117.41743667136058</v>
      </c>
      <c r="Y41" s="2">
        <f t="shared" si="6"/>
        <v>100</v>
      </c>
      <c r="Z41" s="16">
        <f t="shared" si="10"/>
        <v>118.38614985268345</v>
      </c>
      <c r="AA41" s="3">
        <f t="shared" si="11"/>
        <v>99.99999999999999</v>
      </c>
      <c r="AB41" s="16">
        <f t="shared" si="12"/>
        <v>119.32045825813405</v>
      </c>
      <c r="AK41" s="15">
        <f t="shared" si="13"/>
        <v>100</v>
      </c>
      <c r="AL41" s="16">
        <f t="shared" si="1"/>
        <v>122.15778825035811</v>
      </c>
      <c r="AM41" s="15">
        <f t="shared" si="13"/>
        <v>100</v>
      </c>
      <c r="AN41" s="16">
        <f t="shared" si="1"/>
        <v>117.41743667136058</v>
      </c>
      <c r="AO41" s="15">
        <f t="shared" si="13"/>
        <v>100</v>
      </c>
      <c r="AP41" s="16">
        <f t="shared" si="1"/>
        <v>118.38614985268345</v>
      </c>
      <c r="AQ41" s="15">
        <f t="shared" si="13"/>
        <v>99.99999999999999</v>
      </c>
      <c r="AR41" s="16">
        <f t="shared" si="1"/>
        <v>119.32045825813405</v>
      </c>
    </row>
    <row r="42" spans="2:44" ht="12.75">
      <c r="B42" s="2" t="s">
        <v>91</v>
      </c>
      <c r="D42" s="2" t="s">
        <v>134</v>
      </c>
      <c r="E42" s="3">
        <v>100</v>
      </c>
      <c r="F42" s="16">
        <f t="shared" si="2"/>
        <v>0.7647414339689803</v>
      </c>
      <c r="G42" s="3">
        <v>100</v>
      </c>
      <c r="H42" s="16">
        <f t="shared" si="3"/>
        <v>0.7360895536008547</v>
      </c>
      <c r="I42" s="3">
        <v>100</v>
      </c>
      <c r="J42" s="16">
        <f t="shared" si="0"/>
        <v>0.7421624135901508</v>
      </c>
      <c r="L42" s="16">
        <f t="shared" si="7"/>
        <v>0.7476644670533287</v>
      </c>
      <c r="U42" s="2">
        <f t="shared" si="4"/>
        <v>100</v>
      </c>
      <c r="V42" s="16">
        <f t="shared" si="8"/>
        <v>0.7647414339689803</v>
      </c>
      <c r="W42" s="2">
        <f t="shared" si="5"/>
        <v>100</v>
      </c>
      <c r="X42" s="16">
        <f t="shared" si="9"/>
        <v>0.7360895536008547</v>
      </c>
      <c r="Y42" s="2">
        <f t="shared" si="6"/>
        <v>100</v>
      </c>
      <c r="Z42" s="16">
        <f t="shared" si="10"/>
        <v>0.7421624135901508</v>
      </c>
      <c r="AA42" s="3">
        <f t="shared" si="11"/>
        <v>99.99999999999999</v>
      </c>
      <c r="AB42" s="16">
        <f t="shared" si="12"/>
        <v>0.7476644670533287</v>
      </c>
      <c r="AK42" s="15">
        <f t="shared" si="13"/>
        <v>100</v>
      </c>
      <c r="AL42" s="16">
        <f t="shared" si="1"/>
        <v>0.7647414339689803</v>
      </c>
      <c r="AM42" s="15">
        <f t="shared" si="13"/>
        <v>100</v>
      </c>
      <c r="AN42" s="16">
        <f t="shared" si="1"/>
        <v>0.7360895536008547</v>
      </c>
      <c r="AO42" s="15">
        <f t="shared" si="13"/>
        <v>99.99999999999999</v>
      </c>
      <c r="AP42" s="16">
        <f t="shared" si="1"/>
        <v>0.7421624135901508</v>
      </c>
      <c r="AQ42" s="15">
        <f t="shared" si="13"/>
        <v>99.99999999999999</v>
      </c>
      <c r="AR42" s="16">
        <f t="shared" si="1"/>
        <v>0.7476644670533287</v>
      </c>
    </row>
    <row r="43" spans="2:44" ht="12.75">
      <c r="B43" s="2" t="s">
        <v>92</v>
      </c>
      <c r="D43" s="2" t="s">
        <v>134</v>
      </c>
      <c r="E43" s="3">
        <v>100</v>
      </c>
      <c r="F43" s="16">
        <f t="shared" si="2"/>
        <v>19.226681102513048</v>
      </c>
      <c r="G43" s="3">
        <v>100</v>
      </c>
      <c r="H43" s="16">
        <f t="shared" si="3"/>
        <v>19.078846409492858</v>
      </c>
      <c r="I43" s="3">
        <v>100</v>
      </c>
      <c r="J43" s="16">
        <f t="shared" si="0"/>
        <v>19.108808002437314</v>
      </c>
      <c r="L43" s="16">
        <f t="shared" si="7"/>
        <v>19.13811183814774</v>
      </c>
      <c r="U43" s="2">
        <f t="shared" si="4"/>
        <v>100</v>
      </c>
      <c r="V43" s="16">
        <f t="shared" si="8"/>
        <v>19.226681102513048</v>
      </c>
      <c r="W43" s="2">
        <f t="shared" si="5"/>
        <v>100</v>
      </c>
      <c r="X43" s="16">
        <f t="shared" si="9"/>
        <v>19.078846409492858</v>
      </c>
      <c r="Y43" s="2">
        <f t="shared" si="6"/>
        <v>100</v>
      </c>
      <c r="Z43" s="16">
        <f t="shared" si="10"/>
        <v>19.108808002437314</v>
      </c>
      <c r="AA43" s="3">
        <f t="shared" si="11"/>
        <v>100</v>
      </c>
      <c r="AB43" s="16">
        <f t="shared" si="12"/>
        <v>19.13811183814774</v>
      </c>
      <c r="AK43" s="15">
        <f t="shared" si="13"/>
        <v>100</v>
      </c>
      <c r="AL43" s="16">
        <f t="shared" si="1"/>
        <v>19.226681102513048</v>
      </c>
      <c r="AM43" s="15">
        <f t="shared" si="13"/>
        <v>100</v>
      </c>
      <c r="AN43" s="16">
        <f t="shared" si="1"/>
        <v>19.078846409492858</v>
      </c>
      <c r="AO43" s="15">
        <f t="shared" si="13"/>
        <v>100</v>
      </c>
      <c r="AP43" s="16">
        <f t="shared" si="1"/>
        <v>19.108808002437314</v>
      </c>
      <c r="AQ43" s="15">
        <f t="shared" si="13"/>
        <v>100</v>
      </c>
      <c r="AR43" s="16">
        <f t="shared" si="1"/>
        <v>19.13811183814774</v>
      </c>
    </row>
    <row r="44" spans="2:44" ht="12.75">
      <c r="B44" s="2" t="s">
        <v>93</v>
      </c>
      <c r="D44" s="2" t="s">
        <v>134</v>
      </c>
      <c r="E44" s="3">
        <v>100</v>
      </c>
      <c r="F44" s="16">
        <f t="shared" si="2"/>
        <v>476.1326515856566</v>
      </c>
      <c r="G44" s="3">
        <v>100</v>
      </c>
      <c r="H44" s="16">
        <f t="shared" si="3"/>
        <v>469.6846171814747</v>
      </c>
      <c r="I44" s="3">
        <v>100</v>
      </c>
      <c r="J44" s="16">
        <f t="shared" si="0"/>
        <v>473.55959259080635</v>
      </c>
      <c r="L44" s="16">
        <f t="shared" si="7"/>
        <v>473.12562045264593</v>
      </c>
      <c r="U44" s="2">
        <f t="shared" si="4"/>
        <v>100</v>
      </c>
      <c r="V44" s="16">
        <f t="shared" si="8"/>
        <v>476.1326515856566</v>
      </c>
      <c r="W44" s="2">
        <f t="shared" si="5"/>
        <v>100</v>
      </c>
      <c r="X44" s="16">
        <f t="shared" si="9"/>
        <v>469.6846171814747</v>
      </c>
      <c r="Y44" s="2">
        <f t="shared" si="6"/>
        <v>100</v>
      </c>
      <c r="Z44" s="16">
        <f t="shared" si="10"/>
        <v>473.55959259080635</v>
      </c>
      <c r="AA44" s="3">
        <f t="shared" si="11"/>
        <v>99.99999999999999</v>
      </c>
      <c r="AB44" s="16">
        <f t="shared" si="12"/>
        <v>473.12562045264593</v>
      </c>
      <c r="AK44" s="15">
        <f t="shared" si="13"/>
        <v>100</v>
      </c>
      <c r="AL44" s="16">
        <f t="shared" si="1"/>
        <v>476.1326515856566</v>
      </c>
      <c r="AM44" s="15">
        <f t="shared" si="13"/>
        <v>100</v>
      </c>
      <c r="AN44" s="16">
        <f t="shared" si="1"/>
        <v>469.6846171814747</v>
      </c>
      <c r="AO44" s="15">
        <f t="shared" si="13"/>
        <v>100</v>
      </c>
      <c r="AP44" s="16">
        <f t="shared" si="1"/>
        <v>473.55959259080635</v>
      </c>
      <c r="AQ44" s="15">
        <f t="shared" si="13"/>
        <v>99.99999999999999</v>
      </c>
      <c r="AR44" s="16">
        <f t="shared" si="1"/>
        <v>473.12562045264593</v>
      </c>
    </row>
    <row r="45" spans="6:44" ht="12.75">
      <c r="F45" s="16"/>
      <c r="H45" s="16"/>
      <c r="J45" s="16"/>
      <c r="L45" s="16"/>
      <c r="V45" s="16"/>
      <c r="W45" s="16"/>
      <c r="X45" s="16"/>
      <c r="Y45" s="16"/>
      <c r="Z45" s="16"/>
      <c r="AB45" s="16"/>
      <c r="AL45" s="16"/>
      <c r="AN45" s="16"/>
      <c r="AP45" s="16"/>
      <c r="AR45" s="16"/>
    </row>
    <row r="46" spans="2:44" ht="12.75">
      <c r="B46" s="2" t="s">
        <v>5</v>
      </c>
      <c r="D46" s="2" t="s">
        <v>134</v>
      </c>
      <c r="F46" s="16">
        <f>(F39+F41)</f>
        <v>123.68727111829607</v>
      </c>
      <c r="H46" s="16">
        <f>(H39+H41)</f>
        <v>118.88218053054612</v>
      </c>
      <c r="J46" s="16">
        <f>(J39+J41)</f>
        <v>119.87047467986375</v>
      </c>
      <c r="L46" s="16">
        <f t="shared" si="7"/>
        <v>120.81330877623532</v>
      </c>
      <c r="U46" s="15">
        <f>(U39*V39+U41*V41)/V46</f>
        <v>100.00000000000001</v>
      </c>
      <c r="V46" s="16">
        <f>(V39+V41)</f>
        <v>123.68727111829607</v>
      </c>
      <c r="W46" s="15">
        <f>(W39*X39+W41*X41)/X46</f>
        <v>98.76790293326661</v>
      </c>
      <c r="X46" s="16">
        <f>(X39+X41)</f>
        <v>118.88218053054612</v>
      </c>
      <c r="Y46" s="15">
        <f>(Y39*Z39+Y41*Z41)/Z46</f>
        <v>98.76172607879926</v>
      </c>
      <c r="Z46" s="16">
        <f>(Z39+Z41)</f>
        <v>119.87047467986375</v>
      </c>
      <c r="AA46" s="15">
        <f>(AA39*AB39+AA41*AB41)/AB46</f>
        <v>99.1863289687099</v>
      </c>
      <c r="AB46" s="16">
        <f>(AB39+AB41)</f>
        <v>120.81330877623532</v>
      </c>
      <c r="AK46" s="15">
        <f t="shared" si="13"/>
        <v>100.00000000000001</v>
      </c>
      <c r="AL46" s="16">
        <f>SUM(AD46,N46,F46)</f>
        <v>123.68727111829607</v>
      </c>
      <c r="AM46" s="15">
        <f t="shared" si="13"/>
        <v>98.76790293326661</v>
      </c>
      <c r="AN46" s="16">
        <f>SUM(AF46,P46,H46)</f>
        <v>118.88218053054612</v>
      </c>
      <c r="AO46" s="15">
        <f t="shared" si="13"/>
        <v>98.76172607879926</v>
      </c>
      <c r="AP46" s="16">
        <f>SUM(AH46,R46,J46)</f>
        <v>119.87047467986375</v>
      </c>
      <c r="AQ46" s="15">
        <f>(AA46*AB46+AI46*AJ46)/AR46</f>
        <v>99.1863289687099</v>
      </c>
      <c r="AR46" s="16">
        <f>SUM(AJ46,T46,L46)</f>
        <v>120.81330877623532</v>
      </c>
    </row>
    <row r="47" spans="2:44" ht="12.75">
      <c r="B47" s="2" t="s">
        <v>6</v>
      </c>
      <c r="D47" s="2" t="s">
        <v>134</v>
      </c>
      <c r="F47" s="16">
        <f>F36+F40+F38</f>
        <v>1862.1453917144668</v>
      </c>
      <c r="H47" s="16">
        <f>H36+H40+H38</f>
        <v>1539.8547346448909</v>
      </c>
      <c r="J47" s="16">
        <f>J36+J40+J38</f>
        <v>3198.1277719606846</v>
      </c>
      <c r="L47" s="16">
        <f t="shared" si="7"/>
        <v>2200.0426327733476</v>
      </c>
      <c r="U47" s="15">
        <f>(U36*V36+U40*V40+U38*V38)/V47</f>
        <v>99.79507601684193</v>
      </c>
      <c r="V47" s="16">
        <f>V36+V40+V38</f>
        <v>1862.1453917144668</v>
      </c>
      <c r="W47" s="15">
        <f>(W36*X36+W40*X40+W38*X38)/X47</f>
        <v>99.76195304729072</v>
      </c>
      <c r="X47" s="16">
        <f>X36+X40+X38</f>
        <v>1539.8547346448909</v>
      </c>
      <c r="Y47" s="15">
        <f>(Y36*Z36+Y40*Z40+Y38*Z38)/Z47</f>
        <v>0.30074236248010483</v>
      </c>
      <c r="Z47" s="16">
        <f>Z36+Z40+Z38</f>
        <v>3198.1277719606846</v>
      </c>
      <c r="AA47" s="15">
        <f>(AA36*AB36+AA40*AB40+AA38*AB38)/AB47</f>
        <v>51.57682917722679</v>
      </c>
      <c r="AB47" s="16">
        <f>AB36+AB40+AB38</f>
        <v>2200.042632773347</v>
      </c>
      <c r="AD47" s="16">
        <f>AD33</f>
        <v>3959.4140134001236</v>
      </c>
      <c r="AF47" s="16">
        <f>AF33</f>
        <v>3878.522775155049</v>
      </c>
      <c r="AH47" s="16">
        <f>AH33</f>
        <v>3876.516694112336</v>
      </c>
      <c r="AJ47" s="16">
        <f>AJ33</f>
        <v>3904.817827555836</v>
      </c>
      <c r="AK47" s="15">
        <f>(U47*V47+AC47*AD47)/AL47</f>
        <v>31.921505560398757</v>
      </c>
      <c r="AL47" s="16">
        <f>SUM(AD47,N47,F47)</f>
        <v>5821.559405114591</v>
      </c>
      <c r="AM47" s="15">
        <f t="shared" si="13"/>
        <v>28.35146046200164</v>
      </c>
      <c r="AN47" s="16">
        <f>SUM(AF47,P47,H47)</f>
        <v>5418.3775097999405</v>
      </c>
      <c r="AO47" s="15">
        <f t="shared" si="13"/>
        <v>0.13595206179831834</v>
      </c>
      <c r="AP47" s="16">
        <f>SUM(AH47,R47,J47)</f>
        <v>7074.644466073021</v>
      </c>
      <c r="AQ47" s="15">
        <f t="shared" si="13"/>
        <v>18.587029759407255</v>
      </c>
      <c r="AR47" s="16">
        <f>SUM(AJ47,T47,L47)</f>
        <v>6104.860460329184</v>
      </c>
    </row>
    <row r="50" spans="1:28" ht="12.75">
      <c r="A50" s="2" t="s">
        <v>177</v>
      </c>
      <c r="B50" s="1" t="s">
        <v>103</v>
      </c>
      <c r="C50" s="1"/>
      <c r="F50" s="3" t="s">
        <v>185</v>
      </c>
      <c r="H50" s="3" t="s">
        <v>186</v>
      </c>
      <c r="J50" s="3" t="s">
        <v>187</v>
      </c>
      <c r="L50" s="2" t="s">
        <v>35</v>
      </c>
      <c r="N50" s="3" t="s">
        <v>185</v>
      </c>
      <c r="P50" s="3" t="s">
        <v>186</v>
      </c>
      <c r="R50" s="3" t="s">
        <v>187</v>
      </c>
      <c r="T50" s="2" t="s">
        <v>35</v>
      </c>
      <c r="V50" s="3" t="s">
        <v>185</v>
      </c>
      <c r="W50" s="3"/>
      <c r="X50" s="3" t="s">
        <v>186</v>
      </c>
      <c r="Y50" s="3"/>
      <c r="Z50" s="3" t="s">
        <v>187</v>
      </c>
      <c r="AA50" s="3"/>
      <c r="AB50" s="2" t="s">
        <v>35</v>
      </c>
    </row>
    <row r="51" ht="12.75">
      <c r="L51" s="41"/>
    </row>
    <row r="52" spans="2:28" ht="12.75">
      <c r="B52" s="7" t="s">
        <v>203</v>
      </c>
      <c r="C52" s="7"/>
      <c r="D52" s="7"/>
      <c r="E52" s="5"/>
      <c r="F52" s="5" t="s">
        <v>205</v>
      </c>
      <c r="G52" s="5"/>
      <c r="H52" s="5" t="s">
        <v>205</v>
      </c>
      <c r="I52" s="5"/>
      <c r="J52" s="5" t="s">
        <v>205</v>
      </c>
      <c r="K52" s="5"/>
      <c r="L52" s="5" t="s">
        <v>205</v>
      </c>
      <c r="M52" s="5"/>
      <c r="N52" s="5" t="s">
        <v>207</v>
      </c>
      <c r="O52" s="5"/>
      <c r="P52" s="5" t="s">
        <v>207</v>
      </c>
      <c r="Q52" s="5"/>
      <c r="R52" s="5" t="s">
        <v>207</v>
      </c>
      <c r="S52" s="5"/>
      <c r="T52" s="5" t="s">
        <v>207</v>
      </c>
      <c r="U52" s="5"/>
      <c r="V52" s="5"/>
      <c r="W52" s="5"/>
      <c r="X52" s="5"/>
      <c r="Y52" s="5"/>
      <c r="Z52" s="5"/>
      <c r="AA52" s="5"/>
      <c r="AB52" s="5"/>
    </row>
    <row r="53" spans="2:28" ht="12.75">
      <c r="B53" s="7" t="s">
        <v>204</v>
      </c>
      <c r="C53" s="7"/>
      <c r="D53" s="7"/>
      <c r="E53" s="5"/>
      <c r="F53" s="5" t="s">
        <v>206</v>
      </c>
      <c r="G53" s="5"/>
      <c r="H53" s="5" t="s">
        <v>206</v>
      </c>
      <c r="I53" s="5"/>
      <c r="J53" s="5" t="s">
        <v>206</v>
      </c>
      <c r="K53" s="5"/>
      <c r="L53" s="5" t="s">
        <v>206</v>
      </c>
      <c r="M53" s="5"/>
      <c r="N53" s="5" t="s">
        <v>206</v>
      </c>
      <c r="O53" s="5"/>
      <c r="P53" s="5" t="s">
        <v>206</v>
      </c>
      <c r="Q53" s="5"/>
      <c r="R53" s="5" t="s">
        <v>206</v>
      </c>
      <c r="S53" s="5"/>
      <c r="T53" s="5" t="s">
        <v>206</v>
      </c>
      <c r="U53" s="5"/>
      <c r="V53" s="5"/>
      <c r="W53" s="5"/>
      <c r="X53" s="5"/>
      <c r="Y53" s="5"/>
      <c r="Z53" s="5"/>
      <c r="AA53" s="5"/>
      <c r="AB53" s="5"/>
    </row>
    <row r="54" spans="2:28" ht="12.75">
      <c r="B54" s="7" t="s">
        <v>211</v>
      </c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 t="s">
        <v>1</v>
      </c>
      <c r="W54" s="5"/>
      <c r="X54" s="5" t="s">
        <v>1</v>
      </c>
      <c r="Y54" s="5"/>
      <c r="Z54" s="5" t="s">
        <v>1</v>
      </c>
      <c r="AA54" s="5"/>
      <c r="AB54" s="5" t="s">
        <v>1</v>
      </c>
    </row>
    <row r="55" spans="2:35" ht="12.75">
      <c r="B55" s="2" t="s">
        <v>179</v>
      </c>
      <c r="F55" s="40" t="s">
        <v>182</v>
      </c>
      <c r="H55" s="40" t="s">
        <v>182</v>
      </c>
      <c r="J55" s="40" t="s">
        <v>182</v>
      </c>
      <c r="L55" s="40" t="s">
        <v>182</v>
      </c>
      <c r="M55" s="40"/>
      <c r="N55" s="40" t="s">
        <v>183</v>
      </c>
      <c r="O55" s="40"/>
      <c r="P55" s="40" t="s">
        <v>183</v>
      </c>
      <c r="Q55" s="40"/>
      <c r="R55" s="40" t="s">
        <v>183</v>
      </c>
      <c r="T55" s="40" t="s">
        <v>132</v>
      </c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2:20" ht="12.75">
      <c r="B56" s="2" t="s">
        <v>178</v>
      </c>
      <c r="D56" s="2" t="s">
        <v>84</v>
      </c>
      <c r="F56" s="3">
        <v>910602</v>
      </c>
      <c r="H56" s="3">
        <v>3204533</v>
      </c>
      <c r="J56" s="3">
        <v>3205667</v>
      </c>
      <c r="L56" s="2">
        <v>2300000</v>
      </c>
      <c r="N56" s="3">
        <v>1737817</v>
      </c>
      <c r="P56" s="3">
        <v>1738649</v>
      </c>
      <c r="R56" s="3">
        <v>1787666</v>
      </c>
      <c r="T56" s="2">
        <v>1700000</v>
      </c>
    </row>
    <row r="57" spans="2:20" ht="12.75">
      <c r="B57" s="2" t="s">
        <v>43</v>
      </c>
      <c r="D57" s="2" t="s">
        <v>47</v>
      </c>
      <c r="F57" s="2">
        <v>8000</v>
      </c>
      <c r="H57" s="2">
        <v>8000</v>
      </c>
      <c r="J57" s="2">
        <v>8000</v>
      </c>
      <c r="L57" s="2">
        <v>8000</v>
      </c>
      <c r="N57" s="2">
        <v>2000</v>
      </c>
      <c r="P57" s="2">
        <v>2000</v>
      </c>
      <c r="R57" s="2">
        <v>2000</v>
      </c>
      <c r="T57" s="2">
        <v>2000</v>
      </c>
    </row>
    <row r="59" spans="2:44" ht="12.75">
      <c r="B59" s="2" t="s">
        <v>46</v>
      </c>
      <c r="D59" s="2" t="s">
        <v>16</v>
      </c>
      <c r="F59" s="40">
        <f>emiss!$G$32</f>
        <v>55847</v>
      </c>
      <c r="H59" s="40">
        <f>emiss!$I$32</f>
        <v>53240</v>
      </c>
      <c r="J59" s="40">
        <f>emiss!$K$32</f>
        <v>48928</v>
      </c>
      <c r="L59" s="43">
        <f>emiss!$M$32</f>
        <v>52671.666666666664</v>
      </c>
      <c r="N59" s="40">
        <f>emiss!$G$32</f>
        <v>55847</v>
      </c>
      <c r="P59" s="40">
        <f>emiss!$I$32</f>
        <v>53240</v>
      </c>
      <c r="R59" s="40">
        <f>emiss!$K$32</f>
        <v>48928</v>
      </c>
      <c r="T59" s="43">
        <f>emiss!$M$32</f>
        <v>52671.666666666664</v>
      </c>
      <c r="U59" s="43"/>
      <c r="V59" s="43"/>
      <c r="W59" s="43"/>
      <c r="X59" s="43"/>
      <c r="Y59" s="43"/>
      <c r="Z59" s="43"/>
      <c r="AA59" s="43"/>
      <c r="AB59" s="43"/>
      <c r="AC59" s="16"/>
      <c r="AD59" s="16"/>
      <c r="AE59" s="16"/>
      <c r="AF59" s="16"/>
      <c r="AG59" s="16"/>
      <c r="AH59" s="16"/>
      <c r="AI59" s="16"/>
      <c r="AR59" s="16"/>
    </row>
    <row r="60" spans="2:44" ht="12.75">
      <c r="B60" s="2" t="s">
        <v>10</v>
      </c>
      <c r="D60" s="2" t="s">
        <v>17</v>
      </c>
      <c r="F60" s="40">
        <f>emiss!$G$33</f>
        <v>13.6</v>
      </c>
      <c r="H60" s="40">
        <f>emiss!$I$33</f>
        <v>12.8</v>
      </c>
      <c r="J60" s="40">
        <f>emiss!$K$33</f>
        <v>12.8</v>
      </c>
      <c r="L60" s="43">
        <f>emiss!$M$33</f>
        <v>13.066666666666668</v>
      </c>
      <c r="N60" s="40">
        <f>emiss!$G$33</f>
        <v>13.6</v>
      </c>
      <c r="P60" s="40">
        <f>emiss!$I$33</f>
        <v>12.8</v>
      </c>
      <c r="R60" s="40">
        <f>emiss!$K$33</f>
        <v>12.8</v>
      </c>
      <c r="T60" s="43">
        <f>emiss!$M$33</f>
        <v>13.066666666666668</v>
      </c>
      <c r="U60" s="43"/>
      <c r="V60" s="43"/>
      <c r="W60" s="43"/>
      <c r="X60" s="43"/>
      <c r="Y60" s="43"/>
      <c r="Z60" s="43"/>
      <c r="AA60" s="43"/>
      <c r="AB60" s="43"/>
      <c r="AC60" s="16"/>
      <c r="AD60" s="16"/>
      <c r="AE60" s="16"/>
      <c r="AF60" s="16"/>
      <c r="AG60" s="16"/>
      <c r="AH60" s="16"/>
      <c r="AI60" s="16"/>
      <c r="AR60" s="16"/>
    </row>
    <row r="61" spans="2:44" ht="12.75">
      <c r="B61" s="2" t="s">
        <v>133</v>
      </c>
      <c r="D61" s="2" t="s">
        <v>131</v>
      </c>
      <c r="F61" s="16">
        <f>F56/454*F57/1000000</f>
        <v>16.045850220264317</v>
      </c>
      <c r="H61" s="16">
        <f>H56/454*H57/1000000</f>
        <v>56.467541850220265</v>
      </c>
      <c r="J61" s="16">
        <f>J56/454*J57/1000000</f>
        <v>56.487524229074886</v>
      </c>
      <c r="L61" s="16">
        <f>L56/454*L57/1000000</f>
        <v>40.52863436123348</v>
      </c>
      <c r="N61" s="16">
        <f>N56/454*N57/1000000</f>
        <v>7.655581497797357</v>
      </c>
      <c r="P61" s="16">
        <f>P56/454*P57/1000000</f>
        <v>7.659246696035241</v>
      </c>
      <c r="R61" s="16">
        <f>R56/454*R57/1000000</f>
        <v>7.875180616740088</v>
      </c>
      <c r="T61" s="16">
        <f>T56/454*T57/1000000</f>
        <v>7.48898678414097</v>
      </c>
      <c r="U61" s="16"/>
      <c r="V61" s="16">
        <f>F61+N61</f>
        <v>23.701431718061674</v>
      </c>
      <c r="W61" s="16"/>
      <c r="X61" s="16">
        <f>H61+P61</f>
        <v>64.12678854625551</v>
      </c>
      <c r="Y61" s="16"/>
      <c r="Z61" s="16">
        <f>J61+R61</f>
        <v>64.36270484581497</v>
      </c>
      <c r="AA61" s="16"/>
      <c r="AB61" s="16">
        <f>AVERAGE(V61,X61,Z61)</f>
        <v>50.73030837004405</v>
      </c>
      <c r="AC61" s="16"/>
      <c r="AD61" s="16"/>
      <c r="AE61" s="16"/>
      <c r="AF61" s="16"/>
      <c r="AG61" s="16"/>
      <c r="AH61" s="16"/>
      <c r="AI61" s="16"/>
      <c r="AR61" s="16"/>
    </row>
    <row r="63" spans="2:28" ht="12.75">
      <c r="B63" s="2" t="s">
        <v>212</v>
      </c>
      <c r="D63" s="2" t="s">
        <v>131</v>
      </c>
      <c r="F63" s="2"/>
      <c r="G63" s="2"/>
      <c r="H63" s="2"/>
      <c r="I63" s="2"/>
      <c r="J63" s="2"/>
      <c r="V63" s="57">
        <f>F59*60/9000*(21-F60)/21</f>
        <v>131.19612698412698</v>
      </c>
      <c r="W63" s="3"/>
      <c r="X63" s="57">
        <f>H59*60/9000*(21-H60)/21</f>
        <v>138.59301587301584</v>
      </c>
      <c r="Y63" s="3"/>
      <c r="Z63" s="57">
        <f>J59*60/9000*(21-J60)/21</f>
        <v>127.36812698412697</v>
      </c>
      <c r="AB63" s="16">
        <f>AVERAGE(V63,X63,Z63)</f>
        <v>132.3857566137566</v>
      </c>
    </row>
    <row r="65" spans="1:28" ht="12.75">
      <c r="A65" s="2" t="s">
        <v>177</v>
      </c>
      <c r="B65" s="1" t="s">
        <v>104</v>
      </c>
      <c r="C65" s="1"/>
      <c r="F65" s="3" t="s">
        <v>185</v>
      </c>
      <c r="H65" s="3" t="s">
        <v>186</v>
      </c>
      <c r="J65" s="3" t="s">
        <v>187</v>
      </c>
      <c r="L65" s="2" t="s">
        <v>35</v>
      </c>
      <c r="N65" s="3" t="s">
        <v>185</v>
      </c>
      <c r="P65" s="3" t="s">
        <v>186</v>
      </c>
      <c r="R65" s="3" t="s">
        <v>187</v>
      </c>
      <c r="T65" s="2" t="s">
        <v>35</v>
      </c>
      <c r="V65" s="3" t="s">
        <v>185</v>
      </c>
      <c r="W65" s="3"/>
      <c r="X65" s="3" t="s">
        <v>186</v>
      </c>
      <c r="Y65" s="3"/>
      <c r="Z65" s="3" t="s">
        <v>187</v>
      </c>
      <c r="AA65" s="3"/>
      <c r="AB65" s="2" t="s">
        <v>35</v>
      </c>
    </row>
    <row r="66" spans="12:35" ht="12.75">
      <c r="L66" s="61"/>
      <c r="M66" s="61"/>
      <c r="N66" s="61"/>
      <c r="O66" s="61"/>
      <c r="P66" s="61"/>
      <c r="Q66" s="61"/>
      <c r="R66" s="61"/>
      <c r="S66" s="61"/>
      <c r="T66" s="61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>
      <c r="B67" s="7" t="s">
        <v>203</v>
      </c>
      <c r="C67" s="7"/>
      <c r="D67" s="7"/>
      <c r="E67" s="5"/>
      <c r="F67" s="5" t="s">
        <v>205</v>
      </c>
      <c r="G67" s="5"/>
      <c r="H67" s="5" t="s">
        <v>205</v>
      </c>
      <c r="I67" s="5"/>
      <c r="J67" s="5" t="s">
        <v>205</v>
      </c>
      <c r="K67" s="5"/>
      <c r="L67" s="5" t="s">
        <v>205</v>
      </c>
      <c r="M67" s="5"/>
      <c r="N67" s="5" t="s">
        <v>207</v>
      </c>
      <c r="O67" s="5"/>
      <c r="P67" s="5" t="s">
        <v>207</v>
      </c>
      <c r="Q67" s="5"/>
      <c r="R67" s="5" t="s">
        <v>207</v>
      </c>
      <c r="S67" s="5"/>
      <c r="T67" s="5" t="s">
        <v>207</v>
      </c>
      <c r="U67" s="5"/>
      <c r="V67" s="5"/>
      <c r="W67" s="5"/>
      <c r="X67" s="5"/>
      <c r="Y67" s="5"/>
      <c r="Z67" s="5"/>
      <c r="AA67" s="5"/>
      <c r="AB67" s="5"/>
      <c r="AC67" s="3"/>
      <c r="AD67" s="3"/>
      <c r="AE67" s="3"/>
      <c r="AF67" s="3"/>
      <c r="AG67" s="3"/>
      <c r="AH67" s="3"/>
      <c r="AI67" s="3"/>
    </row>
    <row r="68" spans="2:35" ht="12.75">
      <c r="B68" s="7" t="s">
        <v>204</v>
      </c>
      <c r="C68" s="7"/>
      <c r="D68" s="7"/>
      <c r="E68" s="5"/>
      <c r="F68" s="5" t="s">
        <v>206</v>
      </c>
      <c r="G68" s="5"/>
      <c r="H68" s="5" t="s">
        <v>206</v>
      </c>
      <c r="I68" s="5"/>
      <c r="J68" s="5" t="s">
        <v>206</v>
      </c>
      <c r="K68" s="5"/>
      <c r="L68" s="5" t="s">
        <v>206</v>
      </c>
      <c r="M68" s="5"/>
      <c r="N68" s="5" t="s">
        <v>206</v>
      </c>
      <c r="O68" s="5"/>
      <c r="P68" s="5" t="s">
        <v>206</v>
      </c>
      <c r="Q68" s="5"/>
      <c r="R68" s="5" t="s">
        <v>206</v>
      </c>
      <c r="S68" s="5"/>
      <c r="T68" s="5" t="s">
        <v>206</v>
      </c>
      <c r="U68" s="5"/>
      <c r="V68" s="5"/>
      <c r="W68" s="5"/>
      <c r="X68" s="5"/>
      <c r="Y68" s="5"/>
      <c r="Z68" s="5"/>
      <c r="AA68" s="5"/>
      <c r="AB68" s="5"/>
      <c r="AC68" s="3"/>
      <c r="AD68" s="3"/>
      <c r="AE68" s="3"/>
      <c r="AF68" s="3"/>
      <c r="AG68" s="3"/>
      <c r="AH68" s="3"/>
      <c r="AI68" s="3"/>
    </row>
    <row r="69" spans="2:35" ht="12.75">
      <c r="B69" s="7" t="s">
        <v>211</v>
      </c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 t="s">
        <v>1</v>
      </c>
      <c r="W69" s="5"/>
      <c r="X69" s="5" t="s">
        <v>1</v>
      </c>
      <c r="Y69" s="5"/>
      <c r="Z69" s="5" t="s">
        <v>1</v>
      </c>
      <c r="AA69" s="5"/>
      <c r="AB69" s="5" t="s">
        <v>1</v>
      </c>
      <c r="AC69" s="3"/>
      <c r="AD69" s="3"/>
      <c r="AE69" s="3"/>
      <c r="AF69" s="3"/>
      <c r="AG69" s="3"/>
      <c r="AH69" s="3"/>
      <c r="AI69" s="3"/>
    </row>
    <row r="70" spans="2:35" ht="12.75">
      <c r="B70" s="2" t="s">
        <v>179</v>
      </c>
      <c r="F70" s="40" t="s">
        <v>182</v>
      </c>
      <c r="H70" s="40" t="s">
        <v>182</v>
      </c>
      <c r="J70" s="40" t="s">
        <v>182</v>
      </c>
      <c r="L70" s="40" t="s">
        <v>182</v>
      </c>
      <c r="N70" s="40" t="s">
        <v>106</v>
      </c>
      <c r="P70" s="40" t="s">
        <v>106</v>
      </c>
      <c r="R70" s="40" t="s">
        <v>106</v>
      </c>
      <c r="T70" s="40" t="s">
        <v>106</v>
      </c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2:20" ht="12.75">
      <c r="B71" s="2" t="s">
        <v>178</v>
      </c>
      <c r="D71" s="2" t="s">
        <v>44</v>
      </c>
      <c r="L71" s="2" t="s">
        <v>129</v>
      </c>
      <c r="T71" s="2" t="s">
        <v>129</v>
      </c>
    </row>
    <row r="72" spans="2:35" ht="12.75">
      <c r="B72" s="2" t="s">
        <v>42</v>
      </c>
      <c r="D72" s="2" t="s">
        <v>125</v>
      </c>
      <c r="F72" s="40">
        <v>1.058</v>
      </c>
      <c r="H72" s="40">
        <v>1.057</v>
      </c>
      <c r="J72" s="40">
        <v>1.063</v>
      </c>
      <c r="L72" s="2">
        <v>1.058</v>
      </c>
      <c r="N72" s="40">
        <v>0.9987</v>
      </c>
      <c r="P72" s="40">
        <v>0.9972</v>
      </c>
      <c r="Q72" s="40"/>
      <c r="R72" s="40">
        <v>0.9963</v>
      </c>
      <c r="T72" s="19">
        <v>0.9974</v>
      </c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2:35" ht="12.75">
      <c r="B73" s="2" t="s">
        <v>43</v>
      </c>
      <c r="D73" s="2" t="s">
        <v>47</v>
      </c>
      <c r="F73" s="40">
        <v>2967</v>
      </c>
      <c r="H73" s="40">
        <v>2981</v>
      </c>
      <c r="J73" s="40">
        <v>2829</v>
      </c>
      <c r="L73" s="2">
        <v>2926</v>
      </c>
      <c r="N73" s="40">
        <v>348</v>
      </c>
      <c r="P73" s="40">
        <v>374</v>
      </c>
      <c r="Q73" s="40"/>
      <c r="R73" s="40">
        <v>399</v>
      </c>
      <c r="T73" s="15">
        <v>373.6666666666667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2:35" ht="12.75">
      <c r="B74" s="2" t="s">
        <v>123</v>
      </c>
      <c r="D74" s="2" t="s">
        <v>96</v>
      </c>
      <c r="E74" s="3" t="s">
        <v>40</v>
      </c>
      <c r="F74" s="40">
        <v>120</v>
      </c>
      <c r="G74" s="3" t="s">
        <v>40</v>
      </c>
      <c r="H74" s="40">
        <v>120</v>
      </c>
      <c r="I74" s="3" t="s">
        <v>40</v>
      </c>
      <c r="J74" s="40">
        <v>120</v>
      </c>
      <c r="L74" s="16">
        <v>120</v>
      </c>
      <c r="M74" s="42" t="s">
        <v>40</v>
      </c>
      <c r="N74" s="43">
        <v>50</v>
      </c>
      <c r="O74" s="42" t="s">
        <v>40</v>
      </c>
      <c r="P74" s="43">
        <v>5</v>
      </c>
      <c r="Q74" s="43" t="s">
        <v>40</v>
      </c>
      <c r="R74" s="43">
        <v>5</v>
      </c>
      <c r="S74" s="42"/>
      <c r="T74" s="16">
        <v>20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2:35" ht="12.75">
      <c r="B75" s="2" t="s">
        <v>9</v>
      </c>
      <c r="D75" s="2" t="s">
        <v>124</v>
      </c>
      <c r="F75" s="40">
        <v>160</v>
      </c>
      <c r="H75" s="40">
        <v>160</v>
      </c>
      <c r="J75" s="40">
        <v>160</v>
      </c>
      <c r="L75" s="16">
        <v>147</v>
      </c>
      <c r="M75" s="42" t="s">
        <v>40</v>
      </c>
      <c r="N75" s="43">
        <v>13</v>
      </c>
      <c r="O75" s="42" t="s">
        <v>40</v>
      </c>
      <c r="P75" s="43">
        <v>13</v>
      </c>
      <c r="Q75" s="42" t="s">
        <v>40</v>
      </c>
      <c r="R75" s="43">
        <v>13</v>
      </c>
      <c r="S75" s="42"/>
      <c r="T75" s="16">
        <v>13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2:35" ht="12.75">
      <c r="B76" s="2" t="s">
        <v>45</v>
      </c>
      <c r="D76" s="2" t="s">
        <v>124</v>
      </c>
      <c r="E76" s="3" t="s">
        <v>40</v>
      </c>
      <c r="F76" s="40">
        <v>10</v>
      </c>
      <c r="G76" s="3" t="s">
        <v>40</v>
      </c>
      <c r="H76" s="40">
        <v>10</v>
      </c>
      <c r="I76" s="3" t="s">
        <v>40</v>
      </c>
      <c r="J76" s="40">
        <v>10</v>
      </c>
      <c r="L76" s="16">
        <v>10</v>
      </c>
      <c r="M76" s="42" t="s">
        <v>40</v>
      </c>
      <c r="N76" s="43">
        <v>10</v>
      </c>
      <c r="O76" s="42" t="s">
        <v>40</v>
      </c>
      <c r="P76" s="43">
        <v>10</v>
      </c>
      <c r="Q76" s="42" t="s">
        <v>40</v>
      </c>
      <c r="R76" s="43">
        <v>10</v>
      </c>
      <c r="S76" s="42"/>
      <c r="T76" s="16">
        <v>10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2:35" ht="12.75">
      <c r="B77" s="2" t="s">
        <v>85</v>
      </c>
      <c r="D77" s="2" t="s">
        <v>124</v>
      </c>
      <c r="E77" s="3" t="s">
        <v>40</v>
      </c>
      <c r="F77" s="40">
        <v>2</v>
      </c>
      <c r="G77" s="3" t="s">
        <v>40</v>
      </c>
      <c r="H77" s="40">
        <v>2</v>
      </c>
      <c r="I77" s="3" t="s">
        <v>40</v>
      </c>
      <c r="J77" s="40">
        <v>2</v>
      </c>
      <c r="L77" s="16">
        <v>2</v>
      </c>
      <c r="M77" s="42" t="s">
        <v>40</v>
      </c>
      <c r="N77" s="43">
        <v>2</v>
      </c>
      <c r="O77" s="42" t="s">
        <v>40</v>
      </c>
      <c r="P77" s="43">
        <v>2</v>
      </c>
      <c r="Q77" s="42" t="s">
        <v>40</v>
      </c>
      <c r="R77" s="43">
        <v>2</v>
      </c>
      <c r="S77" s="42"/>
      <c r="T77" s="16">
        <v>2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2:35" ht="12.75">
      <c r="B78" s="2" t="s">
        <v>86</v>
      </c>
      <c r="D78" s="2" t="s">
        <v>124</v>
      </c>
      <c r="E78" s="3" t="s">
        <v>40</v>
      </c>
      <c r="F78" s="40">
        <v>2</v>
      </c>
      <c r="G78" s="3" t="s">
        <v>40</v>
      </c>
      <c r="H78" s="40">
        <v>2</v>
      </c>
      <c r="I78" s="3" t="s">
        <v>40</v>
      </c>
      <c r="J78" s="40">
        <v>2</v>
      </c>
      <c r="L78" s="16">
        <v>2</v>
      </c>
      <c r="M78" s="42" t="s">
        <v>40</v>
      </c>
      <c r="N78" s="43">
        <v>2</v>
      </c>
      <c r="O78" s="42" t="s">
        <v>40</v>
      </c>
      <c r="P78" s="43">
        <v>2</v>
      </c>
      <c r="Q78" s="42" t="s">
        <v>40</v>
      </c>
      <c r="R78" s="43">
        <v>2</v>
      </c>
      <c r="S78" s="42"/>
      <c r="T78" s="16">
        <v>2</v>
      </c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2:35" ht="12.75">
      <c r="B79" s="2" t="s">
        <v>87</v>
      </c>
      <c r="D79" s="2" t="s">
        <v>124</v>
      </c>
      <c r="E79" s="3" t="s">
        <v>40</v>
      </c>
      <c r="F79" s="40">
        <v>40</v>
      </c>
      <c r="G79" s="3" t="s">
        <v>40</v>
      </c>
      <c r="H79" s="40">
        <v>40</v>
      </c>
      <c r="I79" s="3" t="s">
        <v>40</v>
      </c>
      <c r="J79" s="40">
        <v>40</v>
      </c>
      <c r="L79" s="16">
        <v>40</v>
      </c>
      <c r="M79" s="42" t="s">
        <v>40</v>
      </c>
      <c r="N79" s="43">
        <v>40</v>
      </c>
      <c r="O79" s="42" t="s">
        <v>40</v>
      </c>
      <c r="P79" s="43">
        <v>40</v>
      </c>
      <c r="Q79" s="42" t="s">
        <v>40</v>
      </c>
      <c r="R79" s="43">
        <v>40</v>
      </c>
      <c r="S79" s="42"/>
      <c r="T79" s="16">
        <v>40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2:35" ht="12.75">
      <c r="B80" s="2" t="s">
        <v>88</v>
      </c>
      <c r="D80" s="2" t="s">
        <v>124</v>
      </c>
      <c r="E80" s="3" t="s">
        <v>40</v>
      </c>
      <c r="F80" s="40">
        <v>1</v>
      </c>
      <c r="G80" s="3" t="s">
        <v>40</v>
      </c>
      <c r="H80" s="40">
        <v>1</v>
      </c>
      <c r="I80" s="3" t="s">
        <v>40</v>
      </c>
      <c r="J80" s="40">
        <v>1</v>
      </c>
      <c r="L80" s="16">
        <v>1</v>
      </c>
      <c r="M80" s="42" t="s">
        <v>40</v>
      </c>
      <c r="N80" s="43">
        <v>1</v>
      </c>
      <c r="O80" s="42" t="s">
        <v>40</v>
      </c>
      <c r="P80" s="43">
        <v>1</v>
      </c>
      <c r="Q80" s="42" t="s">
        <v>40</v>
      </c>
      <c r="R80" s="43">
        <v>1</v>
      </c>
      <c r="S80" s="42"/>
      <c r="T80" s="16">
        <v>1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2:35" ht="12.75">
      <c r="B81" s="2" t="s">
        <v>89</v>
      </c>
      <c r="D81" s="2" t="s">
        <v>124</v>
      </c>
      <c r="E81" s="3" t="s">
        <v>40</v>
      </c>
      <c r="F81" s="40">
        <v>0.4</v>
      </c>
      <c r="G81" s="3" t="s">
        <v>40</v>
      </c>
      <c r="H81" s="40">
        <v>0.4</v>
      </c>
      <c r="I81" s="3" t="s">
        <v>40</v>
      </c>
      <c r="J81" s="40">
        <v>0.4</v>
      </c>
      <c r="L81" s="16">
        <v>0.4</v>
      </c>
      <c r="M81" s="42" t="s">
        <v>40</v>
      </c>
      <c r="N81" s="43">
        <v>0.4</v>
      </c>
      <c r="O81" s="42" t="s">
        <v>40</v>
      </c>
      <c r="P81" s="43">
        <v>0.4</v>
      </c>
      <c r="Q81" s="42" t="s">
        <v>40</v>
      </c>
      <c r="R81" s="43">
        <v>0.4</v>
      </c>
      <c r="S81" s="42"/>
      <c r="T81" s="16">
        <v>0.4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2:35" ht="12.75">
      <c r="B82" s="2" t="s">
        <v>97</v>
      </c>
      <c r="D82" s="2" t="s">
        <v>124</v>
      </c>
      <c r="F82" s="40">
        <v>30.6</v>
      </c>
      <c r="H82" s="40">
        <v>28.2</v>
      </c>
      <c r="J82" s="40">
        <v>29.8</v>
      </c>
      <c r="L82" s="16">
        <v>29.5</v>
      </c>
      <c r="M82" s="42" t="s">
        <v>40</v>
      </c>
      <c r="N82" s="43">
        <v>1</v>
      </c>
      <c r="O82" s="42" t="s">
        <v>40</v>
      </c>
      <c r="P82" s="43">
        <v>1</v>
      </c>
      <c r="Q82" s="42" t="s">
        <v>40</v>
      </c>
      <c r="R82" s="43">
        <v>1</v>
      </c>
      <c r="S82" s="42"/>
      <c r="T82" s="16">
        <v>1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2:35" ht="12.75">
      <c r="B83" s="2" t="s">
        <v>90</v>
      </c>
      <c r="D83" s="2" t="s">
        <v>124</v>
      </c>
      <c r="E83" s="3" t="s">
        <v>40</v>
      </c>
      <c r="F83" s="40">
        <v>0.6</v>
      </c>
      <c r="G83" s="3" t="s">
        <v>40</v>
      </c>
      <c r="H83" s="40">
        <v>0.6</v>
      </c>
      <c r="I83" s="3" t="s">
        <v>40</v>
      </c>
      <c r="J83" s="40">
        <v>0.6</v>
      </c>
      <c r="L83" s="16">
        <v>0.6</v>
      </c>
      <c r="M83" s="42" t="s">
        <v>40</v>
      </c>
      <c r="N83" s="43">
        <v>0.6</v>
      </c>
      <c r="O83" s="42" t="s">
        <v>40</v>
      </c>
      <c r="P83" s="43">
        <v>0.6</v>
      </c>
      <c r="Q83" s="42" t="s">
        <v>40</v>
      </c>
      <c r="R83" s="43">
        <v>0.6</v>
      </c>
      <c r="S83" s="42"/>
      <c r="T83" s="16">
        <v>0.6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2:35" ht="12.75">
      <c r="B84" s="2" t="s">
        <v>91</v>
      </c>
      <c r="D84" s="2" t="s">
        <v>124</v>
      </c>
      <c r="E84" s="3" t="s">
        <v>40</v>
      </c>
      <c r="F84" s="40">
        <v>0.03</v>
      </c>
      <c r="G84" s="3" t="s">
        <v>40</v>
      </c>
      <c r="H84" s="40">
        <v>0.03</v>
      </c>
      <c r="I84" s="3" t="s">
        <v>40</v>
      </c>
      <c r="J84" s="40">
        <v>0.03</v>
      </c>
      <c r="L84" s="17">
        <v>0.03</v>
      </c>
      <c r="M84" s="42" t="s">
        <v>40</v>
      </c>
      <c r="N84" s="43">
        <v>0.03</v>
      </c>
      <c r="O84" s="42" t="s">
        <v>40</v>
      </c>
      <c r="P84" s="43">
        <v>0.03</v>
      </c>
      <c r="Q84" s="42" t="s">
        <v>40</v>
      </c>
      <c r="R84" s="43">
        <v>0.03</v>
      </c>
      <c r="S84" s="42"/>
      <c r="T84" s="17">
        <v>0.03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</row>
    <row r="85" spans="2:35" ht="12.75">
      <c r="B85" s="2" t="s">
        <v>92</v>
      </c>
      <c r="D85" s="2" t="s">
        <v>124</v>
      </c>
      <c r="E85" s="3" t="s">
        <v>40</v>
      </c>
      <c r="F85" s="40">
        <v>1</v>
      </c>
      <c r="G85" s="3" t="s">
        <v>40</v>
      </c>
      <c r="H85" s="40">
        <v>1</v>
      </c>
      <c r="I85" s="3" t="s">
        <v>40</v>
      </c>
      <c r="J85" s="40">
        <v>1</v>
      </c>
      <c r="L85" s="16">
        <v>1</v>
      </c>
      <c r="M85" s="42" t="s">
        <v>40</v>
      </c>
      <c r="N85" s="43">
        <v>1</v>
      </c>
      <c r="O85" s="42" t="s">
        <v>40</v>
      </c>
      <c r="P85" s="43">
        <v>1</v>
      </c>
      <c r="Q85" s="42" t="s">
        <v>40</v>
      </c>
      <c r="R85" s="43">
        <v>1</v>
      </c>
      <c r="S85" s="42"/>
      <c r="T85" s="16">
        <v>1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2:35" ht="14.25" customHeight="1">
      <c r="B86" s="2" t="s">
        <v>93</v>
      </c>
      <c r="D86" s="2" t="s">
        <v>124</v>
      </c>
      <c r="E86" s="3" t="s">
        <v>40</v>
      </c>
      <c r="F86" s="40">
        <v>2</v>
      </c>
      <c r="G86" s="3" t="s">
        <v>40</v>
      </c>
      <c r="H86" s="40">
        <v>2</v>
      </c>
      <c r="I86" s="3" t="s">
        <v>40</v>
      </c>
      <c r="J86" s="40">
        <v>2</v>
      </c>
      <c r="L86" s="16">
        <v>2</v>
      </c>
      <c r="M86" s="42" t="s">
        <v>40</v>
      </c>
      <c r="N86" s="43">
        <v>2</v>
      </c>
      <c r="O86" s="42" t="s">
        <v>40</v>
      </c>
      <c r="P86" s="43">
        <v>2</v>
      </c>
      <c r="Q86" s="42" t="s">
        <v>40</v>
      </c>
      <c r="R86" s="43">
        <v>2</v>
      </c>
      <c r="S86" s="42"/>
      <c r="T86" s="16">
        <v>2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8" spans="2:52" ht="12.75">
      <c r="B88" s="2" t="s">
        <v>46</v>
      </c>
      <c r="D88" s="2" t="s">
        <v>16</v>
      </c>
      <c r="F88" s="40">
        <f>emiss!G49</f>
        <v>59298</v>
      </c>
      <c r="H88" s="40">
        <f>emiss!I49</f>
        <v>60000</v>
      </c>
      <c r="J88" s="40">
        <f>emiss!K49</f>
        <v>59566</v>
      </c>
      <c r="L88" s="43">
        <f>emiss!M49</f>
        <v>59621.333333333336</v>
      </c>
      <c r="AZ88" s="16"/>
    </row>
    <row r="89" spans="2:52" ht="12.75">
      <c r="B89" s="2" t="s">
        <v>10</v>
      </c>
      <c r="D89" s="2" t="s">
        <v>17</v>
      </c>
      <c r="F89" s="40">
        <f>emiss!G50</f>
        <v>11.9</v>
      </c>
      <c r="H89" s="40">
        <f>emiss!I50</f>
        <v>11.5</v>
      </c>
      <c r="J89" s="40">
        <f>emiss!K50</f>
        <v>11.9</v>
      </c>
      <c r="L89" s="43">
        <f>emiss!M50</f>
        <v>11.766666666666666</v>
      </c>
      <c r="AZ89" s="16"/>
    </row>
    <row r="90" ht="12.75">
      <c r="AZ90" s="16"/>
    </row>
    <row r="91" spans="2:52" ht="12.75">
      <c r="B91" s="2" t="s">
        <v>133</v>
      </c>
      <c r="D91" s="2" t="s">
        <v>131</v>
      </c>
      <c r="F91" s="16"/>
      <c r="AZ91" s="16"/>
    </row>
    <row r="92" spans="2:52" ht="12.75">
      <c r="B92" s="2" t="s">
        <v>212</v>
      </c>
      <c r="D92" s="2" t="s">
        <v>131</v>
      </c>
      <c r="V92" s="15">
        <f>F88/150*(21-F89)/21</f>
        <v>171.30533333333332</v>
      </c>
      <c r="X92" s="15">
        <f>H88/150*(21-H89)/21</f>
        <v>180.95238095238096</v>
      </c>
      <c r="Z92" s="15">
        <f>J88/150*(21-J89)/21</f>
        <v>172.07955555555557</v>
      </c>
      <c r="AB92" s="15">
        <f>L88/150*(21-L89)/21</f>
        <v>174.7630617283951</v>
      </c>
      <c r="AZ92" s="16"/>
    </row>
    <row r="93" spans="2:52" ht="12.75">
      <c r="B93" s="2" t="s">
        <v>130</v>
      </c>
      <c r="AZ93" s="16"/>
    </row>
    <row r="97" spans="1:35" ht="12.75">
      <c r="A97" s="2" t="s">
        <v>177</v>
      </c>
      <c r="B97" s="1" t="s">
        <v>105</v>
      </c>
      <c r="C97" s="1"/>
      <c r="F97" s="3" t="s">
        <v>185</v>
      </c>
      <c r="H97" s="3" t="s">
        <v>186</v>
      </c>
      <c r="J97" s="3" t="s">
        <v>187</v>
      </c>
      <c r="L97" s="2" t="s">
        <v>35</v>
      </c>
      <c r="N97" s="3" t="s">
        <v>185</v>
      </c>
      <c r="P97" s="3" t="s">
        <v>186</v>
      </c>
      <c r="R97" s="3" t="s">
        <v>187</v>
      </c>
      <c r="T97" s="2" t="s">
        <v>35</v>
      </c>
      <c r="V97" s="3" t="s">
        <v>185</v>
      </c>
      <c r="W97" s="3"/>
      <c r="X97" s="3" t="s">
        <v>186</v>
      </c>
      <c r="Y97" s="3"/>
      <c r="Z97" s="3" t="s">
        <v>187</v>
      </c>
      <c r="AA97" s="3"/>
      <c r="AB97" s="2" t="s">
        <v>35</v>
      </c>
      <c r="AC97" s="3"/>
      <c r="AD97" s="3"/>
      <c r="AE97" s="3"/>
      <c r="AF97" s="3"/>
      <c r="AG97" s="3"/>
      <c r="AH97" s="3"/>
      <c r="AI97" s="3"/>
    </row>
    <row r="99" spans="2:28" ht="12.75">
      <c r="B99" s="7" t="s">
        <v>203</v>
      </c>
      <c r="C99" s="7"/>
      <c r="D99" s="7"/>
      <c r="E99" s="5"/>
      <c r="F99" s="5" t="s">
        <v>205</v>
      </c>
      <c r="G99" s="5"/>
      <c r="H99" s="5" t="s">
        <v>205</v>
      </c>
      <c r="I99" s="5"/>
      <c r="J99" s="5" t="s">
        <v>205</v>
      </c>
      <c r="K99" s="5"/>
      <c r="L99" s="5" t="s">
        <v>205</v>
      </c>
      <c r="M99" s="5"/>
      <c r="N99" s="5" t="s">
        <v>207</v>
      </c>
      <c r="O99" s="5"/>
      <c r="P99" s="5" t="s">
        <v>207</v>
      </c>
      <c r="Q99" s="5"/>
      <c r="R99" s="5" t="s">
        <v>207</v>
      </c>
      <c r="S99" s="5"/>
      <c r="T99" s="5" t="s">
        <v>207</v>
      </c>
      <c r="U99" s="5"/>
      <c r="V99" s="5"/>
      <c r="W99" s="5"/>
      <c r="X99" s="5"/>
      <c r="Y99" s="5"/>
      <c r="Z99" s="5"/>
      <c r="AA99" s="5"/>
      <c r="AB99" s="5"/>
    </row>
    <row r="100" spans="2:28" ht="12.75">
      <c r="B100" s="7" t="s">
        <v>204</v>
      </c>
      <c r="C100" s="7"/>
      <c r="D100" s="7"/>
      <c r="E100" s="5"/>
      <c r="F100" s="5" t="s">
        <v>206</v>
      </c>
      <c r="G100" s="5"/>
      <c r="H100" s="5" t="s">
        <v>206</v>
      </c>
      <c r="I100" s="5"/>
      <c r="J100" s="5" t="s">
        <v>206</v>
      </c>
      <c r="K100" s="5"/>
      <c r="L100" s="5" t="s">
        <v>206</v>
      </c>
      <c r="M100" s="5"/>
      <c r="N100" s="5" t="s">
        <v>206</v>
      </c>
      <c r="O100" s="5"/>
      <c r="P100" s="5" t="s">
        <v>206</v>
      </c>
      <c r="Q100" s="5"/>
      <c r="R100" s="5" t="s">
        <v>206</v>
      </c>
      <c r="S100" s="5"/>
      <c r="T100" s="5" t="s">
        <v>206</v>
      </c>
      <c r="U100" s="5"/>
      <c r="V100" s="5"/>
      <c r="W100" s="5"/>
      <c r="X100" s="5"/>
      <c r="Y100" s="5"/>
      <c r="Z100" s="5"/>
      <c r="AA100" s="5"/>
      <c r="AB100" s="5"/>
    </row>
    <row r="101" spans="2:28" ht="12.75">
      <c r="B101" s="7" t="s">
        <v>211</v>
      </c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 t="s">
        <v>1</v>
      </c>
      <c r="W101" s="5"/>
      <c r="X101" s="5" t="s">
        <v>1</v>
      </c>
      <c r="Y101" s="5"/>
      <c r="Z101" s="5" t="s">
        <v>1</v>
      </c>
      <c r="AA101" s="5"/>
      <c r="AB101" s="5" t="s">
        <v>1</v>
      </c>
    </row>
    <row r="102" spans="2:35" ht="12.75">
      <c r="B102" s="2" t="s">
        <v>179</v>
      </c>
      <c r="F102" s="40" t="s">
        <v>182</v>
      </c>
      <c r="H102" s="40" t="s">
        <v>182</v>
      </c>
      <c r="J102" s="40" t="s">
        <v>182</v>
      </c>
      <c r="L102" s="40" t="s">
        <v>182</v>
      </c>
      <c r="N102" s="40" t="s">
        <v>106</v>
      </c>
      <c r="P102" s="40" t="s">
        <v>106</v>
      </c>
      <c r="R102" s="40" t="s">
        <v>106</v>
      </c>
      <c r="T102" s="40" t="s">
        <v>106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</row>
    <row r="103" spans="2:20" ht="12.75">
      <c r="B103" s="2" t="s">
        <v>178</v>
      </c>
      <c r="D103" s="2" t="s">
        <v>44</v>
      </c>
      <c r="L103" s="2" t="s">
        <v>129</v>
      </c>
      <c r="N103" s="40"/>
      <c r="O103" s="40"/>
      <c r="P103" s="40"/>
      <c r="Q103" s="40"/>
      <c r="R103" s="40"/>
      <c r="T103" s="2" t="s">
        <v>129</v>
      </c>
    </row>
    <row r="104" spans="2:20" ht="12.75">
      <c r="B104" s="2" t="s">
        <v>42</v>
      </c>
      <c r="D104" s="2" t="s">
        <v>125</v>
      </c>
      <c r="F104" s="40">
        <v>1.08</v>
      </c>
      <c r="G104" s="40"/>
      <c r="H104" s="40">
        <v>1.075</v>
      </c>
      <c r="I104" s="40"/>
      <c r="J104" s="40">
        <v>1.079</v>
      </c>
      <c r="L104" s="2">
        <v>1.078</v>
      </c>
      <c r="N104" s="40">
        <v>0.9788</v>
      </c>
      <c r="O104" s="40"/>
      <c r="P104" s="40">
        <v>0.994</v>
      </c>
      <c r="Q104" s="40"/>
      <c r="R104" s="40">
        <v>0.9946</v>
      </c>
      <c r="T104" s="2">
        <v>0.9891</v>
      </c>
    </row>
    <row r="105" spans="2:20" ht="12.75">
      <c r="B105" s="2" t="s">
        <v>43</v>
      </c>
      <c r="D105" s="2" t="s">
        <v>47</v>
      </c>
      <c r="F105" s="40">
        <v>8703</v>
      </c>
      <c r="G105" s="40"/>
      <c r="H105" s="40">
        <v>8732</v>
      </c>
      <c r="I105" s="40"/>
      <c r="J105" s="40">
        <v>8717</v>
      </c>
      <c r="L105" s="2">
        <v>8717</v>
      </c>
      <c r="N105" s="40">
        <v>4046</v>
      </c>
      <c r="O105" s="40"/>
      <c r="P105" s="40">
        <v>936</v>
      </c>
      <c r="Q105" s="40"/>
      <c r="R105" s="40">
        <v>923</v>
      </c>
      <c r="T105" s="2">
        <v>1968</v>
      </c>
    </row>
    <row r="106" spans="2:35" ht="12.75">
      <c r="B106" s="2" t="s">
        <v>45</v>
      </c>
      <c r="D106" s="2" t="s">
        <v>124</v>
      </c>
      <c r="E106" s="3" t="s">
        <v>40</v>
      </c>
      <c r="F106" s="40">
        <v>15</v>
      </c>
      <c r="G106" s="40"/>
      <c r="H106" s="40">
        <v>14</v>
      </c>
      <c r="I106" s="40"/>
      <c r="J106" s="40">
        <v>13</v>
      </c>
      <c r="L106" s="40">
        <v>14</v>
      </c>
      <c r="M106" s="3" t="s">
        <v>40</v>
      </c>
      <c r="N106" s="40">
        <v>23</v>
      </c>
      <c r="O106" s="40"/>
      <c r="P106" s="40">
        <v>54</v>
      </c>
      <c r="Q106" s="40"/>
      <c r="R106" s="40">
        <v>66</v>
      </c>
      <c r="T106" s="40">
        <v>48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</row>
    <row r="107" spans="2:20" ht="12.75">
      <c r="B107" s="2" t="s">
        <v>9</v>
      </c>
      <c r="D107" s="2" t="s">
        <v>17</v>
      </c>
      <c r="F107" s="40">
        <v>0.021</v>
      </c>
      <c r="G107" s="40"/>
      <c r="H107" s="40">
        <v>0.019</v>
      </c>
      <c r="I107" s="40"/>
      <c r="J107" s="40">
        <v>0.02</v>
      </c>
      <c r="L107" s="2">
        <v>0.02</v>
      </c>
      <c r="M107" s="3" t="s">
        <v>40</v>
      </c>
      <c r="N107" s="40">
        <v>0.0015</v>
      </c>
      <c r="O107" s="40" t="s">
        <v>40</v>
      </c>
      <c r="P107" s="40">
        <v>0.0014</v>
      </c>
      <c r="Q107" s="40"/>
      <c r="R107" s="40">
        <v>0.0017</v>
      </c>
      <c r="T107" s="2">
        <v>0.0015</v>
      </c>
    </row>
    <row r="108" spans="2:35" ht="12.75">
      <c r="B108" s="2" t="s">
        <v>85</v>
      </c>
      <c r="D108" s="2" t="s">
        <v>124</v>
      </c>
      <c r="E108" s="3" t="s">
        <v>40</v>
      </c>
      <c r="F108" s="40">
        <v>2</v>
      </c>
      <c r="G108" s="3" t="s">
        <v>40</v>
      </c>
      <c r="H108" s="40">
        <v>2</v>
      </c>
      <c r="I108" s="3" t="s">
        <v>40</v>
      </c>
      <c r="J108" s="40">
        <v>2</v>
      </c>
      <c r="L108" s="16">
        <v>2</v>
      </c>
      <c r="M108" s="43" t="s">
        <v>40</v>
      </c>
      <c r="N108" s="43">
        <v>2</v>
      </c>
      <c r="O108" s="43" t="s">
        <v>40</v>
      </c>
      <c r="P108" s="43">
        <v>2</v>
      </c>
      <c r="Q108" s="43" t="s">
        <v>40</v>
      </c>
      <c r="R108" s="43">
        <v>2</v>
      </c>
      <c r="S108" s="42"/>
      <c r="T108" s="16">
        <v>2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2:35" ht="12.75">
      <c r="B109" s="2" t="s">
        <v>86</v>
      </c>
      <c r="D109" s="2" t="s">
        <v>124</v>
      </c>
      <c r="E109" s="3" t="s">
        <v>40</v>
      </c>
      <c r="F109" s="40">
        <v>2</v>
      </c>
      <c r="G109" s="3" t="s">
        <v>40</v>
      </c>
      <c r="H109" s="40">
        <v>2</v>
      </c>
      <c r="I109" s="3" t="s">
        <v>40</v>
      </c>
      <c r="J109" s="40">
        <v>2</v>
      </c>
      <c r="L109" s="16">
        <v>2</v>
      </c>
      <c r="M109" s="43" t="s">
        <v>40</v>
      </c>
      <c r="N109" s="43">
        <v>2</v>
      </c>
      <c r="O109" s="43" t="s">
        <v>40</v>
      </c>
      <c r="P109" s="43">
        <v>2</v>
      </c>
      <c r="Q109" s="43" t="s">
        <v>40</v>
      </c>
      <c r="R109" s="43">
        <v>2</v>
      </c>
      <c r="S109" s="42"/>
      <c r="T109" s="16">
        <v>2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2:35" ht="12.75">
      <c r="B110" s="2" t="s">
        <v>87</v>
      </c>
      <c r="D110" s="2" t="s">
        <v>124</v>
      </c>
      <c r="E110" s="3" t="s">
        <v>40</v>
      </c>
      <c r="F110" s="40">
        <v>40</v>
      </c>
      <c r="G110" s="3" t="s">
        <v>40</v>
      </c>
      <c r="H110" s="40">
        <v>40</v>
      </c>
      <c r="I110" s="3" t="s">
        <v>40</v>
      </c>
      <c r="J110" s="40">
        <v>40</v>
      </c>
      <c r="L110" s="16">
        <v>40</v>
      </c>
      <c r="M110" s="43" t="s">
        <v>40</v>
      </c>
      <c r="N110" s="43">
        <v>40</v>
      </c>
      <c r="O110" s="43" t="s">
        <v>40</v>
      </c>
      <c r="P110" s="43">
        <v>40</v>
      </c>
      <c r="Q110" s="43" t="s">
        <v>40</v>
      </c>
      <c r="R110" s="43">
        <v>40</v>
      </c>
      <c r="S110" s="42"/>
      <c r="T110" s="16">
        <v>40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2:35" ht="12.75">
      <c r="B111" s="2" t="s">
        <v>88</v>
      </c>
      <c r="D111" s="2" t="s">
        <v>124</v>
      </c>
      <c r="E111" s="3" t="s">
        <v>40</v>
      </c>
      <c r="F111" s="40">
        <v>1</v>
      </c>
      <c r="G111" s="3" t="s">
        <v>40</v>
      </c>
      <c r="H111" s="40">
        <v>1</v>
      </c>
      <c r="I111" s="3" t="s">
        <v>40</v>
      </c>
      <c r="J111" s="40">
        <v>1</v>
      </c>
      <c r="L111" s="16">
        <v>1</v>
      </c>
      <c r="M111" s="43" t="s">
        <v>40</v>
      </c>
      <c r="N111" s="43">
        <v>1</v>
      </c>
      <c r="O111" s="43" t="s">
        <v>40</v>
      </c>
      <c r="P111" s="43">
        <v>1</v>
      </c>
      <c r="Q111" s="43" t="s">
        <v>40</v>
      </c>
      <c r="R111" s="43">
        <v>1</v>
      </c>
      <c r="S111" s="42"/>
      <c r="T111" s="16">
        <v>1</v>
      </c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2:35" ht="12.75">
      <c r="B112" s="2" t="s">
        <v>89</v>
      </c>
      <c r="D112" s="2" t="s">
        <v>124</v>
      </c>
      <c r="E112" s="3" t="s">
        <v>40</v>
      </c>
      <c r="F112" s="40">
        <v>0.4</v>
      </c>
      <c r="G112" s="3" t="s">
        <v>40</v>
      </c>
      <c r="H112" s="40">
        <v>0.4</v>
      </c>
      <c r="I112" s="3" t="s">
        <v>40</v>
      </c>
      <c r="J112" s="40">
        <v>0.4</v>
      </c>
      <c r="L112" s="17">
        <v>0.4</v>
      </c>
      <c r="M112" s="43" t="s">
        <v>40</v>
      </c>
      <c r="N112" s="43">
        <v>0.4</v>
      </c>
      <c r="O112" s="43" t="s">
        <v>40</v>
      </c>
      <c r="P112" s="43">
        <v>0.4</v>
      </c>
      <c r="Q112" s="43" t="s">
        <v>40</v>
      </c>
      <c r="R112" s="43">
        <v>0.4</v>
      </c>
      <c r="S112" s="42"/>
      <c r="T112" s="17">
        <v>0.4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2:35" ht="12.75">
      <c r="B113" s="2" t="s">
        <v>97</v>
      </c>
      <c r="D113" s="2" t="s">
        <v>124</v>
      </c>
      <c r="F113" s="40">
        <v>45.2</v>
      </c>
      <c r="H113" s="40">
        <v>45</v>
      </c>
      <c r="J113" s="40">
        <v>45.2</v>
      </c>
      <c r="L113" s="16">
        <v>44.7</v>
      </c>
      <c r="M113" s="43" t="s">
        <v>40</v>
      </c>
      <c r="N113" s="43">
        <v>1</v>
      </c>
      <c r="O113" s="43" t="s">
        <v>40</v>
      </c>
      <c r="P113" s="43">
        <v>1</v>
      </c>
      <c r="Q113" s="43" t="s">
        <v>40</v>
      </c>
      <c r="R113" s="43">
        <v>1</v>
      </c>
      <c r="S113" s="42"/>
      <c r="T113" s="16">
        <v>1</v>
      </c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2.75">
      <c r="B114" s="2" t="s">
        <v>90</v>
      </c>
      <c r="D114" s="2" t="s">
        <v>124</v>
      </c>
      <c r="E114" s="3" t="s">
        <v>40</v>
      </c>
      <c r="F114" s="40">
        <v>0.6</v>
      </c>
      <c r="G114" s="3" t="s">
        <v>40</v>
      </c>
      <c r="H114" s="40">
        <v>0.6</v>
      </c>
      <c r="I114" s="3" t="s">
        <v>40</v>
      </c>
      <c r="J114" s="40">
        <v>0.6</v>
      </c>
      <c r="L114" s="17">
        <v>0.6180000000000001</v>
      </c>
      <c r="M114" s="43" t="s">
        <v>40</v>
      </c>
      <c r="N114" s="43">
        <v>0.69</v>
      </c>
      <c r="O114" s="43" t="s">
        <v>40</v>
      </c>
      <c r="P114" s="43">
        <v>0.6</v>
      </c>
      <c r="Q114" s="43" t="s">
        <v>40</v>
      </c>
      <c r="R114" s="43">
        <v>0.6</v>
      </c>
      <c r="S114" s="42"/>
      <c r="T114" s="17">
        <v>0.63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2:35" ht="12.75">
      <c r="B115" s="2" t="s">
        <v>91</v>
      </c>
      <c r="D115" s="2" t="s">
        <v>124</v>
      </c>
      <c r="E115" s="3" t="s">
        <v>40</v>
      </c>
      <c r="F115" s="40">
        <v>0.033</v>
      </c>
      <c r="G115" s="3" t="s">
        <v>40</v>
      </c>
      <c r="H115" s="40">
        <v>0.033</v>
      </c>
      <c r="I115" s="3" t="s">
        <v>40</v>
      </c>
      <c r="J115" s="40">
        <v>0.033</v>
      </c>
      <c r="L115" s="19">
        <v>0.033</v>
      </c>
      <c r="M115" s="43" t="s">
        <v>40</v>
      </c>
      <c r="N115" s="43">
        <v>0.033</v>
      </c>
      <c r="O115" s="43" t="s">
        <v>40</v>
      </c>
      <c r="P115" s="43">
        <v>0.033</v>
      </c>
      <c r="Q115" s="43" t="s">
        <v>40</v>
      </c>
      <c r="R115" s="43">
        <v>0.033</v>
      </c>
      <c r="S115" s="42"/>
      <c r="T115" s="19">
        <v>0.033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2:35" ht="12.75">
      <c r="B116" s="2" t="s">
        <v>98</v>
      </c>
      <c r="D116" s="2" t="s">
        <v>124</v>
      </c>
      <c r="E116" s="3" t="s">
        <v>40</v>
      </c>
      <c r="F116" s="40">
        <v>8</v>
      </c>
      <c r="G116" s="3" t="s">
        <v>40</v>
      </c>
      <c r="H116" s="40">
        <v>8</v>
      </c>
      <c r="I116" s="3" t="s">
        <v>40</v>
      </c>
      <c r="J116" s="40">
        <v>8</v>
      </c>
      <c r="L116" s="16">
        <v>8</v>
      </c>
      <c r="M116" s="43" t="s">
        <v>40</v>
      </c>
      <c r="N116" s="43">
        <v>8</v>
      </c>
      <c r="O116" s="43" t="s">
        <v>40</v>
      </c>
      <c r="P116" s="43">
        <v>8</v>
      </c>
      <c r="Q116" s="43" t="s">
        <v>40</v>
      </c>
      <c r="R116" s="43">
        <v>8</v>
      </c>
      <c r="S116" s="42"/>
      <c r="T116" s="16">
        <v>8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2:35" ht="12.75">
      <c r="B117" s="2" t="s">
        <v>99</v>
      </c>
      <c r="D117" s="2" t="s">
        <v>124</v>
      </c>
      <c r="F117" s="40">
        <v>2.6</v>
      </c>
      <c r="H117" s="40">
        <v>1.9</v>
      </c>
      <c r="J117" s="40">
        <v>1.9</v>
      </c>
      <c r="L117" s="16">
        <v>2.1</v>
      </c>
      <c r="M117" s="43"/>
      <c r="N117" s="43">
        <v>1.1</v>
      </c>
      <c r="O117" s="43" t="s">
        <v>40</v>
      </c>
      <c r="P117" s="43">
        <v>1</v>
      </c>
      <c r="Q117" s="43" t="s">
        <v>40</v>
      </c>
      <c r="R117" s="43">
        <v>1.2</v>
      </c>
      <c r="S117" s="42"/>
      <c r="T117" s="16">
        <v>1.1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2:35" ht="12.75">
      <c r="B118" s="2" t="s">
        <v>92</v>
      </c>
      <c r="D118" s="2" t="s">
        <v>124</v>
      </c>
      <c r="E118" s="3" t="s">
        <v>40</v>
      </c>
      <c r="F118" s="40">
        <v>1</v>
      </c>
      <c r="G118" s="3" t="s">
        <v>40</v>
      </c>
      <c r="H118" s="40">
        <v>1</v>
      </c>
      <c r="I118" s="3" t="s">
        <v>40</v>
      </c>
      <c r="J118" s="40">
        <v>1</v>
      </c>
      <c r="L118" s="16">
        <v>1</v>
      </c>
      <c r="M118" s="43" t="s">
        <v>40</v>
      </c>
      <c r="N118" s="43">
        <v>1</v>
      </c>
      <c r="O118" s="43" t="s">
        <v>40</v>
      </c>
      <c r="P118" s="43">
        <v>1</v>
      </c>
      <c r="Q118" s="43" t="s">
        <v>40</v>
      </c>
      <c r="R118" s="43">
        <v>1</v>
      </c>
      <c r="S118" s="42"/>
      <c r="T118" s="16">
        <v>1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2:35" ht="12.75">
      <c r="B119" s="2" t="s">
        <v>93</v>
      </c>
      <c r="D119" s="2" t="s">
        <v>124</v>
      </c>
      <c r="E119" s="3" t="s">
        <v>40</v>
      </c>
      <c r="F119" s="40">
        <v>2</v>
      </c>
      <c r="G119" s="3" t="s">
        <v>40</v>
      </c>
      <c r="H119" s="40">
        <v>2</v>
      </c>
      <c r="I119" s="3" t="s">
        <v>40</v>
      </c>
      <c r="J119" s="40">
        <v>2</v>
      </c>
      <c r="L119" s="16">
        <v>2</v>
      </c>
      <c r="M119" s="43" t="s">
        <v>40</v>
      </c>
      <c r="N119" s="43">
        <v>2</v>
      </c>
      <c r="O119" s="43" t="s">
        <v>40</v>
      </c>
      <c r="P119" s="43">
        <v>2</v>
      </c>
      <c r="Q119" s="43" t="s">
        <v>40</v>
      </c>
      <c r="R119" s="43">
        <v>2</v>
      </c>
      <c r="S119" s="42"/>
      <c r="T119" s="16">
        <v>2</v>
      </c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2:35" ht="12.75">
      <c r="B120" s="2" t="s">
        <v>100</v>
      </c>
      <c r="D120" s="2" t="s">
        <v>124</v>
      </c>
      <c r="E120" s="3" t="s">
        <v>40</v>
      </c>
      <c r="F120" s="40">
        <v>4</v>
      </c>
      <c r="G120" s="3" t="s">
        <v>40</v>
      </c>
      <c r="H120" s="40">
        <v>4.7</v>
      </c>
      <c r="I120" s="3" t="s">
        <v>40</v>
      </c>
      <c r="J120" s="40">
        <v>4</v>
      </c>
      <c r="L120" s="16">
        <v>4.36</v>
      </c>
      <c r="M120" s="43" t="s">
        <v>40</v>
      </c>
      <c r="N120" s="43">
        <v>4.9</v>
      </c>
      <c r="O120" s="43" t="s">
        <v>40</v>
      </c>
      <c r="P120" s="43">
        <v>4.2</v>
      </c>
      <c r="Q120" s="43" t="s">
        <v>40</v>
      </c>
      <c r="R120" s="43">
        <v>4</v>
      </c>
      <c r="S120" s="42"/>
      <c r="T120" s="16">
        <v>4.366666666666667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2" spans="2:12" ht="12.75">
      <c r="B122" s="2" t="s">
        <v>46</v>
      </c>
      <c r="D122" s="2" t="s">
        <v>16</v>
      </c>
      <c r="F122" s="40">
        <f>emiss!G77</f>
        <v>59027</v>
      </c>
      <c r="H122" s="40">
        <f>emiss!I77</f>
        <v>60347</v>
      </c>
      <c r="J122" s="40">
        <f>emiss!K77</f>
        <v>61296</v>
      </c>
      <c r="L122" s="57">
        <f>emiss!M77</f>
        <v>60223.333333333336</v>
      </c>
    </row>
    <row r="123" spans="2:12" ht="12.75">
      <c r="B123" s="2" t="s">
        <v>10</v>
      </c>
      <c r="D123" s="2" t="s">
        <v>17</v>
      </c>
      <c r="F123" s="40">
        <f>emiss!G78</f>
        <v>12.4</v>
      </c>
      <c r="H123" s="40">
        <f>emiss!I78</f>
        <v>12.3</v>
      </c>
      <c r="J123" s="40">
        <f>emiss!K78</f>
        <v>13</v>
      </c>
      <c r="L123" s="57">
        <f>emiss!M78</f>
        <v>12.566666666666668</v>
      </c>
    </row>
    <row r="125" spans="2:28" ht="12.75">
      <c r="B125" s="2" t="s">
        <v>212</v>
      </c>
      <c r="D125" s="2" t="s">
        <v>131</v>
      </c>
      <c r="F125" s="2"/>
      <c r="V125" s="43">
        <f>F122/150*(21-F123)/21</f>
        <v>161.15307936507935</v>
      </c>
      <c r="X125" s="43">
        <f>H122/150*(21-H123)/21</f>
        <v>166.67266666666666</v>
      </c>
      <c r="Z125" s="43">
        <f>J122/150*(21-J123)/21</f>
        <v>155.67238095238093</v>
      </c>
      <c r="AB125" s="43">
        <f>L122/150*(21-L123)/21</f>
        <v>161.2328395061728</v>
      </c>
    </row>
    <row r="126" ht="12.75">
      <c r="B126" s="2" t="s">
        <v>130</v>
      </c>
    </row>
  </sheetData>
  <mergeCells count="1">
    <mergeCell ref="L66:T66"/>
  </mergeCells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4"/>
  <sheetViews>
    <sheetView workbookViewId="0" topLeftCell="A1">
      <selection activeCell="B29" sqref="B29"/>
    </sheetView>
  </sheetViews>
  <sheetFormatPr defaultColWidth="9.140625" defaultRowHeight="12.75"/>
  <cols>
    <col min="1" max="1" width="27.57421875" style="2" customWidth="1"/>
    <col min="2" max="2" width="7.00390625" style="2" customWidth="1"/>
    <col min="3" max="3" width="10.28125" style="2" customWidth="1"/>
    <col min="4" max="4" width="9.140625" style="2" customWidth="1"/>
    <col min="5" max="5" width="10.00390625" style="2" customWidth="1"/>
    <col min="6" max="6" width="8.8515625" style="2" customWidth="1"/>
    <col min="7" max="16384" width="11.421875" style="2" customWidth="1"/>
  </cols>
  <sheetData>
    <row r="1" ht="12.75">
      <c r="A1" s="1" t="s">
        <v>48</v>
      </c>
    </row>
    <row r="3" spans="2:6" ht="12.75">
      <c r="B3" s="2" t="s">
        <v>33</v>
      </c>
      <c r="C3" s="3" t="s">
        <v>34</v>
      </c>
      <c r="D3" s="3" t="s">
        <v>34</v>
      </c>
      <c r="E3" s="3" t="s">
        <v>34</v>
      </c>
      <c r="F3" s="3" t="s">
        <v>49</v>
      </c>
    </row>
    <row r="4" spans="3:6" ht="12.75">
      <c r="C4" s="3">
        <v>1</v>
      </c>
      <c r="D4" s="3">
        <v>2</v>
      </c>
      <c r="E4" s="3">
        <v>3</v>
      </c>
      <c r="F4" s="3"/>
    </row>
    <row r="5" spans="3:6" ht="12.75">
      <c r="C5" s="3"/>
      <c r="D5" s="3"/>
      <c r="E5" s="3"/>
      <c r="F5" s="3"/>
    </row>
    <row r="6" spans="1:6" ht="12.75">
      <c r="A6" s="1" t="s">
        <v>102</v>
      </c>
      <c r="C6" s="3"/>
      <c r="D6" s="3"/>
      <c r="E6" s="3"/>
      <c r="F6" s="3"/>
    </row>
    <row r="7" spans="1:6" ht="12.75">
      <c r="A7" s="1"/>
      <c r="C7" s="3"/>
      <c r="D7" s="3"/>
      <c r="E7" s="3"/>
      <c r="F7" s="3"/>
    </row>
    <row r="8" spans="1:6" ht="12.75">
      <c r="A8" s="2" t="s">
        <v>142</v>
      </c>
      <c r="B8" s="2" t="s">
        <v>18</v>
      </c>
      <c r="C8" s="2">
        <v>703</v>
      </c>
      <c r="D8" s="2">
        <v>715</v>
      </c>
      <c r="E8" s="2">
        <v>717</v>
      </c>
      <c r="F8" s="15">
        <f>AVERAGE(C8:E8)</f>
        <v>711.6666666666666</v>
      </c>
    </row>
    <row r="9" spans="1:6" ht="12.75">
      <c r="A9" s="2" t="s">
        <v>143</v>
      </c>
      <c r="B9" s="2" t="s">
        <v>135</v>
      </c>
      <c r="C9" s="15">
        <f>192500000/1000000</f>
        <v>192.5</v>
      </c>
      <c r="D9" s="15">
        <f>192000000/1000000</f>
        <v>192</v>
      </c>
      <c r="E9" s="15">
        <f>196000000/1000000</f>
        <v>196</v>
      </c>
      <c r="F9" s="15">
        <f>AVERAGE(C9:E9)</f>
        <v>193.5</v>
      </c>
    </row>
    <row r="11" ht="12.75">
      <c r="A11" s="1" t="s">
        <v>103</v>
      </c>
    </row>
    <row r="12" ht="12.75">
      <c r="A12" s="1"/>
    </row>
    <row r="13" spans="1:6" ht="12.75">
      <c r="A13" s="2" t="s">
        <v>142</v>
      </c>
      <c r="B13" s="2" t="s">
        <v>18</v>
      </c>
      <c r="C13" s="2">
        <v>572</v>
      </c>
      <c r="D13" s="2">
        <v>569</v>
      </c>
      <c r="E13" s="2">
        <v>562</v>
      </c>
      <c r="F13" s="15">
        <f>AVERAGE(C13:E13)</f>
        <v>567.6666666666666</v>
      </c>
    </row>
    <row r="14" ht="12.75">
      <c r="A14" s="2" t="s">
        <v>143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56"/>
  <sheetViews>
    <sheetView workbookViewId="0" topLeftCell="A1">
      <selection activeCell="B28" sqref="B28"/>
    </sheetView>
  </sheetViews>
  <sheetFormatPr defaultColWidth="9.140625" defaultRowHeight="12.75"/>
  <cols>
    <col min="1" max="1" width="1.421875" style="26" customWidth="1"/>
    <col min="2" max="2" width="25.8515625" style="26" customWidth="1"/>
    <col min="3" max="3" width="7.8515625" style="26" customWidth="1"/>
    <col min="4" max="4" width="5.00390625" style="26" customWidth="1"/>
    <col min="5" max="5" width="7.421875" style="27" customWidth="1"/>
    <col min="6" max="6" width="8.140625" style="28" customWidth="1"/>
    <col min="7" max="7" width="7.8515625" style="27" customWidth="1"/>
    <col min="8" max="8" width="8.140625" style="28" customWidth="1"/>
    <col min="9" max="9" width="5.421875" style="27" customWidth="1"/>
    <col min="10" max="10" width="7.00390625" style="27" customWidth="1"/>
    <col min="11" max="11" width="8.7109375" style="27" customWidth="1"/>
    <col min="12" max="12" width="7.8515625" style="27" customWidth="1"/>
    <col min="13" max="13" width="8.7109375" style="27" customWidth="1"/>
    <col min="14" max="14" width="6.28125" style="27" customWidth="1"/>
    <col min="15" max="15" width="7.8515625" style="27" customWidth="1"/>
    <col min="16" max="16" width="10.00390625" style="27" customWidth="1"/>
    <col min="17" max="17" width="8.7109375" style="27" customWidth="1"/>
    <col min="18" max="18" width="10.00390625" style="27" customWidth="1"/>
    <col min="19" max="19" width="7.7109375" style="26" customWidth="1"/>
    <col min="20" max="20" width="7.8515625" style="26" customWidth="1"/>
    <col min="21" max="21" width="7.7109375" style="26" customWidth="1"/>
    <col min="22" max="22" width="7.00390625" style="26" customWidth="1"/>
    <col min="23" max="23" width="7.421875" style="26" customWidth="1"/>
    <col min="24" max="16384" width="10.8515625" style="26" customWidth="1"/>
  </cols>
  <sheetData>
    <row r="1" ht="12.75">
      <c r="A1" s="25" t="s">
        <v>126</v>
      </c>
    </row>
    <row r="2" ht="12.75">
      <c r="A2" s="26" t="s">
        <v>222</v>
      </c>
    </row>
    <row r="3" spans="1:3" ht="12.75">
      <c r="A3" s="26" t="s">
        <v>214</v>
      </c>
      <c r="C3" s="58" t="s">
        <v>215</v>
      </c>
    </row>
    <row r="4" spans="1:18" ht="12.75">
      <c r="A4" s="26" t="s">
        <v>216</v>
      </c>
      <c r="C4" s="58" t="s">
        <v>105</v>
      </c>
      <c r="D4" s="29"/>
      <c r="E4" s="30"/>
      <c r="F4" s="31"/>
      <c r="G4" s="30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4" ht="12.75" customHeight="1">
      <c r="A5" s="26" t="s">
        <v>217</v>
      </c>
      <c r="B5" s="32"/>
      <c r="C5" s="58" t="s">
        <v>218</v>
      </c>
      <c r="D5" s="29"/>
    </row>
    <row r="6" spans="3:17" ht="12.75">
      <c r="C6" s="29"/>
      <c r="D6" s="29"/>
      <c r="E6" s="33"/>
      <c r="G6" s="33"/>
      <c r="J6" s="33"/>
      <c r="L6" s="33"/>
      <c r="O6" s="33"/>
      <c r="Q6" s="33"/>
    </row>
    <row r="7" spans="3:18" ht="12.75">
      <c r="C7" s="29" t="s">
        <v>50</v>
      </c>
      <c r="D7" s="29"/>
      <c r="E7" s="34" t="s">
        <v>51</v>
      </c>
      <c r="F7" s="34"/>
      <c r="G7" s="34"/>
      <c r="H7" s="34"/>
      <c r="I7" s="35"/>
      <c r="J7" s="34" t="s">
        <v>52</v>
      </c>
      <c r="K7" s="34"/>
      <c r="L7" s="34"/>
      <c r="M7" s="34"/>
      <c r="N7" s="35"/>
      <c r="O7" s="34" t="s">
        <v>101</v>
      </c>
      <c r="P7" s="34"/>
      <c r="Q7" s="34"/>
      <c r="R7" s="34"/>
    </row>
    <row r="8" spans="3:18" ht="12.75">
      <c r="C8" s="29" t="s">
        <v>53</v>
      </c>
      <c r="E8" s="33" t="s">
        <v>54</v>
      </c>
      <c r="F8" s="31" t="s">
        <v>55</v>
      </c>
      <c r="G8" s="33" t="s">
        <v>54</v>
      </c>
      <c r="H8" s="31" t="s">
        <v>55</v>
      </c>
      <c r="J8" s="33" t="s">
        <v>54</v>
      </c>
      <c r="K8" s="33" t="s">
        <v>56</v>
      </c>
      <c r="L8" s="33" t="s">
        <v>54</v>
      </c>
      <c r="M8" s="33" t="s">
        <v>56</v>
      </c>
      <c r="O8" s="33" t="s">
        <v>54</v>
      </c>
      <c r="P8" s="33" t="s">
        <v>56</v>
      </c>
      <c r="Q8" s="33" t="s">
        <v>54</v>
      </c>
      <c r="R8" s="33" t="s">
        <v>56</v>
      </c>
    </row>
    <row r="9" spans="3:18" ht="12.75">
      <c r="C9" s="29"/>
      <c r="E9" s="59" t="s">
        <v>221</v>
      </c>
      <c r="F9" s="59" t="s">
        <v>221</v>
      </c>
      <c r="G9" s="33" t="s">
        <v>127</v>
      </c>
      <c r="H9" s="31" t="s">
        <v>127</v>
      </c>
      <c r="J9" s="59" t="s">
        <v>221</v>
      </c>
      <c r="K9" s="59" t="s">
        <v>221</v>
      </c>
      <c r="L9" s="33" t="s">
        <v>127</v>
      </c>
      <c r="M9" s="31" t="s">
        <v>127</v>
      </c>
      <c r="O9" s="59" t="s">
        <v>221</v>
      </c>
      <c r="P9" s="59" t="s">
        <v>221</v>
      </c>
      <c r="Q9" s="33" t="s">
        <v>127</v>
      </c>
      <c r="R9" s="31" t="s">
        <v>127</v>
      </c>
    </row>
    <row r="10" ht="13.5" customHeight="1">
      <c r="A10" s="26" t="s">
        <v>57</v>
      </c>
    </row>
    <row r="11" spans="2:18" ht="12.75">
      <c r="B11" s="26" t="s">
        <v>58</v>
      </c>
      <c r="C11" s="29">
        <v>1</v>
      </c>
      <c r="D11" s="29" t="s">
        <v>40</v>
      </c>
      <c r="E11" s="28">
        <v>0.003</v>
      </c>
      <c r="F11" s="28">
        <f>IF(E11="","",E11*$C11)</f>
        <v>0.003</v>
      </c>
      <c r="G11" s="28">
        <f>IF(E11=0,"",IF(D11="nd",E11/2,E11))</f>
        <v>0.0015</v>
      </c>
      <c r="H11" s="28">
        <f>IF(G11="","",G11*$C11)</f>
        <v>0.0015</v>
      </c>
      <c r="I11" s="28" t="s">
        <v>40</v>
      </c>
      <c r="J11" s="2">
        <v>0.002</v>
      </c>
      <c r="K11" s="28">
        <f>IF(J11="","",J11*$C11)</f>
        <v>0.002</v>
      </c>
      <c r="L11" s="28">
        <f>IF(J11=0,"",IF(I11="nd",J11/2,J11))</f>
        <v>0.001</v>
      </c>
      <c r="M11" s="28">
        <f>IF(L11="","",L11*$C11)</f>
        <v>0.001</v>
      </c>
      <c r="N11" s="28" t="s">
        <v>40</v>
      </c>
      <c r="O11" s="2">
        <v>0.002</v>
      </c>
      <c r="P11" s="28">
        <f>IF(O11="","",O11*$C11)</f>
        <v>0.002</v>
      </c>
      <c r="Q11" s="28">
        <f>IF(O11=0,"",IF(N11="nd",O11/2,O11))</f>
        <v>0.001</v>
      </c>
      <c r="R11" s="28">
        <f>IF(Q11="","",Q11*$C11)</f>
        <v>0.001</v>
      </c>
    </row>
    <row r="12" spans="2:18" ht="12.75">
      <c r="B12" s="26" t="s">
        <v>59</v>
      </c>
      <c r="C12" s="29">
        <v>0.5</v>
      </c>
      <c r="D12" s="29" t="s">
        <v>40</v>
      </c>
      <c r="E12" s="28">
        <v>0.004</v>
      </c>
      <c r="F12" s="28">
        <f aca="true" t="shared" si="0" ref="F12:H27">IF(E12="","",E12*$C12)</f>
        <v>0.002</v>
      </c>
      <c r="G12" s="28">
        <f>IF(E12=0,"",IF(D12="nd",E12/2,E12))</f>
        <v>0.002</v>
      </c>
      <c r="H12" s="28">
        <f t="shared" si="0"/>
        <v>0.001</v>
      </c>
      <c r="I12" s="28" t="s">
        <v>40</v>
      </c>
      <c r="J12" s="2">
        <v>0.003</v>
      </c>
      <c r="K12" s="28">
        <f aca="true" t="shared" si="1" ref="K12:M22">IF(J12="","",J12*$C12)</f>
        <v>0.0015</v>
      </c>
      <c r="L12" s="28">
        <f>IF(J12=0,"",IF(I12="nd",J12/2,J12))</f>
        <v>0.0015</v>
      </c>
      <c r="M12" s="28">
        <f t="shared" si="1"/>
        <v>0.00075</v>
      </c>
      <c r="N12" s="28" t="s">
        <v>40</v>
      </c>
      <c r="O12" s="2">
        <v>0.004</v>
      </c>
      <c r="P12" s="28">
        <f aca="true" t="shared" si="2" ref="P12:R22">IF(O12="","",O12*$C12)</f>
        <v>0.002</v>
      </c>
      <c r="Q12" s="28">
        <f>IF(O12=0,"",IF(N12="nd",O12/2,O12))</f>
        <v>0.002</v>
      </c>
      <c r="R12" s="28">
        <f t="shared" si="2"/>
        <v>0.001</v>
      </c>
    </row>
    <row r="13" spans="2:18" ht="12.75">
      <c r="B13" s="26" t="s">
        <v>60</v>
      </c>
      <c r="C13" s="29">
        <v>0.1</v>
      </c>
      <c r="D13" s="29" t="s">
        <v>40</v>
      </c>
      <c r="E13" s="28">
        <v>0.005</v>
      </c>
      <c r="F13" s="28">
        <f t="shared" si="0"/>
        <v>0.0005</v>
      </c>
      <c r="G13" s="28">
        <f aca="true" t="shared" si="3" ref="G13:G27">IF(E13=0,"",IF(D13="nd",E13/2,E13))</f>
        <v>0.0025</v>
      </c>
      <c r="H13" s="28">
        <f t="shared" si="0"/>
        <v>0.00025</v>
      </c>
      <c r="I13" s="28" t="s">
        <v>40</v>
      </c>
      <c r="J13" s="2">
        <v>0.006</v>
      </c>
      <c r="K13" s="28">
        <f t="shared" si="1"/>
        <v>0.0006000000000000001</v>
      </c>
      <c r="L13" s="28">
        <f aca="true" t="shared" si="4" ref="L13:L23">IF(J13=0,"",IF(I13="nd",J13/2,J13))</f>
        <v>0.003</v>
      </c>
      <c r="M13" s="28">
        <f t="shared" si="1"/>
        <v>0.00030000000000000003</v>
      </c>
      <c r="N13" s="28" t="s">
        <v>40</v>
      </c>
      <c r="O13" s="2">
        <v>0.004</v>
      </c>
      <c r="P13" s="28">
        <f t="shared" si="2"/>
        <v>0.0004</v>
      </c>
      <c r="Q13" s="28">
        <f aca="true" t="shared" si="5" ref="Q13:Q23">IF(O13=0,"",IF(N13="nd",O13/2,O13))</f>
        <v>0.002</v>
      </c>
      <c r="R13" s="28">
        <f t="shared" si="2"/>
        <v>0.0002</v>
      </c>
    </row>
    <row r="14" spans="2:18" ht="12.75">
      <c r="B14" s="26" t="s">
        <v>61</v>
      </c>
      <c r="C14" s="29">
        <v>0.1</v>
      </c>
      <c r="D14" s="29" t="s">
        <v>40</v>
      </c>
      <c r="E14" s="28">
        <v>0.005</v>
      </c>
      <c r="F14" s="28">
        <f t="shared" si="0"/>
        <v>0.0005</v>
      </c>
      <c r="G14" s="28">
        <f t="shared" si="3"/>
        <v>0.0025</v>
      </c>
      <c r="H14" s="28">
        <f t="shared" si="0"/>
        <v>0.00025</v>
      </c>
      <c r="I14" s="28" t="s">
        <v>40</v>
      </c>
      <c r="J14" s="2">
        <v>0.006</v>
      </c>
      <c r="K14" s="28">
        <f t="shared" si="1"/>
        <v>0.0006000000000000001</v>
      </c>
      <c r="L14" s="28">
        <f t="shared" si="4"/>
        <v>0.003</v>
      </c>
      <c r="M14" s="28">
        <f t="shared" si="1"/>
        <v>0.00030000000000000003</v>
      </c>
      <c r="N14" s="28" t="s">
        <v>40</v>
      </c>
      <c r="O14" s="2">
        <v>0.004</v>
      </c>
      <c r="P14" s="28">
        <f t="shared" si="2"/>
        <v>0.0004</v>
      </c>
      <c r="Q14" s="28">
        <f t="shared" si="5"/>
        <v>0.002</v>
      </c>
      <c r="R14" s="28">
        <f t="shared" si="2"/>
        <v>0.0002</v>
      </c>
    </row>
    <row r="15" spans="2:18" ht="12.75">
      <c r="B15" s="26" t="s">
        <v>62</v>
      </c>
      <c r="C15" s="29">
        <v>0.1</v>
      </c>
      <c r="D15" s="29" t="s">
        <v>40</v>
      </c>
      <c r="E15" s="28">
        <v>0.004</v>
      </c>
      <c r="F15" s="28">
        <f t="shared" si="0"/>
        <v>0.0004</v>
      </c>
      <c r="G15" s="28">
        <f t="shared" si="3"/>
        <v>0.002</v>
      </c>
      <c r="H15" s="28">
        <f t="shared" si="0"/>
        <v>0.0002</v>
      </c>
      <c r="I15" s="28" t="s">
        <v>40</v>
      </c>
      <c r="J15" s="2">
        <v>0.005</v>
      </c>
      <c r="K15" s="28">
        <f t="shared" si="1"/>
        <v>0.0005</v>
      </c>
      <c r="L15" s="28">
        <f t="shared" si="4"/>
        <v>0.0025</v>
      </c>
      <c r="M15" s="28">
        <f t="shared" si="1"/>
        <v>0.00025</v>
      </c>
      <c r="N15" s="28" t="s">
        <v>40</v>
      </c>
      <c r="O15" s="2">
        <v>0.004</v>
      </c>
      <c r="P15" s="28">
        <f t="shared" si="2"/>
        <v>0.0004</v>
      </c>
      <c r="Q15" s="28">
        <f t="shared" si="5"/>
        <v>0.002</v>
      </c>
      <c r="R15" s="28">
        <f t="shared" si="2"/>
        <v>0.0002</v>
      </c>
    </row>
    <row r="16" spans="2:18" ht="12.75">
      <c r="B16" s="26" t="s">
        <v>63</v>
      </c>
      <c r="C16" s="29">
        <v>0.01</v>
      </c>
      <c r="D16" s="29" t="s">
        <v>40</v>
      </c>
      <c r="E16" s="28">
        <v>0.007</v>
      </c>
      <c r="F16" s="28">
        <f t="shared" si="0"/>
        <v>7.000000000000001E-05</v>
      </c>
      <c r="G16" s="28">
        <f t="shared" si="3"/>
        <v>0.0035</v>
      </c>
      <c r="H16" s="28">
        <f t="shared" si="0"/>
        <v>3.5000000000000004E-05</v>
      </c>
      <c r="I16" s="28"/>
      <c r="J16" s="2">
        <v>0.005</v>
      </c>
      <c r="K16" s="28">
        <f t="shared" si="1"/>
        <v>5E-05</v>
      </c>
      <c r="L16" s="28">
        <f t="shared" si="4"/>
        <v>0.005</v>
      </c>
      <c r="M16" s="28">
        <f t="shared" si="1"/>
        <v>5E-05</v>
      </c>
      <c r="N16" s="28" t="s">
        <v>40</v>
      </c>
      <c r="O16" s="2">
        <v>0.006</v>
      </c>
      <c r="P16" s="28">
        <f t="shared" si="2"/>
        <v>6E-05</v>
      </c>
      <c r="Q16" s="28">
        <f t="shared" si="5"/>
        <v>0.003</v>
      </c>
      <c r="R16" s="28">
        <f t="shared" si="2"/>
        <v>3E-05</v>
      </c>
    </row>
    <row r="17" spans="2:18" ht="12.75">
      <c r="B17" s="26" t="s">
        <v>64</v>
      </c>
      <c r="C17" s="29">
        <v>0.001</v>
      </c>
      <c r="D17" s="29"/>
      <c r="E17" s="28">
        <v>0.018</v>
      </c>
      <c r="F17" s="28">
        <f t="shared" si="0"/>
        <v>1.8E-05</v>
      </c>
      <c r="G17" s="28">
        <f t="shared" si="3"/>
        <v>0.018</v>
      </c>
      <c r="H17" s="28">
        <f t="shared" si="0"/>
        <v>1.8E-05</v>
      </c>
      <c r="I17" s="28"/>
      <c r="J17" s="2">
        <v>0.019</v>
      </c>
      <c r="K17" s="28">
        <f t="shared" si="1"/>
        <v>1.9E-05</v>
      </c>
      <c r="L17" s="28">
        <f t="shared" si="4"/>
        <v>0.019</v>
      </c>
      <c r="M17" s="28">
        <f t="shared" si="1"/>
        <v>1.9E-05</v>
      </c>
      <c r="N17" s="28"/>
      <c r="O17" s="2">
        <v>0.024</v>
      </c>
      <c r="P17" s="28">
        <f t="shared" si="2"/>
        <v>2.4E-05</v>
      </c>
      <c r="Q17" s="28">
        <f t="shared" si="5"/>
        <v>0.024</v>
      </c>
      <c r="R17" s="28">
        <f t="shared" si="2"/>
        <v>2.4E-05</v>
      </c>
    </row>
    <row r="18" spans="2:18" ht="12.75">
      <c r="B18" s="26" t="s">
        <v>65</v>
      </c>
      <c r="C18" s="29">
        <v>0.1</v>
      </c>
      <c r="D18" s="29" t="s">
        <v>40</v>
      </c>
      <c r="E18" s="28">
        <v>0.004</v>
      </c>
      <c r="F18" s="28">
        <f t="shared" si="0"/>
        <v>0.0004</v>
      </c>
      <c r="G18" s="28">
        <f t="shared" si="3"/>
        <v>0.002</v>
      </c>
      <c r="H18" s="28">
        <f t="shared" si="0"/>
        <v>0.0002</v>
      </c>
      <c r="I18" s="28" t="s">
        <v>40</v>
      </c>
      <c r="J18" s="2">
        <v>0.003</v>
      </c>
      <c r="K18" s="28">
        <f t="shared" si="1"/>
        <v>0.00030000000000000003</v>
      </c>
      <c r="L18" s="28">
        <f t="shared" si="4"/>
        <v>0.0015</v>
      </c>
      <c r="M18" s="28">
        <f t="shared" si="1"/>
        <v>0.00015000000000000001</v>
      </c>
      <c r="N18" s="28" t="s">
        <v>40</v>
      </c>
      <c r="O18" s="2">
        <v>0.004</v>
      </c>
      <c r="P18" s="28">
        <f t="shared" si="2"/>
        <v>0.0004</v>
      </c>
      <c r="Q18" s="28">
        <f t="shared" si="5"/>
        <v>0.002</v>
      </c>
      <c r="R18" s="28">
        <f t="shared" si="2"/>
        <v>0.0002</v>
      </c>
    </row>
    <row r="19" spans="2:18" ht="12.75">
      <c r="B19" s="26" t="s">
        <v>66</v>
      </c>
      <c r="C19" s="29">
        <v>0.05</v>
      </c>
      <c r="D19" s="29" t="s">
        <v>40</v>
      </c>
      <c r="E19" s="28">
        <v>0.004</v>
      </c>
      <c r="F19" s="28">
        <f t="shared" si="0"/>
        <v>0.0002</v>
      </c>
      <c r="G19" s="28">
        <f t="shared" si="3"/>
        <v>0.002</v>
      </c>
      <c r="H19" s="28">
        <f t="shared" si="0"/>
        <v>0.0001</v>
      </c>
      <c r="I19" s="28" t="s">
        <v>40</v>
      </c>
      <c r="J19" s="2">
        <v>0.005</v>
      </c>
      <c r="K19" s="28">
        <f t="shared" si="1"/>
        <v>0.00025</v>
      </c>
      <c r="L19" s="28">
        <f t="shared" si="4"/>
        <v>0.0025</v>
      </c>
      <c r="M19" s="28">
        <f t="shared" si="1"/>
        <v>0.000125</v>
      </c>
      <c r="N19" s="28" t="s">
        <v>40</v>
      </c>
      <c r="O19" s="2">
        <v>0.005</v>
      </c>
      <c r="P19" s="28">
        <f t="shared" si="2"/>
        <v>0.00025</v>
      </c>
      <c r="Q19" s="28">
        <f t="shared" si="5"/>
        <v>0.0025</v>
      </c>
      <c r="R19" s="28">
        <f t="shared" si="2"/>
        <v>0.000125</v>
      </c>
    </row>
    <row r="20" spans="2:18" ht="12.75">
      <c r="B20" s="26" t="s">
        <v>67</v>
      </c>
      <c r="C20" s="29">
        <v>0.5</v>
      </c>
      <c r="D20" s="29" t="s">
        <v>40</v>
      </c>
      <c r="E20" s="28">
        <v>0.004</v>
      </c>
      <c r="F20" s="28">
        <f t="shared" si="0"/>
        <v>0.002</v>
      </c>
      <c r="G20" s="28">
        <f t="shared" si="3"/>
        <v>0.002</v>
      </c>
      <c r="H20" s="28">
        <f t="shared" si="0"/>
        <v>0.001</v>
      </c>
      <c r="I20" s="28" t="s">
        <v>40</v>
      </c>
      <c r="J20" s="2">
        <v>0.004</v>
      </c>
      <c r="K20" s="28">
        <f t="shared" si="1"/>
        <v>0.002</v>
      </c>
      <c r="L20" s="28">
        <f t="shared" si="4"/>
        <v>0.002</v>
      </c>
      <c r="M20" s="28">
        <f t="shared" si="1"/>
        <v>0.001</v>
      </c>
      <c r="N20" s="28" t="s">
        <v>40</v>
      </c>
      <c r="O20" s="2">
        <v>0.004</v>
      </c>
      <c r="P20" s="28">
        <f t="shared" si="2"/>
        <v>0.002</v>
      </c>
      <c r="Q20" s="28">
        <f t="shared" si="5"/>
        <v>0.002</v>
      </c>
      <c r="R20" s="28">
        <f t="shared" si="2"/>
        <v>0.001</v>
      </c>
    </row>
    <row r="21" spans="2:18" ht="12.75">
      <c r="B21" s="26" t="s">
        <v>68</v>
      </c>
      <c r="C21" s="29">
        <v>0.1</v>
      </c>
      <c r="D21" s="29" t="s">
        <v>40</v>
      </c>
      <c r="E21" s="28">
        <v>0.004</v>
      </c>
      <c r="F21" s="28">
        <f t="shared" si="0"/>
        <v>0.0004</v>
      </c>
      <c r="G21" s="28">
        <f t="shared" si="3"/>
        <v>0.002</v>
      </c>
      <c r="H21" s="28">
        <f t="shared" si="0"/>
        <v>0.0002</v>
      </c>
      <c r="I21" s="28" t="s">
        <v>40</v>
      </c>
      <c r="J21" s="2">
        <v>0.004</v>
      </c>
      <c r="K21" s="28">
        <f t="shared" si="1"/>
        <v>0.0004</v>
      </c>
      <c r="L21" s="28">
        <f t="shared" si="4"/>
        <v>0.002</v>
      </c>
      <c r="M21" s="28">
        <f t="shared" si="1"/>
        <v>0.0002</v>
      </c>
      <c r="N21" s="28" t="s">
        <v>40</v>
      </c>
      <c r="O21" s="2">
        <v>0.004</v>
      </c>
      <c r="P21" s="28">
        <f t="shared" si="2"/>
        <v>0.0004</v>
      </c>
      <c r="Q21" s="28">
        <f t="shared" si="5"/>
        <v>0.002</v>
      </c>
      <c r="R21" s="28">
        <f t="shared" si="2"/>
        <v>0.0002</v>
      </c>
    </row>
    <row r="22" spans="2:18" ht="12.75">
      <c r="B22" s="26" t="s">
        <v>69</v>
      </c>
      <c r="C22" s="29">
        <v>0.1</v>
      </c>
      <c r="D22" s="29" t="s">
        <v>40</v>
      </c>
      <c r="E22" s="28">
        <v>0.004</v>
      </c>
      <c r="F22" s="28">
        <f t="shared" si="0"/>
        <v>0.0004</v>
      </c>
      <c r="G22" s="28">
        <f t="shared" si="3"/>
        <v>0.002</v>
      </c>
      <c r="H22" s="28">
        <f t="shared" si="0"/>
        <v>0.0002</v>
      </c>
      <c r="I22" s="28" t="s">
        <v>40</v>
      </c>
      <c r="J22" s="2">
        <v>0.003</v>
      </c>
      <c r="K22" s="28">
        <f t="shared" si="1"/>
        <v>0.00030000000000000003</v>
      </c>
      <c r="L22" s="28">
        <f t="shared" si="4"/>
        <v>0.0015</v>
      </c>
      <c r="M22" s="28">
        <f t="shared" si="1"/>
        <v>0.00015000000000000001</v>
      </c>
      <c r="N22" s="28" t="s">
        <v>40</v>
      </c>
      <c r="O22" s="2">
        <v>0.004</v>
      </c>
      <c r="P22" s="28">
        <f t="shared" si="2"/>
        <v>0.0004</v>
      </c>
      <c r="Q22" s="28">
        <f t="shared" si="5"/>
        <v>0.002</v>
      </c>
      <c r="R22" s="28">
        <f t="shared" si="2"/>
        <v>0.0002</v>
      </c>
    </row>
    <row r="23" spans="2:18" ht="12.75">
      <c r="B23" s="26" t="s">
        <v>70</v>
      </c>
      <c r="C23" s="29">
        <v>0.1</v>
      </c>
      <c r="D23" s="29" t="s">
        <v>40</v>
      </c>
      <c r="E23" s="28">
        <v>0.004</v>
      </c>
      <c r="F23" s="28">
        <f t="shared" si="0"/>
        <v>0.0004</v>
      </c>
      <c r="G23" s="28">
        <f t="shared" si="3"/>
        <v>0.002</v>
      </c>
      <c r="H23" s="28">
        <f t="shared" si="0"/>
        <v>0.0002</v>
      </c>
      <c r="I23" s="28" t="s">
        <v>40</v>
      </c>
      <c r="J23" s="2">
        <v>0.004</v>
      </c>
      <c r="K23" s="28">
        <f>IF(J23="","",J23*$C23)</f>
        <v>0.0004</v>
      </c>
      <c r="L23" s="28">
        <f t="shared" si="4"/>
        <v>0.002</v>
      </c>
      <c r="M23" s="28">
        <f>IF(L23="","",L23*$C23)</f>
        <v>0.0002</v>
      </c>
      <c r="N23" s="28" t="s">
        <v>40</v>
      </c>
      <c r="O23" s="2">
        <v>0.004</v>
      </c>
      <c r="P23" s="28">
        <f>IF(O23="","",O23*$C23)</f>
        <v>0.0004</v>
      </c>
      <c r="Q23" s="28">
        <f t="shared" si="5"/>
        <v>0.002</v>
      </c>
      <c r="R23" s="28">
        <f>IF(Q23="","",Q23*$C23)</f>
        <v>0.0002</v>
      </c>
    </row>
    <row r="24" spans="2:18" ht="12.75">
      <c r="B24" s="26" t="s">
        <v>71</v>
      </c>
      <c r="C24" s="29">
        <v>0.1</v>
      </c>
      <c r="D24" s="29" t="s">
        <v>40</v>
      </c>
      <c r="E24" s="28">
        <v>0.005</v>
      </c>
      <c r="F24" s="28">
        <f t="shared" si="0"/>
        <v>0.0005</v>
      </c>
      <c r="G24" s="28">
        <f t="shared" si="3"/>
        <v>0.0025</v>
      </c>
      <c r="H24" s="28">
        <f t="shared" si="0"/>
        <v>0.00025</v>
      </c>
      <c r="I24" s="28" t="s">
        <v>40</v>
      </c>
      <c r="J24" s="2">
        <v>0.004</v>
      </c>
      <c r="K24" s="28">
        <f>IF(J24="","",J24*$C24)</f>
        <v>0.0004</v>
      </c>
      <c r="L24" s="28">
        <f>IF(J24=0,"",IF(I24="nd",J24/2,J24))</f>
        <v>0.002</v>
      </c>
      <c r="M24" s="28">
        <f>IF(L24="","",L24*$C24)</f>
        <v>0.0002</v>
      </c>
      <c r="N24" s="28" t="s">
        <v>40</v>
      </c>
      <c r="O24" s="2">
        <v>0.005</v>
      </c>
      <c r="P24" s="28">
        <f>IF(O24="","",O24*$C24)</f>
        <v>0.0005</v>
      </c>
      <c r="Q24" s="28">
        <f>IF(O24=0,"",IF(N24="nd",O24/2,O24))</f>
        <v>0.0025</v>
      </c>
      <c r="R24" s="28">
        <f>IF(Q24="","",Q24*$C24)</f>
        <v>0.00025</v>
      </c>
    </row>
    <row r="25" spans="2:18" ht="12.75">
      <c r="B25" s="26" t="s">
        <v>72</v>
      </c>
      <c r="C25" s="29">
        <v>0.01</v>
      </c>
      <c r="D25" s="29"/>
      <c r="E25" s="28">
        <v>0.017</v>
      </c>
      <c r="F25" s="28">
        <f t="shared" si="0"/>
        <v>0.00017</v>
      </c>
      <c r="G25" s="28">
        <f t="shared" si="3"/>
        <v>0.017</v>
      </c>
      <c r="H25" s="28">
        <f t="shared" si="0"/>
        <v>0.00017</v>
      </c>
      <c r="I25" s="28"/>
      <c r="J25" s="2">
        <v>0.017</v>
      </c>
      <c r="K25" s="28">
        <f>IF(J25="","",J25*$C25)</f>
        <v>0.00017</v>
      </c>
      <c r="L25" s="28">
        <f>IF(J25=0,"",IF(I25="nd",J25/2,J25))</f>
        <v>0.017</v>
      </c>
      <c r="M25" s="28">
        <f>IF(L25="","",L25*$C25)</f>
        <v>0.00017</v>
      </c>
      <c r="N25" s="28"/>
      <c r="O25" s="2">
        <v>0.018</v>
      </c>
      <c r="P25" s="28">
        <f>IF(O25="","",O25*$C25)</f>
        <v>0.00017999999999999998</v>
      </c>
      <c r="Q25" s="28">
        <f>IF(O25=0,"",IF(N25="nd",O25/2,O25))</f>
        <v>0.018</v>
      </c>
      <c r="R25" s="28">
        <f>IF(Q25="","",Q25*$C25)</f>
        <v>0.00017999999999999998</v>
      </c>
    </row>
    <row r="26" spans="2:18" ht="12.75">
      <c r="B26" s="26" t="s">
        <v>73</v>
      </c>
      <c r="C26" s="29">
        <v>0.01</v>
      </c>
      <c r="D26" s="29" t="s">
        <v>40</v>
      </c>
      <c r="E26" s="28">
        <v>0.004</v>
      </c>
      <c r="F26" s="28">
        <f t="shared" si="0"/>
        <v>4E-05</v>
      </c>
      <c r="G26" s="28">
        <f t="shared" si="3"/>
        <v>0.002</v>
      </c>
      <c r="H26" s="28">
        <f t="shared" si="0"/>
        <v>2E-05</v>
      </c>
      <c r="I26" s="28" t="s">
        <v>40</v>
      </c>
      <c r="J26" s="2">
        <v>0.004</v>
      </c>
      <c r="K26" s="28">
        <f>IF(J26="","",J26*$C26)</f>
        <v>4E-05</v>
      </c>
      <c r="L26" s="28">
        <f>IF(J26=0,"",IF(I26="nd",J26/2,J26))</f>
        <v>0.002</v>
      </c>
      <c r="M26" s="28">
        <f>IF(L26="","",L26*$C26)</f>
        <v>2E-05</v>
      </c>
      <c r="N26" s="28" t="s">
        <v>40</v>
      </c>
      <c r="O26" s="2">
        <v>0.006</v>
      </c>
      <c r="P26" s="28">
        <f>IF(O26="","",O26*$C26)</f>
        <v>6E-05</v>
      </c>
      <c r="Q26" s="28">
        <f>IF(O26=0,"",IF(N26="nd",O26/2,O26))</f>
        <v>0.003</v>
      </c>
      <c r="R26" s="28">
        <f>IF(Q26="","",Q26*$C26)</f>
        <v>3E-05</v>
      </c>
    </row>
    <row r="27" spans="2:18" ht="12.75">
      <c r="B27" s="26" t="s">
        <v>74</v>
      </c>
      <c r="C27" s="29">
        <v>0.001</v>
      </c>
      <c r="D27" s="29"/>
      <c r="E27" s="28">
        <v>0.021</v>
      </c>
      <c r="F27" s="28">
        <f t="shared" si="0"/>
        <v>2.1000000000000002E-05</v>
      </c>
      <c r="G27" s="28">
        <f t="shared" si="3"/>
        <v>0.021</v>
      </c>
      <c r="H27" s="28">
        <f t="shared" si="0"/>
        <v>2.1000000000000002E-05</v>
      </c>
      <c r="I27" s="28"/>
      <c r="J27" s="2">
        <v>0.015</v>
      </c>
      <c r="K27" s="28">
        <f>IF(J27="","",J27*$C27)</f>
        <v>1.5E-05</v>
      </c>
      <c r="L27" s="28">
        <f>IF(J27=0,"",IF(I27="nd",J27/2,J27))</f>
        <v>0.015</v>
      </c>
      <c r="M27" s="28">
        <f>IF(L27="","",L27*$C27)</f>
        <v>1.5E-05</v>
      </c>
      <c r="N27" s="28"/>
      <c r="O27" s="2">
        <v>0.021</v>
      </c>
      <c r="P27" s="28">
        <f>IF(O27="","",O27*$C27)</f>
        <v>2.1000000000000002E-05</v>
      </c>
      <c r="Q27" s="28">
        <f>IF(O27=0,"",IF(N27="nd",O27/2,O27))</f>
        <v>0.021</v>
      </c>
      <c r="R27" s="28">
        <f>IF(Q27="","",Q27*$C27)</f>
        <v>2.1000000000000002E-05</v>
      </c>
    </row>
    <row r="28" spans="5:17" ht="12.75">
      <c r="E28" s="36"/>
      <c r="G28" s="36"/>
      <c r="I28" s="36"/>
      <c r="J28" s="36"/>
      <c r="K28" s="36"/>
      <c r="L28" s="36"/>
      <c r="M28" s="36"/>
      <c r="N28" s="36"/>
      <c r="O28" s="36"/>
      <c r="Q28" s="36"/>
    </row>
    <row r="29" spans="2:18" ht="12.75">
      <c r="B29" s="26" t="s">
        <v>75</v>
      </c>
      <c r="E29" s="36"/>
      <c r="F29" s="37">
        <v>132.535</v>
      </c>
      <c r="G29" s="36"/>
      <c r="H29" s="37">
        <v>132.535</v>
      </c>
      <c r="I29" s="37"/>
      <c r="J29" s="37"/>
      <c r="K29" s="37">
        <v>127.168</v>
      </c>
      <c r="L29" s="37"/>
      <c r="M29" s="37">
        <v>127.168</v>
      </c>
      <c r="N29" s="37"/>
      <c r="O29" s="37"/>
      <c r="P29" s="37">
        <v>133.522</v>
      </c>
      <c r="Q29" s="37"/>
      <c r="R29" s="37">
        <v>133.522</v>
      </c>
    </row>
    <row r="30" spans="2:18" ht="12.75">
      <c r="B30" s="26" t="s">
        <v>76</v>
      </c>
      <c r="E30" s="36"/>
      <c r="F30" s="36">
        <v>12.4</v>
      </c>
      <c r="G30" s="36"/>
      <c r="H30" s="36">
        <v>12.4</v>
      </c>
      <c r="I30" s="36"/>
      <c r="J30" s="36"/>
      <c r="K30" s="36">
        <v>12.3</v>
      </c>
      <c r="L30" s="36"/>
      <c r="M30" s="36">
        <v>12.3</v>
      </c>
      <c r="N30" s="36"/>
      <c r="O30" s="36"/>
      <c r="P30" s="36">
        <v>13</v>
      </c>
      <c r="Q30" s="36"/>
      <c r="R30" s="36">
        <v>13</v>
      </c>
    </row>
    <row r="31" spans="5:18" ht="12.75">
      <c r="E31" s="36"/>
      <c r="F31" s="2"/>
      <c r="G31" s="36"/>
      <c r="H31" s="2"/>
      <c r="I31" s="2"/>
      <c r="J31" s="36"/>
      <c r="K31" s="2"/>
      <c r="L31" s="36"/>
      <c r="M31" s="2"/>
      <c r="N31" s="36"/>
      <c r="O31" s="36"/>
      <c r="P31" s="36"/>
      <c r="Q31" s="36"/>
      <c r="R31" s="36"/>
    </row>
    <row r="32" spans="2:18" ht="13.5" customHeight="1">
      <c r="B32" s="26" t="s">
        <v>77</v>
      </c>
      <c r="C32" s="28"/>
      <c r="D32" s="28"/>
      <c r="E32" s="28"/>
      <c r="F32" s="28">
        <f>SUM(F11:F27)</f>
        <v>0.011018999999999998</v>
      </c>
      <c r="G32" s="28"/>
      <c r="H32" s="28">
        <f>SUM(H11:H27)</f>
        <v>0.005613999999999999</v>
      </c>
      <c r="I32" s="28"/>
      <c r="J32" s="28"/>
      <c r="K32" s="28">
        <f>SUM(K11:K27)</f>
        <v>0.009543999999999997</v>
      </c>
      <c r="L32" s="28"/>
      <c r="M32" s="28">
        <f>SUM(M11:M27)</f>
        <v>0.004898999999999999</v>
      </c>
      <c r="N32" s="28"/>
      <c r="O32" s="28"/>
      <c r="P32" s="28">
        <f>SUM(P11:P27)</f>
        <v>0.009894999999999998</v>
      </c>
      <c r="Q32" s="28"/>
      <c r="R32" s="28">
        <f>SUM(R11:R27)</f>
        <v>0.005059999999999999</v>
      </c>
    </row>
    <row r="33" spans="2:18" ht="12.75">
      <c r="B33" s="26" t="s">
        <v>78</v>
      </c>
      <c r="C33" s="28"/>
      <c r="D33" s="60">
        <f>(F33-H33)*2/F33*100</f>
        <v>98.1032761593611</v>
      </c>
      <c r="E33" s="28"/>
      <c r="F33" s="28">
        <f>F32/F29/0.0283*(21-7)/(21-F30)</f>
        <v>0.004782497476630064</v>
      </c>
      <c r="G33" s="28"/>
      <c r="H33" s="28">
        <f>H32/H29/0.0283*(21-7)/(21-H30)</f>
        <v>0.00243660412322363</v>
      </c>
      <c r="I33" s="60">
        <f>(K33-M33)*2/K33*100</f>
        <v>97.33864207879299</v>
      </c>
      <c r="J33" s="28"/>
      <c r="K33" s="28">
        <f>K32/K29/0.0283*(21-7)/(21-K30)</f>
        <v>0.004267513828717335</v>
      </c>
      <c r="L33" s="28"/>
      <c r="M33" s="28">
        <f>M32/M29/0.0283*(21-7)/(21-M30)</f>
        <v>0.0021905438230182543</v>
      </c>
      <c r="N33" s="60">
        <f>(P33-R33)*2/P33*100</f>
        <v>97.72612430520465</v>
      </c>
      <c r="O33" s="28"/>
      <c r="P33" s="28">
        <f>P32/P29/0.0283*(21-7)/(21-P30)</f>
        <v>0.004582627772514612</v>
      </c>
      <c r="Q33" s="28"/>
      <c r="R33" s="28">
        <f>R32/R29/0.0283*(21-7)/(21-R30)</f>
        <v>0.002343415515808382</v>
      </c>
    </row>
    <row r="34" spans="5:17" ht="12.75">
      <c r="E34" s="37"/>
      <c r="G34" s="37"/>
      <c r="I34" s="37"/>
      <c r="J34" s="37"/>
      <c r="K34" s="37"/>
      <c r="L34" s="37"/>
      <c r="M34" s="37"/>
      <c r="N34" s="37"/>
      <c r="O34" s="37"/>
      <c r="Q34" s="37"/>
    </row>
    <row r="35" spans="2:23" s="36" customFormat="1" ht="12.75">
      <c r="B35" s="36" t="s">
        <v>128</v>
      </c>
      <c r="C35" s="38">
        <f>AVERAGE(H33,M33,R33)</f>
        <v>0.0023235211540167553</v>
      </c>
      <c r="F35" s="28"/>
      <c r="H35" s="28"/>
      <c r="P35" s="27"/>
      <c r="R35" s="27"/>
      <c r="S35" s="26"/>
      <c r="T35" s="26"/>
      <c r="U35" s="26"/>
      <c r="V35" s="26"/>
      <c r="W35" s="26"/>
    </row>
    <row r="37" spans="5:18" ht="12.75">
      <c r="E37" s="26"/>
      <c r="G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5:18" ht="12.75">
      <c r="E38" s="26"/>
      <c r="G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5:18" ht="12.75">
      <c r="E39" s="26"/>
      <c r="G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5:18" ht="12.75">
      <c r="E40" s="26"/>
      <c r="G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5:18" ht="12.75">
      <c r="E41" s="26"/>
      <c r="G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5:18" ht="12.75">
      <c r="E42" s="26"/>
      <c r="G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5:18" ht="12.75">
      <c r="E43" s="26"/>
      <c r="G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5:18" ht="12.75">
      <c r="E44" s="26"/>
      <c r="G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5:18" ht="12.75">
      <c r="E45" s="26"/>
      <c r="G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5:18" ht="12.75">
      <c r="E46" s="26"/>
      <c r="G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5:18" ht="12.75">
      <c r="E47" s="26"/>
      <c r="G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5:18" ht="12.75">
      <c r="E48" s="26"/>
      <c r="G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5:18" ht="12.75">
      <c r="E49" s="26"/>
      <c r="G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5:18" ht="12.75">
      <c r="E50" s="26"/>
      <c r="G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5:18" ht="12.75">
      <c r="E51" s="26"/>
      <c r="G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5:18" ht="12.75">
      <c r="E52" s="26"/>
      <c r="G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5:18" ht="12.75">
      <c r="E53" s="26"/>
      <c r="G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5:18" ht="12.75">
      <c r="E54" s="26"/>
      <c r="G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5:18" ht="12.75">
      <c r="E55" s="26"/>
      <c r="G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5:18" ht="12.75">
      <c r="E56" s="26"/>
      <c r="G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2004-02-20T02:24:21Z</cp:lastPrinted>
  <dcterms:created xsi:type="dcterms:W3CDTF">1999-12-20T09:27:35Z</dcterms:created>
  <dcterms:modified xsi:type="dcterms:W3CDTF">2004-02-20T02:24:37Z</dcterms:modified>
  <cp:category/>
  <cp:version/>
  <cp:contentType/>
  <cp:contentStatus/>
</cp:coreProperties>
</file>