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006" yWindow="2730" windowWidth="12120" windowHeight="6780" tabRatio="6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<sst xmlns="http://schemas.openxmlformats.org/spreadsheetml/2006/main" count="1289" uniqueCount="234">
  <si>
    <t>Stack Gas Emissions</t>
  </si>
  <si>
    <t>HW</t>
  </si>
  <si>
    <t>PM</t>
  </si>
  <si>
    <t>HCl</t>
  </si>
  <si>
    <t>Cl2</t>
  </si>
  <si>
    <t>SVM</t>
  </si>
  <si>
    <t>LVM</t>
  </si>
  <si>
    <t>CO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</si>
  <si>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</si>
  <si>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</si>
  <si>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</si>
  <si>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</si>
  <si>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</si>
  <si>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</si>
  <si>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</si>
  <si>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</si>
  <si>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</si>
  <si>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</si>
  <si>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</si>
  <si>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</si>
  <si>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</si>
  <si>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</si>
  <si>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</si>
  <si>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</si>
  <si>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</si>
  <si>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</si>
  <si>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</si>
  <si>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</si>
  <si>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</si>
  <si>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</si>
  <si>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</si>
  <si>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Content</t>
  </si>
  <si>
    <t>Units</t>
  </si>
  <si>
    <t>Run</t>
  </si>
  <si>
    <t>Cond Avg</t>
  </si>
  <si>
    <t>y</t>
  </si>
  <si>
    <t>n</t>
  </si>
  <si>
    <t xml:space="preserve">   Stack Gas Flowrate</t>
  </si>
  <si>
    <t xml:space="preserve">   Temperature</t>
  </si>
  <si>
    <t>nd</t>
  </si>
  <si>
    <t>&gt;</t>
  </si>
  <si>
    <t>Density</t>
  </si>
  <si>
    <t>Heat Content</t>
  </si>
  <si>
    <t>lb/hr</t>
  </si>
  <si>
    <t>Chlorine</t>
  </si>
  <si>
    <t>Stack Gas Flowrate</t>
  </si>
  <si>
    <t>Btu/lb</t>
  </si>
  <si>
    <t>Process Information</t>
  </si>
  <si>
    <t>Avg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</si>
  <si>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</si>
  <si>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</si>
  <si>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</si>
  <si>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</si>
  <si>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</si>
  <si>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</si>
  <si>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</si>
  <si>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</si>
  <si>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</si>
  <si>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</si>
  <si>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</si>
  <si>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</si>
  <si>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</si>
  <si>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</si>
  <si>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</si>
  <si>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</si>
  <si>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</si>
  <si>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</si>
  <si>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</si>
  <si>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</si>
  <si>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</si>
  <si>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</si>
  <si>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</si>
  <si>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</si>
  <si>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</si>
  <si>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</si>
  <si>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</si>
  <si>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O2 (%)</t>
  </si>
  <si>
    <t>PCDD/PCDF (ng/dscm @ 7% O2)</t>
  </si>
  <si>
    <t>Orange</t>
  </si>
  <si>
    <t>E.I. duPont de Nemours &amp; Co., Inc.</t>
  </si>
  <si>
    <t>METCO Environmental, Inc.</t>
  </si>
  <si>
    <t xml:space="preserve">Source Emissions Survey of E.I. Dupont De Nemours &amp; Company, Inc. Sabine River Works </t>
  </si>
  <si>
    <t>Antimony</t>
  </si>
  <si>
    <t>Arsenic</t>
  </si>
  <si>
    <t>Barium</t>
  </si>
  <si>
    <t>Beryllium</t>
  </si>
  <si>
    <t>Cadmium</t>
  </si>
  <si>
    <t>Lead</t>
  </si>
  <si>
    <t>Mercury</t>
  </si>
  <si>
    <t>Silver</t>
  </si>
  <si>
    <t>Thallium</t>
  </si>
  <si>
    <t>g/hr</t>
  </si>
  <si>
    <t>soot blowing</t>
  </si>
  <si>
    <t>C6H5Cl</t>
  </si>
  <si>
    <t>NVR</t>
  </si>
  <si>
    <t>Nickel</t>
  </si>
  <si>
    <t>Selenium</t>
  </si>
  <si>
    <t>Zinc</t>
  </si>
  <si>
    <t>Chromium</t>
  </si>
  <si>
    <t>NVR and HMD pumpable hazardous waste</t>
  </si>
  <si>
    <t>HMD</t>
  </si>
  <si>
    <t>759C1</t>
  </si>
  <si>
    <t>759C2</t>
  </si>
  <si>
    <t>759C3</t>
  </si>
  <si>
    <t>759C4</t>
  </si>
  <si>
    <t>PCDD/PCDF (ng in sample)</t>
  </si>
  <si>
    <t>Diamine</t>
  </si>
  <si>
    <t>July 27 - 28, 1998</t>
  </si>
  <si>
    <t>TX</t>
  </si>
  <si>
    <t>?</t>
  </si>
  <si>
    <t>Hazardous Wastes</t>
  </si>
  <si>
    <t>Liq</t>
  </si>
  <si>
    <t>Haz Waste Description</t>
  </si>
  <si>
    <t>Natural gas</t>
  </si>
  <si>
    <t>Supplemental Fuel</t>
  </si>
  <si>
    <t>Permitting Status</t>
  </si>
  <si>
    <t>Tier IA for metals (except Cr) and chlorine</t>
  </si>
  <si>
    <t>Trial burn; DRE</t>
  </si>
  <si>
    <t>Risk burn</t>
  </si>
  <si>
    <t>CoC; min comb temp</t>
  </si>
  <si>
    <t>CoC; max comb temp, haz waste feed and steam prod rate</t>
  </si>
  <si>
    <t>PM, CO, Cr+6/Cr</t>
  </si>
  <si>
    <t>PM, metals, PCDD/PCDF, organics</t>
  </si>
  <si>
    <t>HCl/Cl2, C6H5Cl DRE</t>
  </si>
  <si>
    <t>Source Emissions Survey of E.I. Dupont De Nemours &amp; Company, Inc. Sabine River Works , Risk Burn, 98-183D, July 1998</t>
  </si>
  <si>
    <t>Dec. 10-11, 1998</t>
  </si>
  <si>
    <t>July 29-31, 1998</t>
  </si>
  <si>
    <t xml:space="preserve">Source Emissions Survey of E.I. Dupont De Nemours &amp; Company, Inc. Sabine River Works, DRE Burn, 98-183C, July 1998 </t>
  </si>
  <si>
    <t>Source Emissions Survey of E.I. Dupont De Nemours &amp; Company, Inc. Sabine River Works, DRE Burn, Dec. 1998, No. 98-305A</t>
  </si>
  <si>
    <t>Mlb/hr</t>
  </si>
  <si>
    <t>ug/dscm</t>
  </si>
  <si>
    <t>g/s</t>
  </si>
  <si>
    <t>759C5</t>
  </si>
  <si>
    <t>na</t>
  </si>
  <si>
    <t>g/ml</t>
  </si>
  <si>
    <t>Diamine waste</t>
  </si>
  <si>
    <t>ug/L</t>
  </si>
  <si>
    <t>ppmw</t>
  </si>
  <si>
    <t>NVR waste</t>
  </si>
  <si>
    <t>g/ml?</t>
  </si>
  <si>
    <t>MMBtu/hr</t>
  </si>
  <si>
    <t>1/2 ND</t>
  </si>
  <si>
    <t>TEQ Cond Avg</t>
  </si>
  <si>
    <t>PCDD/PCDF</t>
  </si>
  <si>
    <t>Boiler No. 5</t>
  </si>
  <si>
    <t>Feedstreams</t>
  </si>
  <si>
    <t>Capacity (MMBtu/hr)</t>
  </si>
  <si>
    <t>Boiler No. 7</t>
  </si>
  <si>
    <t>Feedrate MTEC Calculations</t>
  </si>
  <si>
    <t>**need total waste feedrate to calc MTECs**</t>
  </si>
  <si>
    <t>**need total waste feedrates to calc MTECs**</t>
  </si>
  <si>
    <t>Phase II ID No.</t>
  </si>
  <si>
    <t>7% O2</t>
  </si>
  <si>
    <t>Particle Size Distribution</t>
  </si>
  <si>
    <t>2.5-5</t>
  </si>
  <si>
    <t>5-7.5</t>
  </si>
  <si>
    <t>7.5-10</t>
  </si>
  <si>
    <t>Burner Temp</t>
  </si>
  <si>
    <t>Production Rate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</si>
  <si>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</si>
  <si>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</si>
  <si>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</si>
  <si>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</si>
  <si>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</si>
  <si>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</si>
  <si>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</si>
  <si>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</si>
  <si>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</si>
  <si>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% wt</t>
  </si>
  <si>
    <t>Comments</t>
  </si>
  <si>
    <t>total</t>
  </si>
  <si>
    <t>front half</t>
  </si>
  <si>
    <t>PM,CO</t>
  </si>
  <si>
    <t>PM, Metals</t>
  </si>
  <si>
    <t>Chlorobenzene</t>
  </si>
  <si>
    <t>HCl, Cl2, C6H5Cl</t>
  </si>
  <si>
    <t>Emission Rate</t>
  </si>
  <si>
    <t>POHC Feedrate</t>
  </si>
  <si>
    <t xml:space="preserve">   O2</t>
  </si>
  <si>
    <t xml:space="preserve">   Moisture</t>
  </si>
  <si>
    <t>in microns</t>
  </si>
  <si>
    <t>0.5-2.5</t>
  </si>
  <si>
    <t>&gt;10</t>
  </si>
  <si>
    <t>POHC DRE</t>
  </si>
  <si>
    <t>Feedrate</t>
  </si>
  <si>
    <t>Total Chlorine</t>
  </si>
  <si>
    <t>CO (RA)</t>
  </si>
  <si>
    <t>CO (MHRA)</t>
  </si>
  <si>
    <t>Sampling Train</t>
  </si>
  <si>
    <t>Thermal Feedrate</t>
  </si>
  <si>
    <t>*</t>
  </si>
  <si>
    <t>Feed Rate</t>
  </si>
  <si>
    <t>Feedstream Description</t>
  </si>
  <si>
    <t>HWC Burn Status (Date if Terminated)</t>
  </si>
  <si>
    <t>TXD008079642</t>
  </si>
  <si>
    <t xml:space="preserve">     Cond Dates</t>
  </si>
  <si>
    <t>Cond Description</t>
  </si>
  <si>
    <t>Liquid-fired boiler</t>
  </si>
  <si>
    <t>R1</t>
  </si>
  <si>
    <t>R2</t>
  </si>
  <si>
    <t>R3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</si>
  <si>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</si>
  <si>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</si>
  <si>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</si>
  <si>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</si>
  <si>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</si>
  <si>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</si>
  <si>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Chromium (Hex)</t>
  </si>
  <si>
    <t>E1</t>
  </si>
  <si>
    <t>source</t>
  </si>
  <si>
    <t>cond</t>
  </si>
  <si>
    <t>emiss</t>
  </si>
  <si>
    <t>feed</t>
  </si>
  <si>
    <t>process</t>
  </si>
  <si>
    <t>PM (total)</t>
  </si>
  <si>
    <t>Feedstream Number</t>
  </si>
  <si>
    <t>Feed Class</t>
  </si>
  <si>
    <t>Liq HW</t>
  </si>
  <si>
    <t>F1</t>
  </si>
  <si>
    <t>F2</t>
  </si>
  <si>
    <t>F3</t>
  </si>
  <si>
    <t>F4</t>
  </si>
  <si>
    <t>Feed Class 2</t>
  </si>
  <si>
    <t>Estimated Firing Rate</t>
  </si>
  <si>
    <t>`</t>
  </si>
  <si>
    <t xml:space="preserve">Facility Name and ID: </t>
  </si>
  <si>
    <t>DuPont (Orange TX), Boiler No. 7</t>
  </si>
  <si>
    <t xml:space="preserve">Condition/Test Date:  </t>
  </si>
  <si>
    <t>Risk burn, July 1998</t>
  </si>
  <si>
    <t>df c3</t>
  </si>
  <si>
    <t>Full ND</t>
  </si>
  <si>
    <t>Condition ID:</t>
  </si>
  <si>
    <t>N</t>
  </si>
  <si>
    <t>None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</si>
</sst>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"/>
    <numFmt numFmtId="169" formatCode="0.000000"/>
    <numFmt numFmtId="170" formatCode="0.0000000"/>
    <numFmt numFmtId="171" formatCode="0.000000000"/>
    <numFmt numFmtId="172" formatCode="0.0000000000"/>
    <numFmt numFmtId="173" formatCode="0.0000000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1" fontId="5" fillId="0" borderId="0" xfId="0" applyNumberFormat="1" applyFont="1" applyBorder="1" applyAlignment="1">
      <alignment horizontal="center"/>
    </xf>
    <xf numFmtId="11" fontId="6" fillId="0" borderId="0" xfId="0" applyNumberFormat="1" applyFont="1" applyBorder="1" applyAlignment="1">
      <alignment horizontal="left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165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6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6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5" fontId="5" fillId="0" borderId="0" xfId="19" applyNumberFormat="1" applyFont="1" applyAlignment="1">
      <alignment horizontal="left"/>
      <protection/>
    </xf>
    <xf numFmtId="1" fontId="5" fillId="0" borderId="0" xfId="19" applyNumberFormat="1" applyFont="1" applyAlignment="1">
      <alignment horizontal="left"/>
      <protection/>
    </xf>
    <xf numFmtId="0" fontId="5" fillId="0" borderId="0" xfId="19" applyFont="1" applyAlignment="1">
      <alignment vertical="top" wrapText="1"/>
      <protection/>
    </xf>
    <xf numFmtId="167" fontId="5" fillId="0" borderId="0" xfId="19" applyNumberFormat="1" applyFont="1" applyAlignment="1">
      <alignment horizontal="left"/>
      <protection/>
    </xf>
    <xf numFmtId="15" fontId="5" fillId="0" borderId="0" xfId="19" applyNumberFormat="1" applyFont="1">
      <alignment/>
      <protection/>
    </xf>
    <xf numFmtId="166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" fontId="5" fillId="0" borderId="0" xfId="19" applyNumberFormat="1" applyFont="1" applyAlignment="1">
      <alignment horizontal="left"/>
      <protection/>
    </xf>
    <xf numFmtId="0" fontId="4" fillId="0" borderId="0" xfId="0" applyFont="1" applyAlignment="1">
      <alignment vertical="top" wrapText="1"/>
    </xf>
    <xf numFmtId="0" fontId="5" fillId="0" borderId="0" xfId="19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-75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209</v>
      </c>
    </row>
    <row r="2" ht="12.75">
      <c r="A2" t="s">
        <v>210</v>
      </c>
    </row>
    <row r="3" ht="12.75">
      <c r="A3" t="s">
        <v>211</v>
      </c>
    </row>
    <row r="4" ht="12.75">
      <c r="A4" t="s">
        <v>212</v>
      </c>
    </row>
    <row r="5" ht="12.75">
      <c r="A5" t="s">
        <v>213</v>
      </c>
    </row>
    <row r="6" ht="12.75">
      <c r="A6" t="s">
        <v>229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B4">
      <selection activeCell="C18" sqref="C18"/>
    </sheetView>
  </sheetViews>
  <sheetFormatPr defaultColWidth="9.140625" defaultRowHeight="12.75"/>
  <cols>
    <col min="1" max="1" width="9.140625" style="45" hidden="1" customWidth="1"/>
    <col min="2" max="2" width="25.7109375" style="45" customWidth="1"/>
    <col min="3" max="3" width="59.28125" style="45" customWidth="1"/>
    <col min="4" max="4" width="12.8515625" style="0" customWidth="1"/>
    <col min="5" max="16" width="11.421875" style="0" customWidth="1"/>
    <col min="17" max="16384" width="11.421875" style="45" customWidth="1"/>
  </cols>
  <sheetData>
    <row r="1" ht="12.75">
      <c r="B1" s="44" t="s">
        <v>159</v>
      </c>
    </row>
    <row r="3" spans="2:3" ht="12.75">
      <c r="B3" s="45" t="s">
        <v>151</v>
      </c>
      <c r="C3" s="46">
        <v>759</v>
      </c>
    </row>
    <row r="4" spans="2:3" ht="12.75">
      <c r="B4" s="45" t="s">
        <v>19</v>
      </c>
      <c r="C4" s="45" t="s">
        <v>194</v>
      </c>
    </row>
    <row r="5" spans="2:3" ht="12.75">
      <c r="B5" s="45" t="s">
        <v>20</v>
      </c>
      <c r="C5" s="45" t="s">
        <v>79</v>
      </c>
    </row>
    <row r="6" ht="12.75">
      <c r="B6" s="45" t="s">
        <v>21</v>
      </c>
    </row>
    <row r="7" spans="2:3" ht="12.75">
      <c r="B7" s="45" t="s">
        <v>162</v>
      </c>
      <c r="C7" s="45" t="s">
        <v>78</v>
      </c>
    </row>
    <row r="8" spans="2:3" ht="12.75">
      <c r="B8" s="45" t="s">
        <v>163</v>
      </c>
      <c r="C8" s="45" t="s">
        <v>108</v>
      </c>
    </row>
    <row r="9" spans="2:3" ht="12.75">
      <c r="B9" s="45" t="s">
        <v>22</v>
      </c>
      <c r="C9" s="45" t="s">
        <v>147</v>
      </c>
    </row>
    <row r="10" spans="2:3" ht="12.75">
      <c r="B10" s="45" t="s">
        <v>23</v>
      </c>
      <c r="C10" s="45" t="s">
        <v>144</v>
      </c>
    </row>
    <row r="11" spans="2:3" ht="12.75">
      <c r="B11" s="45" t="s">
        <v>201</v>
      </c>
      <c r="C11" s="46">
        <v>1</v>
      </c>
    </row>
    <row r="12" spans="2:3" ht="12.75">
      <c r="B12" s="45" t="s">
        <v>205</v>
      </c>
      <c r="C12" s="45" t="s">
        <v>197</v>
      </c>
    </row>
    <row r="13" spans="2:3" ht="12.75">
      <c r="B13" s="45" t="s">
        <v>202</v>
      </c>
      <c r="C13" s="45" t="s">
        <v>206</v>
      </c>
    </row>
    <row r="14" ht="12.75">
      <c r="B14" s="45" t="s">
        <v>24</v>
      </c>
    </row>
    <row r="15" spans="2:3" ht="12.75">
      <c r="B15" s="45" t="s">
        <v>146</v>
      </c>
      <c r="C15" s="46">
        <v>300</v>
      </c>
    </row>
    <row r="16" spans="2:3" ht="12.75">
      <c r="B16" s="45" t="s">
        <v>161</v>
      </c>
      <c r="C16" s="46"/>
    </row>
    <row r="17" spans="2:3" ht="12.75">
      <c r="B17" s="45" t="s">
        <v>203</v>
      </c>
      <c r="C17" s="46" t="s">
        <v>233</v>
      </c>
    </row>
    <row r="18" spans="2:3" ht="12.75">
      <c r="B18" s="45" t="s">
        <v>204</v>
      </c>
      <c r="C18" s="46"/>
    </row>
    <row r="19" ht="12.75">
      <c r="B19" s="45" t="s">
        <v>25</v>
      </c>
    </row>
    <row r="20" spans="2:3" ht="12.75">
      <c r="B20" s="45" t="s">
        <v>110</v>
      </c>
      <c r="C20" s="45" t="s">
        <v>111</v>
      </c>
    </row>
    <row r="21" spans="2:3" ht="12.75">
      <c r="B21" s="45" t="s">
        <v>112</v>
      </c>
      <c r="C21" s="45" t="s">
        <v>99</v>
      </c>
    </row>
    <row r="22" spans="2:3" ht="12.75">
      <c r="B22" s="45" t="s">
        <v>114</v>
      </c>
      <c r="C22" s="45" t="s">
        <v>113</v>
      </c>
    </row>
    <row r="24" ht="12.75">
      <c r="B24" s="45" t="s">
        <v>26</v>
      </c>
    </row>
    <row r="25" spans="2:3" ht="12.75">
      <c r="B25" s="45" t="s">
        <v>164</v>
      </c>
      <c r="C25" s="47">
        <v>10</v>
      </c>
    </row>
    <row r="26" spans="2:3" ht="12.75">
      <c r="B26" s="45" t="s">
        <v>165</v>
      </c>
      <c r="C26" s="48">
        <v>153</v>
      </c>
    </row>
    <row r="27" spans="2:3" ht="12.75">
      <c r="B27" s="45" t="s">
        <v>166</v>
      </c>
      <c r="C27" s="47">
        <f>7/0.3048</f>
        <v>22.96587926509186</v>
      </c>
    </row>
    <row r="28" spans="2:3" ht="12.75">
      <c r="B28" s="45" t="s">
        <v>167</v>
      </c>
      <c r="C28" s="46"/>
    </row>
    <row r="29" ht="12.75">
      <c r="C29" s="47"/>
    </row>
    <row r="30" spans="2:3" ht="12.75">
      <c r="B30" s="45" t="s">
        <v>115</v>
      </c>
      <c r="C30" s="45" t="s">
        <v>116</v>
      </c>
    </row>
    <row r="31" spans="2:16" s="57" customFormat="1" ht="25.5">
      <c r="B31" s="57" t="s">
        <v>193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48"/>
  <sheetViews>
    <sheetView workbookViewId="0" topLeftCell="B13">
      <selection activeCell="B2" sqref="B2"/>
    </sheetView>
  </sheetViews>
  <sheetFormatPr defaultColWidth="9.140625" defaultRowHeight="12.75"/>
  <cols>
    <col min="1" max="1" width="9.140625" style="15" hidden="1" customWidth="1"/>
    <col min="2" max="2" width="20.57421875" style="15" customWidth="1"/>
    <col min="3" max="3" width="63.140625" style="15" customWidth="1"/>
    <col min="4" max="16384" width="9.140625" style="15" customWidth="1"/>
  </cols>
  <sheetData>
    <row r="1" ht="12.75">
      <c r="B1" s="26" t="s">
        <v>196</v>
      </c>
    </row>
    <row r="3" ht="12.75">
      <c r="B3" s="56" t="s">
        <v>101</v>
      </c>
    </row>
    <row r="4" ht="12.75">
      <c r="B4" s="56"/>
    </row>
    <row r="5" spans="2:16" s="49" customFormat="1" ht="25.5">
      <c r="B5" s="49" t="s">
        <v>27</v>
      </c>
      <c r="C5" s="49" t="s">
        <v>81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s="45" customFormat="1" ht="12.75">
      <c r="B6" s="45" t="s">
        <v>28</v>
      </c>
      <c r="C6" s="45" t="s">
        <v>80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s="45" customFormat="1" ht="12.75">
      <c r="B7" s="45" t="s">
        <v>29</v>
      </c>
      <c r="C7" s="45" t="s">
        <v>80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s="45" customFormat="1" ht="12.75">
      <c r="B8" s="45" t="s">
        <v>30</v>
      </c>
      <c r="C8" s="50">
        <v>33400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s="45" customFormat="1" ht="12.75">
      <c r="B9" s="45" t="s">
        <v>195</v>
      </c>
      <c r="C9" s="55">
        <v>33389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 s="45" customFormat="1" ht="12.75">
      <c r="B10" s="45" t="s">
        <v>160</v>
      </c>
      <c r="C10" s="45" t="s">
        <v>120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s="45" customFormat="1" ht="12.75">
      <c r="B11" s="45" t="s">
        <v>31</v>
      </c>
      <c r="C11" s="45" t="s">
        <v>121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4:16" s="45" customFormat="1" ht="12.75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ht="12.75">
      <c r="B13" s="56" t="s">
        <v>102</v>
      </c>
    </row>
    <row r="14" ht="12.75">
      <c r="B14" s="56"/>
    </row>
    <row r="15" spans="2:16" s="49" customFormat="1" ht="25.5">
      <c r="B15" s="49" t="s">
        <v>27</v>
      </c>
      <c r="C15" s="49" t="s">
        <v>81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s="45" customFormat="1" ht="12.75">
      <c r="B16" s="45" t="s">
        <v>28</v>
      </c>
      <c r="C16" s="45" t="s">
        <v>80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s="45" customFormat="1" ht="12.75">
      <c r="B17" s="45" t="s">
        <v>29</v>
      </c>
      <c r="C17" s="45" t="s">
        <v>80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s="45" customFormat="1" ht="12.75">
      <c r="B18" s="45" t="s">
        <v>30</v>
      </c>
      <c r="C18" s="50">
        <v>33396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s="45" customFormat="1" ht="12.75">
      <c r="B19" s="45" t="s">
        <v>195</v>
      </c>
      <c r="C19" s="55">
        <v>33389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s="45" customFormat="1" ht="12.75">
      <c r="B20" s="45" t="s">
        <v>160</v>
      </c>
      <c r="C20" s="45" t="s">
        <v>119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s="45" customFormat="1" ht="12.75">
      <c r="B21" s="45" t="s">
        <v>31</v>
      </c>
      <c r="C21" s="45" t="s">
        <v>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4:16" s="45" customFormat="1" ht="12.75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s="45" customFormat="1" ht="12.75">
      <c r="B23" s="56" t="s">
        <v>103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 s="49" customFormat="1" ht="25.5">
      <c r="B24" s="49" t="s">
        <v>27</v>
      </c>
      <c r="C24" s="49" t="s">
        <v>124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2:16" s="45" customFormat="1" ht="12.75">
      <c r="B25" s="45" t="s">
        <v>28</v>
      </c>
      <c r="C25" s="45" t="s">
        <v>80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45" customFormat="1" ht="12.75">
      <c r="B26" s="45" t="s">
        <v>29</v>
      </c>
      <c r="C26" s="45" t="s">
        <v>80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s="45" customFormat="1" ht="12.75">
      <c r="B27" s="45" t="s">
        <v>30</v>
      </c>
      <c r="C27" s="51" t="s">
        <v>126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s="45" customFormat="1" ht="12.75">
      <c r="B28" s="45" t="s">
        <v>195</v>
      </c>
      <c r="C28" s="55">
        <v>34515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s="45" customFormat="1" ht="12.75">
      <c r="B29" s="45" t="s">
        <v>160</v>
      </c>
      <c r="C29" s="45" t="s">
        <v>118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s="45" customFormat="1" ht="12.75">
      <c r="B30" s="45" t="s">
        <v>31</v>
      </c>
      <c r="C30" s="45" t="s">
        <v>122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4:16" s="45" customFormat="1" ht="12.75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s="45" customFormat="1" ht="12.75">
      <c r="B32" s="56" t="s">
        <v>104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49" customFormat="1" ht="25.5">
      <c r="B33" s="49" t="s">
        <v>27</v>
      </c>
      <c r="C33" s="49" t="s">
        <v>128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s="45" customFormat="1" ht="12.75">
      <c r="B34" s="45" t="s">
        <v>28</v>
      </c>
      <c r="C34" s="45" t="s">
        <v>80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45" customFormat="1" ht="12.75">
      <c r="B35" s="45" t="s">
        <v>29</v>
      </c>
      <c r="C35" s="45" t="s">
        <v>80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45" customFormat="1" ht="12.75">
      <c r="B36" s="45" t="s">
        <v>30</v>
      </c>
      <c r="C36" s="51" t="s">
        <v>125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s="45" customFormat="1" ht="12.75">
      <c r="B37" s="45" t="s">
        <v>195</v>
      </c>
      <c r="C37" s="55">
        <v>34668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2:16" s="45" customFormat="1" ht="12.75">
      <c r="B38" s="45" t="s">
        <v>160</v>
      </c>
      <c r="C38" s="45" t="s">
        <v>117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s="45" customFormat="1" ht="12.75">
      <c r="B39" s="45" t="s">
        <v>31</v>
      </c>
      <c r="C39" s="45" t="s">
        <v>123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4:16" s="45" customFormat="1" ht="12.75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s="45" customFormat="1" ht="12.75">
      <c r="B41" s="56" t="s">
        <v>132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s="49" customFormat="1" ht="25.5">
      <c r="B42" s="49" t="s">
        <v>27</v>
      </c>
      <c r="C42" s="49" t="s">
        <v>127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6" s="45" customFormat="1" ht="12.75">
      <c r="B43" s="45" t="s">
        <v>28</v>
      </c>
      <c r="C43" s="45" t="s">
        <v>80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2:16" s="45" customFormat="1" ht="12.75">
      <c r="B44" s="45" t="s">
        <v>29</v>
      </c>
      <c r="C44" s="45" t="s">
        <v>80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6" s="45" customFormat="1" ht="12.75">
      <c r="B45" s="45" t="s">
        <v>30</v>
      </c>
      <c r="C45" s="51" t="s">
        <v>107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s="45" customFormat="1" ht="12.75">
      <c r="B46" s="45" t="s">
        <v>195</v>
      </c>
      <c r="C46" s="55">
        <v>34515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45" customFormat="1" ht="12.75">
      <c r="B47" s="45" t="s">
        <v>160</v>
      </c>
      <c r="C47" s="45" t="s">
        <v>117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s="45" customFormat="1" ht="12.75">
      <c r="B48" s="45" t="s">
        <v>31</v>
      </c>
      <c r="C48" s="45" t="s">
        <v>123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workbookViewId="0" topLeftCell="B61">
      <selection activeCell="P111" sqref="P111"/>
    </sheetView>
  </sheetViews>
  <sheetFormatPr defaultColWidth="9.140625" defaultRowHeight="12.75"/>
  <cols>
    <col min="1" max="1" width="9.140625" style="15" hidden="1" customWidth="1"/>
    <col min="2" max="2" width="20.8515625" style="15" customWidth="1"/>
    <col min="3" max="3" width="8.7109375" style="15" customWidth="1"/>
    <col min="4" max="4" width="9.140625" style="15" customWidth="1"/>
    <col min="5" max="5" width="4.57421875" style="15" customWidth="1"/>
    <col min="6" max="6" width="3.7109375" style="15" customWidth="1"/>
    <col min="7" max="7" width="9.8515625" style="15" customWidth="1"/>
    <col min="8" max="8" width="3.7109375" style="15" customWidth="1"/>
    <col min="9" max="9" width="10.140625" style="15" customWidth="1"/>
    <col min="10" max="10" width="3.7109375" style="15" customWidth="1"/>
    <col min="11" max="11" width="9.28125" style="15" customWidth="1"/>
    <col min="12" max="12" width="5.140625" style="15" customWidth="1"/>
    <col min="13" max="13" width="10.8515625" style="15" customWidth="1"/>
    <col min="14" max="14" width="10.421875" style="15" customWidth="1"/>
    <col min="15" max="15" width="9.8515625" style="15" customWidth="1"/>
    <col min="16" max="16384" width="11.421875" style="15" customWidth="1"/>
  </cols>
  <sheetData>
    <row r="1" spans="2:3" ht="12.75">
      <c r="B1" s="26" t="s">
        <v>0</v>
      </c>
      <c r="C1" s="26"/>
    </row>
    <row r="3" spans="3:15" ht="12.75">
      <c r="C3" s="15" t="s">
        <v>169</v>
      </c>
      <c r="D3" s="15" t="s">
        <v>32</v>
      </c>
      <c r="E3" s="15" t="s">
        <v>152</v>
      </c>
      <c r="O3" s="19"/>
    </row>
    <row r="4" spans="7:12" ht="12.75">
      <c r="G4" s="19"/>
      <c r="H4" s="19"/>
      <c r="I4" s="19"/>
      <c r="J4" s="19"/>
      <c r="K4" s="19" t="s">
        <v>92</v>
      </c>
      <c r="L4" s="19"/>
    </row>
    <row r="5" spans="7:12" ht="12.75">
      <c r="G5" s="19"/>
      <c r="H5" s="19"/>
      <c r="I5" s="19"/>
      <c r="J5" s="19"/>
      <c r="K5" s="19"/>
      <c r="L5" s="19"/>
    </row>
    <row r="6" spans="1:13" ht="12.75">
      <c r="A6" s="15">
        <v>1</v>
      </c>
      <c r="B6" s="26" t="s">
        <v>101</v>
      </c>
      <c r="C6" s="26"/>
      <c r="G6" s="19" t="s">
        <v>198</v>
      </c>
      <c r="H6" s="19"/>
      <c r="I6" s="19" t="s">
        <v>199</v>
      </c>
      <c r="J6" s="19"/>
      <c r="K6" s="19" t="s">
        <v>200</v>
      </c>
      <c r="L6" s="19"/>
      <c r="M6" s="19" t="s">
        <v>34</v>
      </c>
    </row>
    <row r="7" spans="2:12" ht="12.75" customHeight="1">
      <c r="B7" s="26"/>
      <c r="C7" s="26"/>
      <c r="G7" s="19"/>
      <c r="H7" s="19"/>
      <c r="I7" s="19"/>
      <c r="J7" s="19"/>
      <c r="K7" s="19"/>
      <c r="L7" s="19"/>
    </row>
    <row r="8" spans="2:14" ht="12.75" customHeight="1">
      <c r="B8" s="15" t="s">
        <v>214</v>
      </c>
      <c r="C8" s="15" t="s">
        <v>208</v>
      </c>
      <c r="D8" s="15" t="s">
        <v>11</v>
      </c>
      <c r="E8" s="15" t="s">
        <v>35</v>
      </c>
      <c r="G8" s="33">
        <v>0.0176</v>
      </c>
      <c r="H8" s="19"/>
      <c r="I8" s="33">
        <v>0.0153</v>
      </c>
      <c r="J8" s="19"/>
      <c r="K8" s="52">
        <v>0.019</v>
      </c>
      <c r="L8" s="52"/>
      <c r="M8" s="34">
        <f aca="true" t="shared" si="0" ref="M8:M13">AVERAGE(G8,I8,K8)</f>
        <v>0.0173</v>
      </c>
      <c r="N8" s="15" t="s">
        <v>170</v>
      </c>
    </row>
    <row r="9" spans="2:14" s="29" customFormat="1" ht="12.75">
      <c r="B9" s="29" t="s">
        <v>2</v>
      </c>
      <c r="C9" s="29" t="s">
        <v>208</v>
      </c>
      <c r="D9" s="29" t="s">
        <v>11</v>
      </c>
      <c r="E9" s="29" t="s">
        <v>35</v>
      </c>
      <c r="G9" s="29">
        <v>0.0125</v>
      </c>
      <c r="I9" s="29">
        <v>0.0133</v>
      </c>
      <c r="K9" s="29">
        <v>0.0152</v>
      </c>
      <c r="M9" s="34">
        <f t="shared" si="0"/>
        <v>0.013666666666666667</v>
      </c>
      <c r="N9" s="29" t="s">
        <v>171</v>
      </c>
    </row>
    <row r="10" spans="2:13" s="29" customFormat="1" ht="12.75">
      <c r="B10" s="29" t="s">
        <v>187</v>
      </c>
      <c r="C10" s="29" t="s">
        <v>208</v>
      </c>
      <c r="D10" s="29" t="s">
        <v>12</v>
      </c>
      <c r="E10" s="29" t="s">
        <v>35</v>
      </c>
      <c r="G10" s="29">
        <v>22.7</v>
      </c>
      <c r="I10" s="29">
        <v>31.7</v>
      </c>
      <c r="K10" s="29">
        <v>84</v>
      </c>
      <c r="M10" s="35">
        <f t="shared" si="0"/>
        <v>46.13333333333333</v>
      </c>
    </row>
    <row r="11" spans="2:13" s="29" customFormat="1" ht="12.75">
      <c r="B11" s="29" t="s">
        <v>186</v>
      </c>
      <c r="C11" s="29" t="s">
        <v>208</v>
      </c>
      <c r="D11" s="29" t="s">
        <v>12</v>
      </c>
      <c r="E11" s="29" t="s">
        <v>35</v>
      </c>
      <c r="G11" s="29">
        <v>3.2</v>
      </c>
      <c r="I11" s="29">
        <v>16.6</v>
      </c>
      <c r="K11" s="29">
        <v>34.7</v>
      </c>
      <c r="M11" s="35">
        <f t="shared" si="0"/>
        <v>18.166666666666668</v>
      </c>
    </row>
    <row r="12" spans="2:13" s="29" customFormat="1" ht="12.75">
      <c r="B12" s="29" t="s">
        <v>207</v>
      </c>
      <c r="D12" s="29" t="s">
        <v>43</v>
      </c>
      <c r="G12" s="29">
        <v>0.003</v>
      </c>
      <c r="I12" s="29">
        <v>0.004</v>
      </c>
      <c r="K12" s="29">
        <v>0.006</v>
      </c>
      <c r="M12" s="36">
        <f t="shared" si="0"/>
        <v>0.004333333333333334</v>
      </c>
    </row>
    <row r="13" spans="2:13" s="29" customFormat="1" ht="12.75">
      <c r="B13" s="29" t="s">
        <v>98</v>
      </c>
      <c r="D13" s="29" t="s">
        <v>43</v>
      </c>
      <c r="G13" s="29">
        <v>0.085</v>
      </c>
      <c r="I13" s="29">
        <v>0.07</v>
      </c>
      <c r="K13" s="29">
        <v>0.115</v>
      </c>
      <c r="M13" s="36">
        <f t="shared" si="0"/>
        <v>0.09000000000000001</v>
      </c>
    </row>
    <row r="14" s="29" customFormat="1" ht="12.75" customHeight="1">
      <c r="E14" s="34"/>
    </row>
    <row r="15" spans="2:4" ht="12" customHeight="1">
      <c r="B15" s="15" t="s">
        <v>188</v>
      </c>
      <c r="C15" s="15" t="s">
        <v>172</v>
      </c>
      <c r="D15" s="15" t="s">
        <v>208</v>
      </c>
    </row>
    <row r="16" spans="2:13" s="29" customFormat="1" ht="12.75">
      <c r="B16" s="29" t="s">
        <v>37</v>
      </c>
      <c r="D16" s="29" t="s">
        <v>16</v>
      </c>
      <c r="G16" s="29">
        <v>75566</v>
      </c>
      <c r="I16" s="29">
        <v>77242</v>
      </c>
      <c r="K16" s="29">
        <v>75543</v>
      </c>
      <c r="M16" s="37">
        <f>AVERAGE(G16,I16,K16)</f>
        <v>76117</v>
      </c>
    </row>
    <row r="17" spans="2:13" s="29" customFormat="1" ht="12.75">
      <c r="B17" s="29" t="s">
        <v>178</v>
      </c>
      <c r="D17" s="29" t="s">
        <v>17</v>
      </c>
      <c r="G17" s="29">
        <v>9.1</v>
      </c>
      <c r="I17" s="29">
        <v>9.2</v>
      </c>
      <c r="K17" s="29">
        <v>9.4</v>
      </c>
      <c r="M17" s="35">
        <f>AVERAGE(G17,I17,K17)</f>
        <v>9.233333333333333</v>
      </c>
    </row>
    <row r="18" spans="2:13" s="29" customFormat="1" ht="12.75">
      <c r="B18" s="29" t="s">
        <v>179</v>
      </c>
      <c r="D18" s="29" t="s">
        <v>17</v>
      </c>
      <c r="G18" s="29">
        <v>14.29</v>
      </c>
      <c r="I18" s="29">
        <v>14.49</v>
      </c>
      <c r="K18" s="38">
        <v>15</v>
      </c>
      <c r="L18" s="38"/>
      <c r="M18" s="38">
        <f>AVERAGE(G18,I18,K18)</f>
        <v>14.593333333333334</v>
      </c>
    </row>
    <row r="19" spans="2:13" s="29" customFormat="1" ht="12.75">
      <c r="B19" s="29" t="s">
        <v>38</v>
      </c>
      <c r="D19" s="29" t="s">
        <v>18</v>
      </c>
      <c r="G19" s="29">
        <v>369</v>
      </c>
      <c r="I19" s="29">
        <v>366</v>
      </c>
      <c r="K19" s="29">
        <v>367</v>
      </c>
      <c r="M19" s="35">
        <f>AVERAGE(G19,I19,K19)</f>
        <v>367.3333333333333</v>
      </c>
    </row>
    <row r="20" s="29" customFormat="1" ht="12.75" customHeight="1"/>
    <row r="21" spans="2:13" s="29" customFormat="1" ht="12.75" customHeight="1">
      <c r="B21" s="29" t="s">
        <v>207</v>
      </c>
      <c r="C21" s="29" t="s">
        <v>208</v>
      </c>
      <c r="D21" s="29" t="s">
        <v>13</v>
      </c>
      <c r="E21" s="29" t="s">
        <v>35</v>
      </c>
      <c r="G21" s="35">
        <f>G12*454/G16/60/0.0283*1000000*(21-7)/(21-G17)</f>
        <v>12.48803369929452</v>
      </c>
      <c r="I21" s="35">
        <f>I12*454/I16/60/0.0283*1000000*(21-7)/(21-I17)</f>
        <v>16.42746975833467</v>
      </c>
      <c r="K21" s="35">
        <f>K12*454/K16/60/0.0283*1000000*(21-7)/(21-K17)</f>
        <v>25.629801110759452</v>
      </c>
      <c r="L21" s="35"/>
      <c r="M21" s="35">
        <f>M12*454/M16/60/0.0283*1000000*(21-7)/(21-M17)</f>
        <v>18.110614504434093</v>
      </c>
    </row>
    <row r="22" spans="2:13" s="29" customFormat="1" ht="12.75" customHeight="1">
      <c r="B22" s="29" t="s">
        <v>98</v>
      </c>
      <c r="C22" s="29" t="s">
        <v>208</v>
      </c>
      <c r="D22" s="29" t="s">
        <v>13</v>
      </c>
      <c r="E22" s="29" t="s">
        <v>35</v>
      </c>
      <c r="G22" s="35">
        <f>G13*454/G16/60/0.0283*1000000*(21-7)/(21-G17)</f>
        <v>353.82762148001143</v>
      </c>
      <c r="I22" s="35">
        <f>I13*454/I16/60/0.0283*1000000*(21-7)/(21-I17)</f>
        <v>287.4807207708568</v>
      </c>
      <c r="K22" s="35">
        <f>K13*454/K16/60/0.0283*1000000*(21-7)/(21-K17)</f>
        <v>491.2378546228894</v>
      </c>
      <c r="L22" s="35"/>
      <c r="M22" s="35">
        <f>M13*454/M16/60/0.0283*1000000*(21-7)/(21-M17)</f>
        <v>376.1435320151696</v>
      </c>
    </row>
    <row r="23" spans="2:13" s="29" customFormat="1" ht="12.75" customHeight="1">
      <c r="B23" s="29" t="s">
        <v>6</v>
      </c>
      <c r="C23" s="29" t="s">
        <v>208</v>
      </c>
      <c r="D23" s="29" t="s">
        <v>13</v>
      </c>
      <c r="E23" s="29" t="s">
        <v>35</v>
      </c>
      <c r="G23" s="35">
        <f>G22</f>
        <v>353.82762148001143</v>
      </c>
      <c r="I23" s="35">
        <f>I22</f>
        <v>287.4807207708568</v>
      </c>
      <c r="K23" s="35">
        <f>K22</f>
        <v>491.2378546228894</v>
      </c>
      <c r="L23" s="35"/>
      <c r="M23" s="35">
        <f>M22</f>
        <v>376.1435320151696</v>
      </c>
    </row>
    <row r="24" spans="7:12" s="29" customFormat="1" ht="12.75" customHeight="1">
      <c r="G24" s="39"/>
      <c r="H24" s="39"/>
      <c r="I24" s="39"/>
      <c r="J24" s="39"/>
      <c r="K24" s="39"/>
      <c r="L24" s="39"/>
    </row>
    <row r="25" spans="1:13" s="29" customFormat="1" ht="12.75" customHeight="1">
      <c r="A25" s="29">
        <v>2</v>
      </c>
      <c r="B25" s="26" t="s">
        <v>102</v>
      </c>
      <c r="C25" s="40"/>
      <c r="G25" s="19" t="s">
        <v>198</v>
      </c>
      <c r="H25" s="19"/>
      <c r="I25" s="19" t="s">
        <v>199</v>
      </c>
      <c r="J25" s="19"/>
      <c r="K25" s="19" t="s">
        <v>200</v>
      </c>
      <c r="L25" s="19"/>
      <c r="M25" s="19" t="s">
        <v>34</v>
      </c>
    </row>
    <row r="26" s="29" customFormat="1" ht="12.75" customHeight="1"/>
    <row r="27" spans="2:13" s="29" customFormat="1" ht="12.75" customHeight="1">
      <c r="B27" s="29" t="s">
        <v>187</v>
      </c>
      <c r="C27" s="29" t="s">
        <v>208</v>
      </c>
      <c r="D27" s="29" t="s">
        <v>12</v>
      </c>
      <c r="E27" s="29" t="s">
        <v>35</v>
      </c>
      <c r="G27" s="29">
        <v>37.1</v>
      </c>
      <c r="I27" s="29">
        <v>38.5</v>
      </c>
      <c r="K27" s="29">
        <v>38.1</v>
      </c>
      <c r="M27" s="35">
        <f>AVERAGE(G27,I27,K27)</f>
        <v>37.9</v>
      </c>
    </row>
    <row r="28" spans="2:13" s="29" customFormat="1" ht="12.75">
      <c r="B28" s="29" t="s">
        <v>186</v>
      </c>
      <c r="C28" s="29" t="s">
        <v>208</v>
      </c>
      <c r="D28" s="29" t="s">
        <v>12</v>
      </c>
      <c r="E28" s="29" t="s">
        <v>35</v>
      </c>
      <c r="G28" s="35">
        <v>19</v>
      </c>
      <c r="I28" s="29">
        <v>21.3</v>
      </c>
      <c r="K28" s="29">
        <v>21.6</v>
      </c>
      <c r="M28" s="35">
        <f>AVERAGE(G28,I28,K28)</f>
        <v>20.633333333333333</v>
      </c>
    </row>
    <row r="29" s="29" customFormat="1" ht="13.5" customHeight="1"/>
    <row r="30" spans="2:4" s="29" customFormat="1" ht="12" customHeight="1">
      <c r="B30" s="29" t="s">
        <v>188</v>
      </c>
      <c r="C30" s="29" t="s">
        <v>7</v>
      </c>
      <c r="D30" s="29" t="s">
        <v>208</v>
      </c>
    </row>
    <row r="31" spans="2:13" s="29" customFormat="1" ht="12.75">
      <c r="B31" s="29" t="s">
        <v>37</v>
      </c>
      <c r="D31" s="29" t="s">
        <v>16</v>
      </c>
      <c r="G31" s="29">
        <v>51213</v>
      </c>
      <c r="I31" s="29">
        <v>51938</v>
      </c>
      <c r="K31" s="29">
        <v>51634</v>
      </c>
      <c r="M31" s="37">
        <f>AVERAGE(G31,I31,K31)</f>
        <v>51595</v>
      </c>
    </row>
    <row r="32" spans="2:13" s="29" customFormat="1" ht="12.75">
      <c r="B32" s="29" t="s">
        <v>178</v>
      </c>
      <c r="D32" s="29" t="s">
        <v>17</v>
      </c>
      <c r="G32" s="29">
        <v>14.3</v>
      </c>
      <c r="I32" s="29">
        <v>14.3</v>
      </c>
      <c r="K32" s="35">
        <v>14</v>
      </c>
      <c r="L32" s="35"/>
      <c r="M32" s="35">
        <f>AVERAGE(G32,I32,K32)</f>
        <v>14.200000000000001</v>
      </c>
    </row>
    <row r="33" spans="2:13" s="29" customFormat="1" ht="12.75">
      <c r="B33" s="29" t="s">
        <v>179</v>
      </c>
      <c r="D33" s="29" t="s">
        <v>17</v>
      </c>
      <c r="G33" s="29">
        <v>12.97</v>
      </c>
      <c r="I33" s="29">
        <v>12.42</v>
      </c>
      <c r="K33" s="29">
        <v>13.14</v>
      </c>
      <c r="M33" s="38">
        <f>AVERAGE(G33,I33,K33)</f>
        <v>12.843333333333334</v>
      </c>
    </row>
    <row r="34" spans="2:13" s="29" customFormat="1" ht="12.75">
      <c r="B34" s="29" t="s">
        <v>38</v>
      </c>
      <c r="D34" s="29" t="s">
        <v>18</v>
      </c>
      <c r="G34" s="29">
        <v>266</v>
      </c>
      <c r="I34" s="29">
        <v>264</v>
      </c>
      <c r="K34" s="29">
        <v>263</v>
      </c>
      <c r="M34" s="35">
        <f>AVERAGE(G34,I34,K34)</f>
        <v>264.3333333333333</v>
      </c>
    </row>
    <row r="35" s="29" customFormat="1" ht="12.75">
      <c r="M35" s="35"/>
    </row>
    <row r="36" spans="1:13" ht="12.75">
      <c r="A36" s="15">
        <v>3</v>
      </c>
      <c r="B36" s="26" t="s">
        <v>103</v>
      </c>
      <c r="C36" s="26"/>
      <c r="G36" s="19" t="s">
        <v>198</v>
      </c>
      <c r="H36" s="19"/>
      <c r="I36" s="19" t="s">
        <v>199</v>
      </c>
      <c r="J36" s="19"/>
      <c r="K36" s="19" t="s">
        <v>200</v>
      </c>
      <c r="L36" s="19"/>
      <c r="M36" s="19" t="s">
        <v>34</v>
      </c>
    </row>
    <row r="38" spans="2:13" ht="12.75">
      <c r="B38" s="15" t="s">
        <v>2</v>
      </c>
      <c r="C38" s="15" t="s">
        <v>208</v>
      </c>
      <c r="D38" s="15" t="s">
        <v>11</v>
      </c>
      <c r="E38" s="15" t="s">
        <v>35</v>
      </c>
      <c r="G38" s="15">
        <v>0.0043</v>
      </c>
      <c r="I38" s="15">
        <v>0.0047</v>
      </c>
      <c r="K38" s="15">
        <v>0.004</v>
      </c>
      <c r="M38" s="41">
        <f>AVERAGE(G38,I38,K38)</f>
        <v>0.004333333333333334</v>
      </c>
    </row>
    <row r="39" spans="2:13" ht="12.75">
      <c r="B39" s="15" t="s">
        <v>82</v>
      </c>
      <c r="D39" s="15" t="s">
        <v>131</v>
      </c>
      <c r="F39" s="15" t="s">
        <v>39</v>
      </c>
      <c r="G39" s="42">
        <v>0.000923</v>
      </c>
      <c r="H39" s="42" t="s">
        <v>39</v>
      </c>
      <c r="I39" s="42">
        <v>0.0003</v>
      </c>
      <c r="J39" s="42" t="s">
        <v>39</v>
      </c>
      <c r="K39" s="42">
        <v>0.000402</v>
      </c>
      <c r="L39" s="42"/>
      <c r="M39" s="42">
        <f>AVERAGE(G39,I39,K39)</f>
        <v>0.0005416666666666666</v>
      </c>
    </row>
    <row r="40" spans="2:13" ht="12.75">
      <c r="B40" s="15" t="s">
        <v>83</v>
      </c>
      <c r="D40" s="15" t="s">
        <v>131</v>
      </c>
      <c r="F40" s="15" t="s">
        <v>39</v>
      </c>
      <c r="G40" s="42">
        <v>0.00342</v>
      </c>
      <c r="H40" s="42" t="s">
        <v>39</v>
      </c>
      <c r="I40" s="42">
        <v>0.00118</v>
      </c>
      <c r="J40" s="42" t="s">
        <v>39</v>
      </c>
      <c r="K40" s="42">
        <v>0.00124</v>
      </c>
      <c r="L40" s="42"/>
      <c r="M40" s="42">
        <f aca="true" t="shared" si="1" ref="M40:M51">AVERAGE(G40,I40,K40)</f>
        <v>0.0019466666666666666</v>
      </c>
    </row>
    <row r="41" spans="2:13" ht="12.75">
      <c r="B41" s="15" t="s">
        <v>84</v>
      </c>
      <c r="D41" s="15" t="s">
        <v>131</v>
      </c>
      <c r="F41" s="15" t="s">
        <v>39</v>
      </c>
      <c r="G41" s="42">
        <v>0.00333</v>
      </c>
      <c r="H41" s="42" t="s">
        <v>39</v>
      </c>
      <c r="I41" s="42">
        <v>0.00109</v>
      </c>
      <c r="J41" s="42" t="s">
        <v>39</v>
      </c>
      <c r="K41" s="42">
        <v>0.00108</v>
      </c>
      <c r="L41" s="42"/>
      <c r="M41" s="42">
        <f t="shared" si="1"/>
        <v>0.0018333333333333335</v>
      </c>
    </row>
    <row r="42" spans="2:13" ht="12.75">
      <c r="B42" s="15" t="s">
        <v>85</v>
      </c>
      <c r="D42" s="15" t="s">
        <v>131</v>
      </c>
      <c r="F42" s="15" t="s">
        <v>39</v>
      </c>
      <c r="G42" s="42">
        <v>6.88E-05</v>
      </c>
      <c r="H42" s="42" t="s">
        <v>39</v>
      </c>
      <c r="I42" s="42">
        <v>2.28E-05</v>
      </c>
      <c r="J42" s="42" t="s">
        <v>39</v>
      </c>
      <c r="K42" s="42">
        <v>2.41E-05</v>
      </c>
      <c r="L42" s="42"/>
      <c r="M42" s="42">
        <f t="shared" si="1"/>
        <v>3.856666666666667E-05</v>
      </c>
    </row>
    <row r="43" spans="2:13" ht="12.75">
      <c r="B43" s="15" t="s">
        <v>86</v>
      </c>
      <c r="D43" s="15" t="s">
        <v>131</v>
      </c>
      <c r="F43" s="15" t="s">
        <v>39</v>
      </c>
      <c r="G43" s="42">
        <v>6.88E-05</v>
      </c>
      <c r="H43" s="42" t="s">
        <v>39</v>
      </c>
      <c r="I43" s="42">
        <v>2.28E-05</v>
      </c>
      <c r="J43" s="42" t="s">
        <v>39</v>
      </c>
      <c r="K43" s="42">
        <v>2.41E-05</v>
      </c>
      <c r="L43" s="42"/>
      <c r="M43" s="42">
        <f t="shared" si="1"/>
        <v>3.856666666666667E-05</v>
      </c>
    </row>
    <row r="44" spans="2:13" ht="12.75">
      <c r="B44" s="15" t="s">
        <v>98</v>
      </c>
      <c r="D44" s="15" t="s">
        <v>131</v>
      </c>
      <c r="F44" s="15" t="s">
        <v>39</v>
      </c>
      <c r="G44" s="42">
        <v>0.000804</v>
      </c>
      <c r="H44" s="42" t="s">
        <v>39</v>
      </c>
      <c r="I44" s="42">
        <v>0.00074</v>
      </c>
      <c r="J44" s="42" t="s">
        <v>39</v>
      </c>
      <c r="K44" s="42">
        <v>0.00121</v>
      </c>
      <c r="L44" s="42"/>
      <c r="M44" s="42">
        <f t="shared" si="1"/>
        <v>0.000918</v>
      </c>
    </row>
    <row r="45" spans="2:13" ht="12.75">
      <c r="B45" s="29" t="s">
        <v>207</v>
      </c>
      <c r="C45" s="43"/>
      <c r="D45" s="15" t="s">
        <v>131</v>
      </c>
      <c r="F45" s="15" t="s">
        <v>39</v>
      </c>
      <c r="G45" s="42">
        <v>3.88E-05</v>
      </c>
      <c r="H45" s="42" t="s">
        <v>39</v>
      </c>
      <c r="I45" s="42">
        <v>3.57E-05</v>
      </c>
      <c r="J45" s="42" t="s">
        <v>39</v>
      </c>
      <c r="K45" s="42">
        <v>5.83E-05</v>
      </c>
      <c r="L45" s="42"/>
      <c r="M45" s="42">
        <f t="shared" si="1"/>
        <v>4.426666666666667E-05</v>
      </c>
    </row>
    <row r="46" spans="2:13" ht="12.75">
      <c r="B46" s="15" t="s">
        <v>87</v>
      </c>
      <c r="D46" s="15" t="s">
        <v>131</v>
      </c>
      <c r="F46" s="15" t="s">
        <v>39</v>
      </c>
      <c r="G46" s="42">
        <v>0.00115</v>
      </c>
      <c r="H46" s="42" t="s">
        <v>39</v>
      </c>
      <c r="I46" s="42">
        <v>0.00044</v>
      </c>
      <c r="J46" s="42" t="s">
        <v>39</v>
      </c>
      <c r="K46" s="42">
        <v>0.000563</v>
      </c>
      <c r="L46" s="42"/>
      <c r="M46" s="42">
        <f t="shared" si="1"/>
        <v>0.0007176666666666667</v>
      </c>
    </row>
    <row r="47" spans="2:13" ht="12.75">
      <c r="B47" s="15" t="s">
        <v>88</v>
      </c>
      <c r="D47" s="15" t="s">
        <v>131</v>
      </c>
      <c r="F47" s="15" t="s">
        <v>39</v>
      </c>
      <c r="G47" s="42">
        <v>1.91E-05</v>
      </c>
      <c r="H47" s="42" t="s">
        <v>39</v>
      </c>
      <c r="I47" s="42">
        <v>1.67E-05</v>
      </c>
      <c r="J47" s="42" t="s">
        <v>39</v>
      </c>
      <c r="K47" s="42">
        <v>0.000194</v>
      </c>
      <c r="L47" s="42"/>
      <c r="M47" s="42">
        <f t="shared" si="1"/>
        <v>7.66E-05</v>
      </c>
    </row>
    <row r="48" spans="2:13" ht="12.75">
      <c r="B48" s="15" t="s">
        <v>95</v>
      </c>
      <c r="D48" s="15" t="s">
        <v>131</v>
      </c>
      <c r="F48" s="15" t="s">
        <v>39</v>
      </c>
      <c r="G48" s="42">
        <v>0.000235</v>
      </c>
      <c r="H48" s="42" t="s">
        <v>39</v>
      </c>
      <c r="I48" s="42">
        <v>0.000146</v>
      </c>
      <c r="J48" s="42" t="s">
        <v>39</v>
      </c>
      <c r="K48" s="42">
        <v>0.000175</v>
      </c>
      <c r="L48" s="42"/>
      <c r="M48" s="42">
        <f t="shared" si="1"/>
        <v>0.00018533333333333333</v>
      </c>
    </row>
    <row r="49" spans="2:13" ht="12.75">
      <c r="B49" s="15" t="s">
        <v>96</v>
      </c>
      <c r="D49" s="15" t="s">
        <v>131</v>
      </c>
      <c r="F49" s="15" t="s">
        <v>39</v>
      </c>
      <c r="G49" s="42">
        <v>0.00314</v>
      </c>
      <c r="H49" s="42" t="s">
        <v>39</v>
      </c>
      <c r="I49" s="42">
        <v>0.00116</v>
      </c>
      <c r="J49" s="42" t="s">
        <v>39</v>
      </c>
      <c r="K49" s="42">
        <v>0.00119</v>
      </c>
      <c r="L49" s="42"/>
      <c r="M49" s="42">
        <f t="shared" si="1"/>
        <v>0.00183</v>
      </c>
    </row>
    <row r="50" spans="2:13" ht="12.75">
      <c r="B50" s="15" t="s">
        <v>89</v>
      </c>
      <c r="D50" s="15" t="s">
        <v>131</v>
      </c>
      <c r="F50" s="15" t="s">
        <v>39</v>
      </c>
      <c r="G50" s="42">
        <v>9.4E-05</v>
      </c>
      <c r="H50" s="42" t="s">
        <v>39</v>
      </c>
      <c r="I50" s="42">
        <v>4.64E-05</v>
      </c>
      <c r="J50" s="42" t="s">
        <v>39</v>
      </c>
      <c r="K50" s="42">
        <v>4.75E-05</v>
      </c>
      <c r="L50" s="42"/>
      <c r="M50" s="42">
        <f t="shared" si="1"/>
        <v>6.263333333333334E-05</v>
      </c>
    </row>
    <row r="51" spans="2:13" ht="12.75">
      <c r="B51" s="15" t="s">
        <v>90</v>
      </c>
      <c r="D51" s="15" t="s">
        <v>131</v>
      </c>
      <c r="F51" s="15" t="s">
        <v>39</v>
      </c>
      <c r="G51" s="42">
        <v>0.0126</v>
      </c>
      <c r="H51" s="42" t="s">
        <v>39</v>
      </c>
      <c r="I51" s="42">
        <v>0.00928</v>
      </c>
      <c r="J51" s="42" t="s">
        <v>39</v>
      </c>
      <c r="K51" s="42">
        <v>0.00949</v>
      </c>
      <c r="L51" s="42"/>
      <c r="M51" s="42">
        <f t="shared" si="1"/>
        <v>0.010456666666666668</v>
      </c>
    </row>
    <row r="52" spans="2:13" ht="12.75">
      <c r="B52" s="15" t="s">
        <v>97</v>
      </c>
      <c r="D52" s="15" t="s">
        <v>131</v>
      </c>
      <c r="G52" s="42">
        <v>0.000855</v>
      </c>
      <c r="I52" s="42">
        <v>0.000238</v>
      </c>
      <c r="K52" s="15">
        <v>0.00126</v>
      </c>
      <c r="M52" s="42"/>
    </row>
    <row r="54" spans="2:4" ht="12.75">
      <c r="B54" s="15" t="s">
        <v>188</v>
      </c>
      <c r="C54" s="15" t="s">
        <v>173</v>
      </c>
      <c r="D54" s="15" t="s">
        <v>208</v>
      </c>
    </row>
    <row r="55" spans="2:13" ht="12.75">
      <c r="B55" s="15" t="s">
        <v>37</v>
      </c>
      <c r="D55" s="15" t="s">
        <v>16</v>
      </c>
      <c r="G55" s="28">
        <v>56388</v>
      </c>
      <c r="H55" s="28"/>
      <c r="I55" s="28">
        <v>59091</v>
      </c>
      <c r="J55" s="28"/>
      <c r="K55" s="28">
        <v>57060</v>
      </c>
      <c r="L55" s="28"/>
      <c r="M55" s="27">
        <f>AVERAGE(G55,I55,K55)</f>
        <v>57513</v>
      </c>
    </row>
    <row r="56" spans="2:13" ht="12.75">
      <c r="B56" s="15" t="s">
        <v>178</v>
      </c>
      <c r="D56" s="15" t="s">
        <v>17</v>
      </c>
      <c r="G56" s="15">
        <v>12.4</v>
      </c>
      <c r="I56" s="15">
        <v>12.9</v>
      </c>
      <c r="K56" s="28">
        <v>12.3</v>
      </c>
      <c r="L56" s="28"/>
      <c r="M56" s="28">
        <f>AVERAGE(G56,I56,K56)</f>
        <v>12.533333333333333</v>
      </c>
    </row>
    <row r="57" spans="2:13" ht="12.75">
      <c r="B57" s="15" t="s">
        <v>179</v>
      </c>
      <c r="D57" s="15" t="s">
        <v>17</v>
      </c>
      <c r="G57" s="15">
        <v>14.46</v>
      </c>
      <c r="I57" s="15">
        <v>13.76</v>
      </c>
      <c r="K57" s="15">
        <v>14.66</v>
      </c>
      <c r="M57" s="31">
        <f>AVERAGE(G57,I57,K57)</f>
        <v>14.293333333333331</v>
      </c>
    </row>
    <row r="58" spans="2:13" ht="12.75">
      <c r="B58" s="15" t="s">
        <v>38</v>
      </c>
      <c r="D58" s="15" t="s">
        <v>18</v>
      </c>
      <c r="G58" s="15">
        <v>293</v>
      </c>
      <c r="I58" s="15">
        <v>287</v>
      </c>
      <c r="K58" s="15">
        <v>282</v>
      </c>
      <c r="M58" s="31">
        <f>AVERAGE(G58,I58,K58)</f>
        <v>287.3333333333333</v>
      </c>
    </row>
    <row r="59" ht="12.75">
      <c r="M59" s="31"/>
    </row>
    <row r="60" spans="2:13" ht="12.75">
      <c r="B60" s="15" t="s">
        <v>82</v>
      </c>
      <c r="C60" s="15" t="s">
        <v>208</v>
      </c>
      <c r="D60" s="15" t="s">
        <v>13</v>
      </c>
      <c r="E60" s="15" t="s">
        <v>35</v>
      </c>
      <c r="F60" s="15" t="s">
        <v>39</v>
      </c>
      <c r="G60" s="28">
        <f>G39*60/G$55/0.0283*1000000*(21-7)/(21-G$56)</f>
        <v>56.49492146418958</v>
      </c>
      <c r="H60" s="42" t="s">
        <v>39</v>
      </c>
      <c r="I60" s="28">
        <f>I39*60/I$55/0.0283*1000000*(21-7)/(21-I$56)</f>
        <v>18.604060653835592</v>
      </c>
      <c r="J60" s="42" t="s">
        <v>39</v>
      </c>
      <c r="K60" s="28">
        <f aca="true" t="shared" si="2" ref="K60:K73">K39*60/K$55/0.0283*1000000*(21-7)/(21-K$56)</f>
        <v>24.036314822936543</v>
      </c>
      <c r="L60" s="27">
        <v>100</v>
      </c>
      <c r="M60" s="28">
        <f aca="true" t="shared" si="3" ref="M60:M68">AVERAGE(K60,I60,G60)</f>
        <v>33.045098980320574</v>
      </c>
    </row>
    <row r="61" spans="2:13" ht="12.75">
      <c r="B61" s="15" t="s">
        <v>83</v>
      </c>
      <c r="C61" s="15" t="s">
        <v>208</v>
      </c>
      <c r="D61" s="15" t="s">
        <v>13</v>
      </c>
      <c r="E61" s="15" t="s">
        <v>35</v>
      </c>
      <c r="F61" s="15" t="s">
        <v>39</v>
      </c>
      <c r="G61" s="28">
        <f aca="true" t="shared" si="4" ref="G61:I73">G40*60/G$55/0.0283*1000000*(21-7)/(21-G$56)</f>
        <v>209.33112828551282</v>
      </c>
      <c r="H61" s="42" t="s">
        <v>39</v>
      </c>
      <c r="I61" s="28">
        <f t="shared" si="4"/>
        <v>73.17597190508667</v>
      </c>
      <c r="J61" s="42" t="s">
        <v>39</v>
      </c>
      <c r="K61" s="28">
        <f t="shared" si="2"/>
        <v>74.14186661801321</v>
      </c>
      <c r="L61" s="27">
        <v>100</v>
      </c>
      <c r="M61" s="28">
        <f t="shared" si="3"/>
        <v>118.88298893620424</v>
      </c>
    </row>
    <row r="62" spans="2:13" ht="12.75">
      <c r="B62" s="15" t="s">
        <v>84</v>
      </c>
      <c r="C62" s="15" t="s">
        <v>208</v>
      </c>
      <c r="D62" s="15" t="s">
        <v>13</v>
      </c>
      <c r="E62" s="15" t="s">
        <v>35</v>
      </c>
      <c r="F62" s="15" t="s">
        <v>39</v>
      </c>
      <c r="G62" s="28">
        <f t="shared" si="4"/>
        <v>203.8224143832625</v>
      </c>
      <c r="H62" s="42" t="s">
        <v>39</v>
      </c>
      <c r="I62" s="28">
        <f t="shared" si="4"/>
        <v>67.594753708936</v>
      </c>
      <c r="J62" s="42" t="s">
        <v>39</v>
      </c>
      <c r="K62" s="28">
        <f t="shared" si="2"/>
        <v>64.57517415117279</v>
      </c>
      <c r="L62" s="27">
        <v>100</v>
      </c>
      <c r="M62" s="28">
        <f t="shared" si="3"/>
        <v>111.99744741445708</v>
      </c>
    </row>
    <row r="63" spans="2:13" ht="12.75">
      <c r="B63" s="15" t="s">
        <v>85</v>
      </c>
      <c r="C63" s="15" t="s">
        <v>208</v>
      </c>
      <c r="D63" s="15" t="s">
        <v>13</v>
      </c>
      <c r="E63" s="15" t="s">
        <v>35</v>
      </c>
      <c r="F63" s="15" t="s">
        <v>39</v>
      </c>
      <c r="G63" s="28">
        <f t="shared" si="4"/>
        <v>4.211105738609147</v>
      </c>
      <c r="H63" s="42" t="s">
        <v>39</v>
      </c>
      <c r="I63" s="28">
        <f t="shared" si="4"/>
        <v>1.413908609691505</v>
      </c>
      <c r="J63" s="42" t="s">
        <v>39</v>
      </c>
      <c r="K63" s="28">
        <f t="shared" si="2"/>
        <v>1.4409830528178373</v>
      </c>
      <c r="L63" s="27">
        <v>100</v>
      </c>
      <c r="M63" s="28">
        <f t="shared" si="3"/>
        <v>2.355332467039496</v>
      </c>
    </row>
    <row r="64" spans="2:13" ht="12.75">
      <c r="B64" s="15" t="s">
        <v>86</v>
      </c>
      <c r="C64" s="15" t="s">
        <v>208</v>
      </c>
      <c r="D64" s="15" t="s">
        <v>13</v>
      </c>
      <c r="E64" s="15" t="s">
        <v>35</v>
      </c>
      <c r="F64" s="15" t="s">
        <v>39</v>
      </c>
      <c r="G64" s="28">
        <f t="shared" si="4"/>
        <v>4.211105738609147</v>
      </c>
      <c r="H64" s="42" t="s">
        <v>39</v>
      </c>
      <c r="I64" s="28">
        <f t="shared" si="4"/>
        <v>1.413908609691505</v>
      </c>
      <c r="J64" s="42" t="s">
        <v>39</v>
      </c>
      <c r="K64" s="28">
        <f t="shared" si="2"/>
        <v>1.4409830528178373</v>
      </c>
      <c r="L64" s="27">
        <v>100</v>
      </c>
      <c r="M64" s="28">
        <f t="shared" si="3"/>
        <v>2.355332467039496</v>
      </c>
    </row>
    <row r="65" spans="2:13" ht="12.75">
      <c r="B65" s="15" t="s">
        <v>98</v>
      </c>
      <c r="C65" s="15" t="s">
        <v>208</v>
      </c>
      <c r="D65" s="15" t="s">
        <v>13</v>
      </c>
      <c r="E65" s="15" t="s">
        <v>35</v>
      </c>
      <c r="F65" s="15" t="s">
        <v>39</v>
      </c>
      <c r="G65" s="28">
        <f t="shared" si="4"/>
        <v>49.211177526769696</v>
      </c>
      <c r="H65" s="42" t="s">
        <v>39</v>
      </c>
      <c r="I65" s="28">
        <f t="shared" si="4"/>
        <v>45.890016279461136</v>
      </c>
      <c r="J65" s="42" t="s">
        <v>39</v>
      </c>
      <c r="K65" s="28">
        <f t="shared" si="2"/>
        <v>72.34811178048062</v>
      </c>
      <c r="L65" s="27">
        <v>100</v>
      </c>
      <c r="M65" s="28">
        <f t="shared" si="3"/>
        <v>55.816435195570484</v>
      </c>
    </row>
    <row r="66" spans="2:13" ht="12.75">
      <c r="B66" s="29" t="s">
        <v>207</v>
      </c>
      <c r="C66" s="43" t="s">
        <v>208</v>
      </c>
      <c r="D66" s="15" t="s">
        <v>13</v>
      </c>
      <c r="E66" s="15" t="s">
        <v>35</v>
      </c>
      <c r="F66" s="15" t="s">
        <v>39</v>
      </c>
      <c r="G66" s="28">
        <f t="shared" si="4"/>
        <v>2.3748677711923687</v>
      </c>
      <c r="H66" s="42" t="s">
        <v>39</v>
      </c>
      <c r="I66" s="28">
        <f t="shared" si="4"/>
        <v>2.2138832178064356</v>
      </c>
      <c r="J66" s="42" t="s">
        <v>39</v>
      </c>
      <c r="K66" s="28">
        <f t="shared" si="2"/>
        <v>3.485863567604976</v>
      </c>
      <c r="L66" s="27">
        <v>100</v>
      </c>
      <c r="M66" s="28">
        <f t="shared" si="3"/>
        <v>2.6915381855345935</v>
      </c>
    </row>
    <row r="67" spans="2:13" ht="12.75">
      <c r="B67" s="15" t="s">
        <v>87</v>
      </c>
      <c r="C67" s="15" t="s">
        <v>208</v>
      </c>
      <c r="D67" s="15" t="s">
        <v>13</v>
      </c>
      <c r="E67" s="15" t="s">
        <v>35</v>
      </c>
      <c r="F67" s="15" t="s">
        <v>39</v>
      </c>
      <c r="G67" s="28">
        <f t="shared" si="4"/>
        <v>70.38912208430989</v>
      </c>
      <c r="H67" s="42" t="s">
        <v>39</v>
      </c>
      <c r="I67" s="28">
        <f t="shared" si="4"/>
        <v>27.28595562562554</v>
      </c>
      <c r="J67" s="42" t="s">
        <v>39</v>
      </c>
      <c r="K67" s="28">
        <f t="shared" si="2"/>
        <v>33.66279911769471</v>
      </c>
      <c r="L67" s="27">
        <v>100</v>
      </c>
      <c r="M67" s="28">
        <f t="shared" si="3"/>
        <v>43.77929227587671</v>
      </c>
    </row>
    <row r="68" spans="2:13" ht="12.75">
      <c r="B68" s="15" t="s">
        <v>88</v>
      </c>
      <c r="C68" s="15" t="s">
        <v>208</v>
      </c>
      <c r="D68" s="15" t="s">
        <v>13</v>
      </c>
      <c r="E68" s="15" t="s">
        <v>35</v>
      </c>
      <c r="F68" s="15" t="s">
        <v>39</v>
      </c>
      <c r="G68" s="28">
        <f t="shared" si="4"/>
        <v>1.1690715059220163</v>
      </c>
      <c r="H68" s="42" t="s">
        <v>39</v>
      </c>
      <c r="I68" s="28">
        <f t="shared" si="4"/>
        <v>1.0356260430635147</v>
      </c>
      <c r="J68" s="42" t="s">
        <v>39</v>
      </c>
      <c r="K68" s="28">
        <f t="shared" si="2"/>
        <v>11.599614616044002</v>
      </c>
      <c r="L68" s="27">
        <v>100</v>
      </c>
      <c r="M68" s="28">
        <f t="shared" si="3"/>
        <v>4.601437388343178</v>
      </c>
    </row>
    <row r="69" spans="2:13" ht="12.75">
      <c r="B69" s="15" t="s">
        <v>95</v>
      </c>
      <c r="C69" s="15" t="s">
        <v>208</v>
      </c>
      <c r="D69" s="15" t="s">
        <v>13</v>
      </c>
      <c r="E69" s="15" t="s">
        <v>35</v>
      </c>
      <c r="F69" s="15" t="s">
        <v>39</v>
      </c>
      <c r="G69" s="28">
        <f t="shared" si="4"/>
        <v>14.383864078098107</v>
      </c>
      <c r="H69" s="42" t="s">
        <v>39</v>
      </c>
      <c r="I69" s="28">
        <f t="shared" si="4"/>
        <v>9.053976184866658</v>
      </c>
      <c r="J69" s="42" t="s">
        <v>39</v>
      </c>
      <c r="K69" s="28">
        <f t="shared" si="2"/>
        <v>10.463569885606702</v>
      </c>
      <c r="L69" s="27">
        <v>100</v>
      </c>
      <c r="M69" s="28">
        <f aca="true" t="shared" si="5" ref="M69:M75">AVERAGE(K69,I69,G69)</f>
        <v>11.300470049523822</v>
      </c>
    </row>
    <row r="70" spans="2:13" ht="12.75">
      <c r="B70" s="15" t="s">
        <v>96</v>
      </c>
      <c r="C70" s="15" t="s">
        <v>208</v>
      </c>
      <c r="D70" s="15" t="s">
        <v>13</v>
      </c>
      <c r="E70" s="15" t="s">
        <v>35</v>
      </c>
      <c r="F70" s="15" t="s">
        <v>39</v>
      </c>
      <c r="G70" s="28">
        <f t="shared" si="4"/>
        <v>192.19290725628957</v>
      </c>
      <c r="H70" s="42" t="s">
        <v>39</v>
      </c>
      <c r="I70" s="28">
        <f t="shared" si="4"/>
        <v>71.93570119483094</v>
      </c>
      <c r="J70" s="42" t="s">
        <v>39</v>
      </c>
      <c r="K70" s="28">
        <f t="shared" si="2"/>
        <v>71.15227522212558</v>
      </c>
      <c r="L70" s="27">
        <v>100</v>
      </c>
      <c r="M70" s="28">
        <f t="shared" si="5"/>
        <v>111.7602945577487</v>
      </c>
    </row>
    <row r="71" spans="2:13" ht="12.75">
      <c r="B71" s="15" t="s">
        <v>89</v>
      </c>
      <c r="C71" s="15" t="s">
        <v>208</v>
      </c>
      <c r="D71" s="15" t="s">
        <v>13</v>
      </c>
      <c r="E71" s="15" t="s">
        <v>35</v>
      </c>
      <c r="F71" s="15" t="s">
        <v>39</v>
      </c>
      <c r="G71" s="28">
        <f t="shared" si="4"/>
        <v>5.753545631239242</v>
      </c>
      <c r="H71" s="42" t="s">
        <v>39</v>
      </c>
      <c r="I71" s="28">
        <f t="shared" si="4"/>
        <v>2.8774280477932384</v>
      </c>
      <c r="J71" s="42" t="s">
        <v>39</v>
      </c>
      <c r="K71" s="28">
        <f t="shared" si="2"/>
        <v>2.8401118260932483</v>
      </c>
      <c r="L71" s="27">
        <v>100</v>
      </c>
      <c r="M71" s="28">
        <f t="shared" si="5"/>
        <v>3.823695168375243</v>
      </c>
    </row>
    <row r="72" spans="2:13" ht="12.75">
      <c r="B72" s="15" t="s">
        <v>90</v>
      </c>
      <c r="C72" s="15" t="s">
        <v>208</v>
      </c>
      <c r="D72" s="15" t="s">
        <v>13</v>
      </c>
      <c r="E72" s="15" t="s">
        <v>35</v>
      </c>
      <c r="F72" s="15" t="s">
        <v>39</v>
      </c>
      <c r="G72" s="28">
        <f t="shared" si="4"/>
        <v>771.2199463150473</v>
      </c>
      <c r="H72" s="42" t="s">
        <v>39</v>
      </c>
      <c r="I72" s="28">
        <f t="shared" si="4"/>
        <v>575.4856095586475</v>
      </c>
      <c r="J72" s="42" t="s">
        <v>39</v>
      </c>
      <c r="K72" s="28">
        <f t="shared" si="2"/>
        <v>567.4244469394721</v>
      </c>
      <c r="L72" s="27">
        <v>100</v>
      </c>
      <c r="M72" s="28">
        <f t="shared" si="5"/>
        <v>638.0433342710556</v>
      </c>
    </row>
    <row r="73" spans="2:13" ht="12.75">
      <c r="B73" s="15" t="s">
        <v>97</v>
      </c>
      <c r="C73" s="15" t="s">
        <v>208</v>
      </c>
      <c r="D73" s="15" t="s">
        <v>13</v>
      </c>
      <c r="E73" s="15" t="s">
        <v>35</v>
      </c>
      <c r="G73" s="28">
        <f t="shared" si="4"/>
        <v>52.332782071378205</v>
      </c>
      <c r="I73" s="28">
        <f t="shared" si="4"/>
        <v>14.759221452042906</v>
      </c>
      <c r="K73" s="28">
        <f t="shared" si="2"/>
        <v>75.33770317636827</v>
      </c>
      <c r="L73" s="27"/>
      <c r="M73" s="28">
        <f t="shared" si="5"/>
        <v>47.476568899929795</v>
      </c>
    </row>
    <row r="74" spans="2:13" ht="12.75">
      <c r="B74" s="15" t="s">
        <v>5</v>
      </c>
      <c r="C74" s="15" t="s">
        <v>208</v>
      </c>
      <c r="D74" s="15" t="s">
        <v>13</v>
      </c>
      <c r="E74" s="15" t="s">
        <v>35</v>
      </c>
      <c r="F74" s="27">
        <v>100</v>
      </c>
      <c r="G74" s="28">
        <f>(G64+G67)</f>
        <v>74.60022782291904</v>
      </c>
      <c r="H74" s="27">
        <v>100</v>
      </c>
      <c r="I74" s="28">
        <f>(I64+I67)</f>
        <v>28.699864235317044</v>
      </c>
      <c r="J74" s="27">
        <v>100</v>
      </c>
      <c r="K74" s="28">
        <f>(K64+K67)</f>
        <v>35.103782170512545</v>
      </c>
      <c r="L74" s="27">
        <v>100</v>
      </c>
      <c r="M74" s="28">
        <f t="shared" si="5"/>
        <v>46.13462474291621</v>
      </c>
    </row>
    <row r="75" spans="2:13" ht="12.75">
      <c r="B75" s="15" t="s">
        <v>6</v>
      </c>
      <c r="C75" s="15" t="s">
        <v>208</v>
      </c>
      <c r="D75" s="15" t="s">
        <v>13</v>
      </c>
      <c r="E75" s="15" t="s">
        <v>35</v>
      </c>
      <c r="F75" s="27">
        <v>100</v>
      </c>
      <c r="G75" s="28">
        <f>(G65+G61+G63)</f>
        <v>262.75341155089166</v>
      </c>
      <c r="H75" s="27">
        <v>100</v>
      </c>
      <c r="I75" s="28">
        <f>(I65+I61+I63)</f>
        <v>120.47989679423931</v>
      </c>
      <c r="J75" s="27">
        <v>100</v>
      </c>
      <c r="K75" s="28">
        <f>(K65+K61+K63)</f>
        <v>147.93096145131167</v>
      </c>
      <c r="L75" s="27">
        <v>100</v>
      </c>
      <c r="M75" s="28">
        <f t="shared" si="5"/>
        <v>177.05475659881418</v>
      </c>
    </row>
    <row r="76" spans="7:13" ht="12.75">
      <c r="G76" s="28"/>
      <c r="I76" s="28"/>
      <c r="K76" s="28"/>
      <c r="L76" s="28"/>
      <c r="M76" s="28"/>
    </row>
    <row r="77" spans="2:13" ht="12.75">
      <c r="B77" s="15" t="s">
        <v>153</v>
      </c>
      <c r="C77" s="15" t="s">
        <v>180</v>
      </c>
      <c r="G77" s="28"/>
      <c r="I77" s="28"/>
      <c r="K77" s="28"/>
      <c r="L77" s="28"/>
      <c r="M77" s="28"/>
    </row>
    <row r="78" spans="2:13" ht="12.75">
      <c r="B78" s="15" t="s">
        <v>181</v>
      </c>
      <c r="D78" s="15" t="s">
        <v>168</v>
      </c>
      <c r="G78" s="28">
        <v>97.8</v>
      </c>
      <c r="I78" s="28">
        <v>89.4</v>
      </c>
      <c r="K78" s="28">
        <v>90.4</v>
      </c>
      <c r="L78" s="28"/>
      <c r="M78" s="28"/>
    </row>
    <row r="79" spans="2:13" ht="12.75">
      <c r="B79" s="15" t="s">
        <v>154</v>
      </c>
      <c r="D79" s="15" t="s">
        <v>168</v>
      </c>
      <c r="G79" s="28">
        <v>1.9</v>
      </c>
      <c r="I79" s="28">
        <v>6.5</v>
      </c>
      <c r="K79" s="28">
        <v>8</v>
      </c>
      <c r="L79" s="28"/>
      <c r="M79" s="28"/>
    </row>
    <row r="80" spans="2:13" ht="12.75">
      <c r="B80" s="15" t="s">
        <v>155</v>
      </c>
      <c r="D80" s="15" t="s">
        <v>168</v>
      </c>
      <c r="G80" s="28">
        <v>0.2</v>
      </c>
      <c r="I80" s="28">
        <v>2.4</v>
      </c>
      <c r="K80" s="28">
        <v>1.3</v>
      </c>
      <c r="L80" s="28"/>
      <c r="M80" s="28"/>
    </row>
    <row r="81" spans="2:13" ht="12.75">
      <c r="B81" s="15" t="s">
        <v>156</v>
      </c>
      <c r="D81" s="15" t="s">
        <v>168</v>
      </c>
      <c r="G81" s="28">
        <v>0</v>
      </c>
      <c r="I81" s="28">
        <v>0.6</v>
      </c>
      <c r="K81" s="28">
        <v>0</v>
      </c>
      <c r="L81" s="28"/>
      <c r="M81" s="28"/>
    </row>
    <row r="82" spans="2:13" ht="12.75">
      <c r="B82" s="15" t="s">
        <v>182</v>
      </c>
      <c r="D82" s="15" t="s">
        <v>168</v>
      </c>
      <c r="G82" s="28">
        <v>0.2</v>
      </c>
      <c r="I82" s="28">
        <v>1.2</v>
      </c>
      <c r="K82" s="28">
        <v>0.3</v>
      </c>
      <c r="L82" s="28"/>
      <c r="M82" s="28"/>
    </row>
    <row r="83" ht="12.75">
      <c r="M83" s="31"/>
    </row>
    <row r="84" spans="1:13" ht="12.75">
      <c r="A84" s="15">
        <v>4</v>
      </c>
      <c r="B84" s="26" t="s">
        <v>104</v>
      </c>
      <c r="C84" s="26"/>
      <c r="G84" s="19" t="s">
        <v>198</v>
      </c>
      <c r="H84" s="19"/>
      <c r="I84" s="19" t="s">
        <v>199</v>
      </c>
      <c r="J84" s="19"/>
      <c r="K84" s="19" t="s">
        <v>200</v>
      </c>
      <c r="L84" s="19"/>
      <c r="M84" s="15" t="s">
        <v>34</v>
      </c>
    </row>
    <row r="86" spans="2:13" ht="12.75">
      <c r="B86" s="15" t="s">
        <v>3</v>
      </c>
      <c r="D86" s="15" t="s">
        <v>43</v>
      </c>
      <c r="G86" s="15">
        <v>20.961</v>
      </c>
      <c r="I86" s="15">
        <v>20.811</v>
      </c>
      <c r="K86" s="15">
        <v>20.357</v>
      </c>
      <c r="M86" s="16">
        <f>AVERAGE(G86,I86,K86)</f>
        <v>20.709666666666667</v>
      </c>
    </row>
    <row r="87" spans="2:13" ht="12.75">
      <c r="B87" s="15" t="s">
        <v>4</v>
      </c>
      <c r="D87" s="15" t="s">
        <v>43</v>
      </c>
      <c r="G87" s="15">
        <v>0.042</v>
      </c>
      <c r="I87" s="15">
        <v>0.036</v>
      </c>
      <c r="K87" s="15">
        <v>0.021</v>
      </c>
      <c r="M87" s="41">
        <f>AVERAGE(G87,I87,K87)</f>
        <v>0.033</v>
      </c>
    </row>
    <row r="88" ht="12.75">
      <c r="M88" s="41"/>
    </row>
    <row r="89" spans="2:13" ht="12.75">
      <c r="B89" s="15" t="s">
        <v>183</v>
      </c>
      <c r="C89" s="15" t="s">
        <v>174</v>
      </c>
      <c r="M89" s="41"/>
    </row>
    <row r="90" spans="2:13" ht="12.75">
      <c r="B90" s="15" t="s">
        <v>184</v>
      </c>
      <c r="M90" s="41"/>
    </row>
    <row r="91" spans="2:13" ht="12.75">
      <c r="B91" s="15" t="s">
        <v>176</v>
      </c>
      <c r="D91" s="15" t="s">
        <v>13</v>
      </c>
      <c r="F91" s="15" t="s">
        <v>39</v>
      </c>
      <c r="G91" s="15">
        <v>4.471</v>
      </c>
      <c r="H91" s="15" t="s">
        <v>39</v>
      </c>
      <c r="I91" s="15">
        <v>4.618</v>
      </c>
      <c r="J91" s="15" t="s">
        <v>39</v>
      </c>
      <c r="K91" s="15">
        <v>4.571</v>
      </c>
      <c r="M91" s="16">
        <f>AVERAGE(G91,I91,K91)</f>
        <v>4.553333333333334</v>
      </c>
    </row>
    <row r="92" spans="2:13" ht="12.75">
      <c r="B92" s="15" t="s">
        <v>8</v>
      </c>
      <c r="D92" s="15" t="s">
        <v>17</v>
      </c>
      <c r="F92" s="33" t="s">
        <v>40</v>
      </c>
      <c r="G92" s="15">
        <v>99.998</v>
      </c>
      <c r="H92" s="33" t="s">
        <v>40</v>
      </c>
      <c r="I92" s="15">
        <v>99.998</v>
      </c>
      <c r="J92" s="33" t="s">
        <v>40</v>
      </c>
      <c r="K92" s="15">
        <v>99.998</v>
      </c>
      <c r="M92" s="15">
        <f>AVERAGE(G92,I92,K92)</f>
        <v>99.998</v>
      </c>
    </row>
    <row r="94" spans="2:4" ht="13.5" customHeight="1">
      <c r="B94" s="15" t="s">
        <v>188</v>
      </c>
      <c r="C94" s="15" t="s">
        <v>175</v>
      </c>
      <c r="D94" s="15" t="s">
        <v>208</v>
      </c>
    </row>
    <row r="95" spans="2:13" ht="12.75">
      <c r="B95" s="15" t="s">
        <v>37</v>
      </c>
      <c r="D95" s="15" t="s">
        <v>16</v>
      </c>
      <c r="G95" s="28">
        <v>62961</v>
      </c>
      <c r="H95" s="28"/>
      <c r="I95" s="28">
        <v>62764</v>
      </c>
      <c r="J95" s="28"/>
      <c r="K95" s="28">
        <v>61523</v>
      </c>
      <c r="L95" s="28"/>
      <c r="M95" s="27">
        <f>AVERAGE(G95,I95,K95)</f>
        <v>62416</v>
      </c>
    </row>
    <row r="96" spans="2:13" ht="12.75">
      <c r="B96" s="15" t="s">
        <v>178</v>
      </c>
      <c r="D96" s="15" t="s">
        <v>17</v>
      </c>
      <c r="G96" s="15">
        <v>14.6</v>
      </c>
      <c r="I96" s="15">
        <v>14.1</v>
      </c>
      <c r="K96" s="28">
        <v>13.8</v>
      </c>
      <c r="L96" s="28"/>
      <c r="M96" s="28">
        <f>AVERAGE(G96,I96,K96)</f>
        <v>14.166666666666666</v>
      </c>
    </row>
    <row r="97" spans="2:13" ht="12.75">
      <c r="B97" s="15" t="s">
        <v>179</v>
      </c>
      <c r="D97" s="15" t="s">
        <v>17</v>
      </c>
      <c r="G97" s="15">
        <v>6.94</v>
      </c>
      <c r="I97" s="15">
        <v>8.87</v>
      </c>
      <c r="K97" s="15">
        <v>8.93</v>
      </c>
      <c r="M97" s="31">
        <f>AVERAGE(G97,I97,K97)</f>
        <v>8.246666666666666</v>
      </c>
    </row>
    <row r="98" spans="2:13" ht="12.75">
      <c r="B98" s="15" t="s">
        <v>38</v>
      </c>
      <c r="D98" s="15" t="s">
        <v>18</v>
      </c>
      <c r="G98" s="15">
        <v>292</v>
      </c>
      <c r="I98" s="15">
        <v>291</v>
      </c>
      <c r="K98" s="15">
        <v>291</v>
      </c>
      <c r="M98" s="31">
        <f>AVERAGE(G98,I98,K98)</f>
        <v>291.3333333333333</v>
      </c>
    </row>
    <row r="99" ht="12.75">
      <c r="M99" s="31"/>
    </row>
    <row r="100" spans="2:13" ht="12.75">
      <c r="B100" s="15" t="s">
        <v>3</v>
      </c>
      <c r="C100" s="15" t="s">
        <v>208</v>
      </c>
      <c r="D100" s="15" t="s">
        <v>12</v>
      </c>
      <c r="E100" s="15" t="s">
        <v>35</v>
      </c>
      <c r="G100" s="28">
        <f>G86*454/60/G95/0.0283*(21-7)/(21-G96)*667.8</f>
        <v>130.03283286717453</v>
      </c>
      <c r="I100" s="28">
        <f>I86*454/60/I95/0.0283*(21-7)/(21-I96)*667.8</f>
        <v>120.12291486139715</v>
      </c>
      <c r="K100" s="28">
        <f>K86*454/60/K95/0.0283*(21-7)/(21-K96)*667.8</f>
        <v>114.87787490278899</v>
      </c>
      <c r="L100" s="28"/>
      <c r="M100" s="28">
        <f>M86*454/60/M95/0.0283*(21-7)/(21-M96)*667.8</f>
        <v>121.37722014343494</v>
      </c>
    </row>
    <row r="101" spans="2:13" ht="12.75">
      <c r="B101" s="15" t="s">
        <v>4</v>
      </c>
      <c r="C101" s="15" t="s">
        <v>208</v>
      </c>
      <c r="D101" s="15" t="s">
        <v>12</v>
      </c>
      <c r="E101" s="15" t="s">
        <v>35</v>
      </c>
      <c r="G101" s="28">
        <f>G87*454/60/G95/0.0283*(21-7)/(21-G96)*343.4</f>
        <v>0.13398130162241328</v>
      </c>
      <c r="I101" s="28">
        <f>I87*454/60/I95/0.0283*(21-7)/(21-I96)*343.4</f>
        <v>0.1068536322821289</v>
      </c>
      <c r="K101" s="28">
        <f>K87*454/60/K95/0.0283*(21-7)/(21-K96)*343.4</f>
        <v>0.060939065111683725</v>
      </c>
      <c r="L101" s="28"/>
      <c r="M101" s="28">
        <f>M87*454/60/M95/0.0283*(21-7)/(21-M96)*343.4</f>
        <v>0.09945620738283284</v>
      </c>
    </row>
    <row r="102" spans="2:13" ht="12.75">
      <c r="B102" s="15" t="s">
        <v>185</v>
      </c>
      <c r="C102" s="15" t="s">
        <v>208</v>
      </c>
      <c r="D102" s="15" t="s">
        <v>12</v>
      </c>
      <c r="E102" s="15" t="s">
        <v>35</v>
      </c>
      <c r="G102" s="28">
        <f>G100+G101*2</f>
        <v>130.30079547041936</v>
      </c>
      <c r="I102" s="28">
        <f>I100+I101*2</f>
        <v>120.33662212596141</v>
      </c>
      <c r="K102" s="28">
        <f>K100+K101*2</f>
        <v>114.99975303301235</v>
      </c>
      <c r="L102" s="28"/>
      <c r="M102" s="28">
        <f>M100+M101*2</f>
        <v>121.57613255820061</v>
      </c>
    </row>
    <row r="103" ht="12.75">
      <c r="M103" s="28"/>
    </row>
    <row r="104" spans="1:13" ht="12.75">
      <c r="A104" s="15">
        <v>5</v>
      </c>
      <c r="B104" s="26" t="s">
        <v>132</v>
      </c>
      <c r="C104" s="26"/>
      <c r="G104" s="19" t="s">
        <v>198</v>
      </c>
      <c r="H104" s="19"/>
      <c r="I104" s="19" t="s">
        <v>199</v>
      </c>
      <c r="J104" s="19"/>
      <c r="K104" s="19" t="s">
        <v>200</v>
      </c>
      <c r="L104" s="19"/>
      <c r="M104" s="15" t="s">
        <v>34</v>
      </c>
    </row>
    <row r="106" spans="2:13" ht="12.75">
      <c r="B106" s="15" t="s">
        <v>3</v>
      </c>
      <c r="D106" s="15" t="s">
        <v>12</v>
      </c>
      <c r="E106" s="15" t="s">
        <v>36</v>
      </c>
      <c r="G106" s="15">
        <v>58.7</v>
      </c>
      <c r="I106" s="15">
        <v>57.5</v>
      </c>
      <c r="K106" s="15">
        <v>58.4</v>
      </c>
      <c r="M106" s="28">
        <f>AVERAGE(G106,I106,K106)</f>
        <v>58.199999999999996</v>
      </c>
    </row>
    <row r="107" spans="2:13" ht="12.75">
      <c r="B107" s="15" t="s">
        <v>4</v>
      </c>
      <c r="D107" s="15" t="s">
        <v>12</v>
      </c>
      <c r="E107" s="15" t="s">
        <v>36</v>
      </c>
      <c r="F107" s="15" t="s">
        <v>39</v>
      </c>
      <c r="G107" s="15">
        <v>0.2</v>
      </c>
      <c r="H107" s="15" t="s">
        <v>39</v>
      </c>
      <c r="I107" s="15">
        <v>0.2</v>
      </c>
      <c r="J107" s="15" t="s">
        <v>39</v>
      </c>
      <c r="K107" s="15">
        <v>0.2</v>
      </c>
      <c r="M107" s="28">
        <f>AVERAGE(G107,I107,K107)</f>
        <v>0.20000000000000004</v>
      </c>
    </row>
    <row r="108" ht="12.75">
      <c r="M108" s="41"/>
    </row>
    <row r="109" spans="2:13" ht="12.75">
      <c r="B109" s="15" t="s">
        <v>183</v>
      </c>
      <c r="C109" s="15" t="s">
        <v>174</v>
      </c>
      <c r="M109" s="41"/>
    </row>
    <row r="110" spans="2:11" ht="12.75">
      <c r="B110" s="15" t="s">
        <v>177</v>
      </c>
      <c r="F110" s="33"/>
      <c r="G110" s="15" t="s">
        <v>133</v>
      </c>
      <c r="H110" s="33"/>
      <c r="I110" s="15" t="s">
        <v>133</v>
      </c>
      <c r="J110" s="33"/>
      <c r="K110" s="15" t="s">
        <v>133</v>
      </c>
    </row>
    <row r="111" spans="2:13" ht="12.75">
      <c r="B111" s="15" t="s">
        <v>176</v>
      </c>
      <c r="D111" s="15" t="s">
        <v>13</v>
      </c>
      <c r="F111" s="15" t="s">
        <v>39</v>
      </c>
      <c r="G111" s="15">
        <v>9.1</v>
      </c>
      <c r="H111" s="15" t="s">
        <v>39</v>
      </c>
      <c r="I111" s="15">
        <v>29.8</v>
      </c>
      <c r="J111" s="15" t="s">
        <v>39</v>
      </c>
      <c r="K111" s="15">
        <v>74.2</v>
      </c>
      <c r="M111" s="16"/>
    </row>
    <row r="112" spans="2:10" ht="12.75">
      <c r="B112" s="15" t="s">
        <v>8</v>
      </c>
      <c r="D112" s="15" t="s">
        <v>17</v>
      </c>
      <c r="F112" s="33" t="s">
        <v>40</v>
      </c>
      <c r="H112" s="33" t="s">
        <v>40</v>
      </c>
      <c r="J112" s="33" t="s">
        <v>40</v>
      </c>
    </row>
    <row r="114" spans="2:4" ht="13.5" customHeight="1">
      <c r="B114" s="15" t="s">
        <v>188</v>
      </c>
      <c r="C114" s="15" t="s">
        <v>175</v>
      </c>
      <c r="D114" s="15" t="s">
        <v>208</v>
      </c>
    </row>
    <row r="115" spans="2:13" ht="12.75">
      <c r="B115" s="15" t="s">
        <v>37</v>
      </c>
      <c r="D115" s="15" t="s">
        <v>16</v>
      </c>
      <c r="G115" s="28">
        <v>66424</v>
      </c>
      <c r="H115" s="28"/>
      <c r="I115" s="28">
        <v>66612</v>
      </c>
      <c r="J115" s="28"/>
      <c r="K115" s="28">
        <v>65950</v>
      </c>
      <c r="L115" s="28"/>
      <c r="M115" s="28">
        <f>AVERAGE(G115,I115,K115)</f>
        <v>66328.66666666667</v>
      </c>
    </row>
    <row r="116" spans="2:13" ht="12.75">
      <c r="B116" s="15" t="s">
        <v>178</v>
      </c>
      <c r="D116" s="15" t="s">
        <v>17</v>
      </c>
      <c r="G116" s="15">
        <v>13.5</v>
      </c>
      <c r="I116" s="15">
        <v>13.9</v>
      </c>
      <c r="K116" s="28">
        <v>13.5</v>
      </c>
      <c r="L116" s="28"/>
      <c r="M116" s="28">
        <f>AVERAGE(G116,I116,K116)</f>
        <v>13.633333333333333</v>
      </c>
    </row>
    <row r="117" spans="2:13" ht="12.75">
      <c r="B117" s="15" t="s">
        <v>179</v>
      </c>
      <c r="D117" s="15" t="s">
        <v>17</v>
      </c>
      <c r="G117" s="15">
        <v>14.85</v>
      </c>
      <c r="I117" s="15">
        <v>14.7</v>
      </c>
      <c r="K117" s="15">
        <v>14.8</v>
      </c>
      <c r="M117" s="28">
        <f>AVERAGE(G117,I117,K117)</f>
        <v>14.783333333333331</v>
      </c>
    </row>
    <row r="118" spans="2:13" ht="12.75">
      <c r="B118" s="15" t="s">
        <v>38</v>
      </c>
      <c r="D118" s="15" t="s">
        <v>18</v>
      </c>
      <c r="G118" s="15">
        <v>322</v>
      </c>
      <c r="I118" s="15">
        <v>323</v>
      </c>
      <c r="K118" s="15">
        <v>322</v>
      </c>
      <c r="M118" s="28">
        <f>AVERAGE(G118,I118,K118)</f>
        <v>322.3333333333333</v>
      </c>
    </row>
    <row r="120" spans="2:13" ht="12.75">
      <c r="B120" s="15" t="s">
        <v>3</v>
      </c>
      <c r="C120" s="15" t="s">
        <v>208</v>
      </c>
      <c r="D120" s="15" t="s">
        <v>12</v>
      </c>
      <c r="E120" s="15" t="s">
        <v>35</v>
      </c>
      <c r="G120" s="28">
        <f>G106*(21-7)/(21-G116)</f>
        <v>109.57333333333334</v>
      </c>
      <c r="I120" s="28">
        <f>I106*(21-7)/(21-I116)</f>
        <v>113.38028169014085</v>
      </c>
      <c r="K120" s="28">
        <f>K106*(21-7)/(21-K116)</f>
        <v>109.01333333333334</v>
      </c>
      <c r="L120" s="28"/>
      <c r="M120" s="28">
        <f>M106*(21-7)/(21-M116)</f>
        <v>110.60633484162895</v>
      </c>
    </row>
    <row r="121" spans="2:13" ht="12.75">
      <c r="B121" s="15" t="s">
        <v>4</v>
      </c>
      <c r="C121" s="15" t="s">
        <v>208</v>
      </c>
      <c r="D121" s="15" t="s">
        <v>12</v>
      </c>
      <c r="E121" s="15" t="s">
        <v>35</v>
      </c>
      <c r="G121" s="28">
        <f>G107*(21-7)/(21-G116)</f>
        <v>0.37333333333333335</v>
      </c>
      <c r="I121" s="28">
        <f>I107*(21-7)/(21-I116)</f>
        <v>0.3943661971830986</v>
      </c>
      <c r="K121" s="28">
        <f>K107*(21-7)/(21-K116)</f>
        <v>0.37333333333333335</v>
      </c>
      <c r="L121" s="28"/>
      <c r="M121" s="28">
        <f>M107*(21-7)/(21-M116)</f>
        <v>0.38009049773755665</v>
      </c>
    </row>
    <row r="122" spans="2:13" ht="12.75">
      <c r="B122" s="15" t="s">
        <v>185</v>
      </c>
      <c r="C122" s="15" t="s">
        <v>208</v>
      </c>
      <c r="D122" s="15" t="s">
        <v>12</v>
      </c>
      <c r="E122" s="15" t="s">
        <v>35</v>
      </c>
      <c r="G122" s="28">
        <f>(2*G121)+G120</f>
        <v>110.32000000000001</v>
      </c>
      <c r="I122" s="28">
        <f>(2*I121)+I120</f>
        <v>114.16901408450704</v>
      </c>
      <c r="K122" s="28">
        <f>(2*K121)+K120</f>
        <v>109.76</v>
      </c>
      <c r="L122" s="28"/>
      <c r="M122" s="28">
        <f>(2*M121)+M120</f>
        <v>111.36651583710406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158"/>
  <sheetViews>
    <sheetView zoomScale="75" zoomScaleNormal="75" workbookViewId="0" topLeftCell="B61">
      <selection activeCell="H20" sqref="H20"/>
    </sheetView>
  </sheetViews>
  <sheetFormatPr defaultColWidth="9.140625" defaultRowHeight="12.75"/>
  <cols>
    <col min="1" max="1" width="9.140625" style="15" hidden="1" customWidth="1"/>
    <col min="2" max="2" width="18.8515625" style="15" customWidth="1"/>
    <col min="3" max="3" width="2.28125" style="15" customWidth="1"/>
    <col min="4" max="4" width="10.00390625" style="15" customWidth="1"/>
    <col min="5" max="5" width="4.28125" style="19" customWidth="1"/>
    <col min="6" max="6" width="11.421875" style="19" customWidth="1"/>
    <col min="7" max="7" width="4.7109375" style="19" customWidth="1"/>
    <col min="8" max="8" width="12.140625" style="19" customWidth="1"/>
    <col min="9" max="9" width="4.8515625" style="19" customWidth="1"/>
    <col min="10" max="10" width="13.00390625" style="19" customWidth="1"/>
    <col min="11" max="11" width="4.8515625" style="19" customWidth="1"/>
    <col min="12" max="12" width="10.421875" style="15" customWidth="1"/>
    <col min="13" max="13" width="2.7109375" style="15" customWidth="1"/>
    <col min="14" max="14" width="12.28125" style="15" customWidth="1"/>
    <col min="15" max="15" width="2.7109375" style="15" customWidth="1"/>
    <col min="16" max="16" width="11.8515625" style="15" customWidth="1"/>
    <col min="17" max="17" width="2.7109375" style="15" customWidth="1"/>
    <col min="18" max="18" width="7.7109375" style="15" customWidth="1"/>
    <col min="19" max="19" width="2.7109375" style="15" customWidth="1"/>
    <col min="20" max="20" width="9.28125" style="15" customWidth="1"/>
    <col min="21" max="21" width="4.28125" style="15" customWidth="1"/>
    <col min="22" max="22" width="9.28125" style="15" customWidth="1"/>
    <col min="23" max="23" width="4.00390625" style="15" customWidth="1"/>
    <col min="24" max="24" width="9.28125" style="15" customWidth="1"/>
    <col min="25" max="25" width="4.28125" style="15" customWidth="1"/>
    <col min="26" max="26" width="9.28125" style="15" customWidth="1"/>
    <col min="27" max="27" width="4.28125" style="15" customWidth="1"/>
    <col min="28" max="28" width="9.28125" style="15" customWidth="1"/>
    <col min="29" max="29" width="3.421875" style="15" customWidth="1"/>
    <col min="30" max="30" width="8.7109375" style="15" customWidth="1"/>
    <col min="31" max="31" width="1.8515625" style="15" customWidth="1"/>
    <col min="32" max="32" width="8.8515625" style="15" customWidth="1"/>
    <col min="33" max="33" width="1.8515625" style="15" customWidth="1"/>
    <col min="34" max="34" width="8.7109375" style="15" customWidth="1"/>
    <col min="35" max="35" width="1.8515625" style="15" customWidth="1"/>
    <col min="36" max="36" width="9.28125" style="15" customWidth="1"/>
    <col min="37" max="37" width="3.7109375" style="15" customWidth="1"/>
    <col min="38" max="38" width="8.57421875" style="15" customWidth="1"/>
    <col min="39" max="39" width="4.00390625" style="15" customWidth="1"/>
    <col min="40" max="40" width="8.57421875" style="15" customWidth="1"/>
    <col min="41" max="41" width="4.57421875" style="15" customWidth="1"/>
    <col min="42" max="42" width="10.140625" style="15" customWidth="1"/>
    <col min="43" max="43" width="4.140625" style="15" customWidth="1"/>
    <col min="44" max="44" width="9.00390625" style="15" customWidth="1"/>
    <col min="45" max="45" width="10.8515625" style="15" customWidth="1"/>
    <col min="46" max="46" width="4.00390625" style="15" customWidth="1"/>
    <col min="47" max="47" width="9.421875" style="15" customWidth="1"/>
    <col min="48" max="48" width="9.57421875" style="15" customWidth="1"/>
    <col min="49" max="49" width="9.140625" style="15" customWidth="1"/>
    <col min="50" max="50" width="5.421875" style="15" customWidth="1"/>
    <col min="51" max="51" width="11.421875" style="15" customWidth="1"/>
    <col min="52" max="52" width="9.28125" style="15" customWidth="1"/>
    <col min="53" max="53" width="10.421875" style="15" bestFit="1" customWidth="1"/>
    <col min="54" max="16384" width="11.421875" style="15" customWidth="1"/>
  </cols>
  <sheetData>
    <row r="1" spans="2:3" ht="12.75">
      <c r="B1" s="26" t="s">
        <v>145</v>
      </c>
      <c r="C1" s="26"/>
    </row>
    <row r="2" spans="2:3" ht="12.75">
      <c r="B2" s="26"/>
      <c r="C2" s="26"/>
    </row>
    <row r="4" spans="1:44" ht="12.75">
      <c r="A4" s="15" t="s">
        <v>190</v>
      </c>
      <c r="B4" s="26" t="s">
        <v>101</v>
      </c>
      <c r="C4" s="26"/>
      <c r="F4" s="19" t="s">
        <v>198</v>
      </c>
      <c r="H4" s="19" t="s">
        <v>199</v>
      </c>
      <c r="J4" s="19" t="s">
        <v>200</v>
      </c>
      <c r="L4" s="15" t="s">
        <v>34</v>
      </c>
      <c r="N4" s="19" t="s">
        <v>198</v>
      </c>
      <c r="O4" s="19"/>
      <c r="P4" s="19" t="s">
        <v>199</v>
      </c>
      <c r="Q4" s="19"/>
      <c r="R4" s="19" t="s">
        <v>200</v>
      </c>
      <c r="S4" s="19"/>
      <c r="T4" s="15" t="s">
        <v>34</v>
      </c>
      <c r="V4" s="19" t="s">
        <v>198</v>
      </c>
      <c r="W4" s="19"/>
      <c r="X4" s="19" t="s">
        <v>199</v>
      </c>
      <c r="Y4" s="19"/>
      <c r="Z4" s="19" t="s">
        <v>200</v>
      </c>
      <c r="AA4" s="19"/>
      <c r="AB4" s="15" t="s">
        <v>34</v>
      </c>
      <c r="AD4" s="19" t="s">
        <v>198</v>
      </c>
      <c r="AE4" s="19"/>
      <c r="AF4" s="19" t="s">
        <v>199</v>
      </c>
      <c r="AG4" s="19"/>
      <c r="AH4" s="19" t="s">
        <v>200</v>
      </c>
      <c r="AI4" s="19"/>
      <c r="AJ4" s="15" t="s">
        <v>34</v>
      </c>
      <c r="AL4" s="19" t="s">
        <v>198</v>
      </c>
      <c r="AM4" s="19"/>
      <c r="AN4" s="19" t="s">
        <v>199</v>
      </c>
      <c r="AO4" s="19"/>
      <c r="AP4" s="19" t="s">
        <v>200</v>
      </c>
      <c r="AQ4" s="19"/>
      <c r="AR4" s="15" t="s">
        <v>34</v>
      </c>
    </row>
    <row r="6" spans="2:44" ht="12.75">
      <c r="B6" s="15" t="s">
        <v>215</v>
      </c>
      <c r="F6" s="19" t="s">
        <v>218</v>
      </c>
      <c r="H6" s="19" t="s">
        <v>218</v>
      </c>
      <c r="J6" s="19" t="s">
        <v>218</v>
      </c>
      <c r="L6" s="19" t="s">
        <v>218</v>
      </c>
      <c r="N6" s="19" t="s">
        <v>219</v>
      </c>
      <c r="P6" s="19" t="s">
        <v>219</v>
      </c>
      <c r="R6" s="19" t="s">
        <v>219</v>
      </c>
      <c r="T6" s="19" t="s">
        <v>219</v>
      </c>
      <c r="U6" s="19"/>
      <c r="V6" s="19"/>
      <c r="W6" s="19"/>
      <c r="X6" s="19"/>
      <c r="Y6" s="19"/>
      <c r="Z6" s="19"/>
      <c r="AA6" s="19"/>
      <c r="AB6" s="19"/>
      <c r="AD6" s="19" t="s">
        <v>220</v>
      </c>
      <c r="AF6" s="19" t="s">
        <v>220</v>
      </c>
      <c r="AH6" s="19" t="s">
        <v>220</v>
      </c>
      <c r="AJ6" s="19" t="s">
        <v>220</v>
      </c>
      <c r="AL6" s="19" t="s">
        <v>221</v>
      </c>
      <c r="AN6" s="19" t="s">
        <v>221</v>
      </c>
      <c r="AP6" s="19" t="s">
        <v>221</v>
      </c>
      <c r="AR6" s="19" t="s">
        <v>221</v>
      </c>
    </row>
    <row r="7" spans="2:44" ht="12.75">
      <c r="B7" s="15" t="s">
        <v>216</v>
      </c>
      <c r="F7" s="19" t="s">
        <v>217</v>
      </c>
      <c r="H7" s="19" t="s">
        <v>217</v>
      </c>
      <c r="J7" s="19" t="s">
        <v>217</v>
      </c>
      <c r="L7" s="19" t="s">
        <v>217</v>
      </c>
      <c r="N7" s="19" t="s">
        <v>217</v>
      </c>
      <c r="P7" s="19" t="s">
        <v>217</v>
      </c>
      <c r="R7" s="19" t="s">
        <v>217</v>
      </c>
      <c r="T7" s="19" t="s">
        <v>217</v>
      </c>
      <c r="U7" s="19"/>
      <c r="V7" s="19"/>
      <c r="W7" s="19"/>
      <c r="X7" s="19"/>
      <c r="Y7" s="19"/>
      <c r="Z7" s="19"/>
      <c r="AA7" s="19"/>
      <c r="AB7" s="19"/>
      <c r="AD7" s="19" t="s">
        <v>14</v>
      </c>
      <c r="AF7" s="19" t="s">
        <v>14</v>
      </c>
      <c r="AH7" s="19" t="s">
        <v>14</v>
      </c>
      <c r="AJ7" s="19" t="s">
        <v>14</v>
      </c>
      <c r="AL7" s="19" t="s">
        <v>54</v>
      </c>
      <c r="AN7" s="19" t="s">
        <v>54</v>
      </c>
      <c r="AP7" s="19" t="s">
        <v>54</v>
      </c>
      <c r="AR7" s="19" t="s">
        <v>54</v>
      </c>
    </row>
    <row r="8" spans="2:44" ht="12.75">
      <c r="B8" s="15" t="s">
        <v>222</v>
      </c>
      <c r="L8" s="19"/>
      <c r="N8" s="19"/>
      <c r="P8" s="19"/>
      <c r="R8" s="19"/>
      <c r="T8" s="19"/>
      <c r="U8" s="19"/>
      <c r="V8" s="19" t="s">
        <v>1</v>
      </c>
      <c r="W8" s="19"/>
      <c r="X8" s="19" t="s">
        <v>1</v>
      </c>
      <c r="Y8" s="19"/>
      <c r="Z8" s="19" t="s">
        <v>1</v>
      </c>
      <c r="AA8" s="19"/>
      <c r="AB8" s="19" t="s">
        <v>1</v>
      </c>
      <c r="AD8" s="19" t="s">
        <v>14</v>
      </c>
      <c r="AF8" s="19" t="s">
        <v>14</v>
      </c>
      <c r="AH8" s="19" t="s">
        <v>14</v>
      </c>
      <c r="AJ8" s="19" t="s">
        <v>14</v>
      </c>
      <c r="AL8" s="19" t="s">
        <v>54</v>
      </c>
      <c r="AN8" s="19" t="s">
        <v>54</v>
      </c>
      <c r="AP8" s="19" t="s">
        <v>54</v>
      </c>
      <c r="AR8" s="19" t="s">
        <v>54</v>
      </c>
    </row>
    <row r="9" spans="2:44" ht="12.75">
      <c r="B9" s="15" t="s">
        <v>192</v>
      </c>
      <c r="F9" s="33" t="s">
        <v>94</v>
      </c>
      <c r="H9" s="33" t="s">
        <v>94</v>
      </c>
      <c r="J9" s="33" t="s">
        <v>94</v>
      </c>
      <c r="L9" s="33" t="s">
        <v>94</v>
      </c>
      <c r="M9" s="33"/>
      <c r="N9" s="33" t="s">
        <v>100</v>
      </c>
      <c r="O9" s="33"/>
      <c r="P9" s="33" t="s">
        <v>100</v>
      </c>
      <c r="Q9" s="33"/>
      <c r="R9" s="33" t="s">
        <v>100</v>
      </c>
      <c r="S9" s="33"/>
      <c r="T9" s="33" t="s">
        <v>100</v>
      </c>
      <c r="U9" s="33"/>
      <c r="V9" s="33"/>
      <c r="W9" s="33"/>
      <c r="X9" s="33"/>
      <c r="Y9" s="33"/>
      <c r="Z9" s="33"/>
      <c r="AA9" s="33"/>
      <c r="AB9" s="33"/>
      <c r="AC9" s="33"/>
      <c r="AD9" s="33" t="s">
        <v>14</v>
      </c>
      <c r="AE9" s="33"/>
      <c r="AF9" s="33" t="s">
        <v>14</v>
      </c>
      <c r="AG9" s="33"/>
      <c r="AH9" s="33" t="s">
        <v>14</v>
      </c>
      <c r="AI9" s="33"/>
      <c r="AJ9" s="33" t="s">
        <v>14</v>
      </c>
      <c r="AK9" s="33"/>
      <c r="AL9" s="33" t="s">
        <v>54</v>
      </c>
      <c r="AM9" s="33"/>
      <c r="AN9" s="33" t="s">
        <v>54</v>
      </c>
      <c r="AO9" s="33"/>
      <c r="AP9" s="33" t="s">
        <v>54</v>
      </c>
      <c r="AQ9" s="33"/>
      <c r="AR9" s="33" t="s">
        <v>54</v>
      </c>
    </row>
    <row r="10" spans="2:36" ht="12.75">
      <c r="B10" s="15" t="s">
        <v>191</v>
      </c>
      <c r="D10" s="15" t="s">
        <v>91</v>
      </c>
      <c r="F10" s="33">
        <v>5352480</v>
      </c>
      <c r="G10" s="33"/>
      <c r="H10" s="33">
        <v>5411448</v>
      </c>
      <c r="I10" s="33"/>
      <c r="J10" s="33">
        <v>5429592</v>
      </c>
      <c r="L10" s="28">
        <f>AVERAGE(J10,H10,F10)</f>
        <v>5397840</v>
      </c>
      <c r="N10" s="15">
        <v>1728216</v>
      </c>
      <c r="P10" s="15">
        <v>1750896</v>
      </c>
      <c r="R10" s="15">
        <v>1750896</v>
      </c>
      <c r="T10" s="28">
        <f>AVERAGE(R10,P10,N10)</f>
        <v>1743336</v>
      </c>
      <c r="U10" s="28"/>
      <c r="V10" s="28"/>
      <c r="W10" s="28"/>
      <c r="X10" s="28"/>
      <c r="Y10" s="28"/>
      <c r="Z10" s="28"/>
      <c r="AA10" s="28"/>
      <c r="AB10" s="28"/>
      <c r="AD10" s="15">
        <v>30704</v>
      </c>
      <c r="AF10" s="15">
        <v>31788</v>
      </c>
      <c r="AH10" s="15">
        <v>31720</v>
      </c>
      <c r="AJ10" s="28">
        <f>AVERAGE(AH10,AF10,AD10)</f>
        <v>31404</v>
      </c>
    </row>
    <row r="11" spans="2:36" ht="12.75">
      <c r="B11" s="15" t="s">
        <v>42</v>
      </c>
      <c r="D11" s="15" t="s">
        <v>46</v>
      </c>
      <c r="F11" s="27">
        <v>8239.999147435266</v>
      </c>
      <c r="H11" s="27">
        <v>8239.999147435266</v>
      </c>
      <c r="J11" s="27">
        <v>8239.999147435266</v>
      </c>
      <c r="L11" s="28">
        <f aca="true" t="shared" si="0" ref="L11:L24">AVERAGE(J11,H11,F11)</f>
        <v>8239.999147435266</v>
      </c>
      <c r="N11" s="27">
        <v>5301.272250295137</v>
      </c>
      <c r="P11" s="27">
        <v>5301.272250295137</v>
      </c>
      <c r="R11" s="27">
        <v>5301.272250295137</v>
      </c>
      <c r="T11" s="28">
        <f>AVERAGE(R11,P11,N11)</f>
        <v>5301.272250295137</v>
      </c>
      <c r="U11" s="28"/>
      <c r="V11" s="28"/>
      <c r="W11" s="28"/>
      <c r="X11" s="28"/>
      <c r="Y11" s="28"/>
      <c r="Z11" s="28"/>
      <c r="AA11" s="28"/>
      <c r="AB11" s="28"/>
      <c r="AC11" s="27"/>
      <c r="AD11" s="27"/>
      <c r="AE11" s="27"/>
      <c r="AF11" s="27"/>
      <c r="AG11" s="27"/>
      <c r="AH11" s="27"/>
      <c r="AI11" s="27"/>
      <c r="AJ11" s="15">
        <v>0</v>
      </c>
    </row>
    <row r="12" spans="2:44" ht="12.75">
      <c r="B12" s="15" t="s">
        <v>189</v>
      </c>
      <c r="D12" s="15" t="s">
        <v>140</v>
      </c>
      <c r="F12" s="33">
        <v>97.9</v>
      </c>
      <c r="G12" s="33"/>
      <c r="H12" s="33">
        <v>97.6</v>
      </c>
      <c r="I12" s="33"/>
      <c r="J12" s="33">
        <v>98.4</v>
      </c>
      <c r="L12" s="28">
        <f t="shared" si="0"/>
        <v>97.96666666666665</v>
      </c>
      <c r="N12" s="15">
        <v>25.5</v>
      </c>
      <c r="P12" s="15">
        <v>20.7</v>
      </c>
      <c r="R12" s="15">
        <v>14.8</v>
      </c>
      <c r="T12" s="28">
        <f>AVERAGE(R12,P12,N12)</f>
        <v>20.333333333333332</v>
      </c>
      <c r="U12" s="28"/>
      <c r="V12" s="28">
        <f>F12+N12</f>
        <v>123.4</v>
      </c>
      <c r="W12" s="28"/>
      <c r="X12" s="28">
        <f>H12+P12</f>
        <v>118.3</v>
      </c>
      <c r="Y12" s="28"/>
      <c r="Z12" s="28">
        <f>J12+R12</f>
        <v>113.2</v>
      </c>
      <c r="AA12" s="28"/>
      <c r="AB12" s="28">
        <f>L12+T12</f>
        <v>118.29999999999998</v>
      </c>
      <c r="AC12" s="28"/>
      <c r="AD12" s="28"/>
      <c r="AE12" s="28"/>
      <c r="AF12" s="28"/>
      <c r="AG12" s="28"/>
      <c r="AH12" s="28"/>
      <c r="AI12" s="28"/>
      <c r="AJ12" s="15">
        <v>0</v>
      </c>
      <c r="AL12" s="28">
        <f>SUM(AD12,N12,F12)</f>
        <v>123.4</v>
      </c>
      <c r="AN12" s="28">
        <f>SUM(AF12,P12,H12)</f>
        <v>118.3</v>
      </c>
      <c r="AP12" s="28">
        <f>SUM(AH12,R12,J12)</f>
        <v>113.2</v>
      </c>
      <c r="AR12" s="28">
        <f>SUM(AJ12,T12,L12)</f>
        <v>118.29999999999998</v>
      </c>
    </row>
    <row r="13" spans="2:43" ht="12.75">
      <c r="B13" s="15" t="s">
        <v>9</v>
      </c>
      <c r="D13" s="15" t="s">
        <v>91</v>
      </c>
      <c r="F13" s="33">
        <v>2670</v>
      </c>
      <c r="G13" s="33"/>
      <c r="H13" s="33">
        <v>2710</v>
      </c>
      <c r="I13" s="33"/>
      <c r="J13" s="33">
        <v>2710</v>
      </c>
      <c r="L13" s="28">
        <f t="shared" si="0"/>
        <v>2696.6666666666665</v>
      </c>
      <c r="N13" s="15">
        <v>864</v>
      </c>
      <c r="P13" s="15">
        <v>875</v>
      </c>
      <c r="R13" s="15">
        <v>875</v>
      </c>
      <c r="T13" s="28">
        <f>AVERAGE(R13,P13,N13)</f>
        <v>871.3333333333334</v>
      </c>
      <c r="U13" s="28"/>
      <c r="V13" s="28"/>
      <c r="W13" s="28"/>
      <c r="X13" s="28"/>
      <c r="Y13" s="28"/>
      <c r="Z13" s="28"/>
      <c r="AA13" s="28"/>
      <c r="AB13" s="28"/>
      <c r="AC13" s="27"/>
      <c r="AD13" s="27">
        <v>1995.84</v>
      </c>
      <c r="AE13" s="27"/>
      <c r="AF13" s="27">
        <v>2159.136</v>
      </c>
      <c r="AG13" s="27"/>
      <c r="AH13" s="27">
        <v>2159.136</v>
      </c>
      <c r="AI13" s="27"/>
      <c r="AJ13" s="28">
        <f>AVERAGE(AH13,AF13,AD13)</f>
        <v>2104.704</v>
      </c>
      <c r="AK13" s="28"/>
      <c r="AL13" s="28"/>
      <c r="AM13" s="28"/>
      <c r="AN13" s="28"/>
      <c r="AO13" s="28"/>
      <c r="AP13" s="28"/>
      <c r="AQ13" s="28"/>
    </row>
    <row r="14" spans="2:12" ht="12.75">
      <c r="B14" s="15" t="s">
        <v>44</v>
      </c>
      <c r="D14" s="15" t="s">
        <v>91</v>
      </c>
      <c r="E14" s="19" t="s">
        <v>39</v>
      </c>
      <c r="F14" s="33">
        <v>681.307</v>
      </c>
      <c r="G14" s="19" t="s">
        <v>39</v>
      </c>
      <c r="H14" s="33">
        <v>701.719</v>
      </c>
      <c r="I14" s="19" t="s">
        <v>39</v>
      </c>
      <c r="J14" s="33">
        <v>708.524</v>
      </c>
      <c r="L14" s="28">
        <f t="shared" si="0"/>
        <v>697.1833333333334</v>
      </c>
    </row>
    <row r="15" spans="2:12" ht="12.75">
      <c r="B15" s="15" t="s">
        <v>82</v>
      </c>
      <c r="D15" s="15" t="s">
        <v>91</v>
      </c>
      <c r="E15" s="19" t="s">
        <v>39</v>
      </c>
      <c r="F15" s="33">
        <v>10.727</v>
      </c>
      <c r="G15" s="19" t="s">
        <v>39</v>
      </c>
      <c r="H15" s="33">
        <v>11.053</v>
      </c>
      <c r="I15" s="19" t="s">
        <v>39</v>
      </c>
      <c r="J15" s="33">
        <v>11.336</v>
      </c>
      <c r="L15" s="28">
        <f t="shared" si="0"/>
        <v>11.038666666666666</v>
      </c>
    </row>
    <row r="16" spans="2:12" ht="12.75">
      <c r="B16" s="15" t="s">
        <v>83</v>
      </c>
      <c r="D16" s="15" t="s">
        <v>91</v>
      </c>
      <c r="E16" s="19" t="s">
        <v>39</v>
      </c>
      <c r="F16" s="33">
        <v>0.58</v>
      </c>
      <c r="G16" s="19" t="s">
        <v>39</v>
      </c>
      <c r="H16" s="33">
        <v>0.568</v>
      </c>
      <c r="I16" s="19" t="s">
        <v>39</v>
      </c>
      <c r="J16" s="33">
        <v>0.567</v>
      </c>
      <c r="L16" s="28">
        <f t="shared" si="0"/>
        <v>0.5716666666666667</v>
      </c>
    </row>
    <row r="17" spans="2:12" ht="12.75">
      <c r="B17" s="15" t="s">
        <v>84</v>
      </c>
      <c r="D17" s="15" t="s">
        <v>91</v>
      </c>
      <c r="F17" s="33">
        <v>0.425</v>
      </c>
      <c r="H17" s="33">
        <v>0.351</v>
      </c>
      <c r="J17" s="33">
        <v>0.497</v>
      </c>
      <c r="L17" s="28">
        <f t="shared" si="0"/>
        <v>0.4243333333333333</v>
      </c>
    </row>
    <row r="18" spans="2:12" ht="12.75">
      <c r="B18" s="15" t="s">
        <v>85</v>
      </c>
      <c r="D18" s="15" t="s">
        <v>91</v>
      </c>
      <c r="F18" s="33">
        <v>0.34</v>
      </c>
      <c r="H18" s="33">
        <v>0.351</v>
      </c>
      <c r="J18" s="33">
        <v>0.355</v>
      </c>
      <c r="L18" s="28">
        <f t="shared" si="0"/>
        <v>0.3486666666666667</v>
      </c>
    </row>
    <row r="19" spans="2:12" ht="12.75">
      <c r="B19" s="15" t="s">
        <v>86</v>
      </c>
      <c r="D19" s="15" t="s">
        <v>91</v>
      </c>
      <c r="E19" s="19" t="s">
        <v>39</v>
      </c>
      <c r="F19" s="33">
        <v>0.136</v>
      </c>
      <c r="G19" s="19" t="s">
        <v>39</v>
      </c>
      <c r="H19" s="33">
        <v>0.14</v>
      </c>
      <c r="I19" s="19" t="s">
        <v>39</v>
      </c>
      <c r="J19" s="33">
        <v>0.142</v>
      </c>
      <c r="L19" s="28">
        <f t="shared" si="0"/>
        <v>0.13933333333333334</v>
      </c>
    </row>
    <row r="20" spans="2:34" ht="12.75">
      <c r="B20" s="15" t="s">
        <v>98</v>
      </c>
      <c r="D20" s="15" t="s">
        <v>91</v>
      </c>
      <c r="F20" s="33">
        <v>185.983</v>
      </c>
      <c r="H20" s="33">
        <v>148.145</v>
      </c>
      <c r="J20" s="33">
        <v>171.267</v>
      </c>
      <c r="L20" s="28">
        <f t="shared" si="0"/>
        <v>168.465</v>
      </c>
      <c r="AD20" s="15">
        <v>344.736</v>
      </c>
      <c r="AF20" s="15">
        <v>340.2</v>
      </c>
      <c r="AH20" s="15">
        <v>344.736</v>
      </c>
    </row>
    <row r="21" spans="2:12" ht="12.75">
      <c r="B21" s="15" t="s">
        <v>87</v>
      </c>
      <c r="D21" s="15" t="s">
        <v>91</v>
      </c>
      <c r="E21" s="19" t="s">
        <v>39</v>
      </c>
      <c r="F21" s="33">
        <v>10.901</v>
      </c>
      <c r="G21" s="19" t="s">
        <v>39</v>
      </c>
      <c r="H21" s="33">
        <v>11.227</v>
      </c>
      <c r="I21" s="19" t="s">
        <v>39</v>
      </c>
      <c r="J21" s="33">
        <v>11.336</v>
      </c>
      <c r="L21" s="28">
        <f t="shared" si="0"/>
        <v>11.154666666666666</v>
      </c>
    </row>
    <row r="22" spans="2:12" ht="12.75">
      <c r="B22" s="15" t="s">
        <v>88</v>
      </c>
      <c r="D22" s="15" t="s">
        <v>91</v>
      </c>
      <c r="E22" s="19" t="s">
        <v>39</v>
      </c>
      <c r="F22" s="33">
        <v>0.068</v>
      </c>
      <c r="G22" s="19" t="s">
        <v>39</v>
      </c>
      <c r="H22" s="33">
        <v>0.07</v>
      </c>
      <c r="I22" s="19" t="s">
        <v>39</v>
      </c>
      <c r="J22" s="33">
        <v>0.071</v>
      </c>
      <c r="L22" s="28">
        <f t="shared" si="0"/>
        <v>0.06966666666666667</v>
      </c>
    </row>
    <row r="23" spans="2:12" ht="12.75">
      <c r="B23" s="15" t="s">
        <v>89</v>
      </c>
      <c r="D23" s="15" t="s">
        <v>91</v>
      </c>
      <c r="E23" s="19" t="s">
        <v>39</v>
      </c>
      <c r="F23" s="33">
        <v>1.704</v>
      </c>
      <c r="G23" s="19" t="s">
        <v>39</v>
      </c>
      <c r="H23" s="33">
        <v>1.755</v>
      </c>
      <c r="I23" s="19" t="s">
        <v>39</v>
      </c>
      <c r="J23" s="33">
        <v>1.772</v>
      </c>
      <c r="L23" s="28">
        <f t="shared" si="0"/>
        <v>1.7436666666666667</v>
      </c>
    </row>
    <row r="24" spans="2:12" ht="12.75">
      <c r="B24" s="15" t="s">
        <v>90</v>
      </c>
      <c r="D24" s="15" t="s">
        <v>91</v>
      </c>
      <c r="E24" s="19" t="s">
        <v>39</v>
      </c>
      <c r="F24" s="33">
        <v>43.254</v>
      </c>
      <c r="G24" s="19" t="s">
        <v>39</v>
      </c>
      <c r="H24" s="33">
        <v>44.56</v>
      </c>
      <c r="I24" s="19" t="s">
        <v>39</v>
      </c>
      <c r="J24" s="33">
        <v>44.637</v>
      </c>
      <c r="L24" s="28">
        <f t="shared" si="0"/>
        <v>44.15033333333333</v>
      </c>
    </row>
    <row r="26" spans="2:44" ht="12.75">
      <c r="B26" s="15" t="s">
        <v>45</v>
      </c>
      <c r="D26" s="15" t="s">
        <v>16</v>
      </c>
      <c r="F26" s="33">
        <f>emiss!$G$16</f>
        <v>75566</v>
      </c>
      <c r="H26" s="33">
        <f>emiss!$I$16</f>
        <v>77242</v>
      </c>
      <c r="J26" s="33">
        <f>emiss!$K$16</f>
        <v>75543</v>
      </c>
      <c r="L26" s="53">
        <f>emiss!$M$16</f>
        <v>76117</v>
      </c>
      <c r="N26" s="33">
        <f>emiss!$G$16</f>
        <v>75566</v>
      </c>
      <c r="O26" s="19"/>
      <c r="P26" s="33">
        <f>emiss!$I$16</f>
        <v>77242</v>
      </c>
      <c r="Q26" s="19"/>
      <c r="R26" s="33">
        <f>emiss!$K$16</f>
        <v>75543</v>
      </c>
      <c r="S26" s="19"/>
      <c r="T26" s="53">
        <f>emiss!$M$16</f>
        <v>76117</v>
      </c>
      <c r="U26" s="53"/>
      <c r="V26" s="53"/>
      <c r="W26" s="53"/>
      <c r="X26" s="53"/>
      <c r="Y26" s="53"/>
      <c r="Z26" s="53"/>
      <c r="AA26" s="53"/>
      <c r="AB26" s="53"/>
      <c r="AD26" s="33">
        <f>emiss!$G$16</f>
        <v>75566</v>
      </c>
      <c r="AE26" s="19"/>
      <c r="AF26" s="33">
        <f>emiss!$I$16</f>
        <v>77242</v>
      </c>
      <c r="AG26" s="19"/>
      <c r="AH26" s="33">
        <f>emiss!$K$16</f>
        <v>75543</v>
      </c>
      <c r="AI26" s="19"/>
      <c r="AJ26" s="53">
        <f>emiss!$M$16</f>
        <v>76117</v>
      </c>
      <c r="AL26" s="33">
        <f>emiss!$G$16</f>
        <v>75566</v>
      </c>
      <c r="AM26" s="19"/>
      <c r="AN26" s="33">
        <f>emiss!$I$16</f>
        <v>77242</v>
      </c>
      <c r="AO26" s="19"/>
      <c r="AP26" s="33">
        <f>emiss!$K$16</f>
        <v>75543</v>
      </c>
      <c r="AQ26" s="19"/>
      <c r="AR26" s="53">
        <f>emiss!$M$16</f>
        <v>76117</v>
      </c>
    </row>
    <row r="27" spans="2:44" ht="12.75">
      <c r="B27" s="15" t="s">
        <v>10</v>
      </c>
      <c r="D27" s="15" t="s">
        <v>17</v>
      </c>
      <c r="F27" s="33">
        <f>emiss!$G$17</f>
        <v>9.1</v>
      </c>
      <c r="H27" s="33">
        <f>emiss!$I$17</f>
        <v>9.2</v>
      </c>
      <c r="J27" s="33">
        <f>emiss!$K$17</f>
        <v>9.4</v>
      </c>
      <c r="L27" s="53">
        <f>emiss!$M$17</f>
        <v>9.233333333333333</v>
      </c>
      <c r="N27" s="33">
        <f>emiss!$G$17</f>
        <v>9.1</v>
      </c>
      <c r="O27" s="19"/>
      <c r="P27" s="33">
        <f>emiss!$I$17</f>
        <v>9.2</v>
      </c>
      <c r="Q27" s="19"/>
      <c r="R27" s="33">
        <f>emiss!$K$17</f>
        <v>9.4</v>
      </c>
      <c r="S27" s="19"/>
      <c r="T27" s="53">
        <f>emiss!$M$17</f>
        <v>9.233333333333333</v>
      </c>
      <c r="U27" s="53"/>
      <c r="V27" s="53"/>
      <c r="W27" s="53"/>
      <c r="X27" s="53"/>
      <c r="Y27" s="53"/>
      <c r="Z27" s="53"/>
      <c r="AA27" s="53"/>
      <c r="AB27" s="53"/>
      <c r="AC27" s="28"/>
      <c r="AD27" s="33">
        <f>emiss!$G$17</f>
        <v>9.1</v>
      </c>
      <c r="AE27" s="19"/>
      <c r="AF27" s="33">
        <f>emiss!$I$17</f>
        <v>9.2</v>
      </c>
      <c r="AG27" s="19"/>
      <c r="AH27" s="33">
        <f>emiss!$K$17</f>
        <v>9.4</v>
      </c>
      <c r="AI27" s="19"/>
      <c r="AJ27" s="53">
        <f>emiss!$M$17</f>
        <v>9.233333333333333</v>
      </c>
      <c r="AK27" s="28"/>
      <c r="AL27" s="33">
        <f>emiss!$G$17</f>
        <v>9.1</v>
      </c>
      <c r="AM27" s="19"/>
      <c r="AN27" s="33">
        <f>emiss!$I$17</f>
        <v>9.2</v>
      </c>
      <c r="AO27" s="19"/>
      <c r="AP27" s="33">
        <f>emiss!$K$17</f>
        <v>9.4</v>
      </c>
      <c r="AQ27" s="19"/>
      <c r="AR27" s="53">
        <f>emiss!$M$17</f>
        <v>9.233333333333333</v>
      </c>
    </row>
    <row r="28" ht="12.75">
      <c r="L28" s="28"/>
    </row>
    <row r="29" spans="2:44" ht="12.75">
      <c r="B29" s="15" t="s">
        <v>223</v>
      </c>
      <c r="D29" s="15" t="s">
        <v>140</v>
      </c>
      <c r="L29" s="28"/>
      <c r="AL29" s="28">
        <f>AL26/9000*(21-AL27)/21*60</f>
        <v>285.47155555555554</v>
      </c>
      <c r="AN29" s="28">
        <f>AN26/9000*(21-AN27)/21*60</f>
        <v>289.3509841269841</v>
      </c>
      <c r="AP29" s="28">
        <f>AP26/9000*(21-AP27)/21*60</f>
        <v>278.19009523809524</v>
      </c>
      <c r="AR29" s="28">
        <f>AR26/9000*(21-AR27)/21*60</f>
        <v>284.33122751322753</v>
      </c>
    </row>
    <row r="30" spans="12:44" ht="12.75">
      <c r="L30" s="28"/>
      <c r="AR30" s="28"/>
    </row>
    <row r="31" spans="2:44" ht="12.75">
      <c r="B31" s="54" t="s">
        <v>148</v>
      </c>
      <c r="C31" s="54"/>
      <c r="L31" s="28"/>
      <c r="AR31" s="28"/>
    </row>
    <row r="32" spans="2:44" ht="12.75">
      <c r="B32" s="15" t="s">
        <v>9</v>
      </c>
      <c r="D32" s="15" t="s">
        <v>15</v>
      </c>
      <c r="F32" s="28">
        <f>F13/F26/60/0.0283*1000*(21-7)/(21-F27)</f>
        <v>24.48094711976238</v>
      </c>
      <c r="H32" s="28">
        <f>H13/H26/60/0.0283*1000*(21-7)/(21-H27)</f>
        <v>24.514561148175638</v>
      </c>
      <c r="J32" s="28">
        <f>J13/J26/60/0.0283*1000*(21-7)/(21-J27)</f>
        <v>25.498076729132936</v>
      </c>
      <c r="L32" s="28">
        <f>AVERAGE(J32,H32,F32)</f>
        <v>24.83119499902365</v>
      </c>
      <c r="N32" s="28">
        <f>N13/N26/60/0.0283*1000*(21-7)/(21-N27)</f>
        <v>7.921924461226478</v>
      </c>
      <c r="O32" s="19"/>
      <c r="P32" s="28">
        <f>P13/P26/60/0.0283*1000*(21-7)/(21-P27)</f>
        <v>7.915218082898039</v>
      </c>
      <c r="Q32" s="19"/>
      <c r="R32" s="28">
        <f>R13/R26/60/0.0283*1000*(21-7)/(21-R27)</f>
        <v>8.232773851657312</v>
      </c>
      <c r="S32" s="19"/>
      <c r="T32" s="28">
        <f>AVERAGE(R32,P32,N32)</f>
        <v>8.02330546526061</v>
      </c>
      <c r="U32" s="28">
        <v>0</v>
      </c>
      <c r="V32" s="28">
        <f>F32+N32</f>
        <v>32.40287158098886</v>
      </c>
      <c r="W32" s="28">
        <v>0</v>
      </c>
      <c r="X32" s="28">
        <f>H32+P32</f>
        <v>32.429779231073674</v>
      </c>
      <c r="Y32" s="28">
        <v>0</v>
      </c>
      <c r="Z32" s="28">
        <f>J32+R32</f>
        <v>33.730850580790246</v>
      </c>
      <c r="AA32" s="28">
        <v>0</v>
      </c>
      <c r="AB32" s="28">
        <f>L32+T32</f>
        <v>32.85450046428426</v>
      </c>
      <c r="AC32" s="28"/>
      <c r="AD32" s="28">
        <f>AD13/AD26/60/0.0283*1000*(21-7)/(21-AD27)</f>
        <v>18.299645505433165</v>
      </c>
      <c r="AE32" s="19"/>
      <c r="AF32" s="28">
        <f>AF13/AF26/60/0.0283*1000*(21-7)/(21-AF27)</f>
        <v>19.53146549786987</v>
      </c>
      <c r="AG32" s="19"/>
      <c r="AH32" s="28">
        <f>AH13/AH26/60/0.0283*1000*(21-7)/(21-AH27)</f>
        <v>20.31506103196796</v>
      </c>
      <c r="AI32" s="19"/>
      <c r="AJ32" s="28">
        <f>AVERAGE(AH32,AF32,AD32)</f>
        <v>19.38205734509033</v>
      </c>
      <c r="AK32" s="27">
        <f>(U32*V32+AC32*AD32)/AL32</f>
        <v>0</v>
      </c>
      <c r="AL32" s="28">
        <f>V32+AD32</f>
        <v>50.70251708642202</v>
      </c>
      <c r="AM32" s="27">
        <f>(W32*X32+AE32*AF32)/AN32</f>
        <v>0</v>
      </c>
      <c r="AN32" s="28">
        <f>X32+AF32</f>
        <v>51.96124472894354</v>
      </c>
      <c r="AO32" s="27">
        <f>(Y32*Z32+AG32*AH32)/AP32</f>
        <v>0</v>
      </c>
      <c r="AP32" s="28">
        <f>Z32+AH32</f>
        <v>54.0459116127582</v>
      </c>
      <c r="AQ32" s="27">
        <f>(AA32*AB32+AI32*AJ32)/AR32</f>
        <v>0</v>
      </c>
      <c r="AR32" s="28">
        <f>AB32+AJ32</f>
        <v>52.23655780937459</v>
      </c>
    </row>
    <row r="33" spans="2:44" ht="12.75">
      <c r="B33" s="15" t="s">
        <v>44</v>
      </c>
      <c r="D33" s="15" t="s">
        <v>130</v>
      </c>
      <c r="E33" s="19">
        <v>100</v>
      </c>
      <c r="F33" s="28">
        <f aca="true" t="shared" si="1" ref="F33:H43">F14/F$26/60/0.0283*1000000*(21-7)/(21-F$27)</f>
        <v>6246.831700121329</v>
      </c>
      <c r="G33" s="19">
        <v>100</v>
      </c>
      <c r="H33" s="28">
        <f t="shared" si="1"/>
        <v>6347.724477615004</v>
      </c>
      <c r="I33" s="19">
        <v>100</v>
      </c>
      <c r="J33" s="28">
        <f aca="true" t="shared" si="2" ref="J33:J43">J14/J$26/60/0.0283*1000000*(21-7)/(21-J$27)</f>
        <v>6666.420411967596</v>
      </c>
      <c r="K33" s="19">
        <v>100</v>
      </c>
      <c r="L33" s="28">
        <f aca="true" t="shared" si="3" ref="L33:L43">AVERAGE(J33,H33,F33)</f>
        <v>6420.32552990131</v>
      </c>
      <c r="U33" s="27">
        <f>E33</f>
        <v>100</v>
      </c>
      <c r="V33" s="28">
        <f>F33+N33</f>
        <v>6246.831700121329</v>
      </c>
      <c r="W33" s="27">
        <f>G33</f>
        <v>100</v>
      </c>
      <c r="X33" s="28">
        <f>H33/2+P33/2</f>
        <v>3173.862238807502</v>
      </c>
      <c r="Y33" s="27">
        <f>I33</f>
        <v>100</v>
      </c>
      <c r="Z33" s="28">
        <f>J33/2+R33/2</f>
        <v>3333.210205983798</v>
      </c>
      <c r="AA33" s="27">
        <f>K33</f>
        <v>100</v>
      </c>
      <c r="AB33" s="28">
        <f>L33+T33</f>
        <v>6420.32552990131</v>
      </c>
      <c r="AK33" s="27">
        <f aca="true" t="shared" si="4" ref="AK33:AQ43">(U33*V33+AC33*AD33)/AL33</f>
        <v>100.00000000000001</v>
      </c>
      <c r="AL33" s="28">
        <f aca="true" t="shared" si="5" ref="AL33:AL46">V33+AD33</f>
        <v>6246.831700121329</v>
      </c>
      <c r="AM33" s="27">
        <f t="shared" si="4"/>
        <v>100</v>
      </c>
      <c r="AN33" s="28">
        <f aca="true" t="shared" si="6" ref="AN33:AN46">X33+AF33</f>
        <v>3173.862238807502</v>
      </c>
      <c r="AO33" s="27">
        <f t="shared" si="4"/>
        <v>100</v>
      </c>
      <c r="AP33" s="28">
        <f aca="true" t="shared" si="7" ref="AP33:AP46">Z33+AH33</f>
        <v>3333.210205983798</v>
      </c>
      <c r="AQ33" s="27">
        <f t="shared" si="4"/>
        <v>100</v>
      </c>
      <c r="AR33" s="28">
        <f aca="true" t="shared" si="8" ref="AR33:AR46">AB33+AJ33</f>
        <v>6420.32552990131</v>
      </c>
    </row>
    <row r="34" spans="2:44" ht="12.75">
      <c r="B34" s="15" t="s">
        <v>82</v>
      </c>
      <c r="D34" s="15" t="s">
        <v>130</v>
      </c>
      <c r="E34" s="19">
        <v>100</v>
      </c>
      <c r="F34" s="28">
        <f t="shared" si="1"/>
        <v>98.35472649950977</v>
      </c>
      <c r="G34" s="19">
        <v>100</v>
      </c>
      <c r="H34" s="28">
        <f t="shared" si="1"/>
        <v>99.98503482316802</v>
      </c>
      <c r="I34" s="19">
        <v>100</v>
      </c>
      <c r="J34" s="28">
        <f t="shared" si="2"/>
        <v>106.65911357987122</v>
      </c>
      <c r="K34" s="19">
        <v>100</v>
      </c>
      <c r="L34" s="28">
        <f t="shared" si="3"/>
        <v>101.666291634183</v>
      </c>
      <c r="U34" s="27">
        <f aca="true" t="shared" si="9" ref="U34:AA43">E34</f>
        <v>100</v>
      </c>
      <c r="V34" s="28">
        <f>F34+N34</f>
        <v>98.35472649950977</v>
      </c>
      <c r="W34" s="27">
        <f t="shared" si="9"/>
        <v>100</v>
      </c>
      <c r="X34" s="28">
        <f>H34+P34</f>
        <v>99.98503482316802</v>
      </c>
      <c r="Y34" s="27">
        <f t="shared" si="9"/>
        <v>100</v>
      </c>
      <c r="Z34" s="28">
        <f>J34+R34</f>
        <v>106.65911357987122</v>
      </c>
      <c r="AA34" s="27">
        <f t="shared" si="9"/>
        <v>100</v>
      </c>
      <c r="AB34" s="28">
        <f>L34+T34</f>
        <v>101.666291634183</v>
      </c>
      <c r="AK34" s="27">
        <f t="shared" si="4"/>
        <v>100</v>
      </c>
      <c r="AL34" s="28">
        <f t="shared" si="5"/>
        <v>98.35472649950977</v>
      </c>
      <c r="AM34" s="27">
        <f t="shared" si="4"/>
        <v>100</v>
      </c>
      <c r="AN34" s="28">
        <f t="shared" si="6"/>
        <v>99.98503482316802</v>
      </c>
      <c r="AO34" s="27">
        <f t="shared" si="4"/>
        <v>99.99999999999999</v>
      </c>
      <c r="AP34" s="28">
        <f t="shared" si="7"/>
        <v>106.65911357987122</v>
      </c>
      <c r="AQ34" s="27">
        <f t="shared" si="4"/>
        <v>100</v>
      </c>
      <c r="AR34" s="28">
        <f t="shared" si="8"/>
        <v>101.666291634183</v>
      </c>
    </row>
    <row r="35" spans="2:44" ht="12.75">
      <c r="B35" s="15" t="s">
        <v>83</v>
      </c>
      <c r="D35" s="15" t="s">
        <v>130</v>
      </c>
      <c r="E35" s="19">
        <v>100</v>
      </c>
      <c r="F35" s="28">
        <f t="shared" si="1"/>
        <v>5.317958550360368</v>
      </c>
      <c r="G35" s="19">
        <v>100</v>
      </c>
      <c r="H35" s="28">
        <f t="shared" si="1"/>
        <v>5.13810728124124</v>
      </c>
      <c r="I35" s="19">
        <v>100</v>
      </c>
      <c r="J35" s="28">
        <f t="shared" si="2"/>
        <v>5.334837455873939</v>
      </c>
      <c r="K35" s="19">
        <v>100</v>
      </c>
      <c r="L35" s="28">
        <f t="shared" si="3"/>
        <v>5.2636344291585155</v>
      </c>
      <c r="U35" s="27">
        <f t="shared" si="9"/>
        <v>100</v>
      </c>
      <c r="V35" s="28">
        <f aca="true" t="shared" si="10" ref="V35:V43">F35+N35</f>
        <v>5.317958550360368</v>
      </c>
      <c r="W35" s="27">
        <f t="shared" si="9"/>
        <v>100</v>
      </c>
      <c r="X35" s="28">
        <f aca="true" t="shared" si="11" ref="X35:X43">H35+P35</f>
        <v>5.13810728124124</v>
      </c>
      <c r="Y35" s="27">
        <f t="shared" si="9"/>
        <v>100</v>
      </c>
      <c r="Z35" s="28">
        <f aca="true" t="shared" si="12" ref="Z35:Z43">J35+R35</f>
        <v>5.334837455873939</v>
      </c>
      <c r="AA35" s="27">
        <f t="shared" si="9"/>
        <v>100</v>
      </c>
      <c r="AB35" s="28">
        <f aca="true" t="shared" si="13" ref="AB35:AB43">L35+T35</f>
        <v>5.2636344291585155</v>
      </c>
      <c r="AK35" s="27">
        <f t="shared" si="4"/>
        <v>100</v>
      </c>
      <c r="AL35" s="28">
        <f t="shared" si="5"/>
        <v>5.317958550360368</v>
      </c>
      <c r="AM35" s="27">
        <f t="shared" si="4"/>
        <v>100</v>
      </c>
      <c r="AN35" s="28">
        <f t="shared" si="6"/>
        <v>5.13810728124124</v>
      </c>
      <c r="AO35" s="27">
        <f t="shared" si="4"/>
        <v>100</v>
      </c>
      <c r="AP35" s="28">
        <f t="shared" si="7"/>
        <v>5.334837455873939</v>
      </c>
      <c r="AQ35" s="27">
        <f t="shared" si="4"/>
        <v>100</v>
      </c>
      <c r="AR35" s="28">
        <f t="shared" si="8"/>
        <v>5.2636344291585155</v>
      </c>
    </row>
    <row r="36" spans="2:44" ht="12.75">
      <c r="B36" s="15" t="s">
        <v>84</v>
      </c>
      <c r="D36" s="15" t="s">
        <v>130</v>
      </c>
      <c r="F36" s="28">
        <f t="shared" si="1"/>
        <v>3.896779972246821</v>
      </c>
      <c r="H36" s="28">
        <f t="shared" si="1"/>
        <v>3.175133196682527</v>
      </c>
      <c r="J36" s="28">
        <f t="shared" si="2"/>
        <v>4.676215547741354</v>
      </c>
      <c r="L36" s="28">
        <f t="shared" si="3"/>
        <v>3.9160429055569</v>
      </c>
      <c r="U36" s="27">
        <f t="shared" si="9"/>
        <v>0</v>
      </c>
      <c r="V36" s="28">
        <f t="shared" si="10"/>
        <v>3.896779972246821</v>
      </c>
      <c r="W36" s="27">
        <f t="shared" si="9"/>
        <v>0</v>
      </c>
      <c r="X36" s="28">
        <f t="shared" si="11"/>
        <v>3.175133196682527</v>
      </c>
      <c r="Y36" s="27">
        <f t="shared" si="9"/>
        <v>0</v>
      </c>
      <c r="Z36" s="28">
        <f t="shared" si="12"/>
        <v>4.676215547741354</v>
      </c>
      <c r="AA36" s="27">
        <f t="shared" si="9"/>
        <v>0</v>
      </c>
      <c r="AB36" s="28">
        <f t="shared" si="13"/>
        <v>3.9160429055569</v>
      </c>
      <c r="AK36" s="27">
        <f t="shared" si="4"/>
        <v>0</v>
      </c>
      <c r="AL36" s="28">
        <f t="shared" si="5"/>
        <v>3.896779972246821</v>
      </c>
      <c r="AM36" s="27">
        <f t="shared" si="4"/>
        <v>0</v>
      </c>
      <c r="AN36" s="28">
        <f t="shared" si="6"/>
        <v>3.175133196682527</v>
      </c>
      <c r="AO36" s="27">
        <f t="shared" si="4"/>
        <v>0</v>
      </c>
      <c r="AP36" s="28">
        <f t="shared" si="7"/>
        <v>4.676215547741354</v>
      </c>
      <c r="AQ36" s="27">
        <f t="shared" si="4"/>
        <v>0</v>
      </c>
      <c r="AR36" s="28">
        <f t="shared" si="8"/>
        <v>3.9160429055569</v>
      </c>
    </row>
    <row r="37" spans="2:44" ht="12.75">
      <c r="B37" s="15" t="s">
        <v>85</v>
      </c>
      <c r="D37" s="15" t="s">
        <v>130</v>
      </c>
      <c r="F37" s="28">
        <f t="shared" si="1"/>
        <v>3.1174239777974577</v>
      </c>
      <c r="H37" s="28">
        <f t="shared" si="1"/>
        <v>3.175133196682527</v>
      </c>
      <c r="J37" s="28">
        <f t="shared" si="2"/>
        <v>3.340153962672395</v>
      </c>
      <c r="L37" s="28">
        <f t="shared" si="3"/>
        <v>3.210903712384127</v>
      </c>
      <c r="U37" s="27">
        <f t="shared" si="9"/>
        <v>0</v>
      </c>
      <c r="V37" s="28">
        <f t="shared" si="10"/>
        <v>3.1174239777974577</v>
      </c>
      <c r="W37" s="27">
        <f t="shared" si="9"/>
        <v>0</v>
      </c>
      <c r="X37" s="28">
        <f t="shared" si="11"/>
        <v>3.175133196682527</v>
      </c>
      <c r="Y37" s="27">
        <f t="shared" si="9"/>
        <v>0</v>
      </c>
      <c r="Z37" s="28">
        <f t="shared" si="12"/>
        <v>3.340153962672395</v>
      </c>
      <c r="AA37" s="27">
        <f t="shared" si="9"/>
        <v>0</v>
      </c>
      <c r="AB37" s="28">
        <f t="shared" si="13"/>
        <v>3.210903712384127</v>
      </c>
      <c r="AK37" s="27">
        <f t="shared" si="4"/>
        <v>0</v>
      </c>
      <c r="AL37" s="28">
        <f t="shared" si="5"/>
        <v>3.1174239777974577</v>
      </c>
      <c r="AM37" s="27">
        <f t="shared" si="4"/>
        <v>0</v>
      </c>
      <c r="AN37" s="28">
        <f t="shared" si="6"/>
        <v>3.175133196682527</v>
      </c>
      <c r="AO37" s="27">
        <f t="shared" si="4"/>
        <v>0</v>
      </c>
      <c r="AP37" s="28">
        <f t="shared" si="7"/>
        <v>3.340153962672395</v>
      </c>
      <c r="AQ37" s="27">
        <f t="shared" si="4"/>
        <v>0</v>
      </c>
      <c r="AR37" s="28">
        <f t="shared" si="8"/>
        <v>3.210903712384127</v>
      </c>
    </row>
    <row r="38" spans="2:44" ht="12.75">
      <c r="B38" s="15" t="s">
        <v>86</v>
      </c>
      <c r="D38" s="15" t="s">
        <v>130</v>
      </c>
      <c r="E38" s="19">
        <v>100</v>
      </c>
      <c r="F38" s="28">
        <f t="shared" si="1"/>
        <v>1.2469695911189829</v>
      </c>
      <c r="G38" s="19">
        <v>100</v>
      </c>
      <c r="H38" s="28">
        <f t="shared" si="1"/>
        <v>1.2664348932636862</v>
      </c>
      <c r="I38" s="19">
        <v>100</v>
      </c>
      <c r="J38" s="28">
        <f t="shared" si="2"/>
        <v>1.3360615850689583</v>
      </c>
      <c r="K38" s="19">
        <v>100</v>
      </c>
      <c r="L38" s="28">
        <f t="shared" si="3"/>
        <v>1.2831553564838758</v>
      </c>
      <c r="U38" s="27">
        <f t="shared" si="9"/>
        <v>100</v>
      </c>
      <c r="V38" s="28">
        <f t="shared" si="10"/>
        <v>1.2469695911189829</v>
      </c>
      <c r="W38" s="27">
        <f t="shared" si="9"/>
        <v>100</v>
      </c>
      <c r="X38" s="28">
        <f t="shared" si="11"/>
        <v>1.2664348932636862</v>
      </c>
      <c r="Y38" s="27">
        <f t="shared" si="9"/>
        <v>100</v>
      </c>
      <c r="Z38" s="28">
        <f t="shared" si="12"/>
        <v>1.3360615850689583</v>
      </c>
      <c r="AA38" s="27">
        <f t="shared" si="9"/>
        <v>100</v>
      </c>
      <c r="AB38" s="28">
        <f t="shared" si="13"/>
        <v>1.2831553564838758</v>
      </c>
      <c r="AK38" s="27">
        <f t="shared" si="4"/>
        <v>100</v>
      </c>
      <c r="AL38" s="28">
        <f t="shared" si="5"/>
        <v>1.2469695911189829</v>
      </c>
      <c r="AM38" s="27">
        <f t="shared" si="4"/>
        <v>100</v>
      </c>
      <c r="AN38" s="28">
        <f t="shared" si="6"/>
        <v>1.2664348932636862</v>
      </c>
      <c r="AO38" s="27">
        <f t="shared" si="4"/>
        <v>100</v>
      </c>
      <c r="AP38" s="28">
        <f t="shared" si="7"/>
        <v>1.3360615850689583</v>
      </c>
      <c r="AQ38" s="27">
        <f t="shared" si="4"/>
        <v>99.99999999999999</v>
      </c>
      <c r="AR38" s="28">
        <f t="shared" si="8"/>
        <v>1.2831553564838758</v>
      </c>
    </row>
    <row r="39" spans="2:44" ht="12.75">
      <c r="B39" s="15" t="s">
        <v>98</v>
      </c>
      <c r="D39" s="15" t="s">
        <v>130</v>
      </c>
      <c r="F39" s="28">
        <f t="shared" si="1"/>
        <v>1705.2584225373666</v>
      </c>
      <c r="H39" s="28">
        <f t="shared" si="1"/>
        <v>1340.114266161063</v>
      </c>
      <c r="J39" s="28">
        <f t="shared" si="2"/>
        <v>1611.4314048591918</v>
      </c>
      <c r="L39" s="28">
        <f t="shared" si="3"/>
        <v>1552.2680311858737</v>
      </c>
      <c r="U39" s="27">
        <f t="shared" si="9"/>
        <v>0</v>
      </c>
      <c r="V39" s="28">
        <f t="shared" si="10"/>
        <v>1705.2584225373666</v>
      </c>
      <c r="W39" s="27">
        <f t="shared" si="9"/>
        <v>0</v>
      </c>
      <c r="X39" s="28">
        <f t="shared" si="11"/>
        <v>1340.114266161063</v>
      </c>
      <c r="Y39" s="27">
        <f t="shared" si="9"/>
        <v>0</v>
      </c>
      <c r="Z39" s="28">
        <f t="shared" si="12"/>
        <v>1611.4314048591918</v>
      </c>
      <c r="AA39" s="27">
        <f t="shared" si="9"/>
        <v>0</v>
      </c>
      <c r="AB39" s="28">
        <f t="shared" si="13"/>
        <v>1552.2680311858737</v>
      </c>
      <c r="AD39" s="28">
        <f>AD20/AD$26/60/0.0283*1000000*(21-7)/(21-AD$27)</f>
        <v>3160.8478600293647</v>
      </c>
      <c r="AF39" s="28">
        <f>AF20/AF$26/60/0.0283*1000000*(21-7)/(21-AF$27)</f>
        <v>3077.4367906307566</v>
      </c>
      <c r="AH39" s="28">
        <f>AH20/AH$26/60/0.0283*1000000*(21-7)/(21-AH$27)</f>
        <v>3243.5811731713543</v>
      </c>
      <c r="AJ39" s="28">
        <f>AVERAGE(AH39,AF39,AD39)</f>
        <v>3160.6219412771584</v>
      </c>
      <c r="AK39" s="27">
        <f t="shared" si="4"/>
        <v>0</v>
      </c>
      <c r="AL39" s="28">
        <f t="shared" si="5"/>
        <v>4866.106282566731</v>
      </c>
      <c r="AM39" s="27">
        <f t="shared" si="4"/>
        <v>0</v>
      </c>
      <c r="AN39" s="28">
        <f t="shared" si="6"/>
        <v>4417.551056791819</v>
      </c>
      <c r="AO39" s="27">
        <f t="shared" si="4"/>
        <v>0</v>
      </c>
      <c r="AP39" s="28">
        <f t="shared" si="7"/>
        <v>4855.012578030546</v>
      </c>
      <c r="AQ39" s="27">
        <f t="shared" si="4"/>
        <v>0</v>
      </c>
      <c r="AR39" s="28">
        <f t="shared" si="8"/>
        <v>4712.889972463032</v>
      </c>
    </row>
    <row r="40" spans="2:44" ht="12.75">
      <c r="B40" s="15" t="s">
        <v>87</v>
      </c>
      <c r="D40" s="15" t="s">
        <v>130</v>
      </c>
      <c r="E40" s="19">
        <v>100</v>
      </c>
      <c r="F40" s="28">
        <f t="shared" si="1"/>
        <v>99.95011406461789</v>
      </c>
      <c r="G40" s="19">
        <v>100</v>
      </c>
      <c r="H40" s="28">
        <f t="shared" si="1"/>
        <v>101.55903247622432</v>
      </c>
      <c r="I40" s="19">
        <v>100</v>
      </c>
      <c r="J40" s="28">
        <f t="shared" si="2"/>
        <v>106.65911357987122</v>
      </c>
      <c r="K40" s="19">
        <v>100</v>
      </c>
      <c r="L40" s="28">
        <f t="shared" si="3"/>
        <v>102.72275337357114</v>
      </c>
      <c r="U40" s="27">
        <f t="shared" si="9"/>
        <v>100</v>
      </c>
      <c r="V40" s="28">
        <f t="shared" si="10"/>
        <v>99.95011406461789</v>
      </c>
      <c r="W40" s="27">
        <f t="shared" si="9"/>
        <v>100</v>
      </c>
      <c r="X40" s="28">
        <f t="shared" si="11"/>
        <v>101.55903247622432</v>
      </c>
      <c r="Y40" s="27">
        <f t="shared" si="9"/>
        <v>100</v>
      </c>
      <c r="Z40" s="28">
        <f t="shared" si="12"/>
        <v>106.65911357987122</v>
      </c>
      <c r="AA40" s="27">
        <f t="shared" si="9"/>
        <v>100</v>
      </c>
      <c r="AB40" s="28">
        <f t="shared" si="13"/>
        <v>102.72275337357114</v>
      </c>
      <c r="AK40" s="27">
        <f t="shared" si="4"/>
        <v>100.00000000000001</v>
      </c>
      <c r="AL40" s="28">
        <f t="shared" si="5"/>
        <v>99.95011406461789</v>
      </c>
      <c r="AM40" s="27">
        <f t="shared" si="4"/>
        <v>100</v>
      </c>
      <c r="AN40" s="28">
        <f t="shared" si="6"/>
        <v>101.55903247622432</v>
      </c>
      <c r="AO40" s="27">
        <f t="shared" si="4"/>
        <v>99.99999999999999</v>
      </c>
      <c r="AP40" s="28">
        <f t="shared" si="7"/>
        <v>106.65911357987122</v>
      </c>
      <c r="AQ40" s="27">
        <f t="shared" si="4"/>
        <v>100</v>
      </c>
      <c r="AR40" s="28">
        <f t="shared" si="8"/>
        <v>102.72275337357114</v>
      </c>
    </row>
    <row r="41" spans="2:44" ht="12.75">
      <c r="B41" s="15" t="s">
        <v>88</v>
      </c>
      <c r="D41" s="15" t="s">
        <v>130</v>
      </c>
      <c r="E41" s="19">
        <v>100</v>
      </c>
      <c r="F41" s="28">
        <f t="shared" si="1"/>
        <v>0.6234847955594914</v>
      </c>
      <c r="G41" s="19">
        <v>100</v>
      </c>
      <c r="H41" s="28">
        <f t="shared" si="1"/>
        <v>0.6332174466318431</v>
      </c>
      <c r="I41" s="19">
        <v>100</v>
      </c>
      <c r="J41" s="28">
        <f t="shared" si="2"/>
        <v>0.6680307925344792</v>
      </c>
      <c r="K41" s="19">
        <v>100</v>
      </c>
      <c r="L41" s="28">
        <f t="shared" si="3"/>
        <v>0.6415776782419379</v>
      </c>
      <c r="U41" s="27">
        <f t="shared" si="9"/>
        <v>100</v>
      </c>
      <c r="V41" s="28">
        <f t="shared" si="10"/>
        <v>0.6234847955594914</v>
      </c>
      <c r="W41" s="27">
        <f t="shared" si="9"/>
        <v>100</v>
      </c>
      <c r="X41" s="28">
        <f t="shared" si="11"/>
        <v>0.6332174466318431</v>
      </c>
      <c r="Y41" s="27">
        <f t="shared" si="9"/>
        <v>100</v>
      </c>
      <c r="Z41" s="28">
        <f t="shared" si="12"/>
        <v>0.6680307925344792</v>
      </c>
      <c r="AA41" s="27">
        <f t="shared" si="9"/>
        <v>100</v>
      </c>
      <c r="AB41" s="28">
        <f t="shared" si="13"/>
        <v>0.6415776782419379</v>
      </c>
      <c r="AK41" s="27">
        <f t="shared" si="4"/>
        <v>100</v>
      </c>
      <c r="AL41" s="28">
        <f t="shared" si="5"/>
        <v>0.6234847955594914</v>
      </c>
      <c r="AM41" s="27">
        <f t="shared" si="4"/>
        <v>100</v>
      </c>
      <c r="AN41" s="28">
        <f t="shared" si="6"/>
        <v>0.6332174466318431</v>
      </c>
      <c r="AO41" s="27">
        <f t="shared" si="4"/>
        <v>100</v>
      </c>
      <c r="AP41" s="28">
        <f t="shared" si="7"/>
        <v>0.6680307925344792</v>
      </c>
      <c r="AQ41" s="27">
        <f t="shared" si="4"/>
        <v>99.99999999999999</v>
      </c>
      <c r="AR41" s="28">
        <f t="shared" si="8"/>
        <v>0.6415776782419379</v>
      </c>
    </row>
    <row r="42" spans="2:44" ht="12.75">
      <c r="B42" s="15" t="s">
        <v>89</v>
      </c>
      <c r="D42" s="15" t="s">
        <v>130</v>
      </c>
      <c r="E42" s="19">
        <v>100</v>
      </c>
      <c r="F42" s="28">
        <f t="shared" si="1"/>
        <v>15.623795465196665</v>
      </c>
      <c r="G42" s="19">
        <v>100</v>
      </c>
      <c r="H42" s="28">
        <f t="shared" si="1"/>
        <v>15.875665983412635</v>
      </c>
      <c r="I42" s="19">
        <v>100</v>
      </c>
      <c r="J42" s="28">
        <f t="shared" si="2"/>
        <v>16.672543160156298</v>
      </c>
      <c r="K42" s="19">
        <v>100</v>
      </c>
      <c r="L42" s="28">
        <f t="shared" si="3"/>
        <v>16.057334869588534</v>
      </c>
      <c r="U42" s="27">
        <f t="shared" si="9"/>
        <v>100</v>
      </c>
      <c r="V42" s="28">
        <f t="shared" si="10"/>
        <v>15.623795465196665</v>
      </c>
      <c r="W42" s="27">
        <f t="shared" si="9"/>
        <v>100</v>
      </c>
      <c r="X42" s="28">
        <f t="shared" si="11"/>
        <v>15.875665983412635</v>
      </c>
      <c r="Y42" s="27">
        <f t="shared" si="9"/>
        <v>100</v>
      </c>
      <c r="Z42" s="28">
        <f t="shared" si="12"/>
        <v>16.672543160156298</v>
      </c>
      <c r="AA42" s="27">
        <f t="shared" si="9"/>
        <v>100</v>
      </c>
      <c r="AB42" s="28">
        <f t="shared" si="13"/>
        <v>16.057334869588534</v>
      </c>
      <c r="AK42" s="27">
        <f t="shared" si="4"/>
        <v>100</v>
      </c>
      <c r="AL42" s="28">
        <f t="shared" si="5"/>
        <v>15.623795465196665</v>
      </c>
      <c r="AM42" s="27">
        <f t="shared" si="4"/>
        <v>100</v>
      </c>
      <c r="AN42" s="28">
        <f t="shared" si="6"/>
        <v>15.875665983412635</v>
      </c>
      <c r="AO42" s="27">
        <f t="shared" si="4"/>
        <v>100</v>
      </c>
      <c r="AP42" s="28">
        <f t="shared" si="7"/>
        <v>16.672543160156298</v>
      </c>
      <c r="AQ42" s="27">
        <f t="shared" si="4"/>
        <v>100</v>
      </c>
      <c r="AR42" s="28">
        <f t="shared" si="8"/>
        <v>16.057334869588534</v>
      </c>
    </row>
    <row r="43" spans="2:44" ht="12.75">
      <c r="B43" s="15" t="s">
        <v>90</v>
      </c>
      <c r="D43" s="15" t="s">
        <v>130</v>
      </c>
      <c r="E43" s="19">
        <v>100</v>
      </c>
      <c r="F43" s="28">
        <f t="shared" si="1"/>
        <v>396.5913433401507</v>
      </c>
      <c r="G43" s="19">
        <v>100</v>
      </c>
      <c r="H43" s="28">
        <f t="shared" si="1"/>
        <v>403.0881345987846</v>
      </c>
      <c r="I43" s="19">
        <v>100</v>
      </c>
      <c r="J43" s="28">
        <f t="shared" si="2"/>
        <v>419.9843730473456</v>
      </c>
      <c r="K43" s="19">
        <v>100</v>
      </c>
      <c r="L43" s="28">
        <f t="shared" si="3"/>
        <v>406.554616995427</v>
      </c>
      <c r="U43" s="27">
        <f t="shared" si="9"/>
        <v>100</v>
      </c>
      <c r="V43" s="28">
        <f t="shared" si="10"/>
        <v>396.5913433401507</v>
      </c>
      <c r="W43" s="27">
        <f t="shared" si="9"/>
        <v>100</v>
      </c>
      <c r="X43" s="28">
        <f t="shared" si="11"/>
        <v>403.0881345987846</v>
      </c>
      <c r="Y43" s="27">
        <f t="shared" si="9"/>
        <v>100</v>
      </c>
      <c r="Z43" s="28">
        <f t="shared" si="12"/>
        <v>419.9843730473456</v>
      </c>
      <c r="AA43" s="27">
        <f t="shared" si="9"/>
        <v>100</v>
      </c>
      <c r="AB43" s="28">
        <f t="shared" si="13"/>
        <v>406.554616995427</v>
      </c>
      <c r="AK43" s="27">
        <f t="shared" si="4"/>
        <v>100.00000000000001</v>
      </c>
      <c r="AL43" s="28">
        <f t="shared" si="5"/>
        <v>396.5913433401507</v>
      </c>
      <c r="AM43" s="27">
        <f t="shared" si="4"/>
        <v>100</v>
      </c>
      <c r="AN43" s="28">
        <f t="shared" si="6"/>
        <v>403.0881345987846</v>
      </c>
      <c r="AO43" s="27">
        <f t="shared" si="4"/>
        <v>100</v>
      </c>
      <c r="AP43" s="28">
        <f t="shared" si="7"/>
        <v>419.9843730473456</v>
      </c>
      <c r="AQ43" s="27">
        <f t="shared" si="4"/>
        <v>100</v>
      </c>
      <c r="AR43" s="28">
        <f t="shared" si="8"/>
        <v>406.554616995427</v>
      </c>
    </row>
    <row r="44" spans="6:44" ht="12.75">
      <c r="F44" s="28"/>
      <c r="H44" s="28"/>
      <c r="J44" s="28"/>
      <c r="L44" s="28"/>
      <c r="V44" s="28"/>
      <c r="W44" s="28"/>
      <c r="X44" s="28"/>
      <c r="Y44" s="28"/>
      <c r="Z44" s="28"/>
      <c r="AA44" s="28"/>
      <c r="AB44" s="28"/>
      <c r="AL44" s="28"/>
      <c r="AM44" s="28"/>
      <c r="AN44" s="28"/>
      <c r="AO44" s="28"/>
      <c r="AP44" s="28"/>
      <c r="AR44" s="28"/>
    </row>
    <row r="45" spans="2:44" ht="12.75">
      <c r="B45" s="15" t="s">
        <v>5</v>
      </c>
      <c r="D45" s="15" t="s">
        <v>130</v>
      </c>
      <c r="E45" s="27"/>
      <c r="F45" s="28">
        <f>(F38+F40)</f>
        <v>101.19708365573688</v>
      </c>
      <c r="G45" s="27"/>
      <c r="H45" s="28">
        <f>(H38+H40)</f>
        <v>102.82546736948801</v>
      </c>
      <c r="I45" s="27"/>
      <c r="J45" s="28">
        <f>(J38+J40)</f>
        <v>107.99517516494018</v>
      </c>
      <c r="K45" s="27"/>
      <c r="L45" s="28">
        <f>(L38+L40)</f>
        <v>104.00590873005501</v>
      </c>
      <c r="U45" s="27">
        <f>(U38*V38+U40*V40)/V45</f>
        <v>100</v>
      </c>
      <c r="V45" s="28">
        <f>(V38+V40)</f>
        <v>101.19708365573688</v>
      </c>
      <c r="W45" s="27">
        <f>(W38*X38+W40*X40)/X45</f>
        <v>99.99999999999999</v>
      </c>
      <c r="X45" s="28">
        <f>(X38+X40)</f>
        <v>102.82546736948801</v>
      </c>
      <c r="Y45" s="27">
        <f>(Y38*Z38+Y40*Z40)/Z45</f>
        <v>100</v>
      </c>
      <c r="Z45" s="28">
        <f>(Z38+Z40)</f>
        <v>107.99517516494018</v>
      </c>
      <c r="AA45" s="27">
        <f>(AA38*AB38+AA40*AB40)/AB45</f>
        <v>100</v>
      </c>
      <c r="AB45" s="28">
        <f>(AB38+AB40)</f>
        <v>104.00590873005501</v>
      </c>
      <c r="AD45" s="28">
        <f>(AD38+AD40)</f>
        <v>0</v>
      </c>
      <c r="AF45" s="28">
        <f>(AF38+AF40)</f>
        <v>0</v>
      </c>
      <c r="AH45" s="28">
        <f>(AH38+AH40)</f>
        <v>0</v>
      </c>
      <c r="AJ45" s="28">
        <f>(AJ38+AJ40)</f>
        <v>0</v>
      </c>
      <c r="AK45" s="27">
        <f>(AK38*AL38+AK40*AL40)/AL45</f>
        <v>100</v>
      </c>
      <c r="AL45" s="28">
        <f t="shared" si="5"/>
        <v>101.19708365573688</v>
      </c>
      <c r="AM45" s="27">
        <f>(AM38*AN38+AM40*AN40)/AN45</f>
        <v>99.99999999999999</v>
      </c>
      <c r="AN45" s="28">
        <f t="shared" si="6"/>
        <v>102.82546736948801</v>
      </c>
      <c r="AO45" s="27">
        <f>(AO38*AP38+AO40*AP40)/AP45</f>
        <v>100</v>
      </c>
      <c r="AP45" s="28">
        <f t="shared" si="7"/>
        <v>107.99517516494018</v>
      </c>
      <c r="AQ45" s="27">
        <f>(AQ38*AR38+AQ40*AR40)/AR45</f>
        <v>100</v>
      </c>
      <c r="AR45" s="28">
        <f t="shared" si="8"/>
        <v>104.00590873005501</v>
      </c>
    </row>
    <row r="46" spans="2:44" ht="12.75">
      <c r="B46" s="15" t="s">
        <v>6</v>
      </c>
      <c r="D46" s="15" t="s">
        <v>130</v>
      </c>
      <c r="E46" s="27"/>
      <c r="F46" s="28">
        <f>F39+F35+F37</f>
        <v>1713.6938050655244</v>
      </c>
      <c r="G46" s="27"/>
      <c r="H46" s="28">
        <f>H39+H35+H37</f>
        <v>1348.4275066389866</v>
      </c>
      <c r="I46" s="27"/>
      <c r="J46" s="28">
        <f>J39+J35+J37</f>
        <v>1620.1063962777382</v>
      </c>
      <c r="K46" s="27"/>
      <c r="L46" s="28">
        <f>L39+L35+L37</f>
        <v>1560.7425693274165</v>
      </c>
      <c r="P46" s="15" t="s">
        <v>224</v>
      </c>
      <c r="U46" s="27">
        <f>(U39*V39+U35*V35+U37*V37)/V46</f>
        <v>0.3103213966602996</v>
      </c>
      <c r="V46" s="28">
        <f>V39+V35+V37</f>
        <v>1713.6938050655244</v>
      </c>
      <c r="W46" s="27">
        <f>(W39*X39+W35*X35+W37*X37)/X46</f>
        <v>0.3810443836204582</v>
      </c>
      <c r="X46" s="28">
        <f>X39+X35+X37</f>
        <v>1348.4275066389866</v>
      </c>
      <c r="Y46" s="27">
        <f>(Y39*Z39+Y35*Z35+Y37*Z37)/Z46</f>
        <v>0.32928932742509687</v>
      </c>
      <c r="Z46" s="28">
        <f>Z39+Z35+Z37</f>
        <v>1620.1063962777382</v>
      </c>
      <c r="AA46" s="27">
        <f>(AA39*AB39+AA35*AB35+AA37*AB37)/AB46</f>
        <v>0.3372519294727007</v>
      </c>
      <c r="AB46" s="28">
        <f>AB39+AB35+AB37</f>
        <v>1560.7425693274165</v>
      </c>
      <c r="AD46" s="28">
        <f>AD39+AD35+AD37</f>
        <v>3160.8478600293647</v>
      </c>
      <c r="AF46" s="28">
        <f>AF39+AF35+AF37</f>
        <v>3077.4367906307566</v>
      </c>
      <c r="AH46" s="28">
        <f>AH39+AH35+AH37</f>
        <v>3243.5811731713543</v>
      </c>
      <c r="AJ46" s="28">
        <f>AJ39+AJ35+AJ37</f>
        <v>3160.6219412771584</v>
      </c>
      <c r="AK46" s="27">
        <f>(AK39*AL39+AK35*AL35+AK37*AL37)/AL46</f>
        <v>0.1090965862173392</v>
      </c>
      <c r="AL46" s="28">
        <f t="shared" si="5"/>
        <v>4874.541665094889</v>
      </c>
      <c r="AM46" s="27">
        <f>(AM39*AN39+AM35*AN35+AM37*AN37)/AN46</f>
        <v>0.11609274338598384</v>
      </c>
      <c r="AN46" s="28">
        <f t="shared" si="6"/>
        <v>4425.8642972697435</v>
      </c>
      <c r="AO46" s="27">
        <f>(AO39*AP39+AO35*AP35+AO37*AP37)/AP46</f>
        <v>0.10968709193790202</v>
      </c>
      <c r="AP46" s="28">
        <f t="shared" si="7"/>
        <v>4863.687569449093</v>
      </c>
      <c r="AQ46" s="27">
        <f>(AQ39*AR39+AQ35*AR35+AQ37*AR37)/AR46</f>
        <v>0.11148544911827836</v>
      </c>
      <c r="AR46" s="28">
        <f t="shared" si="8"/>
        <v>4721.364510604575</v>
      </c>
    </row>
    <row r="47" ht="12.75">
      <c r="L47" s="28"/>
    </row>
    <row r="48" ht="12.75">
      <c r="L48" s="28"/>
    </row>
    <row r="49" ht="12.75">
      <c r="L49" s="28"/>
    </row>
    <row r="50" spans="1:52" ht="12.75">
      <c r="A50" s="15" t="s">
        <v>190</v>
      </c>
      <c r="B50" s="26" t="s">
        <v>102</v>
      </c>
      <c r="C50" s="26"/>
      <c r="F50" s="19" t="s">
        <v>198</v>
      </c>
      <c r="H50" s="19" t="s">
        <v>199</v>
      </c>
      <c r="J50" s="19" t="s">
        <v>200</v>
      </c>
      <c r="L50" s="15" t="s">
        <v>34</v>
      </c>
      <c r="N50" s="19" t="s">
        <v>198</v>
      </c>
      <c r="O50" s="19"/>
      <c r="P50" s="19" t="s">
        <v>199</v>
      </c>
      <c r="Q50" s="19"/>
      <c r="R50" s="19" t="s">
        <v>200</v>
      </c>
      <c r="S50" s="19"/>
      <c r="T50" s="15" t="s">
        <v>34</v>
      </c>
      <c r="V50" s="19" t="s">
        <v>198</v>
      </c>
      <c r="W50" s="19"/>
      <c r="X50" s="19" t="s">
        <v>199</v>
      </c>
      <c r="Y50" s="19"/>
      <c r="Z50" s="19" t="s">
        <v>200</v>
      </c>
      <c r="AA50" s="19"/>
      <c r="AB50" s="15" t="s">
        <v>34</v>
      </c>
      <c r="AL50" s="19"/>
      <c r="AM50" s="19"/>
      <c r="AN50" s="19"/>
      <c r="AO50" s="19"/>
      <c r="AP50" s="19"/>
      <c r="AQ50" s="19"/>
      <c r="AR50" s="15" t="s">
        <v>34</v>
      </c>
      <c r="AZ50" s="29"/>
    </row>
    <row r="51" spans="2:52" ht="12.75">
      <c r="B51" s="26"/>
      <c r="C51" s="26"/>
      <c r="AZ51" s="29"/>
    </row>
    <row r="52" spans="2:52" ht="12.75">
      <c r="B52" s="15" t="s">
        <v>215</v>
      </c>
      <c r="F52" s="19" t="s">
        <v>218</v>
      </c>
      <c r="H52" s="19" t="s">
        <v>218</v>
      </c>
      <c r="J52" s="19" t="s">
        <v>218</v>
      </c>
      <c r="L52" s="19" t="s">
        <v>218</v>
      </c>
      <c r="N52" s="19" t="s">
        <v>219</v>
      </c>
      <c r="P52" s="19" t="s">
        <v>219</v>
      </c>
      <c r="R52" s="19" t="s">
        <v>219</v>
      </c>
      <c r="T52" s="19" t="s">
        <v>219</v>
      </c>
      <c r="U52" s="19"/>
      <c r="V52" s="19"/>
      <c r="W52" s="19"/>
      <c r="X52" s="19"/>
      <c r="Y52" s="19"/>
      <c r="Z52" s="19"/>
      <c r="AA52" s="19"/>
      <c r="AB52" s="19"/>
      <c r="AR52" s="15" t="s">
        <v>220</v>
      </c>
      <c r="AZ52" s="29"/>
    </row>
    <row r="53" spans="2:44" ht="12.75">
      <c r="B53" s="15" t="s">
        <v>216</v>
      </c>
      <c r="F53" s="19" t="s">
        <v>217</v>
      </c>
      <c r="H53" s="19" t="s">
        <v>217</v>
      </c>
      <c r="J53" s="19" t="s">
        <v>217</v>
      </c>
      <c r="L53" s="19" t="s">
        <v>217</v>
      </c>
      <c r="N53" s="19" t="s">
        <v>217</v>
      </c>
      <c r="P53" s="19" t="s">
        <v>217</v>
      </c>
      <c r="R53" s="19" t="s">
        <v>217</v>
      </c>
      <c r="T53" s="19" t="s">
        <v>217</v>
      </c>
      <c r="U53" s="19"/>
      <c r="V53" s="19"/>
      <c r="W53" s="19"/>
      <c r="X53" s="19"/>
      <c r="Y53" s="19"/>
      <c r="Z53" s="19"/>
      <c r="AA53" s="19"/>
      <c r="AB53" s="19"/>
      <c r="AR53" s="15" t="s">
        <v>54</v>
      </c>
    </row>
    <row r="54" spans="2:44" ht="12.75">
      <c r="B54" s="15" t="s">
        <v>222</v>
      </c>
      <c r="L54" s="19"/>
      <c r="N54" s="19"/>
      <c r="P54" s="19"/>
      <c r="R54" s="19"/>
      <c r="T54" s="19"/>
      <c r="U54" s="19"/>
      <c r="V54" s="19" t="s">
        <v>1</v>
      </c>
      <c r="W54" s="19"/>
      <c r="X54" s="19" t="s">
        <v>1</v>
      </c>
      <c r="Y54" s="19"/>
      <c r="Z54" s="19" t="s">
        <v>1</v>
      </c>
      <c r="AA54" s="19"/>
      <c r="AB54" s="19" t="s">
        <v>1</v>
      </c>
      <c r="AR54" s="15" t="s">
        <v>54</v>
      </c>
    </row>
    <row r="55" spans="2:44" ht="12.75">
      <c r="B55" s="15" t="s">
        <v>192</v>
      </c>
      <c r="F55" s="33" t="s">
        <v>94</v>
      </c>
      <c r="H55" s="33" t="s">
        <v>94</v>
      </c>
      <c r="J55" s="33" t="s">
        <v>94</v>
      </c>
      <c r="L55" s="33" t="s">
        <v>94</v>
      </c>
      <c r="M55" s="33"/>
      <c r="N55" s="33" t="s">
        <v>100</v>
      </c>
      <c r="O55" s="33"/>
      <c r="P55" s="33" t="s">
        <v>100</v>
      </c>
      <c r="Q55" s="33"/>
      <c r="R55" s="33" t="s">
        <v>100</v>
      </c>
      <c r="T55" s="15" t="s">
        <v>100</v>
      </c>
      <c r="AR55" s="15" t="s">
        <v>54</v>
      </c>
    </row>
    <row r="56" spans="2:28" ht="12.75">
      <c r="B56" s="15" t="s">
        <v>191</v>
      </c>
      <c r="D56" s="15" t="s">
        <v>91</v>
      </c>
      <c r="F56" s="19">
        <v>2188846</v>
      </c>
      <c r="H56" s="19">
        <v>2191265</v>
      </c>
      <c r="J56" s="19">
        <v>2189829</v>
      </c>
      <c r="L56" s="28">
        <f>AVERAGE(J56,H56,F56)</f>
        <v>2189980</v>
      </c>
      <c r="N56" s="15">
        <v>1769040</v>
      </c>
      <c r="P56" s="15">
        <v>1768949</v>
      </c>
      <c r="R56" s="15">
        <v>1770627</v>
      </c>
      <c r="T56" s="28">
        <f>AVERAGE(R56,P56,N56)</f>
        <v>1769538.6666666667</v>
      </c>
      <c r="U56" s="28"/>
      <c r="V56" s="28"/>
      <c r="W56" s="28"/>
      <c r="X56" s="28"/>
      <c r="Y56" s="28"/>
      <c r="Z56" s="28"/>
      <c r="AA56" s="28"/>
      <c r="AB56" s="28"/>
    </row>
    <row r="57" spans="2:20" ht="12.75">
      <c r="B57" s="15" t="s">
        <v>42</v>
      </c>
      <c r="D57" s="15" t="s">
        <v>46</v>
      </c>
      <c r="F57" s="15">
        <v>8000</v>
      </c>
      <c r="H57" s="15">
        <v>8000</v>
      </c>
      <c r="J57" s="15">
        <v>8000</v>
      </c>
      <c r="L57" s="15">
        <v>8000</v>
      </c>
      <c r="N57" s="15">
        <v>5000</v>
      </c>
      <c r="P57" s="15">
        <v>5000</v>
      </c>
      <c r="R57" s="15">
        <v>5000</v>
      </c>
      <c r="T57" s="15">
        <v>5000</v>
      </c>
    </row>
    <row r="59" spans="2:44" ht="12.75">
      <c r="B59" s="15" t="s">
        <v>45</v>
      </c>
      <c r="D59" s="15" t="s">
        <v>16</v>
      </c>
      <c r="AR59" s="15">
        <v>51595</v>
      </c>
    </row>
    <row r="60" spans="2:44" ht="12.75">
      <c r="B60" s="15" t="s">
        <v>10</v>
      </c>
      <c r="D60" s="15" t="s">
        <v>17</v>
      </c>
      <c r="AR60" s="15">
        <v>14.2</v>
      </c>
    </row>
    <row r="62" spans="2:44" ht="12.75">
      <c r="B62" s="15" t="s">
        <v>189</v>
      </c>
      <c r="D62" s="15" t="s">
        <v>140</v>
      </c>
      <c r="F62" s="28">
        <f>F56/454*F57/1000000</f>
        <v>38.56997356828193</v>
      </c>
      <c r="H62" s="28">
        <f>H56/454*H57/1000000</f>
        <v>38.61259911894273</v>
      </c>
      <c r="J62" s="28">
        <f>J56/454*J57/1000000</f>
        <v>38.58729515418502</v>
      </c>
      <c r="L62" s="28">
        <f>L56/454*L57/1000000</f>
        <v>38.589955947136566</v>
      </c>
      <c r="N62" s="28">
        <f>N56/454*N57/1000000</f>
        <v>19.482819383259912</v>
      </c>
      <c r="P62" s="28">
        <f>P56/454*P57/1000000</f>
        <v>19.48181718061674</v>
      </c>
      <c r="R62" s="28">
        <f>R56/454*R57/1000000</f>
        <v>19.500297356828195</v>
      </c>
      <c r="T62" s="28">
        <f>T56/454*T57/1000000</f>
        <v>19.488311306901615</v>
      </c>
      <c r="U62" s="28"/>
      <c r="V62" s="28">
        <f>F62+N62</f>
        <v>58.052792951541846</v>
      </c>
      <c r="W62" s="28"/>
      <c r="X62" s="28">
        <f>H62+P62</f>
        <v>58.09441629955947</v>
      </c>
      <c r="Y62" s="28"/>
      <c r="Z62" s="28">
        <f>J62+R62</f>
        <v>58.08759251101321</v>
      </c>
      <c r="AA62" s="28"/>
      <c r="AB62" s="28">
        <f>L62+T62</f>
        <v>58.07826725403818</v>
      </c>
      <c r="AC62" s="28"/>
      <c r="AD62" s="28"/>
      <c r="AE62" s="28"/>
      <c r="AF62" s="28"/>
      <c r="AG62" s="28"/>
      <c r="AH62" s="28"/>
      <c r="AI62" s="28"/>
      <c r="AR62" s="28">
        <f>AB62</f>
        <v>58.07826725403818</v>
      </c>
    </row>
    <row r="63" spans="2:51" ht="12.75">
      <c r="B63" s="15" t="s">
        <v>223</v>
      </c>
      <c r="D63" s="15" t="s">
        <v>140</v>
      </c>
      <c r="AR63" s="28">
        <f>AR59/9000*(21-AR60)/21*60</f>
        <v>111.37968253968256</v>
      </c>
      <c r="AU63" s="28"/>
      <c r="AV63" s="28"/>
      <c r="AW63" s="28"/>
      <c r="AX63" s="28"/>
      <c r="AY63" s="30"/>
    </row>
    <row r="64" spans="47:51" ht="12.75">
      <c r="AU64" s="28"/>
      <c r="AV64" s="28"/>
      <c r="AW64" s="28"/>
      <c r="AX64" s="28"/>
      <c r="AY64" s="30"/>
    </row>
    <row r="65" spans="47:51" ht="12.75">
      <c r="AU65" s="28"/>
      <c r="AV65" s="28"/>
      <c r="AW65" s="28"/>
      <c r="AX65" s="28"/>
      <c r="AY65" s="30"/>
    </row>
    <row r="66" spans="1:44" ht="12.75">
      <c r="A66" s="15" t="s">
        <v>190</v>
      </c>
      <c r="B66" s="26" t="s">
        <v>103</v>
      </c>
      <c r="C66" s="26"/>
      <c r="F66" s="19" t="s">
        <v>198</v>
      </c>
      <c r="H66" s="19" t="s">
        <v>199</v>
      </c>
      <c r="J66" s="19" t="s">
        <v>200</v>
      </c>
      <c r="L66" s="15" t="s">
        <v>34</v>
      </c>
      <c r="N66" s="19" t="s">
        <v>198</v>
      </c>
      <c r="O66" s="19"/>
      <c r="P66" s="19" t="s">
        <v>199</v>
      </c>
      <c r="Q66" s="19"/>
      <c r="R66" s="19" t="s">
        <v>200</v>
      </c>
      <c r="S66" s="19"/>
      <c r="T66" s="15" t="s">
        <v>34</v>
      </c>
      <c r="V66" s="15" t="s">
        <v>198</v>
      </c>
      <c r="X66" s="15" t="s">
        <v>199</v>
      </c>
      <c r="Z66" s="15" t="s">
        <v>200</v>
      </c>
      <c r="AB66" s="15" t="s">
        <v>34</v>
      </c>
      <c r="AD66" s="19"/>
      <c r="AE66" s="19"/>
      <c r="AF66" s="19"/>
      <c r="AG66" s="19"/>
      <c r="AH66" s="19"/>
      <c r="AI66" s="19"/>
      <c r="AL66" s="19"/>
      <c r="AM66" s="19"/>
      <c r="AN66" s="19"/>
      <c r="AO66" s="19"/>
      <c r="AP66" s="19"/>
      <c r="AQ66" s="19"/>
      <c r="AR66" s="15" t="s">
        <v>34</v>
      </c>
    </row>
    <row r="68" spans="2:44" ht="12.75">
      <c r="B68" s="15" t="s">
        <v>215</v>
      </c>
      <c r="F68" s="19" t="s">
        <v>218</v>
      </c>
      <c r="H68" s="19" t="s">
        <v>218</v>
      </c>
      <c r="J68" s="19" t="s">
        <v>218</v>
      </c>
      <c r="L68" s="19" t="s">
        <v>218</v>
      </c>
      <c r="N68" s="19" t="s">
        <v>219</v>
      </c>
      <c r="P68" s="19" t="s">
        <v>219</v>
      </c>
      <c r="R68" s="19" t="s">
        <v>219</v>
      </c>
      <c r="T68" s="19" t="s">
        <v>219</v>
      </c>
      <c r="U68" s="19"/>
      <c r="V68" s="19"/>
      <c r="W68" s="19"/>
      <c r="X68" s="19"/>
      <c r="Y68" s="19"/>
      <c r="Z68" s="19"/>
      <c r="AA68" s="19"/>
      <c r="AB68" s="19"/>
      <c r="AR68" s="15" t="s">
        <v>220</v>
      </c>
    </row>
    <row r="69" spans="2:44" ht="12.75">
      <c r="B69" s="15" t="s">
        <v>216</v>
      </c>
      <c r="F69" s="19" t="s">
        <v>217</v>
      </c>
      <c r="H69" s="19" t="s">
        <v>217</v>
      </c>
      <c r="J69" s="19" t="s">
        <v>217</v>
      </c>
      <c r="L69" s="19" t="s">
        <v>217</v>
      </c>
      <c r="N69" s="19" t="s">
        <v>217</v>
      </c>
      <c r="P69" s="19" t="s">
        <v>217</v>
      </c>
      <c r="R69" s="19" t="s">
        <v>217</v>
      </c>
      <c r="T69" s="19" t="s">
        <v>217</v>
      </c>
      <c r="U69" s="19"/>
      <c r="V69" s="19"/>
      <c r="W69" s="19"/>
      <c r="X69" s="19"/>
      <c r="Y69" s="19"/>
      <c r="Z69" s="19"/>
      <c r="AA69" s="19"/>
      <c r="AB69" s="19"/>
      <c r="AR69" s="15" t="s">
        <v>54</v>
      </c>
    </row>
    <row r="70" spans="2:44" ht="12.75">
      <c r="B70" s="15" t="s">
        <v>222</v>
      </c>
      <c r="L70" s="19"/>
      <c r="N70" s="19"/>
      <c r="P70" s="19"/>
      <c r="R70" s="19"/>
      <c r="T70" s="19"/>
      <c r="U70" s="19"/>
      <c r="V70" s="19" t="s">
        <v>1</v>
      </c>
      <c r="W70" s="19"/>
      <c r="X70" s="19" t="s">
        <v>1</v>
      </c>
      <c r="Y70" s="19"/>
      <c r="Z70" s="19" t="s">
        <v>1</v>
      </c>
      <c r="AA70" s="19"/>
      <c r="AB70" s="19" t="s">
        <v>1</v>
      </c>
      <c r="AR70" s="15" t="s">
        <v>54</v>
      </c>
    </row>
    <row r="71" spans="2:44" ht="12.75">
      <c r="B71" s="15" t="s">
        <v>192</v>
      </c>
      <c r="F71" s="15" t="s">
        <v>106</v>
      </c>
      <c r="H71" s="15" t="s">
        <v>106</v>
      </c>
      <c r="J71" s="15" t="s">
        <v>106</v>
      </c>
      <c r="L71" s="15" t="s">
        <v>106</v>
      </c>
      <c r="N71" s="15" t="s">
        <v>94</v>
      </c>
      <c r="P71" s="15" t="s">
        <v>94</v>
      </c>
      <c r="R71" s="15" t="s">
        <v>94</v>
      </c>
      <c r="T71" s="15" t="s">
        <v>94</v>
      </c>
      <c r="AR71" s="15" t="s">
        <v>54</v>
      </c>
    </row>
    <row r="72" spans="2:20" ht="12.75">
      <c r="B72" s="15" t="s">
        <v>191</v>
      </c>
      <c r="L72" s="15" t="s">
        <v>109</v>
      </c>
      <c r="T72" s="15" t="s">
        <v>109</v>
      </c>
    </row>
    <row r="73" spans="2:20" ht="12.75">
      <c r="B73" s="15" t="s">
        <v>41</v>
      </c>
      <c r="D73" s="15" t="s">
        <v>139</v>
      </c>
      <c r="F73" s="19">
        <v>0.9918</v>
      </c>
      <c r="H73" s="19">
        <v>0.9591</v>
      </c>
      <c r="J73" s="19">
        <v>1.0347</v>
      </c>
      <c r="L73" s="31">
        <v>0.9952</v>
      </c>
      <c r="N73" s="15">
        <v>1.0796</v>
      </c>
      <c r="P73" s="15">
        <v>1.0843</v>
      </c>
      <c r="R73" s="15">
        <v>1.0852</v>
      </c>
      <c r="T73" s="15">
        <v>1.04</v>
      </c>
    </row>
    <row r="74" spans="2:20" ht="12.75">
      <c r="B74" s="15" t="s">
        <v>42</v>
      </c>
      <c r="D74" s="15" t="s">
        <v>46</v>
      </c>
      <c r="F74" s="33">
        <v>445</v>
      </c>
      <c r="G74" s="33"/>
      <c r="H74" s="33">
        <v>674</v>
      </c>
      <c r="I74" s="33"/>
      <c r="J74" s="33">
        <v>3103</v>
      </c>
      <c r="L74" s="28">
        <v>1407.3333333333333</v>
      </c>
      <c r="N74" s="15">
        <v>8061</v>
      </c>
      <c r="P74" s="15">
        <v>9038</v>
      </c>
      <c r="R74" s="15">
        <v>8877</v>
      </c>
      <c r="T74" s="15">
        <v>5419</v>
      </c>
    </row>
    <row r="75" spans="2:20" ht="12.75">
      <c r="B75" s="15" t="s">
        <v>9</v>
      </c>
      <c r="D75" s="15" t="s">
        <v>17</v>
      </c>
      <c r="F75" s="33">
        <v>0.02</v>
      </c>
      <c r="G75" s="33"/>
      <c r="H75" s="33">
        <v>0.014</v>
      </c>
      <c r="I75" s="33" t="s">
        <v>39</v>
      </c>
      <c r="J75" s="33">
        <v>0.001</v>
      </c>
      <c r="L75" s="15">
        <v>0.012</v>
      </c>
      <c r="N75" s="15">
        <v>0.03</v>
      </c>
      <c r="P75" s="15">
        <v>0.031</v>
      </c>
      <c r="R75" s="15">
        <v>0.029</v>
      </c>
      <c r="T75" s="15">
        <v>0.03</v>
      </c>
    </row>
    <row r="76" spans="2:20" ht="12.75">
      <c r="B76" s="15" t="s">
        <v>44</v>
      </c>
      <c r="D76" s="15" t="s">
        <v>137</v>
      </c>
      <c r="F76" s="33">
        <v>15.5</v>
      </c>
      <c r="G76" s="33"/>
      <c r="H76" s="33">
        <v>22.5</v>
      </c>
      <c r="I76" s="33"/>
      <c r="J76" s="33">
        <v>19.5</v>
      </c>
      <c r="L76" s="28">
        <v>19.166666666666668</v>
      </c>
      <c r="M76" s="15" t="s">
        <v>39</v>
      </c>
      <c r="N76" s="15">
        <v>10</v>
      </c>
      <c r="P76" s="15">
        <v>10</v>
      </c>
      <c r="R76" s="15">
        <v>10</v>
      </c>
      <c r="T76" s="15">
        <v>10</v>
      </c>
    </row>
    <row r="77" spans="2:20" ht="12.75">
      <c r="B77" s="15" t="s">
        <v>82</v>
      </c>
      <c r="D77" s="15" t="s">
        <v>137</v>
      </c>
      <c r="E77" s="19" t="s">
        <v>39</v>
      </c>
      <c r="F77" s="33">
        <v>1</v>
      </c>
      <c r="G77" s="19" t="s">
        <v>39</v>
      </c>
      <c r="H77" s="33">
        <v>1</v>
      </c>
      <c r="I77" s="19" t="s">
        <v>39</v>
      </c>
      <c r="J77" s="33">
        <v>1</v>
      </c>
      <c r="L77" s="15">
        <v>1</v>
      </c>
      <c r="M77" s="15" t="s">
        <v>39</v>
      </c>
      <c r="N77" s="15">
        <v>1</v>
      </c>
      <c r="O77" s="15" t="s">
        <v>39</v>
      </c>
      <c r="P77" s="15">
        <v>1</v>
      </c>
      <c r="Q77" s="15" t="s">
        <v>39</v>
      </c>
      <c r="R77" s="15">
        <v>1</v>
      </c>
      <c r="T77" s="15">
        <v>1</v>
      </c>
    </row>
    <row r="78" spans="2:20" ht="12.75">
      <c r="B78" s="15" t="s">
        <v>83</v>
      </c>
      <c r="D78" s="15" t="s">
        <v>137</v>
      </c>
      <c r="E78" s="19" t="s">
        <v>39</v>
      </c>
      <c r="F78" s="33">
        <v>1</v>
      </c>
      <c r="G78" s="19" t="s">
        <v>39</v>
      </c>
      <c r="H78" s="33">
        <v>1</v>
      </c>
      <c r="I78" s="19" t="s">
        <v>39</v>
      </c>
      <c r="J78" s="33">
        <v>1</v>
      </c>
      <c r="L78" s="15">
        <v>1</v>
      </c>
      <c r="M78" s="15" t="s">
        <v>39</v>
      </c>
      <c r="N78" s="15">
        <v>1</v>
      </c>
      <c r="O78" s="15" t="s">
        <v>39</v>
      </c>
      <c r="P78" s="15">
        <v>1</v>
      </c>
      <c r="Q78" s="15" t="s">
        <v>39</v>
      </c>
      <c r="R78" s="15">
        <v>1</v>
      </c>
      <c r="T78" s="15">
        <v>1</v>
      </c>
    </row>
    <row r="79" spans="2:20" ht="12.75">
      <c r="B79" s="15" t="s">
        <v>84</v>
      </c>
      <c r="D79" s="15" t="s">
        <v>137</v>
      </c>
      <c r="E79" s="19" t="s">
        <v>39</v>
      </c>
      <c r="F79" s="33">
        <v>20</v>
      </c>
      <c r="G79" s="19" t="s">
        <v>39</v>
      </c>
      <c r="H79" s="33">
        <v>20</v>
      </c>
      <c r="I79" s="19" t="s">
        <v>39</v>
      </c>
      <c r="J79" s="33">
        <v>20</v>
      </c>
      <c r="L79" s="15">
        <v>20</v>
      </c>
      <c r="M79" s="15" t="s">
        <v>39</v>
      </c>
      <c r="N79" s="15">
        <v>20</v>
      </c>
      <c r="O79" s="15" t="s">
        <v>39</v>
      </c>
      <c r="P79" s="15">
        <v>20</v>
      </c>
      <c r="Q79" s="15" t="s">
        <v>39</v>
      </c>
      <c r="R79" s="15">
        <v>20</v>
      </c>
      <c r="T79" s="15">
        <v>20</v>
      </c>
    </row>
    <row r="80" spans="2:20" ht="12.75">
      <c r="B80" s="15" t="s">
        <v>85</v>
      </c>
      <c r="D80" s="15" t="s">
        <v>137</v>
      </c>
      <c r="E80" s="19" t="s">
        <v>39</v>
      </c>
      <c r="F80" s="33">
        <v>0.5</v>
      </c>
      <c r="G80" s="19" t="s">
        <v>39</v>
      </c>
      <c r="H80" s="33">
        <v>0.5</v>
      </c>
      <c r="I80" s="19" t="s">
        <v>39</v>
      </c>
      <c r="J80" s="33">
        <v>0.5</v>
      </c>
      <c r="L80" s="15">
        <v>0.5</v>
      </c>
      <c r="M80" s="15" t="s">
        <v>39</v>
      </c>
      <c r="N80" s="15">
        <v>0.5</v>
      </c>
      <c r="O80" s="15" t="s">
        <v>39</v>
      </c>
      <c r="P80" s="15">
        <v>0.5</v>
      </c>
      <c r="Q80" s="15" t="s">
        <v>39</v>
      </c>
      <c r="R80" s="15">
        <v>0.5</v>
      </c>
      <c r="T80" s="15">
        <v>0.5</v>
      </c>
    </row>
    <row r="81" spans="2:20" ht="12.75">
      <c r="B81" s="15" t="s">
        <v>86</v>
      </c>
      <c r="D81" s="15" t="s">
        <v>137</v>
      </c>
      <c r="E81" s="19" t="s">
        <v>39</v>
      </c>
      <c r="F81" s="33">
        <v>0.2</v>
      </c>
      <c r="G81" s="19" t="s">
        <v>39</v>
      </c>
      <c r="H81" s="33">
        <v>0.2</v>
      </c>
      <c r="I81" s="19" t="s">
        <v>39</v>
      </c>
      <c r="J81" s="33">
        <v>0.2</v>
      </c>
      <c r="L81" s="15">
        <v>0.2</v>
      </c>
      <c r="M81" s="15" t="s">
        <v>39</v>
      </c>
      <c r="N81" s="15">
        <v>0.2</v>
      </c>
      <c r="O81" s="15" t="s">
        <v>39</v>
      </c>
      <c r="P81" s="15">
        <v>0.2</v>
      </c>
      <c r="Q81" s="15" t="s">
        <v>39</v>
      </c>
      <c r="R81" s="15">
        <v>0.2</v>
      </c>
      <c r="T81" s="15">
        <v>0.2</v>
      </c>
    </row>
    <row r="82" spans="2:20" ht="12.75">
      <c r="B82" s="15" t="s">
        <v>98</v>
      </c>
      <c r="D82" s="15" t="s">
        <v>137</v>
      </c>
      <c r="E82" s="19" t="s">
        <v>39</v>
      </c>
      <c r="F82" s="33">
        <v>0.5</v>
      </c>
      <c r="G82" s="19" t="s">
        <v>39</v>
      </c>
      <c r="H82" s="33">
        <v>0.5</v>
      </c>
      <c r="I82" s="19" t="s">
        <v>39</v>
      </c>
      <c r="J82" s="33">
        <v>0.5</v>
      </c>
      <c r="L82" s="15">
        <v>0.5</v>
      </c>
      <c r="N82" s="15">
        <v>57.1</v>
      </c>
      <c r="P82" s="15">
        <v>56.4</v>
      </c>
      <c r="R82" s="15">
        <v>59.3</v>
      </c>
      <c r="T82" s="15">
        <v>57.6</v>
      </c>
    </row>
    <row r="83" spans="2:35" ht="12.75">
      <c r="B83" s="15" t="s">
        <v>87</v>
      </c>
      <c r="D83" s="15" t="s">
        <v>137</v>
      </c>
      <c r="E83" s="19" t="s">
        <v>39</v>
      </c>
      <c r="F83" s="33">
        <v>0.4</v>
      </c>
      <c r="G83" s="19" t="s">
        <v>39</v>
      </c>
      <c r="H83" s="33">
        <v>0.4</v>
      </c>
      <c r="I83" s="19" t="s">
        <v>39</v>
      </c>
      <c r="J83" s="33">
        <v>0.4</v>
      </c>
      <c r="L83" s="15">
        <v>0.4</v>
      </c>
      <c r="M83" s="15" t="s">
        <v>39</v>
      </c>
      <c r="N83" s="15">
        <v>0.41</v>
      </c>
      <c r="O83" s="15" t="s">
        <v>39</v>
      </c>
      <c r="P83" s="15">
        <v>0.41</v>
      </c>
      <c r="Q83" s="15" t="s">
        <v>39</v>
      </c>
      <c r="R83" s="15">
        <v>0.41</v>
      </c>
      <c r="T83" s="28">
        <v>0.4166666666666667</v>
      </c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2:20" ht="12.75">
      <c r="B84" s="15" t="s">
        <v>88</v>
      </c>
      <c r="D84" s="15" t="s">
        <v>137</v>
      </c>
      <c r="E84" s="19" t="s">
        <v>39</v>
      </c>
      <c r="F84" s="33">
        <v>0.033</v>
      </c>
      <c r="G84" s="19" t="s">
        <v>39</v>
      </c>
      <c r="H84" s="33">
        <v>0.033</v>
      </c>
      <c r="I84" s="19" t="s">
        <v>39</v>
      </c>
      <c r="J84" s="33">
        <v>0.033</v>
      </c>
      <c r="L84" s="15">
        <v>0.033</v>
      </c>
      <c r="M84" s="15" t="s">
        <v>39</v>
      </c>
      <c r="N84" s="15">
        <v>0.33</v>
      </c>
      <c r="O84" s="15" t="s">
        <v>39</v>
      </c>
      <c r="P84" s="15">
        <v>0.33</v>
      </c>
      <c r="Q84" s="15" t="s">
        <v>39</v>
      </c>
      <c r="R84" s="15">
        <v>0.33</v>
      </c>
      <c r="T84" s="15">
        <v>0.033</v>
      </c>
    </row>
    <row r="85" spans="2:20" ht="12.75">
      <c r="B85" s="15" t="s">
        <v>95</v>
      </c>
      <c r="D85" s="15" t="s">
        <v>137</v>
      </c>
      <c r="E85" s="19" t="s">
        <v>39</v>
      </c>
      <c r="F85" s="33">
        <v>4</v>
      </c>
      <c r="G85" s="19" t="s">
        <v>39</v>
      </c>
      <c r="H85" s="33">
        <v>4</v>
      </c>
      <c r="I85" s="19" t="s">
        <v>39</v>
      </c>
      <c r="J85" s="33">
        <v>4</v>
      </c>
      <c r="L85" s="15">
        <v>4</v>
      </c>
      <c r="M85" s="15" t="s">
        <v>39</v>
      </c>
      <c r="N85" s="15">
        <v>4</v>
      </c>
      <c r="O85" s="15" t="s">
        <v>39</v>
      </c>
      <c r="P85" s="15">
        <v>4</v>
      </c>
      <c r="Q85" s="15" t="s">
        <v>39</v>
      </c>
      <c r="R85" s="15">
        <v>4</v>
      </c>
      <c r="T85" s="15">
        <v>4</v>
      </c>
    </row>
    <row r="86" spans="2:20" ht="12.75">
      <c r="B86" s="15" t="s">
        <v>96</v>
      </c>
      <c r="D86" s="15" t="s">
        <v>137</v>
      </c>
      <c r="E86" s="19" t="s">
        <v>39</v>
      </c>
      <c r="F86" s="33">
        <v>0.5</v>
      </c>
      <c r="G86" s="19" t="s">
        <v>39</v>
      </c>
      <c r="H86" s="33">
        <v>0.5</v>
      </c>
      <c r="I86" s="19" t="s">
        <v>39</v>
      </c>
      <c r="J86" s="33">
        <v>0.5</v>
      </c>
      <c r="L86" s="28">
        <v>0.6233333333333334</v>
      </c>
      <c r="N86" s="15">
        <v>2.5</v>
      </c>
      <c r="P86" s="15">
        <v>2.5</v>
      </c>
      <c r="R86" s="15">
        <v>2.5</v>
      </c>
      <c r="T86" s="15">
        <v>2.5</v>
      </c>
    </row>
    <row r="87" spans="2:20" ht="12.75">
      <c r="B87" s="15" t="s">
        <v>89</v>
      </c>
      <c r="D87" s="15" t="s">
        <v>137</v>
      </c>
      <c r="E87" s="19" t="s">
        <v>39</v>
      </c>
      <c r="F87" s="33">
        <v>0.5</v>
      </c>
      <c r="G87" s="19" t="s">
        <v>39</v>
      </c>
      <c r="H87" s="33">
        <v>0.5</v>
      </c>
      <c r="I87" s="19" t="s">
        <v>39</v>
      </c>
      <c r="J87" s="33">
        <v>0.5</v>
      </c>
      <c r="L87" s="15">
        <v>0.5</v>
      </c>
      <c r="M87" s="15" t="s">
        <v>39</v>
      </c>
      <c r="N87" s="15">
        <v>0.5</v>
      </c>
      <c r="O87" s="15" t="s">
        <v>39</v>
      </c>
      <c r="P87" s="15">
        <v>0.5</v>
      </c>
      <c r="Q87" s="15" t="s">
        <v>39</v>
      </c>
      <c r="R87" s="15">
        <v>0.5</v>
      </c>
      <c r="T87" s="15">
        <v>0.5</v>
      </c>
    </row>
    <row r="88" spans="2:20" ht="12.75">
      <c r="B88" s="15" t="s">
        <v>90</v>
      </c>
      <c r="D88" s="15" t="s">
        <v>137</v>
      </c>
      <c r="E88" s="19" t="s">
        <v>39</v>
      </c>
      <c r="F88" s="33">
        <v>1</v>
      </c>
      <c r="G88" s="19" t="s">
        <v>39</v>
      </c>
      <c r="H88" s="33">
        <v>1</v>
      </c>
      <c r="I88" s="19" t="s">
        <v>39</v>
      </c>
      <c r="J88" s="33">
        <v>1</v>
      </c>
      <c r="L88" s="15">
        <v>1</v>
      </c>
      <c r="M88" s="15" t="s">
        <v>39</v>
      </c>
      <c r="N88" s="15">
        <v>1</v>
      </c>
      <c r="O88" s="15" t="s">
        <v>39</v>
      </c>
      <c r="P88" s="15">
        <v>1</v>
      </c>
      <c r="Q88" s="15" t="s">
        <v>39</v>
      </c>
      <c r="R88" s="15">
        <v>1</v>
      </c>
      <c r="T88" s="15">
        <v>1</v>
      </c>
    </row>
    <row r="89" spans="2:35" ht="12.75">
      <c r="B89" s="15" t="s">
        <v>97</v>
      </c>
      <c r="D89" s="15" t="s">
        <v>137</v>
      </c>
      <c r="E89" s="19" t="s">
        <v>39</v>
      </c>
      <c r="F89" s="33">
        <v>2</v>
      </c>
      <c r="G89" s="19" t="s">
        <v>39</v>
      </c>
      <c r="H89" s="33">
        <v>2</v>
      </c>
      <c r="I89" s="19" t="s">
        <v>39</v>
      </c>
      <c r="J89" s="33">
        <v>2</v>
      </c>
      <c r="L89" s="15">
        <v>2</v>
      </c>
      <c r="M89" s="15" t="s">
        <v>39</v>
      </c>
      <c r="N89" s="15">
        <v>3.1</v>
      </c>
      <c r="O89" s="15" t="s">
        <v>39</v>
      </c>
      <c r="P89" s="15">
        <v>2.4</v>
      </c>
      <c r="Q89" s="15" t="s">
        <v>39</v>
      </c>
      <c r="R89" s="15">
        <v>2.1</v>
      </c>
      <c r="T89" s="28">
        <v>2.533333333333333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1" spans="2:44" ht="12.75">
      <c r="B91" s="15" t="s">
        <v>45</v>
      </c>
      <c r="D91" s="15" t="s">
        <v>16</v>
      </c>
      <c r="AR91" s="27">
        <f>emiss!M55</f>
        <v>57513</v>
      </c>
    </row>
    <row r="92" spans="2:44" ht="12.75">
      <c r="B92" s="15" t="s">
        <v>10</v>
      </c>
      <c r="D92" s="15" t="s">
        <v>17</v>
      </c>
      <c r="AR92" s="27">
        <f>emiss!M56</f>
        <v>12.533333333333333</v>
      </c>
    </row>
    <row r="94" spans="2:4" ht="12.75">
      <c r="B94" s="15" t="s">
        <v>189</v>
      </c>
      <c r="D94" s="15" t="s">
        <v>140</v>
      </c>
    </row>
    <row r="95" spans="2:44" ht="12.75">
      <c r="B95" s="15" t="s">
        <v>223</v>
      </c>
      <c r="D95" s="15" t="s">
        <v>140</v>
      </c>
      <c r="AR95" s="28">
        <f>AR91*60/9000*(21-AR92)/21</f>
        <v>154.58520634920637</v>
      </c>
    </row>
    <row r="96" ht="12.75">
      <c r="B96" s="15" t="s">
        <v>149</v>
      </c>
    </row>
    <row r="97" spans="12:52" ht="12.7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  <row r="98" spans="1:51" ht="12.75">
      <c r="A98" s="15" t="s">
        <v>190</v>
      </c>
      <c r="B98" s="26" t="s">
        <v>104</v>
      </c>
      <c r="C98" s="26"/>
      <c r="F98" s="19" t="s">
        <v>198</v>
      </c>
      <c r="H98" s="19" t="s">
        <v>199</v>
      </c>
      <c r="J98" s="19" t="s">
        <v>200</v>
      </c>
      <c r="L98" s="15" t="s">
        <v>34</v>
      </c>
      <c r="AY98" s="31"/>
    </row>
    <row r="100" spans="2:12" ht="12.75">
      <c r="B100" s="15" t="s">
        <v>215</v>
      </c>
      <c r="F100" s="19" t="s">
        <v>218</v>
      </c>
      <c r="H100" s="19" t="s">
        <v>218</v>
      </c>
      <c r="J100" s="19" t="s">
        <v>218</v>
      </c>
      <c r="L100" s="19" t="s">
        <v>218</v>
      </c>
    </row>
    <row r="101" spans="2:12" ht="12.75">
      <c r="B101" s="15" t="s">
        <v>216</v>
      </c>
      <c r="F101" s="19" t="s">
        <v>217</v>
      </c>
      <c r="H101" s="19" t="s">
        <v>217</v>
      </c>
      <c r="J101" s="19" t="s">
        <v>217</v>
      </c>
      <c r="L101" s="19" t="s">
        <v>217</v>
      </c>
    </row>
    <row r="102" spans="2:12" ht="12.75">
      <c r="B102" s="15" t="s">
        <v>222</v>
      </c>
      <c r="F102" s="19" t="s">
        <v>1</v>
      </c>
      <c r="H102" s="19" t="s">
        <v>1</v>
      </c>
      <c r="J102" s="19" t="s">
        <v>1</v>
      </c>
      <c r="L102" s="19" t="s">
        <v>1</v>
      </c>
    </row>
    <row r="103" spans="2:12" ht="12.75">
      <c r="B103" s="15" t="s">
        <v>192</v>
      </c>
      <c r="E103" s="15"/>
      <c r="F103" s="15" t="s">
        <v>94</v>
      </c>
      <c r="G103" s="15"/>
      <c r="H103" s="15" t="s">
        <v>94</v>
      </c>
      <c r="I103" s="15"/>
      <c r="J103" s="15" t="s">
        <v>94</v>
      </c>
      <c r="K103" s="15"/>
      <c r="L103" s="15" t="s">
        <v>94</v>
      </c>
    </row>
    <row r="104" spans="2:12" ht="12.75">
      <c r="B104" s="15" t="s">
        <v>191</v>
      </c>
      <c r="E104" s="15"/>
      <c r="F104" s="15"/>
      <c r="G104" s="15"/>
      <c r="H104" s="15"/>
      <c r="I104" s="15"/>
      <c r="J104" s="15"/>
      <c r="K104" s="15"/>
      <c r="L104" s="15" t="s">
        <v>109</v>
      </c>
    </row>
    <row r="105" spans="2:12" ht="12.75">
      <c r="B105" s="15" t="s">
        <v>41</v>
      </c>
      <c r="D105" s="15" t="s">
        <v>139</v>
      </c>
      <c r="E105" s="15"/>
      <c r="F105" s="15">
        <v>1.065</v>
      </c>
      <c r="G105" s="15"/>
      <c r="H105" s="15">
        <v>1.065</v>
      </c>
      <c r="I105" s="15"/>
      <c r="J105" s="15">
        <v>1.065</v>
      </c>
      <c r="K105" s="15"/>
      <c r="L105" s="15">
        <v>1.065</v>
      </c>
    </row>
    <row r="106" spans="2:35" ht="12.75">
      <c r="B106" s="15" t="s">
        <v>42</v>
      </c>
      <c r="D106" s="15" t="s">
        <v>46</v>
      </c>
      <c r="E106" s="15"/>
      <c r="F106" s="15">
        <v>9079</v>
      </c>
      <c r="G106" s="15"/>
      <c r="H106" s="15">
        <v>8844</v>
      </c>
      <c r="I106" s="15"/>
      <c r="J106" s="15">
        <v>8916</v>
      </c>
      <c r="K106" s="15"/>
      <c r="L106" s="28">
        <v>8946.333333333334</v>
      </c>
      <c r="AC106" s="28"/>
      <c r="AD106" s="28"/>
      <c r="AE106" s="28"/>
      <c r="AF106" s="28"/>
      <c r="AG106" s="28"/>
      <c r="AH106" s="28"/>
      <c r="AI106" s="28"/>
    </row>
    <row r="107" spans="2:52" ht="12.75">
      <c r="B107" s="15" t="s">
        <v>9</v>
      </c>
      <c r="D107" s="15" t="s">
        <v>137</v>
      </c>
      <c r="E107" s="15" t="s">
        <v>39</v>
      </c>
      <c r="F107" s="15">
        <v>847.5</v>
      </c>
      <c r="G107" s="15" t="s">
        <v>39</v>
      </c>
      <c r="H107" s="15">
        <v>820</v>
      </c>
      <c r="I107" s="15" t="s">
        <v>39</v>
      </c>
      <c r="J107" s="15">
        <v>795</v>
      </c>
      <c r="K107" s="15"/>
      <c r="L107" s="28">
        <v>820.8333333333334</v>
      </c>
      <c r="AC107" s="28"/>
      <c r="AD107" s="28"/>
      <c r="AE107" s="28"/>
      <c r="AF107" s="28"/>
      <c r="AG107" s="28"/>
      <c r="AH107" s="28"/>
      <c r="AI107" s="28"/>
      <c r="AZ107" s="28"/>
    </row>
    <row r="108" spans="2:52" ht="12.75">
      <c r="B108" s="15" t="s">
        <v>44</v>
      </c>
      <c r="D108" s="15" t="s">
        <v>137</v>
      </c>
      <c r="E108" s="15" t="s">
        <v>39</v>
      </c>
      <c r="F108" s="15">
        <v>20</v>
      </c>
      <c r="G108" s="15" t="s">
        <v>39</v>
      </c>
      <c r="H108" s="15">
        <v>20</v>
      </c>
      <c r="I108" s="15" t="s">
        <v>39</v>
      </c>
      <c r="J108" s="15">
        <v>20</v>
      </c>
      <c r="K108" s="15"/>
      <c r="L108" s="15">
        <v>20</v>
      </c>
      <c r="AZ108" s="28"/>
    </row>
    <row r="109" spans="2:52" ht="12.75">
      <c r="B109" s="15" t="s">
        <v>82</v>
      </c>
      <c r="D109" s="15" t="s">
        <v>137</v>
      </c>
      <c r="E109" s="15" t="s">
        <v>39</v>
      </c>
      <c r="F109" s="15">
        <v>6</v>
      </c>
      <c r="G109" s="15" t="s">
        <v>39</v>
      </c>
      <c r="H109" s="15">
        <v>6</v>
      </c>
      <c r="I109" s="15" t="s">
        <v>39</v>
      </c>
      <c r="J109" s="15">
        <v>6</v>
      </c>
      <c r="K109" s="15"/>
      <c r="L109" s="15">
        <v>6</v>
      </c>
      <c r="AZ109" s="28"/>
    </row>
    <row r="110" spans="2:52" ht="12.75">
      <c r="B110" s="15" t="s">
        <v>83</v>
      </c>
      <c r="D110" s="15" t="s">
        <v>137</v>
      </c>
      <c r="E110" s="15" t="s">
        <v>39</v>
      </c>
      <c r="F110" s="15">
        <v>30</v>
      </c>
      <c r="G110" s="15" t="s">
        <v>39</v>
      </c>
      <c r="H110" s="15">
        <v>30</v>
      </c>
      <c r="I110" s="15" t="s">
        <v>39</v>
      </c>
      <c r="J110" s="15">
        <v>30</v>
      </c>
      <c r="K110" s="15"/>
      <c r="L110" s="15">
        <v>30</v>
      </c>
      <c r="AZ110" s="28"/>
    </row>
    <row r="111" spans="2:52" ht="12.75">
      <c r="B111" s="15" t="s">
        <v>84</v>
      </c>
      <c r="D111" s="15" t="s">
        <v>137</v>
      </c>
      <c r="E111" s="15" t="s">
        <v>39</v>
      </c>
      <c r="F111" s="15">
        <v>20</v>
      </c>
      <c r="G111" s="15" t="s">
        <v>39</v>
      </c>
      <c r="H111" s="15">
        <v>20</v>
      </c>
      <c r="I111" s="15" t="s">
        <v>39</v>
      </c>
      <c r="J111" s="15">
        <v>20</v>
      </c>
      <c r="K111" s="15"/>
      <c r="L111" s="15">
        <v>20</v>
      </c>
      <c r="AZ111" s="28"/>
    </row>
    <row r="112" spans="2:52" ht="12.75">
      <c r="B112" s="15" t="s">
        <v>85</v>
      </c>
      <c r="D112" s="15" t="s">
        <v>137</v>
      </c>
      <c r="E112" s="15" t="s">
        <v>39</v>
      </c>
      <c r="F112" s="15">
        <v>0.5</v>
      </c>
      <c r="G112" s="15" t="s">
        <v>39</v>
      </c>
      <c r="H112" s="15">
        <v>0.5</v>
      </c>
      <c r="I112" s="15" t="s">
        <v>39</v>
      </c>
      <c r="J112" s="15">
        <v>0.5</v>
      </c>
      <c r="K112" s="15"/>
      <c r="L112" s="15">
        <v>0.5</v>
      </c>
      <c r="AZ112" s="31"/>
    </row>
    <row r="113" spans="2:52" ht="12.75">
      <c r="B113" s="15" t="s">
        <v>86</v>
      </c>
      <c r="D113" s="15" t="s">
        <v>137</v>
      </c>
      <c r="E113" s="15" t="s">
        <v>39</v>
      </c>
      <c r="F113" s="15">
        <v>0.5</v>
      </c>
      <c r="G113" s="15" t="s">
        <v>39</v>
      </c>
      <c r="H113" s="15">
        <v>0.5</v>
      </c>
      <c r="I113" s="15" t="s">
        <v>39</v>
      </c>
      <c r="J113" s="15">
        <v>0.5</v>
      </c>
      <c r="K113" s="15"/>
      <c r="L113" s="15">
        <v>0.5</v>
      </c>
      <c r="AZ113" s="31"/>
    </row>
    <row r="114" spans="2:52" ht="12.75">
      <c r="B114" s="15" t="s">
        <v>98</v>
      </c>
      <c r="D114" s="15" t="s">
        <v>137</v>
      </c>
      <c r="E114" s="15"/>
      <c r="F114" s="15">
        <v>51.8</v>
      </c>
      <c r="G114" s="15"/>
      <c r="H114" s="15">
        <v>45</v>
      </c>
      <c r="I114" s="15"/>
      <c r="J114" s="15">
        <v>46.8</v>
      </c>
      <c r="K114" s="15"/>
      <c r="L114" s="28">
        <v>47.86666666666667</v>
      </c>
      <c r="AC114" s="28"/>
      <c r="AD114" s="28"/>
      <c r="AE114" s="28"/>
      <c r="AF114" s="28"/>
      <c r="AG114" s="28"/>
      <c r="AH114" s="28"/>
      <c r="AI114" s="28"/>
      <c r="AZ114" s="28"/>
    </row>
    <row r="115" spans="2:52" ht="12.75">
      <c r="B115" s="15" t="s">
        <v>87</v>
      </c>
      <c r="D115" s="15" t="s">
        <v>137</v>
      </c>
      <c r="E115" s="15" t="s">
        <v>39</v>
      </c>
      <c r="F115" s="15">
        <v>10</v>
      </c>
      <c r="G115" s="15" t="s">
        <v>39</v>
      </c>
      <c r="H115" s="15">
        <v>10</v>
      </c>
      <c r="I115" s="15" t="s">
        <v>39</v>
      </c>
      <c r="J115" s="15">
        <v>10</v>
      </c>
      <c r="K115" s="15"/>
      <c r="L115" s="15">
        <v>10</v>
      </c>
      <c r="AZ115" s="28"/>
    </row>
    <row r="116" spans="2:12" ht="12.75">
      <c r="B116" s="15" t="s">
        <v>88</v>
      </c>
      <c r="D116" s="15" t="s">
        <v>137</v>
      </c>
      <c r="E116" s="15" t="s">
        <v>39</v>
      </c>
      <c r="F116" s="15">
        <v>0.033</v>
      </c>
      <c r="G116" s="15" t="s">
        <v>39</v>
      </c>
      <c r="H116" s="15">
        <v>0.033</v>
      </c>
      <c r="I116" s="15" t="s">
        <v>39</v>
      </c>
      <c r="J116" s="15">
        <v>0.033</v>
      </c>
      <c r="K116" s="15"/>
      <c r="L116" s="15">
        <v>0.033</v>
      </c>
    </row>
    <row r="117" spans="2:52" ht="12.75">
      <c r="B117" s="15" t="s">
        <v>95</v>
      </c>
      <c r="D117" s="15" t="s">
        <v>137</v>
      </c>
      <c r="E117" s="15" t="s">
        <v>39</v>
      </c>
      <c r="F117" s="15">
        <v>4</v>
      </c>
      <c r="G117" s="15" t="s">
        <v>39</v>
      </c>
      <c r="H117" s="15">
        <v>4</v>
      </c>
      <c r="I117" s="15" t="s">
        <v>39</v>
      </c>
      <c r="J117" s="15">
        <v>4</v>
      </c>
      <c r="K117" s="15"/>
      <c r="L117" s="15">
        <v>4</v>
      </c>
      <c r="AZ117" s="28"/>
    </row>
    <row r="118" spans="2:52" ht="12.75">
      <c r="B118" s="15" t="s">
        <v>96</v>
      </c>
      <c r="D118" s="15" t="s">
        <v>137</v>
      </c>
      <c r="E118" s="15" t="s">
        <v>39</v>
      </c>
      <c r="F118" s="15">
        <v>25</v>
      </c>
      <c r="G118" s="15" t="s">
        <v>39</v>
      </c>
      <c r="H118" s="15">
        <v>25</v>
      </c>
      <c r="I118" s="15" t="s">
        <v>39</v>
      </c>
      <c r="J118" s="15">
        <v>25</v>
      </c>
      <c r="K118" s="15"/>
      <c r="L118" s="15">
        <v>25</v>
      </c>
      <c r="AZ118" s="28"/>
    </row>
    <row r="119" spans="2:52" ht="12.75">
      <c r="B119" s="15" t="s">
        <v>89</v>
      </c>
      <c r="D119" s="15" t="s">
        <v>137</v>
      </c>
      <c r="E119" s="15" t="s">
        <v>39</v>
      </c>
      <c r="F119" s="15">
        <v>1</v>
      </c>
      <c r="G119" s="15" t="s">
        <v>39</v>
      </c>
      <c r="H119" s="15">
        <v>1</v>
      </c>
      <c r="I119" s="15" t="s">
        <v>39</v>
      </c>
      <c r="J119" s="15">
        <v>1</v>
      </c>
      <c r="K119" s="15"/>
      <c r="L119" s="15">
        <v>1</v>
      </c>
      <c r="AZ119" s="28"/>
    </row>
    <row r="120" spans="2:52" ht="12.75">
      <c r="B120" s="15" t="s">
        <v>90</v>
      </c>
      <c r="D120" s="15" t="s">
        <v>137</v>
      </c>
      <c r="E120" s="15" t="s">
        <v>39</v>
      </c>
      <c r="F120" s="15">
        <v>200</v>
      </c>
      <c r="G120" s="15" t="s">
        <v>39</v>
      </c>
      <c r="H120" s="15">
        <v>200</v>
      </c>
      <c r="I120" s="15" t="s">
        <v>39</v>
      </c>
      <c r="J120" s="15">
        <v>200</v>
      </c>
      <c r="K120" s="15"/>
      <c r="L120" s="15">
        <v>200</v>
      </c>
      <c r="AZ120" s="28"/>
    </row>
    <row r="121" spans="2:52" ht="12.75">
      <c r="B121" s="15" t="s">
        <v>97</v>
      </c>
      <c r="D121" s="15" t="s">
        <v>137</v>
      </c>
      <c r="E121" s="15" t="s">
        <v>39</v>
      </c>
      <c r="F121" s="15">
        <v>2</v>
      </c>
      <c r="G121" s="15" t="s">
        <v>39</v>
      </c>
      <c r="H121" s="15">
        <v>2</v>
      </c>
      <c r="I121" s="15" t="s">
        <v>39</v>
      </c>
      <c r="J121" s="15">
        <v>2</v>
      </c>
      <c r="K121" s="15"/>
      <c r="L121" s="15">
        <v>2</v>
      </c>
      <c r="AZ121" s="28"/>
    </row>
    <row r="122" ht="12.75">
      <c r="AY122" s="31"/>
    </row>
    <row r="123" spans="2:52" ht="12.75">
      <c r="B123" s="15" t="s">
        <v>45</v>
      </c>
      <c r="D123" s="15" t="s">
        <v>16</v>
      </c>
      <c r="L123" s="28">
        <f>emiss!M95</f>
        <v>62416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W123" s="27"/>
      <c r="AZ123" s="28"/>
    </row>
    <row r="124" spans="2:52" ht="12.75">
      <c r="B124" s="15" t="s">
        <v>10</v>
      </c>
      <c r="D124" s="15" t="s">
        <v>17</v>
      </c>
      <c r="L124" s="28">
        <f>emiss!M96</f>
        <v>14.166666666666666</v>
      </c>
      <c r="AU124" s="28"/>
      <c r="AW124" s="28"/>
      <c r="AZ124" s="28"/>
    </row>
    <row r="125" spans="47:52" ht="12.75">
      <c r="AU125" s="28"/>
      <c r="AW125" s="28"/>
      <c r="AZ125" s="28"/>
    </row>
    <row r="126" spans="2:52" ht="12.75">
      <c r="B126" s="15" t="s">
        <v>223</v>
      </c>
      <c r="D126" s="15" t="s">
        <v>140</v>
      </c>
      <c r="L126" s="28">
        <f>L123*60/9000*(21-L124)/21</f>
        <v>135.39978835978837</v>
      </c>
      <c r="AU126" s="28"/>
      <c r="AW126" s="28"/>
      <c r="AZ126" s="28"/>
    </row>
    <row r="127" spans="47:52" ht="12.75">
      <c r="AU127" s="28"/>
      <c r="AW127" s="28"/>
      <c r="AZ127" s="28"/>
    </row>
    <row r="128" spans="2:52" ht="12.75">
      <c r="B128" s="15" t="s">
        <v>149</v>
      </c>
      <c r="AU128" s="28"/>
      <c r="AW128" s="28"/>
      <c r="AZ128" s="28"/>
    </row>
    <row r="129" spans="12:52" ht="13.5" customHeight="1"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</row>
    <row r="130" spans="1:36" ht="12.75">
      <c r="A130" s="15" t="s">
        <v>190</v>
      </c>
      <c r="B130" s="26" t="s">
        <v>132</v>
      </c>
      <c r="C130" s="26"/>
      <c r="F130" s="19" t="s">
        <v>198</v>
      </c>
      <c r="H130" s="19" t="s">
        <v>199</v>
      </c>
      <c r="J130" s="19" t="s">
        <v>200</v>
      </c>
      <c r="L130" s="15" t="s">
        <v>34</v>
      </c>
      <c r="N130" s="19" t="s">
        <v>198</v>
      </c>
      <c r="O130" s="19"/>
      <c r="P130" s="19" t="s">
        <v>199</v>
      </c>
      <c r="Q130" s="19"/>
      <c r="R130" s="19" t="s">
        <v>200</v>
      </c>
      <c r="S130" s="19"/>
      <c r="T130" s="15" t="s">
        <v>34</v>
      </c>
      <c r="V130" s="19" t="s">
        <v>198</v>
      </c>
      <c r="W130" s="19"/>
      <c r="X130" s="19" t="s">
        <v>199</v>
      </c>
      <c r="Y130" s="19"/>
      <c r="Z130" s="19" t="s">
        <v>200</v>
      </c>
      <c r="AA130" s="19"/>
      <c r="AB130" s="15" t="s">
        <v>34</v>
      </c>
      <c r="AJ130" s="15" t="s">
        <v>34</v>
      </c>
    </row>
    <row r="132" spans="2:36" ht="12.75">
      <c r="B132" s="15" t="s">
        <v>215</v>
      </c>
      <c r="F132" s="19" t="s">
        <v>218</v>
      </c>
      <c r="H132" s="19" t="s">
        <v>218</v>
      </c>
      <c r="J132" s="19" t="s">
        <v>218</v>
      </c>
      <c r="L132" s="19" t="s">
        <v>218</v>
      </c>
      <c r="N132" s="19" t="s">
        <v>219</v>
      </c>
      <c r="O132" s="19"/>
      <c r="P132" s="19" t="s">
        <v>219</v>
      </c>
      <c r="Q132" s="19"/>
      <c r="R132" s="19" t="s">
        <v>219</v>
      </c>
      <c r="S132" s="19"/>
      <c r="T132" s="19" t="s">
        <v>219</v>
      </c>
      <c r="U132" s="19"/>
      <c r="V132" s="19"/>
      <c r="W132" s="19"/>
      <c r="X132" s="19"/>
      <c r="Y132" s="19"/>
      <c r="Z132" s="19"/>
      <c r="AA132" s="19"/>
      <c r="AB132" s="19"/>
      <c r="AJ132" s="15" t="s">
        <v>220</v>
      </c>
    </row>
    <row r="133" spans="2:36" ht="12.75">
      <c r="B133" s="15" t="s">
        <v>216</v>
      </c>
      <c r="F133" s="19" t="s">
        <v>217</v>
      </c>
      <c r="H133" s="19" t="s">
        <v>217</v>
      </c>
      <c r="J133" s="19" t="s">
        <v>217</v>
      </c>
      <c r="L133" s="19" t="s">
        <v>217</v>
      </c>
      <c r="N133" s="19" t="s">
        <v>217</v>
      </c>
      <c r="O133" s="19"/>
      <c r="P133" s="19" t="s">
        <v>217</v>
      </c>
      <c r="Q133" s="19"/>
      <c r="R133" s="19" t="s">
        <v>217</v>
      </c>
      <c r="S133" s="19"/>
      <c r="T133" s="19" t="s">
        <v>217</v>
      </c>
      <c r="U133" s="19"/>
      <c r="V133" s="19"/>
      <c r="W133" s="19"/>
      <c r="X133" s="19"/>
      <c r="Y133" s="19"/>
      <c r="Z133" s="19"/>
      <c r="AA133" s="19"/>
      <c r="AB133" s="19"/>
      <c r="AJ133" s="15" t="s">
        <v>54</v>
      </c>
    </row>
    <row r="134" spans="2:36" ht="12.75">
      <c r="B134" s="15" t="s">
        <v>222</v>
      </c>
      <c r="L134" s="19"/>
      <c r="N134" s="19"/>
      <c r="O134" s="19"/>
      <c r="P134" s="19"/>
      <c r="Q134" s="19"/>
      <c r="R134" s="19"/>
      <c r="S134" s="19"/>
      <c r="T134" s="19"/>
      <c r="U134" s="19"/>
      <c r="V134" s="19" t="s">
        <v>1</v>
      </c>
      <c r="W134" s="19"/>
      <c r="X134" s="19" t="s">
        <v>1</v>
      </c>
      <c r="Y134" s="19"/>
      <c r="Z134" s="19" t="s">
        <v>1</v>
      </c>
      <c r="AA134" s="19"/>
      <c r="AB134" s="19" t="s">
        <v>1</v>
      </c>
      <c r="AJ134" s="15" t="s">
        <v>54</v>
      </c>
    </row>
    <row r="135" spans="2:36" ht="12.75">
      <c r="B135" s="15" t="s">
        <v>192</v>
      </c>
      <c r="F135" s="15" t="s">
        <v>135</v>
      </c>
      <c r="H135" s="15" t="s">
        <v>135</v>
      </c>
      <c r="J135" s="15" t="s">
        <v>135</v>
      </c>
      <c r="L135" s="15" t="s">
        <v>135</v>
      </c>
      <c r="N135" s="15" t="s">
        <v>138</v>
      </c>
      <c r="P135" s="15" t="s">
        <v>138</v>
      </c>
      <c r="R135" s="15" t="s">
        <v>138</v>
      </c>
      <c r="T135" s="15" t="s">
        <v>138</v>
      </c>
      <c r="AJ135" s="15" t="s">
        <v>54</v>
      </c>
    </row>
    <row r="136" spans="2:20" ht="12.75">
      <c r="B136" s="15" t="s">
        <v>191</v>
      </c>
      <c r="L136" s="15" t="s">
        <v>109</v>
      </c>
      <c r="T136" s="15" t="s">
        <v>109</v>
      </c>
    </row>
    <row r="137" spans="2:20" ht="12.75">
      <c r="B137" s="15" t="s">
        <v>41</v>
      </c>
      <c r="D137" s="15" t="s">
        <v>134</v>
      </c>
      <c r="F137" s="33">
        <v>0.9924</v>
      </c>
      <c r="G137" s="33"/>
      <c r="H137" s="33">
        <v>0.9922</v>
      </c>
      <c r="I137" s="33"/>
      <c r="J137" s="33">
        <v>0.992</v>
      </c>
      <c r="L137" s="15">
        <v>0.992</v>
      </c>
      <c r="N137" s="15">
        <v>1.0613</v>
      </c>
      <c r="P137" s="15">
        <v>1.0645</v>
      </c>
      <c r="R137" s="15">
        <v>1.0654</v>
      </c>
      <c r="T137" s="15">
        <v>1.06</v>
      </c>
    </row>
    <row r="138" spans="2:20" ht="12.75">
      <c r="B138" s="15" t="s">
        <v>42</v>
      </c>
      <c r="D138" s="15" t="s">
        <v>46</v>
      </c>
      <c r="F138" s="33">
        <v>1850</v>
      </c>
      <c r="G138" s="33"/>
      <c r="H138" s="33">
        <v>804</v>
      </c>
      <c r="I138" s="33"/>
      <c r="J138" s="33">
        <v>718</v>
      </c>
      <c r="L138" s="15">
        <v>1124</v>
      </c>
      <c r="N138" s="15">
        <v>3730</v>
      </c>
      <c r="P138" s="15">
        <v>4825</v>
      </c>
      <c r="R138" s="15">
        <v>6235</v>
      </c>
      <c r="T138" s="15">
        <v>4930</v>
      </c>
    </row>
    <row r="139" spans="2:20" ht="12.75">
      <c r="B139" s="15" t="s">
        <v>93</v>
      </c>
      <c r="D139" s="15" t="s">
        <v>136</v>
      </c>
      <c r="E139" s="19" t="s">
        <v>39</v>
      </c>
      <c r="F139" s="33">
        <v>500</v>
      </c>
      <c r="G139" s="33" t="s">
        <v>39</v>
      </c>
      <c r="H139" s="33">
        <v>500</v>
      </c>
      <c r="I139" s="33" t="s">
        <v>39</v>
      </c>
      <c r="J139" s="33">
        <v>500</v>
      </c>
      <c r="L139" s="15">
        <v>500</v>
      </c>
      <c r="M139" s="15" t="s">
        <v>39</v>
      </c>
      <c r="N139" s="15">
        <v>250</v>
      </c>
      <c r="P139" s="15">
        <v>250</v>
      </c>
      <c r="R139" s="15">
        <v>250</v>
      </c>
      <c r="T139" s="15">
        <v>250</v>
      </c>
    </row>
    <row r="140" spans="2:20" ht="12.75">
      <c r="B140" s="15" t="s">
        <v>9</v>
      </c>
      <c r="D140" s="15" t="s">
        <v>137</v>
      </c>
      <c r="F140" s="33">
        <v>31</v>
      </c>
      <c r="G140" s="33"/>
      <c r="H140" s="33">
        <v>19.5</v>
      </c>
      <c r="I140" s="33" t="s">
        <v>39</v>
      </c>
      <c r="J140" s="33">
        <v>18.5</v>
      </c>
      <c r="L140" s="15">
        <v>23</v>
      </c>
      <c r="N140" s="15">
        <v>205</v>
      </c>
      <c r="P140" s="15">
        <v>200</v>
      </c>
      <c r="R140" s="15">
        <v>220</v>
      </c>
      <c r="T140" s="15">
        <v>208.3</v>
      </c>
    </row>
    <row r="141" spans="2:20" ht="12.75">
      <c r="B141" s="15" t="s">
        <v>44</v>
      </c>
      <c r="D141" s="15" t="s">
        <v>137</v>
      </c>
      <c r="F141" s="33">
        <v>17</v>
      </c>
      <c r="G141" s="33" t="s">
        <v>39</v>
      </c>
      <c r="H141" s="33">
        <v>23.5</v>
      </c>
      <c r="I141" s="33" t="s">
        <v>39</v>
      </c>
      <c r="J141" s="33">
        <v>10</v>
      </c>
      <c r="L141" s="15">
        <v>16.8</v>
      </c>
      <c r="M141" s="15" t="s">
        <v>39</v>
      </c>
      <c r="N141" s="15">
        <v>10</v>
      </c>
      <c r="P141" s="15">
        <v>92.5</v>
      </c>
      <c r="Q141" s="15" t="s">
        <v>39</v>
      </c>
      <c r="R141" s="15">
        <v>10</v>
      </c>
      <c r="T141" s="15">
        <v>37.5</v>
      </c>
    </row>
    <row r="142" spans="2:20" ht="12.75">
      <c r="B142" s="15" t="s">
        <v>82</v>
      </c>
      <c r="D142" s="15" t="s">
        <v>137</v>
      </c>
      <c r="E142" s="19" t="s">
        <v>39</v>
      </c>
      <c r="F142" s="33">
        <v>1</v>
      </c>
      <c r="G142" s="33" t="s">
        <v>39</v>
      </c>
      <c r="H142" s="33">
        <v>1</v>
      </c>
      <c r="I142" s="33" t="s">
        <v>39</v>
      </c>
      <c r="J142" s="33">
        <v>1</v>
      </c>
      <c r="L142" s="15">
        <v>1</v>
      </c>
      <c r="M142" s="15" t="s">
        <v>39</v>
      </c>
      <c r="N142" s="15">
        <v>1</v>
      </c>
      <c r="O142" s="15" t="s">
        <v>39</v>
      </c>
      <c r="P142" s="15">
        <v>1</v>
      </c>
      <c r="Q142" s="15" t="s">
        <v>39</v>
      </c>
      <c r="R142" s="15">
        <v>1</v>
      </c>
      <c r="T142" s="15">
        <v>1</v>
      </c>
    </row>
    <row r="143" spans="2:20" ht="12.75">
      <c r="B143" s="15" t="s">
        <v>83</v>
      </c>
      <c r="D143" s="15" t="s">
        <v>137</v>
      </c>
      <c r="E143" s="19" t="s">
        <v>39</v>
      </c>
      <c r="F143" s="33">
        <v>1</v>
      </c>
      <c r="G143" s="33" t="s">
        <v>39</v>
      </c>
      <c r="H143" s="33">
        <v>1</v>
      </c>
      <c r="I143" s="33" t="s">
        <v>39</v>
      </c>
      <c r="J143" s="33">
        <v>1</v>
      </c>
      <c r="L143" s="15">
        <v>1</v>
      </c>
      <c r="M143" s="15" t="s">
        <v>39</v>
      </c>
      <c r="N143" s="15">
        <v>1</v>
      </c>
      <c r="O143" s="15" t="s">
        <v>39</v>
      </c>
      <c r="P143" s="15">
        <v>1</v>
      </c>
      <c r="Q143" s="15" t="s">
        <v>39</v>
      </c>
      <c r="R143" s="15">
        <v>1</v>
      </c>
      <c r="T143" s="15">
        <v>1</v>
      </c>
    </row>
    <row r="144" spans="2:20" ht="12.75">
      <c r="B144" s="15" t="s">
        <v>84</v>
      </c>
      <c r="D144" s="15" t="s">
        <v>137</v>
      </c>
      <c r="E144" s="19" t="s">
        <v>39</v>
      </c>
      <c r="F144" s="33">
        <v>20</v>
      </c>
      <c r="G144" s="33" t="s">
        <v>39</v>
      </c>
      <c r="H144" s="33">
        <v>20</v>
      </c>
      <c r="I144" s="33" t="s">
        <v>39</v>
      </c>
      <c r="J144" s="33">
        <v>20</v>
      </c>
      <c r="L144" s="15">
        <v>20</v>
      </c>
      <c r="M144" s="15" t="s">
        <v>39</v>
      </c>
      <c r="N144" s="15">
        <v>20</v>
      </c>
      <c r="O144" s="15" t="s">
        <v>39</v>
      </c>
      <c r="P144" s="15">
        <v>20</v>
      </c>
      <c r="Q144" s="15" t="s">
        <v>39</v>
      </c>
      <c r="R144" s="15">
        <v>20</v>
      </c>
      <c r="T144" s="15">
        <v>20</v>
      </c>
    </row>
    <row r="145" spans="2:20" ht="12.75">
      <c r="B145" s="15" t="s">
        <v>85</v>
      </c>
      <c r="D145" s="15" t="s">
        <v>137</v>
      </c>
      <c r="E145" s="19" t="s">
        <v>39</v>
      </c>
      <c r="F145" s="33">
        <v>0.5</v>
      </c>
      <c r="G145" s="33" t="s">
        <v>39</v>
      </c>
      <c r="H145" s="33">
        <v>0.5</v>
      </c>
      <c r="I145" s="33" t="s">
        <v>39</v>
      </c>
      <c r="J145" s="33">
        <v>0.5</v>
      </c>
      <c r="L145" s="15">
        <v>0.5</v>
      </c>
      <c r="M145" s="15" t="s">
        <v>39</v>
      </c>
      <c r="N145" s="15">
        <v>0.5</v>
      </c>
      <c r="O145" s="15" t="s">
        <v>39</v>
      </c>
      <c r="P145" s="15">
        <v>0.5</v>
      </c>
      <c r="Q145" s="15" t="s">
        <v>39</v>
      </c>
      <c r="R145" s="15">
        <v>0.5</v>
      </c>
      <c r="T145" s="15">
        <v>0.5</v>
      </c>
    </row>
    <row r="146" spans="2:20" ht="12.75">
      <c r="B146" s="15" t="s">
        <v>86</v>
      </c>
      <c r="D146" s="15" t="s">
        <v>137</v>
      </c>
      <c r="E146" s="19" t="s">
        <v>39</v>
      </c>
      <c r="F146" s="33">
        <v>0.2</v>
      </c>
      <c r="G146" s="33" t="s">
        <v>39</v>
      </c>
      <c r="H146" s="33">
        <v>0.2</v>
      </c>
      <c r="I146" s="33" t="s">
        <v>39</v>
      </c>
      <c r="J146" s="33">
        <v>0.2</v>
      </c>
      <c r="L146" s="15">
        <v>0.2</v>
      </c>
      <c r="M146" s="15" t="s">
        <v>39</v>
      </c>
      <c r="N146" s="15">
        <v>0.2</v>
      </c>
      <c r="O146" s="15" t="s">
        <v>39</v>
      </c>
      <c r="P146" s="15">
        <v>0.2</v>
      </c>
      <c r="Q146" s="15" t="s">
        <v>39</v>
      </c>
      <c r="R146" s="15">
        <v>0.2</v>
      </c>
      <c r="T146" s="15">
        <v>0.2</v>
      </c>
    </row>
    <row r="147" spans="2:20" ht="12.75">
      <c r="B147" s="15" t="s">
        <v>98</v>
      </c>
      <c r="D147" s="15" t="s">
        <v>137</v>
      </c>
      <c r="E147" s="19" t="s">
        <v>39</v>
      </c>
      <c r="F147" s="33">
        <v>0.5</v>
      </c>
      <c r="G147" s="33" t="s">
        <v>39</v>
      </c>
      <c r="H147" s="33">
        <v>0.5</v>
      </c>
      <c r="I147" s="33" t="s">
        <v>39</v>
      </c>
      <c r="J147" s="33">
        <v>0.5</v>
      </c>
      <c r="L147" s="15">
        <v>0.5</v>
      </c>
      <c r="N147" s="15">
        <v>43.8</v>
      </c>
      <c r="P147" s="15">
        <v>46.3</v>
      </c>
      <c r="R147" s="15">
        <v>50.1</v>
      </c>
      <c r="T147" s="15">
        <v>46.7</v>
      </c>
    </row>
    <row r="148" spans="2:20" ht="12.75">
      <c r="B148" s="15" t="s">
        <v>87</v>
      </c>
      <c r="D148" s="15" t="s">
        <v>137</v>
      </c>
      <c r="F148" s="33">
        <v>0.38</v>
      </c>
      <c r="G148" s="33"/>
      <c r="H148" s="33">
        <v>0.31</v>
      </c>
      <c r="I148" s="33"/>
      <c r="J148" s="33">
        <v>0.38</v>
      </c>
      <c r="L148" s="15">
        <v>0.36</v>
      </c>
      <c r="N148" s="15">
        <v>0.38</v>
      </c>
      <c r="P148" s="15">
        <v>0.33</v>
      </c>
      <c r="R148" s="15">
        <v>0.32</v>
      </c>
      <c r="T148" s="15">
        <v>0.34</v>
      </c>
    </row>
    <row r="149" spans="2:20" ht="12.75">
      <c r="B149" s="15" t="s">
        <v>88</v>
      </c>
      <c r="D149" s="15" t="s">
        <v>137</v>
      </c>
      <c r="E149" s="19" t="s">
        <v>39</v>
      </c>
      <c r="F149" s="33">
        <v>0.33</v>
      </c>
      <c r="G149" s="33" t="s">
        <v>39</v>
      </c>
      <c r="H149" s="33">
        <v>0.33</v>
      </c>
      <c r="I149" s="33" t="s">
        <v>39</v>
      </c>
      <c r="J149" s="33">
        <v>0.33</v>
      </c>
      <c r="L149" s="15">
        <v>0.033</v>
      </c>
      <c r="M149" s="15" t="s">
        <v>39</v>
      </c>
      <c r="N149" s="15">
        <v>0.033</v>
      </c>
      <c r="O149" s="15" t="s">
        <v>39</v>
      </c>
      <c r="P149" s="15">
        <v>0.033</v>
      </c>
      <c r="Q149" s="15" t="s">
        <v>39</v>
      </c>
      <c r="R149" s="15">
        <v>0.033</v>
      </c>
      <c r="T149" s="15">
        <v>0.033</v>
      </c>
    </row>
    <row r="150" spans="2:20" ht="12.75">
      <c r="B150" s="15" t="s">
        <v>89</v>
      </c>
      <c r="D150" s="15" t="s">
        <v>137</v>
      </c>
      <c r="E150" s="19" t="s">
        <v>39</v>
      </c>
      <c r="F150" s="33">
        <v>0.5</v>
      </c>
      <c r="G150" s="33" t="s">
        <v>39</v>
      </c>
      <c r="H150" s="33">
        <v>0.5</v>
      </c>
      <c r="I150" s="33" t="s">
        <v>39</v>
      </c>
      <c r="J150" s="33">
        <v>0.5</v>
      </c>
      <c r="L150" s="15">
        <v>0.5</v>
      </c>
      <c r="M150" s="15" t="s">
        <v>39</v>
      </c>
      <c r="N150" s="15">
        <v>0.5</v>
      </c>
      <c r="O150" s="15" t="s">
        <v>39</v>
      </c>
      <c r="P150" s="15">
        <v>0.5</v>
      </c>
      <c r="Q150" s="15" t="s">
        <v>39</v>
      </c>
      <c r="R150" s="15">
        <v>0.5</v>
      </c>
      <c r="T150" s="15">
        <v>0.5</v>
      </c>
    </row>
    <row r="151" spans="2:20" ht="12.75">
      <c r="B151" s="15" t="s">
        <v>90</v>
      </c>
      <c r="D151" s="15" t="s">
        <v>137</v>
      </c>
      <c r="E151" s="19" t="s">
        <v>39</v>
      </c>
      <c r="F151" s="33">
        <v>1</v>
      </c>
      <c r="G151" s="33" t="s">
        <v>39</v>
      </c>
      <c r="H151" s="33">
        <v>1</v>
      </c>
      <c r="I151" s="33" t="s">
        <v>39</v>
      </c>
      <c r="J151" s="33">
        <v>1</v>
      </c>
      <c r="L151" s="15">
        <v>1</v>
      </c>
      <c r="M151" s="15" t="s">
        <v>39</v>
      </c>
      <c r="N151" s="15">
        <v>1</v>
      </c>
      <c r="O151" s="15" t="s">
        <v>39</v>
      </c>
      <c r="P151" s="15">
        <v>1</v>
      </c>
      <c r="Q151" s="15" t="s">
        <v>39</v>
      </c>
      <c r="R151" s="15">
        <v>1</v>
      </c>
      <c r="T151" s="15">
        <v>1</v>
      </c>
    </row>
    <row r="153" spans="2:36" ht="12.75">
      <c r="B153" s="15" t="s">
        <v>45</v>
      </c>
      <c r="D153" s="15" t="s">
        <v>16</v>
      </c>
      <c r="AJ153" s="27">
        <f>emiss!M115</f>
        <v>66328.66666666667</v>
      </c>
    </row>
    <row r="154" spans="2:36" ht="12.75">
      <c r="B154" s="15" t="s">
        <v>10</v>
      </c>
      <c r="D154" s="15" t="s">
        <v>17</v>
      </c>
      <c r="AJ154" s="28">
        <f>emiss!M116</f>
        <v>13.633333333333333</v>
      </c>
    </row>
    <row r="156" spans="2:36" ht="12.75">
      <c r="B156" s="15" t="s">
        <v>223</v>
      </c>
      <c r="D156" s="15" t="s">
        <v>140</v>
      </c>
      <c r="AJ156" s="28">
        <f>AJ153*60/9000*(21-AJ154)/21</f>
        <v>155.1178342151676</v>
      </c>
    </row>
    <row r="158" ht="12.75">
      <c r="B158" s="15" t="s">
        <v>150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15" customWidth="1"/>
    <col min="2" max="2" width="7.00390625" style="15" customWidth="1"/>
    <col min="3" max="3" width="8.140625" style="15" customWidth="1"/>
    <col min="4" max="4" width="7.421875" style="15" customWidth="1"/>
    <col min="5" max="5" width="7.8515625" style="15" customWidth="1"/>
    <col min="6" max="6" width="8.28125" style="15" customWidth="1"/>
    <col min="7" max="16384" width="11.421875" style="15" customWidth="1"/>
  </cols>
  <sheetData>
    <row r="1" ht="12.75">
      <c r="A1" s="26" t="s">
        <v>47</v>
      </c>
    </row>
    <row r="3" spans="2:6" ht="12.75">
      <c r="B3" s="15" t="s">
        <v>32</v>
      </c>
      <c r="C3" s="19" t="s">
        <v>33</v>
      </c>
      <c r="D3" s="19" t="s">
        <v>33</v>
      </c>
      <c r="E3" s="19" t="s">
        <v>33</v>
      </c>
      <c r="F3" s="19" t="s">
        <v>48</v>
      </c>
    </row>
    <row r="4" spans="3:6" ht="12.75">
      <c r="C4" s="19">
        <v>3</v>
      </c>
      <c r="D4" s="19">
        <v>4</v>
      </c>
      <c r="E4" s="19">
        <v>5</v>
      </c>
      <c r="F4" s="19"/>
    </row>
    <row r="5" spans="3:6" ht="12.75">
      <c r="C5" s="19"/>
      <c r="D5" s="19"/>
      <c r="E5" s="19"/>
      <c r="F5" s="19"/>
    </row>
    <row r="6" spans="1:6" ht="12.75">
      <c r="A6" s="26" t="s">
        <v>101</v>
      </c>
      <c r="C6" s="19"/>
      <c r="D6" s="19"/>
      <c r="E6" s="19"/>
      <c r="F6" s="19"/>
    </row>
    <row r="7" spans="1:6" ht="12.75">
      <c r="A7" s="26"/>
      <c r="C7" s="19"/>
      <c r="D7" s="19"/>
      <c r="E7" s="19"/>
      <c r="F7" s="19"/>
    </row>
    <row r="8" spans="1:6" ht="12.75">
      <c r="A8" s="15" t="s">
        <v>157</v>
      </c>
      <c r="B8" s="15" t="s">
        <v>18</v>
      </c>
      <c r="C8" s="15">
        <v>649</v>
      </c>
      <c r="D8" s="15">
        <v>658</v>
      </c>
      <c r="E8" s="15">
        <v>654</v>
      </c>
      <c r="F8" s="27">
        <f>AVERAGE(C8:E8)</f>
        <v>653.6666666666666</v>
      </c>
    </row>
    <row r="9" spans="1:6" ht="12.75">
      <c r="A9" s="15" t="s">
        <v>158</v>
      </c>
      <c r="B9" s="15" t="s">
        <v>129</v>
      </c>
      <c r="C9" s="15">
        <v>172.5</v>
      </c>
      <c r="D9" s="15">
        <v>169.7</v>
      </c>
      <c r="E9" s="15">
        <v>167.3</v>
      </c>
      <c r="F9" s="28">
        <f>AVERAGE(C9:E9)</f>
        <v>169.83333333333334</v>
      </c>
    </row>
    <row r="11" ht="12.75">
      <c r="A11" s="26" t="s">
        <v>102</v>
      </c>
    </row>
    <row r="12" ht="12.75">
      <c r="A12" s="26"/>
    </row>
    <row r="13" spans="1:6" ht="12.75">
      <c r="A13" s="15" t="s">
        <v>157</v>
      </c>
      <c r="B13" s="15" t="s">
        <v>18</v>
      </c>
      <c r="C13" s="15">
        <v>514</v>
      </c>
      <c r="D13" s="15">
        <v>512</v>
      </c>
      <c r="E13" s="15">
        <v>512</v>
      </c>
      <c r="F13" s="27">
        <f>AVERAGE(C13:E13)</f>
        <v>512.6666666666666</v>
      </c>
    </row>
    <row r="15" ht="12.75">
      <c r="A15" s="26"/>
    </row>
    <row r="16" ht="12.75">
      <c r="A16" s="26"/>
    </row>
    <row r="19" ht="12.75">
      <c r="A19" s="26"/>
    </row>
    <row r="23" ht="12.75">
      <c r="A23" s="2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2" customWidth="1"/>
    <col min="2" max="2" width="25.8515625" style="2" customWidth="1"/>
    <col min="3" max="3" width="7.8515625" style="2" customWidth="1"/>
    <col min="4" max="4" width="5.8515625" style="3" customWidth="1"/>
    <col min="5" max="5" width="7.421875" style="4" customWidth="1"/>
    <col min="6" max="6" width="8.140625" style="6" customWidth="1"/>
    <col min="7" max="7" width="7.8515625" style="5" customWidth="1"/>
    <col min="8" max="8" width="8.140625" style="6" customWidth="1"/>
    <col min="9" max="9" width="5.00390625" style="7" customWidth="1"/>
    <col min="10" max="10" width="7.00390625" style="5" customWidth="1"/>
    <col min="11" max="11" width="8.7109375" style="5" customWidth="1"/>
    <col min="12" max="12" width="7.8515625" style="5" customWidth="1"/>
    <col min="13" max="13" width="8.7109375" style="5" customWidth="1"/>
    <col min="14" max="14" width="5.28125" style="7" customWidth="1"/>
    <col min="15" max="15" width="7.8515625" style="5" customWidth="1"/>
    <col min="16" max="16" width="8.00390625" style="5" customWidth="1"/>
    <col min="17" max="17" width="8.7109375" style="5" customWidth="1"/>
    <col min="18" max="18" width="8.00390625" style="5" customWidth="1"/>
    <col min="19" max="19" width="7.7109375" style="2" customWidth="1"/>
    <col min="20" max="20" width="7.8515625" style="2" customWidth="1"/>
    <col min="21" max="21" width="7.7109375" style="2" customWidth="1"/>
    <col min="22" max="22" width="7.00390625" style="2" customWidth="1"/>
    <col min="23" max="23" width="7.421875" style="2" customWidth="1"/>
    <col min="24" max="16384" width="10.8515625" style="2" customWidth="1"/>
  </cols>
  <sheetData>
    <row r="1" ht="12.75">
      <c r="A1" s="1" t="s">
        <v>143</v>
      </c>
    </row>
    <row r="2" spans="1:13" ht="12.75">
      <c r="A2" s="2" t="s">
        <v>232</v>
      </c>
      <c r="K2" s="4"/>
      <c r="M2" s="4"/>
    </row>
    <row r="3" spans="1:3" ht="12.75">
      <c r="A3" s="2" t="s">
        <v>225</v>
      </c>
      <c r="C3" s="59" t="s">
        <v>226</v>
      </c>
    </row>
    <row r="4" spans="1:18" ht="12.75">
      <c r="A4" s="2" t="s">
        <v>231</v>
      </c>
      <c r="C4" s="59" t="s">
        <v>103</v>
      </c>
      <c r="E4" s="8"/>
      <c r="F4" s="10"/>
      <c r="G4" s="9"/>
      <c r="H4" s="10"/>
      <c r="J4" s="9"/>
      <c r="K4" s="9"/>
      <c r="L4" s="9"/>
      <c r="M4" s="9"/>
      <c r="O4" s="9"/>
      <c r="P4" s="9"/>
      <c r="Q4" s="9"/>
      <c r="R4" s="9"/>
    </row>
    <row r="5" spans="1:3" ht="12.75">
      <c r="A5" s="2" t="s">
        <v>227</v>
      </c>
      <c r="C5" s="59" t="s">
        <v>228</v>
      </c>
    </row>
    <row r="6" spans="2:17" ht="12.75" customHeight="1">
      <c r="B6" s="11"/>
      <c r="C6" s="3"/>
      <c r="E6" s="12"/>
      <c r="G6" s="7"/>
      <c r="J6" s="7"/>
      <c r="L6" s="7"/>
      <c r="O6" s="7"/>
      <c r="Q6" s="7"/>
    </row>
    <row r="7" spans="3:18" ht="12.75">
      <c r="C7" s="3" t="s">
        <v>49</v>
      </c>
      <c r="E7" s="13" t="s">
        <v>50</v>
      </c>
      <c r="F7" s="13"/>
      <c r="G7" s="13"/>
      <c r="H7" s="13"/>
      <c r="I7" s="14"/>
      <c r="J7" s="13" t="s">
        <v>51</v>
      </c>
      <c r="K7" s="13"/>
      <c r="L7" s="13"/>
      <c r="M7" s="13"/>
      <c r="N7" s="14"/>
      <c r="O7" s="13" t="s">
        <v>52</v>
      </c>
      <c r="P7" s="13"/>
      <c r="Q7" s="13"/>
      <c r="R7" s="13"/>
    </row>
    <row r="8" spans="3:18" ht="12.75">
      <c r="C8" s="3" t="s">
        <v>53</v>
      </c>
      <c r="E8" s="7" t="s">
        <v>54</v>
      </c>
      <c r="F8" s="10" t="s">
        <v>55</v>
      </c>
      <c r="G8" s="7" t="s">
        <v>54</v>
      </c>
      <c r="H8" s="10" t="s">
        <v>55</v>
      </c>
      <c r="J8" s="7" t="s">
        <v>54</v>
      </c>
      <c r="K8" s="7" t="s">
        <v>56</v>
      </c>
      <c r="L8" s="7" t="s">
        <v>54</v>
      </c>
      <c r="M8" s="7" t="s">
        <v>56</v>
      </c>
      <c r="O8" s="7" t="s">
        <v>54</v>
      </c>
      <c r="P8" s="7" t="s">
        <v>56</v>
      </c>
      <c r="Q8" s="7" t="s">
        <v>54</v>
      </c>
      <c r="R8" s="7" t="s">
        <v>56</v>
      </c>
    </row>
    <row r="9" spans="2:18" ht="12.75">
      <c r="B9" s="1"/>
      <c r="C9" s="3"/>
      <c r="E9" s="7" t="s">
        <v>230</v>
      </c>
      <c r="F9" s="7" t="s">
        <v>230</v>
      </c>
      <c r="G9" s="7" t="s">
        <v>141</v>
      </c>
      <c r="H9" s="10" t="s">
        <v>141</v>
      </c>
      <c r="J9" s="7" t="s">
        <v>230</v>
      </c>
      <c r="K9" s="7" t="s">
        <v>230</v>
      </c>
      <c r="L9" s="7" t="s">
        <v>141</v>
      </c>
      <c r="M9" s="10" t="s">
        <v>141</v>
      </c>
      <c r="O9" s="7" t="s">
        <v>230</v>
      </c>
      <c r="P9" s="7" t="s">
        <v>230</v>
      </c>
      <c r="Q9" s="7" t="s">
        <v>141</v>
      </c>
      <c r="R9" s="10" t="s">
        <v>141</v>
      </c>
    </row>
    <row r="10" spans="1:5" ht="13.5" customHeight="1">
      <c r="A10" s="2" t="s">
        <v>57</v>
      </c>
      <c r="E10" s="5"/>
    </row>
    <row r="11" spans="2:18" ht="12.75">
      <c r="B11" s="2" t="s">
        <v>58</v>
      </c>
      <c r="C11" s="3">
        <v>1</v>
      </c>
      <c r="D11" s="3" t="s">
        <v>39</v>
      </c>
      <c r="E11" s="6">
        <v>0.002</v>
      </c>
      <c r="F11" s="6">
        <f>IF(E11="","",E11*$C11)</f>
        <v>0.002</v>
      </c>
      <c r="G11" s="6">
        <f aca="true" t="shared" si="0" ref="G11:G27">IF(E11=0,"",IF(D11="nd",E11/2,E11))</f>
        <v>0.001</v>
      </c>
      <c r="H11" s="6">
        <f>IF(G11="","",G11*$C11)</f>
        <v>0.001</v>
      </c>
      <c r="I11" s="10" t="s">
        <v>39</v>
      </c>
      <c r="J11" s="15">
        <v>0.002</v>
      </c>
      <c r="K11" s="6">
        <f>IF(J11="","",J11*$C11)</f>
        <v>0.002</v>
      </c>
      <c r="L11" s="6">
        <f>IF(J11=0,"",IF(I11="nd",J11/2,J11))</f>
        <v>0.001</v>
      </c>
      <c r="M11" s="6">
        <f>IF(L11="","",L11*$C11)</f>
        <v>0.001</v>
      </c>
      <c r="N11" s="10" t="s">
        <v>39</v>
      </c>
      <c r="O11" s="16">
        <v>0.001</v>
      </c>
      <c r="P11" s="6">
        <f>IF(O11="","",O11*$C11)</f>
        <v>0.001</v>
      </c>
      <c r="Q11" s="6">
        <f>IF(O11=0,"",IF(N11="nd",O11/2,O11))</f>
        <v>0.0005</v>
      </c>
      <c r="R11" s="6">
        <f>IF(Q11="","",Q11*$C11)</f>
        <v>0.0005</v>
      </c>
    </row>
    <row r="12" spans="2:18" ht="12.75">
      <c r="B12" s="2" t="s">
        <v>59</v>
      </c>
      <c r="C12" s="3">
        <v>0.5</v>
      </c>
      <c r="D12" s="3" t="s">
        <v>39</v>
      </c>
      <c r="E12" s="6">
        <v>0.005</v>
      </c>
      <c r="F12" s="6">
        <f aca="true" t="shared" si="1" ref="F12:H27">IF(E12="","",E12*$C12)</f>
        <v>0.0025</v>
      </c>
      <c r="G12" s="6">
        <f t="shared" si="0"/>
        <v>0.0025</v>
      </c>
      <c r="H12" s="6">
        <f t="shared" si="1"/>
        <v>0.00125</v>
      </c>
      <c r="I12" s="10" t="s">
        <v>39</v>
      </c>
      <c r="J12" s="15">
        <v>0.005</v>
      </c>
      <c r="K12" s="6">
        <f aca="true" t="shared" si="2" ref="K12:M22">IF(J12="","",J12*$C12)</f>
        <v>0.0025</v>
      </c>
      <c r="L12" s="6">
        <f>IF(J12=0,"",IF(I12="nd",J12/2,J12))</f>
        <v>0.0025</v>
      </c>
      <c r="M12" s="6">
        <f t="shared" si="2"/>
        <v>0.00125</v>
      </c>
      <c r="N12" s="10" t="s">
        <v>39</v>
      </c>
      <c r="O12" s="15">
        <v>0.002</v>
      </c>
      <c r="P12" s="6">
        <f aca="true" t="shared" si="3" ref="P12:R22">IF(O12="","",O12*$C12)</f>
        <v>0.001</v>
      </c>
      <c r="Q12" s="6">
        <f>IF(O12=0,"",IF(N12="nd",O12/2,O12))</f>
        <v>0.001</v>
      </c>
      <c r="R12" s="6">
        <f t="shared" si="3"/>
        <v>0.0005</v>
      </c>
    </row>
    <row r="13" spans="2:18" ht="12.75">
      <c r="B13" s="2" t="s">
        <v>60</v>
      </c>
      <c r="C13" s="3">
        <v>0.1</v>
      </c>
      <c r="D13" s="3" t="s">
        <v>39</v>
      </c>
      <c r="E13" s="6">
        <v>0.006</v>
      </c>
      <c r="F13" s="6">
        <f t="shared" si="1"/>
        <v>0.0006000000000000001</v>
      </c>
      <c r="G13" s="6">
        <f t="shared" si="0"/>
        <v>0.003</v>
      </c>
      <c r="H13" s="6">
        <f t="shared" si="1"/>
        <v>0.00030000000000000003</v>
      </c>
      <c r="I13" s="10" t="s">
        <v>39</v>
      </c>
      <c r="J13" s="15">
        <v>0.006</v>
      </c>
      <c r="K13" s="6">
        <f t="shared" si="2"/>
        <v>0.0006000000000000001</v>
      </c>
      <c r="L13" s="6">
        <f aca="true" t="shared" si="4" ref="L13:L23">IF(J13=0,"",IF(I13="nd",J13/2,J13))</f>
        <v>0.003</v>
      </c>
      <c r="M13" s="6">
        <f t="shared" si="2"/>
        <v>0.00030000000000000003</v>
      </c>
      <c r="N13" s="10" t="s">
        <v>39</v>
      </c>
      <c r="O13" s="15">
        <v>0.003</v>
      </c>
      <c r="P13" s="6">
        <f t="shared" si="3"/>
        <v>0.00030000000000000003</v>
      </c>
      <c r="Q13" s="6">
        <f aca="true" t="shared" si="5" ref="Q13:Q23">IF(O13=0,"",IF(N13="nd",O13/2,O13))</f>
        <v>0.0015</v>
      </c>
      <c r="R13" s="6">
        <f t="shared" si="3"/>
        <v>0.00015000000000000001</v>
      </c>
    </row>
    <row r="14" spans="2:18" ht="12.75">
      <c r="B14" s="2" t="s">
        <v>61</v>
      </c>
      <c r="C14" s="3">
        <v>0.1</v>
      </c>
      <c r="D14" s="3" t="s">
        <v>39</v>
      </c>
      <c r="E14" s="6">
        <v>0.006</v>
      </c>
      <c r="F14" s="6">
        <f t="shared" si="1"/>
        <v>0.0006000000000000001</v>
      </c>
      <c r="G14" s="6">
        <f t="shared" si="0"/>
        <v>0.003</v>
      </c>
      <c r="H14" s="6">
        <f t="shared" si="1"/>
        <v>0.00030000000000000003</v>
      </c>
      <c r="I14" s="10" t="s">
        <v>39</v>
      </c>
      <c r="J14" s="15">
        <v>0.006</v>
      </c>
      <c r="K14" s="6">
        <f t="shared" si="2"/>
        <v>0.0006000000000000001</v>
      </c>
      <c r="L14" s="6">
        <f t="shared" si="4"/>
        <v>0.003</v>
      </c>
      <c r="M14" s="6">
        <f t="shared" si="2"/>
        <v>0.00030000000000000003</v>
      </c>
      <c r="N14" s="10" t="s">
        <v>39</v>
      </c>
      <c r="O14" s="15">
        <v>0.003</v>
      </c>
      <c r="P14" s="6">
        <f t="shared" si="3"/>
        <v>0.00030000000000000003</v>
      </c>
      <c r="Q14" s="6">
        <f t="shared" si="5"/>
        <v>0.0015</v>
      </c>
      <c r="R14" s="6">
        <f t="shared" si="3"/>
        <v>0.00015000000000000001</v>
      </c>
    </row>
    <row r="15" spans="2:18" ht="12.75">
      <c r="B15" s="2" t="s">
        <v>62</v>
      </c>
      <c r="C15" s="3">
        <v>0.1</v>
      </c>
      <c r="D15" s="3" t="s">
        <v>39</v>
      </c>
      <c r="E15" s="6">
        <v>0.006</v>
      </c>
      <c r="F15" s="6">
        <f t="shared" si="1"/>
        <v>0.0006000000000000001</v>
      </c>
      <c r="G15" s="6">
        <f t="shared" si="0"/>
        <v>0.003</v>
      </c>
      <c r="H15" s="6">
        <f t="shared" si="1"/>
        <v>0.00030000000000000003</v>
      </c>
      <c r="I15" s="10" t="s">
        <v>39</v>
      </c>
      <c r="J15" s="15">
        <v>0.006</v>
      </c>
      <c r="K15" s="6">
        <f t="shared" si="2"/>
        <v>0.0006000000000000001</v>
      </c>
      <c r="L15" s="6">
        <f t="shared" si="4"/>
        <v>0.003</v>
      </c>
      <c r="M15" s="6">
        <f t="shared" si="2"/>
        <v>0.00030000000000000003</v>
      </c>
      <c r="N15" s="10" t="s">
        <v>39</v>
      </c>
      <c r="O15" s="15">
        <v>0.002</v>
      </c>
      <c r="P15" s="6">
        <f t="shared" si="3"/>
        <v>0.0002</v>
      </c>
      <c r="Q15" s="6">
        <f t="shared" si="5"/>
        <v>0.001</v>
      </c>
      <c r="R15" s="6">
        <f t="shared" si="3"/>
        <v>0.0001</v>
      </c>
    </row>
    <row r="16" spans="2:18" ht="12.75">
      <c r="B16" s="2" t="s">
        <v>63</v>
      </c>
      <c r="C16" s="3">
        <v>0.01</v>
      </c>
      <c r="D16" s="3" t="s">
        <v>39</v>
      </c>
      <c r="E16" s="6">
        <v>0.007</v>
      </c>
      <c r="F16" s="6">
        <f t="shared" si="1"/>
        <v>7.000000000000001E-05</v>
      </c>
      <c r="G16" s="6">
        <f t="shared" si="0"/>
        <v>0.0035</v>
      </c>
      <c r="H16" s="6">
        <f t="shared" si="1"/>
        <v>3.5000000000000004E-05</v>
      </c>
      <c r="I16" s="10" t="s">
        <v>39</v>
      </c>
      <c r="J16" s="15">
        <v>0.008</v>
      </c>
      <c r="K16" s="6">
        <f t="shared" si="2"/>
        <v>8E-05</v>
      </c>
      <c r="L16" s="6">
        <f t="shared" si="4"/>
        <v>0.004</v>
      </c>
      <c r="M16" s="6">
        <f t="shared" si="2"/>
        <v>4E-05</v>
      </c>
      <c r="N16" s="10" t="s">
        <v>39</v>
      </c>
      <c r="O16" s="15">
        <v>0.006</v>
      </c>
      <c r="P16" s="6">
        <f t="shared" si="3"/>
        <v>6E-05</v>
      </c>
      <c r="Q16" s="6">
        <f t="shared" si="5"/>
        <v>0.003</v>
      </c>
      <c r="R16" s="6">
        <f t="shared" si="3"/>
        <v>3E-05</v>
      </c>
    </row>
    <row r="17" spans="2:18" ht="12.75">
      <c r="B17" s="2" t="s">
        <v>64</v>
      </c>
      <c r="C17" s="3">
        <v>0.001</v>
      </c>
      <c r="E17" s="6">
        <v>0.043</v>
      </c>
      <c r="F17" s="6">
        <f t="shared" si="1"/>
        <v>4.2999999999999995E-05</v>
      </c>
      <c r="G17" s="6">
        <f t="shared" si="0"/>
        <v>0.043</v>
      </c>
      <c r="H17" s="6">
        <f t="shared" si="1"/>
        <v>4.2999999999999995E-05</v>
      </c>
      <c r="I17" s="10"/>
      <c r="J17" s="15">
        <v>0.019</v>
      </c>
      <c r="K17" s="6">
        <f t="shared" si="2"/>
        <v>1.9E-05</v>
      </c>
      <c r="L17" s="6">
        <f t="shared" si="4"/>
        <v>0.019</v>
      </c>
      <c r="M17" s="6">
        <f t="shared" si="2"/>
        <v>1.9E-05</v>
      </c>
      <c r="N17" s="10" t="s">
        <v>39</v>
      </c>
      <c r="O17" s="15">
        <v>0.005</v>
      </c>
      <c r="P17" s="6">
        <f t="shared" si="3"/>
        <v>5E-06</v>
      </c>
      <c r="Q17" s="6">
        <f t="shared" si="5"/>
        <v>0.0025</v>
      </c>
      <c r="R17" s="6">
        <f t="shared" si="3"/>
        <v>2.5E-06</v>
      </c>
    </row>
    <row r="18" spans="2:18" ht="12.75">
      <c r="B18" s="2" t="s">
        <v>65</v>
      </c>
      <c r="C18" s="3">
        <v>0.1</v>
      </c>
      <c r="D18" s="3" t="s">
        <v>39</v>
      </c>
      <c r="E18" s="6">
        <v>0.003</v>
      </c>
      <c r="F18" s="6">
        <f t="shared" si="1"/>
        <v>0.00030000000000000003</v>
      </c>
      <c r="G18" s="6">
        <f t="shared" si="0"/>
        <v>0.0015</v>
      </c>
      <c r="H18" s="6">
        <f t="shared" si="1"/>
        <v>0.00015000000000000001</v>
      </c>
      <c r="I18" s="10" t="s">
        <v>39</v>
      </c>
      <c r="J18" s="15">
        <v>0.003</v>
      </c>
      <c r="K18" s="6">
        <f t="shared" si="2"/>
        <v>0.00030000000000000003</v>
      </c>
      <c r="L18" s="6">
        <f t="shared" si="4"/>
        <v>0.0015</v>
      </c>
      <c r="M18" s="6">
        <f t="shared" si="2"/>
        <v>0.00015000000000000001</v>
      </c>
      <c r="N18" s="10" t="s">
        <v>39</v>
      </c>
      <c r="O18" s="15">
        <v>0.003</v>
      </c>
      <c r="P18" s="6">
        <f t="shared" si="3"/>
        <v>0.00030000000000000003</v>
      </c>
      <c r="Q18" s="6">
        <f t="shared" si="5"/>
        <v>0.0015</v>
      </c>
      <c r="R18" s="6">
        <f t="shared" si="3"/>
        <v>0.00015000000000000001</v>
      </c>
    </row>
    <row r="19" spans="2:18" ht="12.75">
      <c r="B19" s="2" t="s">
        <v>66</v>
      </c>
      <c r="C19" s="3">
        <v>0.05</v>
      </c>
      <c r="D19" s="3" t="s">
        <v>39</v>
      </c>
      <c r="E19" s="6">
        <v>0.004</v>
      </c>
      <c r="F19" s="6">
        <f t="shared" si="1"/>
        <v>0.0002</v>
      </c>
      <c r="G19" s="6">
        <f t="shared" si="0"/>
        <v>0.002</v>
      </c>
      <c r="H19" s="6">
        <f t="shared" si="1"/>
        <v>0.0001</v>
      </c>
      <c r="I19" s="10" t="s">
        <v>39</v>
      </c>
      <c r="J19" s="15">
        <v>0.005</v>
      </c>
      <c r="K19" s="6">
        <f t="shared" si="2"/>
        <v>0.00025</v>
      </c>
      <c r="L19" s="6">
        <f t="shared" si="4"/>
        <v>0.0025</v>
      </c>
      <c r="M19" s="6">
        <f t="shared" si="2"/>
        <v>0.000125</v>
      </c>
      <c r="N19" s="10" t="s">
        <v>39</v>
      </c>
      <c r="O19" s="15">
        <v>0.005</v>
      </c>
      <c r="P19" s="6">
        <f t="shared" si="3"/>
        <v>0.00025</v>
      </c>
      <c r="Q19" s="6">
        <f t="shared" si="5"/>
        <v>0.0025</v>
      </c>
      <c r="R19" s="6">
        <f t="shared" si="3"/>
        <v>0.000125</v>
      </c>
    </row>
    <row r="20" spans="2:18" ht="12.75">
      <c r="B20" s="2" t="s">
        <v>67</v>
      </c>
      <c r="C20" s="3">
        <v>0.5</v>
      </c>
      <c r="D20" s="3" t="s">
        <v>39</v>
      </c>
      <c r="E20" s="6">
        <v>0.004</v>
      </c>
      <c r="F20" s="6">
        <f t="shared" si="1"/>
        <v>0.002</v>
      </c>
      <c r="G20" s="6">
        <f t="shared" si="0"/>
        <v>0.002</v>
      </c>
      <c r="H20" s="6">
        <f t="shared" si="1"/>
        <v>0.001</v>
      </c>
      <c r="I20" s="10" t="s">
        <v>39</v>
      </c>
      <c r="J20" s="15">
        <v>0.005</v>
      </c>
      <c r="K20" s="6">
        <f t="shared" si="2"/>
        <v>0.0025</v>
      </c>
      <c r="L20" s="6">
        <f t="shared" si="4"/>
        <v>0.0025</v>
      </c>
      <c r="M20" s="6">
        <f t="shared" si="2"/>
        <v>0.00125</v>
      </c>
      <c r="N20" s="10" t="s">
        <v>39</v>
      </c>
      <c r="O20" s="15">
        <v>0.004</v>
      </c>
      <c r="P20" s="6">
        <f t="shared" si="3"/>
        <v>0.002</v>
      </c>
      <c r="Q20" s="6">
        <f t="shared" si="5"/>
        <v>0.002</v>
      </c>
      <c r="R20" s="6">
        <f t="shared" si="3"/>
        <v>0.001</v>
      </c>
    </row>
    <row r="21" spans="2:18" ht="12.75">
      <c r="B21" s="2" t="s">
        <v>68</v>
      </c>
      <c r="C21" s="3">
        <v>0.1</v>
      </c>
      <c r="D21" s="3" t="s">
        <v>39</v>
      </c>
      <c r="E21" s="6">
        <v>0.003</v>
      </c>
      <c r="F21" s="6">
        <f t="shared" si="1"/>
        <v>0.00030000000000000003</v>
      </c>
      <c r="G21" s="6">
        <f t="shared" si="0"/>
        <v>0.0015</v>
      </c>
      <c r="H21" s="6">
        <f t="shared" si="1"/>
        <v>0.00015000000000000001</v>
      </c>
      <c r="I21" s="10" t="s">
        <v>39</v>
      </c>
      <c r="J21" s="15">
        <v>0.004</v>
      </c>
      <c r="K21" s="6">
        <f t="shared" si="2"/>
        <v>0.0004</v>
      </c>
      <c r="L21" s="6">
        <f t="shared" si="4"/>
        <v>0.002</v>
      </c>
      <c r="M21" s="6">
        <f t="shared" si="2"/>
        <v>0.0002</v>
      </c>
      <c r="N21" s="10" t="s">
        <v>39</v>
      </c>
      <c r="O21" s="15">
        <v>0.004</v>
      </c>
      <c r="P21" s="6">
        <f t="shared" si="3"/>
        <v>0.0004</v>
      </c>
      <c r="Q21" s="6">
        <f t="shared" si="5"/>
        <v>0.002</v>
      </c>
      <c r="R21" s="6">
        <f t="shared" si="3"/>
        <v>0.0002</v>
      </c>
    </row>
    <row r="22" spans="2:18" ht="12.75">
      <c r="B22" s="2" t="s">
        <v>69</v>
      </c>
      <c r="C22" s="3">
        <v>0.1</v>
      </c>
      <c r="D22" s="3" t="s">
        <v>39</v>
      </c>
      <c r="E22" s="6">
        <v>0.003</v>
      </c>
      <c r="F22" s="6">
        <f t="shared" si="1"/>
        <v>0.00030000000000000003</v>
      </c>
      <c r="G22" s="6">
        <f t="shared" si="0"/>
        <v>0.0015</v>
      </c>
      <c r="H22" s="6">
        <f t="shared" si="1"/>
        <v>0.00015000000000000001</v>
      </c>
      <c r="I22" s="10" t="s">
        <v>39</v>
      </c>
      <c r="J22" s="15">
        <v>0.004</v>
      </c>
      <c r="K22" s="6">
        <f t="shared" si="2"/>
        <v>0.0004</v>
      </c>
      <c r="L22" s="6">
        <f t="shared" si="4"/>
        <v>0.002</v>
      </c>
      <c r="M22" s="6">
        <f t="shared" si="2"/>
        <v>0.0002</v>
      </c>
      <c r="N22" s="10" t="s">
        <v>39</v>
      </c>
      <c r="O22" s="15">
        <v>0.004</v>
      </c>
      <c r="P22" s="6">
        <f t="shared" si="3"/>
        <v>0.0004</v>
      </c>
      <c r="Q22" s="6">
        <f t="shared" si="5"/>
        <v>0.002</v>
      </c>
      <c r="R22" s="6">
        <f t="shared" si="3"/>
        <v>0.0002</v>
      </c>
    </row>
    <row r="23" spans="2:18" ht="12.75">
      <c r="B23" s="2" t="s">
        <v>70</v>
      </c>
      <c r="C23" s="3">
        <v>0.1</v>
      </c>
      <c r="D23" s="3" t="s">
        <v>39</v>
      </c>
      <c r="E23" s="6">
        <v>0.003</v>
      </c>
      <c r="F23" s="6">
        <f t="shared" si="1"/>
        <v>0.00030000000000000003</v>
      </c>
      <c r="G23" s="6">
        <f t="shared" si="0"/>
        <v>0.0015</v>
      </c>
      <c r="H23" s="6">
        <f t="shared" si="1"/>
        <v>0.00015000000000000001</v>
      </c>
      <c r="I23" s="10" t="s">
        <v>39</v>
      </c>
      <c r="J23" s="15">
        <v>0.005</v>
      </c>
      <c r="K23" s="6">
        <f>IF(J23="","",J23*$C23)</f>
        <v>0.0005</v>
      </c>
      <c r="L23" s="6">
        <f t="shared" si="4"/>
        <v>0.0025</v>
      </c>
      <c r="M23" s="6">
        <f>IF(L23="","",L23*$C23)</f>
        <v>0.00025</v>
      </c>
      <c r="N23" s="10" t="s">
        <v>39</v>
      </c>
      <c r="O23" s="15">
        <v>0.004</v>
      </c>
      <c r="P23" s="6">
        <f>IF(O23="","",O23*$C23)</f>
        <v>0.0004</v>
      </c>
      <c r="Q23" s="6">
        <f t="shared" si="5"/>
        <v>0.002</v>
      </c>
      <c r="R23" s="6">
        <f>IF(Q23="","",Q23*$C23)</f>
        <v>0.0002</v>
      </c>
    </row>
    <row r="24" spans="2:18" ht="12.75">
      <c r="B24" s="2" t="s">
        <v>71</v>
      </c>
      <c r="C24" s="3">
        <v>0.1</v>
      </c>
      <c r="D24" s="3" t="s">
        <v>39</v>
      </c>
      <c r="E24" s="6">
        <v>0.003</v>
      </c>
      <c r="F24" s="6">
        <f t="shared" si="1"/>
        <v>0.00030000000000000003</v>
      </c>
      <c r="G24" s="6">
        <f t="shared" si="0"/>
        <v>0.0015</v>
      </c>
      <c r="H24" s="6">
        <f t="shared" si="1"/>
        <v>0.00015000000000000001</v>
      </c>
      <c r="I24" s="10" t="s">
        <v>39</v>
      </c>
      <c r="J24" s="15">
        <v>0.005</v>
      </c>
      <c r="K24" s="6">
        <f>IF(J24="","",J24*$C24)</f>
        <v>0.0005</v>
      </c>
      <c r="L24" s="6">
        <f>IF(J24=0,"",IF(I24="nd",J24/2,J24))</f>
        <v>0.0025</v>
      </c>
      <c r="M24" s="6">
        <f>IF(L24="","",L24*$C24)</f>
        <v>0.00025</v>
      </c>
      <c r="N24" s="10" t="s">
        <v>39</v>
      </c>
      <c r="O24" s="15">
        <v>0.005</v>
      </c>
      <c r="P24" s="6">
        <f>IF(O24="","",O24*$C24)</f>
        <v>0.0005</v>
      </c>
      <c r="Q24" s="6">
        <f>IF(O24=0,"",IF(N24="nd",O24/2,O24))</f>
        <v>0.0025</v>
      </c>
      <c r="R24" s="6">
        <f>IF(Q24="","",Q24*$C24)</f>
        <v>0.00025</v>
      </c>
    </row>
    <row r="25" spans="2:18" ht="12.75">
      <c r="B25" s="2" t="s">
        <v>72</v>
      </c>
      <c r="C25" s="3">
        <v>0.01</v>
      </c>
      <c r="D25" s="3" t="s">
        <v>39</v>
      </c>
      <c r="E25" s="6">
        <v>0.008</v>
      </c>
      <c r="F25" s="6">
        <f t="shared" si="1"/>
        <v>8E-05</v>
      </c>
      <c r="G25" s="6">
        <f t="shared" si="0"/>
        <v>0.004</v>
      </c>
      <c r="H25" s="6">
        <f t="shared" si="1"/>
        <v>4E-05</v>
      </c>
      <c r="I25" s="10"/>
      <c r="J25" s="15">
        <v>0.014</v>
      </c>
      <c r="K25" s="6">
        <f>IF(J25="","",J25*$C25)</f>
        <v>0.00014000000000000001</v>
      </c>
      <c r="L25" s="6">
        <f>IF(J25=0,"",IF(I25="nd",J25/2,J25))</f>
        <v>0.014</v>
      </c>
      <c r="M25" s="6">
        <f>IF(L25="","",L25*$C25)</f>
        <v>0.00014000000000000001</v>
      </c>
      <c r="N25" s="10" t="s">
        <v>39</v>
      </c>
      <c r="O25" s="15">
        <v>0.009</v>
      </c>
      <c r="P25" s="6">
        <f>IF(O25="","",O25*$C25)</f>
        <v>8.999999999999999E-05</v>
      </c>
      <c r="Q25" s="6">
        <f>IF(O25=0,"",IF(N25="nd",O25/2,O25))</f>
        <v>0.0045</v>
      </c>
      <c r="R25" s="6">
        <f>IF(Q25="","",Q25*$C25)</f>
        <v>4.4999999999999996E-05</v>
      </c>
    </row>
    <row r="26" spans="2:18" ht="12.75">
      <c r="B26" s="2" t="s">
        <v>73</v>
      </c>
      <c r="C26" s="3">
        <v>0.01</v>
      </c>
      <c r="D26" s="3" t="s">
        <v>39</v>
      </c>
      <c r="E26" s="6">
        <v>0.006</v>
      </c>
      <c r="F26" s="6">
        <f t="shared" si="1"/>
        <v>6E-05</v>
      </c>
      <c r="G26" s="6">
        <f t="shared" si="0"/>
        <v>0.003</v>
      </c>
      <c r="H26" s="6">
        <f t="shared" si="1"/>
        <v>3E-05</v>
      </c>
      <c r="I26" s="10" t="s">
        <v>39</v>
      </c>
      <c r="J26" s="15">
        <v>0.005</v>
      </c>
      <c r="K26" s="6">
        <f>IF(J26="","",J26*$C26)</f>
        <v>5E-05</v>
      </c>
      <c r="L26" s="6">
        <f>IF(J26=0,"",IF(I26="nd",J26/2,J26))</f>
        <v>0.0025</v>
      </c>
      <c r="M26" s="6">
        <f>IF(L26="","",L26*$C26)</f>
        <v>2.5E-05</v>
      </c>
      <c r="N26" s="10" t="s">
        <v>39</v>
      </c>
      <c r="O26" s="15">
        <v>0.006</v>
      </c>
      <c r="P26" s="6">
        <f>IF(O26="","",O26*$C26)</f>
        <v>6E-05</v>
      </c>
      <c r="Q26" s="6">
        <f>IF(O26=0,"",IF(N26="nd",O26/2,O26))</f>
        <v>0.003</v>
      </c>
      <c r="R26" s="6">
        <f>IF(Q26="","",Q26*$C26)</f>
        <v>3E-05</v>
      </c>
    </row>
    <row r="27" spans="2:18" ht="12.75">
      <c r="B27" s="2" t="s">
        <v>74</v>
      </c>
      <c r="C27" s="3">
        <v>0.001</v>
      </c>
      <c r="D27" s="3" t="s">
        <v>39</v>
      </c>
      <c r="E27" s="6">
        <v>0.01</v>
      </c>
      <c r="F27" s="6">
        <f t="shared" si="1"/>
        <v>1E-05</v>
      </c>
      <c r="G27" s="6">
        <f t="shared" si="0"/>
        <v>0.005</v>
      </c>
      <c r="H27" s="6">
        <f t="shared" si="1"/>
        <v>5E-06</v>
      </c>
      <c r="I27" s="10" t="s">
        <v>39</v>
      </c>
      <c r="J27" s="15">
        <v>0.015</v>
      </c>
      <c r="K27" s="6">
        <f>IF(J27="","",J27*$C27)</f>
        <v>1.5E-05</v>
      </c>
      <c r="L27" s="6">
        <f>IF(J27=0,"",IF(I27="nd",J27/2,J27))</f>
        <v>0.0075</v>
      </c>
      <c r="M27" s="6">
        <f>IF(L27="","",L27*$C27)</f>
        <v>7.5E-06</v>
      </c>
      <c r="N27" s="10"/>
      <c r="O27" s="15">
        <v>0.015</v>
      </c>
      <c r="P27" s="6">
        <f>IF(O27="","",O27*$C27)</f>
        <v>1.5E-05</v>
      </c>
      <c r="Q27" s="6">
        <f>IF(O27=0,"",IF(N27="nd",O27/2,O27))</f>
        <v>0.015</v>
      </c>
      <c r="R27" s="6">
        <f>IF(Q27="","",Q27*$C27)</f>
        <v>1.5E-05</v>
      </c>
    </row>
    <row r="28" spans="5:17" ht="12.75">
      <c r="E28" s="17"/>
      <c r="G28" s="17"/>
      <c r="I28" s="18"/>
      <c r="J28" s="17"/>
      <c r="K28" s="17"/>
      <c r="L28" s="17"/>
      <c r="M28" s="17"/>
      <c r="N28" s="18"/>
      <c r="O28" s="17"/>
      <c r="Q28" s="17"/>
    </row>
    <row r="29" spans="2:18" ht="12.75">
      <c r="B29" s="2" t="s">
        <v>75</v>
      </c>
      <c r="E29" s="17"/>
      <c r="F29" s="17">
        <v>118.264</v>
      </c>
      <c r="G29" s="17"/>
      <c r="H29" s="17">
        <v>118.264</v>
      </c>
      <c r="I29" s="18"/>
      <c r="J29" s="17"/>
      <c r="K29" s="17">
        <v>124.366</v>
      </c>
      <c r="L29" s="17"/>
      <c r="M29" s="17">
        <v>124.366</v>
      </c>
      <c r="N29" s="18"/>
      <c r="O29" s="17"/>
      <c r="P29" s="17">
        <v>122.345</v>
      </c>
      <c r="Q29" s="17"/>
      <c r="R29" s="17">
        <v>122.345</v>
      </c>
    </row>
    <row r="30" spans="2:18" ht="12.75">
      <c r="B30" s="2" t="s">
        <v>76</v>
      </c>
      <c r="E30" s="17"/>
      <c r="F30" s="17">
        <v>12.4</v>
      </c>
      <c r="G30" s="17"/>
      <c r="H30" s="17">
        <v>12.4</v>
      </c>
      <c r="I30" s="18"/>
      <c r="J30" s="17"/>
      <c r="K30" s="17">
        <v>12.9</v>
      </c>
      <c r="L30" s="17"/>
      <c r="M30" s="17">
        <v>12.9</v>
      </c>
      <c r="N30" s="18"/>
      <c r="O30" s="17"/>
      <c r="P30" s="17">
        <v>12.3</v>
      </c>
      <c r="Q30" s="17"/>
      <c r="R30" s="17">
        <v>12.3</v>
      </c>
    </row>
    <row r="31" spans="5:18" ht="12.75">
      <c r="E31" s="17"/>
      <c r="F31" s="15"/>
      <c r="G31" s="17"/>
      <c r="H31" s="15"/>
      <c r="I31" s="19"/>
      <c r="J31" s="17"/>
      <c r="K31" s="15"/>
      <c r="L31" s="17"/>
      <c r="M31" s="15"/>
      <c r="N31" s="18"/>
      <c r="O31" s="17"/>
      <c r="P31" s="17"/>
      <c r="Q31" s="17"/>
      <c r="R31" s="17"/>
    </row>
    <row r="32" spans="2:18" ht="13.5" customHeight="1">
      <c r="B32" s="2" t="s">
        <v>105</v>
      </c>
      <c r="C32" s="6"/>
      <c r="D32" s="10"/>
      <c r="E32" s="6"/>
      <c r="F32" s="6">
        <f>SUM(F11:F27)</f>
        <v>0.010262999999999998</v>
      </c>
      <c r="G32" s="6"/>
      <c r="H32" s="6">
        <f>SUM(H11:H27)</f>
        <v>0.005152999999999999</v>
      </c>
      <c r="I32" s="10"/>
      <c r="J32" s="6"/>
      <c r="K32" s="6">
        <f>SUM(K11:K27)</f>
        <v>0.011453999999999999</v>
      </c>
      <c r="L32" s="6"/>
      <c r="M32" s="6">
        <f>SUM(M11:M27)</f>
        <v>0.0058065</v>
      </c>
      <c r="N32" s="10"/>
      <c r="O32" s="6"/>
      <c r="P32" s="6">
        <f>SUM(P11:P27)</f>
        <v>0.00728</v>
      </c>
      <c r="Q32" s="6"/>
      <c r="R32" s="6">
        <f>SUM(R11:R27)</f>
        <v>0.0036474999999999997</v>
      </c>
    </row>
    <row r="33" spans="2:18" ht="12.75">
      <c r="B33" s="2" t="s">
        <v>77</v>
      </c>
      <c r="C33" s="6"/>
      <c r="D33" s="60">
        <f>(F33-H33)*2/F33*100</f>
        <v>99.58101919516712</v>
      </c>
      <c r="E33" s="6"/>
      <c r="F33" s="6">
        <f>F32/F29/0.0283*(21-7)/(21-F30)</f>
        <v>0.0049918889326621176</v>
      </c>
      <c r="G33" s="6"/>
      <c r="H33" s="6">
        <f>H32/H29/0.0283*(21-7)/(21-H30)</f>
        <v>0.0025064019945442743</v>
      </c>
      <c r="I33" s="60">
        <f>(K33-M33)*2/K33*100</f>
        <v>98.61183865898376</v>
      </c>
      <c r="J33" s="6"/>
      <c r="K33" s="6">
        <f>K32/K29/0.0283*(21-7)/(21-K30)</f>
        <v>0.005624864872807896</v>
      </c>
      <c r="L33" s="6"/>
      <c r="M33" s="6">
        <f>M32/M29/0.0283*(21-7)/(21-M30)</f>
        <v>0.002851473536228309</v>
      </c>
      <c r="N33" s="60">
        <f>(P33-R33)*2/P33*100</f>
        <v>99.79395604395607</v>
      </c>
      <c r="O33" s="6"/>
      <c r="P33" s="6">
        <f>P32/P29/0.0283*(21-7)/(21-P30)</f>
        <v>0.0033835102896433706</v>
      </c>
      <c r="Q33" s="6"/>
      <c r="R33" s="6">
        <f>R32/R29/0.0283*(21-7)/(21-R30)</f>
        <v>0.0016952409040486528</v>
      </c>
    </row>
    <row r="34" spans="5:17" ht="12.75">
      <c r="E34" s="20"/>
      <c r="G34" s="21"/>
      <c r="I34" s="22"/>
      <c r="J34" s="21"/>
      <c r="K34" s="21"/>
      <c r="L34" s="21"/>
      <c r="M34" s="21"/>
      <c r="N34" s="22"/>
      <c r="O34" s="21"/>
      <c r="Q34" s="21"/>
    </row>
    <row r="35" spans="2:23" s="17" customFormat="1" ht="12.75">
      <c r="B35" s="17" t="s">
        <v>142</v>
      </c>
      <c r="C35" s="23">
        <f>AVERAGE(H33,M33,R33)</f>
        <v>0.0023510388116070786</v>
      </c>
      <c r="D35" s="18"/>
      <c r="E35" s="24"/>
      <c r="F35" s="6"/>
      <c r="H35" s="6"/>
      <c r="I35" s="18"/>
      <c r="N35" s="18"/>
      <c r="P35" s="5"/>
      <c r="R35" s="5"/>
      <c r="S35" s="2"/>
      <c r="T35" s="2"/>
      <c r="U35" s="2"/>
      <c r="V35" s="2"/>
      <c r="W35" s="2"/>
    </row>
    <row r="37" spans="5:18" ht="12.75">
      <c r="E37" s="25"/>
      <c r="G37" s="2"/>
      <c r="I37" s="3"/>
      <c r="J37" s="2"/>
      <c r="K37" s="2"/>
      <c r="L37" s="2"/>
      <c r="M37" s="2"/>
      <c r="N37" s="3"/>
      <c r="O37" s="2"/>
      <c r="P37" s="2"/>
      <c r="Q37" s="2"/>
      <c r="R37" s="2"/>
    </row>
    <row r="38" spans="5:18" ht="12.75">
      <c r="E38" s="25"/>
      <c r="G38" s="2"/>
      <c r="I38" s="3"/>
      <c r="J38" s="2"/>
      <c r="K38" s="2"/>
      <c r="L38" s="2"/>
      <c r="M38" s="2"/>
      <c r="N38" s="3"/>
      <c r="O38" s="2"/>
      <c r="P38" s="2"/>
      <c r="Q38" s="2"/>
      <c r="R38" s="2"/>
    </row>
    <row r="39" spans="5:18" ht="12.75">
      <c r="E39" s="25"/>
      <c r="G39" s="2"/>
      <c r="I39" s="3"/>
      <c r="J39" s="2"/>
      <c r="K39" s="2"/>
      <c r="L39" s="2"/>
      <c r="M39" s="2"/>
      <c r="N39" s="3"/>
      <c r="O39" s="2"/>
      <c r="P39" s="2"/>
      <c r="Q39" s="2"/>
      <c r="R39" s="2"/>
    </row>
    <row r="40" spans="5:18" ht="12.75">
      <c r="E40" s="25"/>
      <c r="G40" s="2"/>
      <c r="I40" s="3"/>
      <c r="J40" s="2"/>
      <c r="K40" s="2"/>
      <c r="L40" s="2"/>
      <c r="M40" s="2"/>
      <c r="N40" s="3"/>
      <c r="O40" s="2"/>
      <c r="P40" s="2"/>
      <c r="Q40" s="2"/>
      <c r="R40" s="2"/>
    </row>
    <row r="41" spans="5:18" ht="12.75">
      <c r="E41" s="25"/>
      <c r="G41" s="2"/>
      <c r="I41" s="3"/>
      <c r="J41" s="2"/>
      <c r="K41" s="2"/>
      <c r="L41" s="2"/>
      <c r="M41" s="2"/>
      <c r="N41" s="3"/>
      <c r="O41" s="2"/>
      <c r="P41" s="2"/>
      <c r="Q41" s="2"/>
      <c r="R41" s="2"/>
    </row>
    <row r="42" spans="5:18" ht="12.75">
      <c r="E42" s="25"/>
      <c r="G42" s="2"/>
      <c r="I42" s="3"/>
      <c r="J42" s="2"/>
      <c r="K42" s="2"/>
      <c r="L42" s="2"/>
      <c r="M42" s="2"/>
      <c r="N42" s="3"/>
      <c r="O42" s="2"/>
      <c r="P42" s="2"/>
      <c r="Q42" s="2"/>
      <c r="R42" s="2"/>
    </row>
    <row r="43" spans="5:18" ht="12.75">
      <c r="E43" s="25"/>
      <c r="G43" s="2"/>
      <c r="I43" s="3"/>
      <c r="J43" s="2"/>
      <c r="K43" s="2"/>
      <c r="L43" s="2"/>
      <c r="M43" s="2"/>
      <c r="N43" s="3"/>
      <c r="O43" s="2"/>
      <c r="P43" s="2"/>
      <c r="Q43" s="2"/>
      <c r="R43" s="2"/>
    </row>
    <row r="44" spans="5:18" ht="12.75">
      <c r="E44" s="25"/>
      <c r="G44" s="2"/>
      <c r="I44" s="3"/>
      <c r="J44" s="2"/>
      <c r="K44" s="2"/>
      <c r="L44" s="2"/>
      <c r="M44" s="2"/>
      <c r="N44" s="3"/>
      <c r="O44" s="2"/>
      <c r="P44" s="2"/>
      <c r="Q44" s="2"/>
      <c r="R44" s="2"/>
    </row>
    <row r="45" spans="5:18" ht="12.75">
      <c r="E45" s="25"/>
      <c r="G45" s="2"/>
      <c r="I45" s="3"/>
      <c r="J45" s="2"/>
      <c r="K45" s="2"/>
      <c r="L45" s="2"/>
      <c r="M45" s="2"/>
      <c r="N45" s="3"/>
      <c r="O45" s="2"/>
      <c r="P45" s="2"/>
      <c r="Q45" s="2"/>
      <c r="R45" s="2"/>
    </row>
    <row r="46" spans="5:18" ht="12.75">
      <c r="E46" s="25"/>
      <c r="G46" s="2"/>
      <c r="I46" s="3"/>
      <c r="J46" s="2"/>
      <c r="K46" s="2"/>
      <c r="L46" s="2"/>
      <c r="M46" s="2"/>
      <c r="N46" s="3"/>
      <c r="O46" s="2"/>
      <c r="P46" s="2"/>
      <c r="Q46" s="2"/>
      <c r="R46" s="2"/>
    </row>
    <row r="47" spans="5:18" ht="12.75">
      <c r="E47" s="25"/>
      <c r="G47" s="2"/>
      <c r="I47" s="3"/>
      <c r="J47" s="2"/>
      <c r="K47" s="2"/>
      <c r="L47" s="2"/>
      <c r="M47" s="2"/>
      <c r="N47" s="3"/>
      <c r="O47" s="2"/>
      <c r="P47" s="2"/>
      <c r="Q47" s="2"/>
      <c r="R47" s="2"/>
    </row>
    <row r="48" spans="5:18" ht="12.75">
      <c r="E48" s="25"/>
      <c r="G48" s="2"/>
      <c r="I48" s="3"/>
      <c r="J48" s="2"/>
      <c r="K48" s="2"/>
      <c r="L48" s="2"/>
      <c r="M48" s="2"/>
      <c r="N48" s="3"/>
      <c r="O48" s="2"/>
      <c r="P48" s="2"/>
      <c r="Q48" s="2"/>
      <c r="R48" s="2"/>
    </row>
    <row r="49" spans="5:18" ht="12.75">
      <c r="E49" s="25"/>
      <c r="G49" s="2"/>
      <c r="I49" s="3"/>
      <c r="J49" s="2"/>
      <c r="K49" s="2"/>
      <c r="L49" s="2"/>
      <c r="M49" s="2"/>
      <c r="N49" s="3"/>
      <c r="O49" s="2"/>
      <c r="P49" s="2"/>
      <c r="Q49" s="2"/>
      <c r="R49" s="2"/>
    </row>
    <row r="50" spans="5:18" ht="12.75">
      <c r="E50" s="25"/>
      <c r="G50" s="2"/>
      <c r="I50" s="3"/>
      <c r="J50" s="2"/>
      <c r="K50" s="2"/>
      <c r="L50" s="2"/>
      <c r="M50" s="2"/>
      <c r="N50" s="3"/>
      <c r="O50" s="2"/>
      <c r="P50" s="2"/>
      <c r="Q50" s="2"/>
      <c r="R50" s="2"/>
    </row>
    <row r="51" spans="5:18" ht="12.75">
      <c r="E51" s="25"/>
      <c r="G51" s="2"/>
      <c r="I51" s="3"/>
      <c r="J51" s="2"/>
      <c r="K51" s="2"/>
      <c r="L51" s="2"/>
      <c r="M51" s="2"/>
      <c r="N51" s="3"/>
      <c r="O51" s="2"/>
      <c r="P51" s="2"/>
      <c r="Q51" s="2"/>
      <c r="R51" s="2"/>
    </row>
    <row r="52" spans="5:18" ht="12.75">
      <c r="E52" s="25"/>
      <c r="G52" s="2"/>
      <c r="I52" s="3"/>
      <c r="J52" s="2"/>
      <c r="K52" s="2"/>
      <c r="L52" s="2"/>
      <c r="M52" s="2"/>
      <c r="N52" s="3"/>
      <c r="O52" s="2"/>
      <c r="P52" s="2"/>
      <c r="Q52" s="2"/>
      <c r="R52" s="2"/>
    </row>
    <row r="53" spans="5:18" ht="12.75">
      <c r="E53" s="25"/>
      <c r="G53" s="2"/>
      <c r="I53" s="3"/>
      <c r="J53" s="2"/>
      <c r="K53" s="2"/>
      <c r="L53" s="2"/>
      <c r="M53" s="2"/>
      <c r="N53" s="3"/>
      <c r="O53" s="2"/>
      <c r="P53" s="2"/>
      <c r="Q53" s="2"/>
      <c r="R53" s="2"/>
    </row>
    <row r="54" spans="5:18" ht="12.75">
      <c r="E54" s="25"/>
      <c r="G54" s="2"/>
      <c r="I54" s="3"/>
      <c r="J54" s="2"/>
      <c r="K54" s="2"/>
      <c r="L54" s="2"/>
      <c r="M54" s="2"/>
      <c r="N54" s="3"/>
      <c r="O54" s="2"/>
      <c r="P54" s="2"/>
      <c r="Q54" s="2"/>
      <c r="R54" s="2"/>
    </row>
    <row r="55" spans="5:18" ht="12.75">
      <c r="E55" s="25"/>
      <c r="G55" s="2"/>
      <c r="I55" s="3"/>
      <c r="J55" s="2"/>
      <c r="K55" s="2"/>
      <c r="L55" s="2"/>
      <c r="M55" s="2"/>
      <c r="N55" s="3"/>
      <c r="O55" s="2"/>
      <c r="P55" s="2"/>
      <c r="Q55" s="2"/>
      <c r="R55" s="2"/>
    </row>
    <row r="56" spans="5:18" ht="12.75">
      <c r="E56" s="25"/>
      <c r="G56" s="2"/>
      <c r="I56" s="3"/>
      <c r="J56" s="2"/>
      <c r="K56" s="2"/>
      <c r="L56" s="2"/>
      <c r="M56" s="2"/>
      <c r="N56" s="3"/>
      <c r="O56" s="2"/>
      <c r="P56" s="2"/>
      <c r="Q56" s="2"/>
      <c r="R56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Preferred Customer</cp:lastModifiedBy>
  <cp:lastPrinted>2004-02-20T17:17:01Z</cp:lastPrinted>
  <dcterms:created xsi:type="dcterms:W3CDTF">1999-12-20T09:27:35Z</dcterms:created>
  <dcterms:modified xsi:type="dcterms:W3CDTF">2005-07-19T18:17:56Z</dcterms:modified>
  <cp:category/>
  <cp:version/>
  <cp:contentType/>
  <cp:contentStatus/>
</cp:coreProperties>
</file>