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0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<sst xmlns="http://schemas.openxmlformats.org/spreadsheetml/2006/main" count="597" uniqueCount="205">
  <si>
    <t>Stack Gas Emissions</t>
  </si>
  <si>
    <t>HW</t>
  </si>
  <si>
    <t>PM</t>
  </si>
  <si>
    <t>HCl</t>
  </si>
  <si>
    <t>Cl2</t>
  </si>
  <si>
    <t>SVM</t>
  </si>
  <si>
    <t>LVM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</si>
  <si>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</si>
  <si>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</si>
  <si>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</si>
  <si>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</si>
  <si>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</si>
  <si>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</si>
  <si>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</si>
  <si>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</si>
  <si>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</si>
  <si>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</si>
  <si>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LAD059130831</t>
  </si>
  <si>
    <t>Facility Name</t>
  </si>
  <si>
    <t>DSM Copolymer Inc.</t>
  </si>
  <si>
    <t>Facility Location</t>
  </si>
  <si>
    <t>Addis</t>
  </si>
  <si>
    <t>LA</t>
  </si>
  <si>
    <t>Unit ID Name/No.</t>
  </si>
  <si>
    <t>No. 3 boiler</t>
  </si>
  <si>
    <t>Other Sister Facilities</t>
  </si>
  <si>
    <t>Combustor Characteristics</t>
  </si>
  <si>
    <t>None</t>
  </si>
  <si>
    <t>APCS Characteristics</t>
  </si>
  <si>
    <t>NA</t>
  </si>
  <si>
    <t>Waste fuel oil</t>
  </si>
  <si>
    <t>Stack Characteristics</t>
  </si>
  <si>
    <t>Permitting Status</t>
  </si>
  <si>
    <t>Low risk waste exemption; Tier I for metals/chlorine</t>
  </si>
  <si>
    <t xml:space="preserve">     Report Name/Date</t>
  </si>
  <si>
    <t>Source Emissions Survey of DSM Copolymer Boiler Number 3 Risk Burn, April and May 1997; also Risk Burn Summary - Final Report, DSM Copolymer, January 1998</t>
  </si>
  <si>
    <t xml:space="preserve">     Testing Dates</t>
  </si>
  <si>
    <t>April 28 - May 1, 1998</t>
  </si>
  <si>
    <t>Risk burn</t>
  </si>
  <si>
    <t xml:space="preserve">     Content</t>
  </si>
  <si>
    <t>Organics</t>
  </si>
  <si>
    <t xml:space="preserve">     Report Prepar</t>
  </si>
  <si>
    <t>METCO</t>
  </si>
  <si>
    <t xml:space="preserve">     Testing Firm</t>
  </si>
  <si>
    <t>Recertification of Compliance, DSM Copolymer Plant, July 22, 1996</t>
  </si>
  <si>
    <t>PM, CO, HCl/Cl2; metals, chlorine in feedstreams</t>
  </si>
  <si>
    <t>DSM Copolymer, Lloyd Tabary</t>
  </si>
  <si>
    <t>Emission Testing Services</t>
  </si>
  <si>
    <t>Units</t>
  </si>
  <si>
    <t>Run</t>
  </si>
  <si>
    <t>Cond Avg</t>
  </si>
  <si>
    <t xml:space="preserve">   Stack Gas Flowrate</t>
  </si>
  <si>
    <t xml:space="preserve">   Temperature</t>
  </si>
  <si>
    <t>y</t>
  </si>
  <si>
    <t>g/hr</t>
  </si>
  <si>
    <t>nd</t>
  </si>
  <si>
    <t>lb/min</t>
  </si>
  <si>
    <t>Density</t>
  </si>
  <si>
    <t>g/ml</t>
  </si>
  <si>
    <t>Heat Content</t>
  </si>
  <si>
    <t>Btu/lb</t>
  </si>
  <si>
    <t>% wt</t>
  </si>
  <si>
    <t>Chlorine</t>
  </si>
  <si>
    <t>ppmw</t>
  </si>
  <si>
    <t>Stack Gas Flowrate</t>
  </si>
  <si>
    <t>Estimated Firing Rate</t>
  </si>
  <si>
    <t>Waste</t>
  </si>
  <si>
    <t>Natural Gas</t>
  </si>
  <si>
    <t>scfh</t>
  </si>
  <si>
    <t>Btu/scf</t>
  </si>
  <si>
    <t>Process Information</t>
  </si>
  <si>
    <t>Avg</t>
  </si>
  <si>
    <t>756C11</t>
  </si>
  <si>
    <t>lb/hr</t>
  </si>
  <si>
    <t>I-TEF</t>
  </si>
  <si>
    <t>Run 2</t>
  </si>
  <si>
    <t>Run 3</t>
  </si>
  <si>
    <t>Run 4</t>
  </si>
  <si>
    <t>Wght Fact</t>
  </si>
  <si>
    <t>Total</t>
  </si>
  <si>
    <t xml:space="preserve"> TEQ</t>
  </si>
  <si>
    <t>TEQ</t>
  </si>
  <si>
    <t>Detected in sample volume (ng)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</si>
  <si>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</si>
  <si>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</si>
  <si>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</si>
  <si>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</si>
  <si>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</si>
  <si>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</si>
  <si>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</si>
  <si>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</si>
  <si>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</si>
  <si>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</si>
  <si>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</si>
  <si>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</si>
  <si>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</si>
  <si>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</si>
  <si>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</si>
  <si>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</si>
  <si>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</si>
  <si>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</si>
  <si>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</si>
  <si>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</si>
  <si>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</si>
  <si>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</si>
  <si>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</si>
  <si>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</si>
  <si>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</si>
  <si>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</si>
  <si>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</si>
  <si>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</si>
  <si>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</si>
  <si>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Liq</t>
  </si>
  <si>
    <t>CoC; max waste feed and steam prod</t>
  </si>
  <si>
    <t>PCDD/PCDF</t>
  </si>
  <si>
    <t>1/2 ND</t>
  </si>
  <si>
    <t>TEQ Cond Avg</t>
  </si>
  <si>
    <t>Total Cond Avg</t>
  </si>
  <si>
    <t>756C10</t>
  </si>
  <si>
    <t>Feedstreams</t>
  </si>
  <si>
    <t>Capacity (MMBtu/hr)</t>
  </si>
  <si>
    <t>Hazardous Wastes</t>
  </si>
  <si>
    <t>Supplemental Fuel</t>
  </si>
  <si>
    <t>Feedrate MTEC Calculations</t>
  </si>
  <si>
    <t>MMBtu/hr</t>
  </si>
  <si>
    <t>7% O2</t>
  </si>
  <si>
    <t>Steam Production Rate</t>
  </si>
  <si>
    <t>Phase II ID No.</t>
  </si>
  <si>
    <t xml:space="preserve">     Cond Description</t>
  </si>
  <si>
    <t>Source Description</t>
  </si>
  <si>
    <t>Soot blowing</t>
  </si>
  <si>
    <t xml:space="preserve">    City</t>
  </si>
  <si>
    <t xml:space="preserve">    State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</si>
  <si>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</si>
  <si>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</si>
  <si>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</si>
  <si>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</si>
  <si>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</si>
  <si>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</si>
  <si>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risk burn</t>
  </si>
  <si>
    <t>CoC 1996</t>
  </si>
  <si>
    <t xml:space="preserve">   O2</t>
  </si>
  <si>
    <t xml:space="preserve">   Moisture</t>
  </si>
  <si>
    <t>Particle Size Distribution</t>
  </si>
  <si>
    <t>unable to determine due to very low PM</t>
  </si>
  <si>
    <t>Total Chlorine</t>
  </si>
  <si>
    <t>CO (RA)</t>
  </si>
  <si>
    <t>CO (MHRA)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</si>
  <si>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</si>
  <si>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</si>
  <si>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</si>
  <si>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</si>
  <si>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</si>
  <si>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</si>
  <si>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</si>
  <si>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</si>
  <si>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 xml:space="preserve">756C10 </t>
  </si>
  <si>
    <t>(risk burn)</t>
  </si>
  <si>
    <t xml:space="preserve">756C11 </t>
  </si>
  <si>
    <t>(1996 CoC)</t>
  </si>
  <si>
    <t>*</t>
  </si>
  <si>
    <t>Thermal Feedrate</t>
  </si>
  <si>
    <t>Mercury</t>
  </si>
  <si>
    <t>Feed Rate</t>
  </si>
  <si>
    <t>Feedstream Description</t>
  </si>
  <si>
    <t>HWC Burn Status (Date if Terminated)</t>
  </si>
  <si>
    <t xml:space="preserve">     Cond Dates</t>
  </si>
  <si>
    <t>Natural gas</t>
  </si>
  <si>
    <t>(Majority of fuel to boiler is nat gas; little haz waste firing)</t>
  </si>
  <si>
    <t>R1</t>
  </si>
  <si>
    <t>R2</t>
  </si>
  <si>
    <t>R3</t>
  </si>
  <si>
    <t>Cond Description</t>
  </si>
  <si>
    <t>Watertube boiler. Riley Union Type MWH with Todd Combustion low NOx burner, watertube, 268 MM Btu/hr, 200000 lb/hr steam @ 350 psig</t>
  </si>
  <si>
    <t>Liquid-fired boiler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</si>
  <si>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</si>
  <si>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</si>
  <si>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</si>
  <si>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</si>
  <si>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</si>
  <si>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</si>
  <si>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E1</t>
  </si>
  <si>
    <t>PM, Chlorine</t>
  </si>
  <si>
    <t>source</t>
  </si>
  <si>
    <t>cond</t>
  </si>
  <si>
    <t>emiss</t>
  </si>
  <si>
    <t>feed</t>
  </si>
  <si>
    <t>Feedstream Number</t>
  </si>
  <si>
    <t>Feed Class</t>
  </si>
  <si>
    <t>Liq HW</t>
  </si>
  <si>
    <t>F1</t>
  </si>
  <si>
    <t>Selenium</t>
  </si>
  <si>
    <t>F2</t>
  </si>
  <si>
    <t>NG</t>
  </si>
  <si>
    <t>F3</t>
  </si>
  <si>
    <t>Feed Class 2</t>
  </si>
  <si>
    <t>MF</t>
  </si>
  <si>
    <t xml:space="preserve">Facility Name and ID: </t>
  </si>
  <si>
    <t>DSM Copolymer (Addis, LA)</t>
  </si>
  <si>
    <t xml:space="preserve">Condition/Test Date:  </t>
  </si>
  <si>
    <t>April 30 - May 1, 1997</t>
  </si>
  <si>
    <t>df c10</t>
  </si>
  <si>
    <t>Full ND</t>
  </si>
  <si>
    <t>Condition ID:</t>
  </si>
  <si>
    <t>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</si>
</sst>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" sqref="C1"/>
    </sheetView>
  </sheetViews>
  <sheetFormatPr defaultColWidth="9.140625" defaultRowHeight="12.75"/>
  <cols>
    <col min="1" max="1" width="9.140625" style="2" hidden="1" customWidth="1"/>
    <col min="2" max="2" width="24.421875" style="2" customWidth="1"/>
    <col min="3" max="3" width="57.7109375" style="2" customWidth="1"/>
    <col min="4" max="4" width="9.00390625" style="2" customWidth="1"/>
    <col min="5" max="16384" width="11.421875" style="2" customWidth="1"/>
  </cols>
  <sheetData>
    <row r="1" ht="12.75">
      <c r="B1" s="1" t="s">
        <v>129</v>
      </c>
    </row>
    <row r="3" spans="2:3" ht="12.75">
      <c r="B3" s="2" t="s">
        <v>127</v>
      </c>
      <c r="C3" s="3">
        <v>756</v>
      </c>
    </row>
    <row r="4" spans="2:3" ht="12.75">
      <c r="B4" s="2" t="s">
        <v>16</v>
      </c>
      <c r="C4" s="2" t="s">
        <v>17</v>
      </c>
    </row>
    <row r="5" spans="2:3" ht="12.75">
      <c r="B5" s="2" t="s">
        <v>18</v>
      </c>
      <c r="C5" s="2" t="s">
        <v>19</v>
      </c>
    </row>
    <row r="6" ht="12.75">
      <c r="B6" s="2" t="s">
        <v>20</v>
      </c>
    </row>
    <row r="7" spans="2:3" ht="12.75">
      <c r="B7" s="2" t="s">
        <v>131</v>
      </c>
      <c r="C7" s="2" t="s">
        <v>21</v>
      </c>
    </row>
    <row r="8" spans="2:3" ht="12.75">
      <c r="B8" s="2" t="s">
        <v>132</v>
      </c>
      <c r="C8" s="2" t="s">
        <v>22</v>
      </c>
    </row>
    <row r="9" spans="2:3" ht="12.75">
      <c r="B9" s="2" t="s">
        <v>23</v>
      </c>
      <c r="C9" s="2" t="s">
        <v>24</v>
      </c>
    </row>
    <row r="10" spans="2:3" ht="12.75">
      <c r="B10" s="2" t="s">
        <v>25</v>
      </c>
      <c r="C10" s="2" t="s">
        <v>27</v>
      </c>
    </row>
    <row r="11" spans="2:3" ht="12.75">
      <c r="B11" s="2" t="s">
        <v>175</v>
      </c>
      <c r="C11" s="3">
        <v>0</v>
      </c>
    </row>
    <row r="12" spans="2:3" ht="12.75">
      <c r="B12" s="2" t="s">
        <v>179</v>
      </c>
      <c r="C12" s="2" t="s">
        <v>174</v>
      </c>
    </row>
    <row r="13" spans="2:3" ht="12.75">
      <c r="B13" s="2" t="s">
        <v>176</v>
      </c>
      <c r="C13" s="2" t="s">
        <v>180</v>
      </c>
    </row>
    <row r="14" spans="2:3" s="4" customFormat="1" ht="38.25">
      <c r="B14" s="4" t="s">
        <v>26</v>
      </c>
      <c r="C14" s="5" t="s">
        <v>173</v>
      </c>
    </row>
    <row r="15" spans="2:3" s="4" customFormat="1" ht="12.75">
      <c r="B15" s="4" t="s">
        <v>120</v>
      </c>
      <c r="C15" s="27">
        <v>268</v>
      </c>
    </row>
    <row r="16" spans="2:3" s="4" customFormat="1" ht="12.75">
      <c r="B16" s="4" t="s">
        <v>130</v>
      </c>
      <c r="C16" s="27"/>
    </row>
    <row r="17" spans="2:3" ht="12.75">
      <c r="B17" s="2" t="s">
        <v>177</v>
      </c>
      <c r="C17" s="2" t="s">
        <v>27</v>
      </c>
    </row>
    <row r="18" ht="12.75">
      <c r="B18" s="2" t="s">
        <v>178</v>
      </c>
    </row>
    <row r="19" spans="2:3" ht="12.75">
      <c r="B19" s="2" t="s">
        <v>28</v>
      </c>
      <c r="C19" s="2" t="s">
        <v>29</v>
      </c>
    </row>
    <row r="20" spans="2:3" ht="12.75">
      <c r="B20" s="2" t="s">
        <v>121</v>
      </c>
      <c r="C20" s="2" t="s">
        <v>112</v>
      </c>
    </row>
    <row r="21" spans="2:3" ht="12.75">
      <c r="B21" s="2" t="s">
        <v>133</v>
      </c>
      <c r="C21" s="2" t="s">
        <v>30</v>
      </c>
    </row>
    <row r="22" spans="2:3" ht="12.75">
      <c r="B22" s="2" t="s">
        <v>122</v>
      </c>
      <c r="C22" s="2" t="s">
        <v>167</v>
      </c>
    </row>
    <row r="23" ht="12.75" customHeight="1">
      <c r="C23" s="2" t="s">
        <v>168</v>
      </c>
    </row>
    <row r="24" ht="12.75">
      <c r="B24" s="2" t="s">
        <v>31</v>
      </c>
    </row>
    <row r="25" spans="2:3" ht="12.75">
      <c r="B25" s="2" t="s">
        <v>134</v>
      </c>
      <c r="C25" s="6">
        <f>68/12</f>
        <v>5.666666666666667</v>
      </c>
    </row>
    <row r="26" spans="2:3" ht="12.75">
      <c r="B26" s="2" t="s">
        <v>135</v>
      </c>
      <c r="C26" s="3">
        <v>40</v>
      </c>
    </row>
    <row r="27" ht="12.75">
      <c r="B27" s="2" t="s">
        <v>136</v>
      </c>
    </row>
    <row r="28" spans="2:3" ht="12.75">
      <c r="B28" s="2" t="s">
        <v>137</v>
      </c>
      <c r="C28" s="3">
        <v>500</v>
      </c>
    </row>
    <row r="29" ht="12.75" customHeight="1"/>
    <row r="30" spans="2:3" ht="12.75">
      <c r="B30" s="2" t="s">
        <v>32</v>
      </c>
      <c r="C30" s="2" t="s">
        <v>33</v>
      </c>
    </row>
    <row r="31" s="32" customFormat="1" ht="25.5">
      <c r="B31" s="32" t="s">
        <v>165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0.421875" style="2" customWidth="1"/>
    <col min="3" max="3" width="63.8515625" style="2" customWidth="1"/>
    <col min="4" max="16384" width="9.140625" style="2" customWidth="1"/>
  </cols>
  <sheetData>
    <row r="1" ht="12.75">
      <c r="B1" s="1" t="s">
        <v>172</v>
      </c>
    </row>
    <row r="3" ht="12.75">
      <c r="B3" s="33" t="s">
        <v>118</v>
      </c>
    </row>
    <row r="5" spans="2:3" s="4" customFormat="1" ht="38.25">
      <c r="B5" s="4" t="s">
        <v>34</v>
      </c>
      <c r="C5" s="5" t="s">
        <v>35</v>
      </c>
    </row>
    <row r="6" spans="2:3" ht="12.75">
      <c r="B6" s="2" t="s">
        <v>41</v>
      </c>
      <c r="C6" s="2" t="s">
        <v>42</v>
      </c>
    </row>
    <row r="7" spans="2:3" ht="12.75">
      <c r="B7" s="2" t="s">
        <v>43</v>
      </c>
      <c r="C7" s="2" t="s">
        <v>42</v>
      </c>
    </row>
    <row r="8" spans="2:3" ht="12.75">
      <c r="B8" s="2" t="s">
        <v>36</v>
      </c>
      <c r="C8" s="2" t="s">
        <v>37</v>
      </c>
    </row>
    <row r="9" spans="2:3" ht="12.75">
      <c r="B9" s="2" t="s">
        <v>166</v>
      </c>
      <c r="C9" s="31">
        <v>34424</v>
      </c>
    </row>
    <row r="10" spans="2:3" ht="12.75">
      <c r="B10" s="2" t="s">
        <v>128</v>
      </c>
      <c r="C10" s="2" t="s">
        <v>38</v>
      </c>
    </row>
    <row r="11" spans="2:3" ht="12.75">
      <c r="B11" s="2" t="s">
        <v>39</v>
      </c>
      <c r="C11" s="2" t="s">
        <v>40</v>
      </c>
    </row>
    <row r="13" ht="12.75">
      <c r="B13" s="33" t="s">
        <v>72</v>
      </c>
    </row>
    <row r="14" ht="12.75">
      <c r="B14" s="33"/>
    </row>
    <row r="15" spans="2:3" ht="12.75">
      <c r="B15" s="2" t="s">
        <v>34</v>
      </c>
      <c r="C15" s="2" t="s">
        <v>44</v>
      </c>
    </row>
    <row r="16" spans="2:3" ht="12.75">
      <c r="B16" s="2" t="s">
        <v>41</v>
      </c>
      <c r="C16" s="2" t="s">
        <v>46</v>
      </c>
    </row>
    <row r="17" spans="2:3" ht="12.75">
      <c r="B17" s="2" t="s">
        <v>43</v>
      </c>
      <c r="C17" s="2" t="s">
        <v>47</v>
      </c>
    </row>
    <row r="18" spans="2:3" ht="12.75">
      <c r="B18" s="2" t="s">
        <v>36</v>
      </c>
      <c r="C18" s="7">
        <v>33732</v>
      </c>
    </row>
    <row r="19" spans="2:3" ht="12.75">
      <c r="B19" s="2" t="s">
        <v>166</v>
      </c>
      <c r="C19" s="31">
        <v>33724</v>
      </c>
    </row>
    <row r="20" spans="2:3" ht="12.75">
      <c r="B20" s="2" t="s">
        <v>128</v>
      </c>
      <c r="C20" s="2" t="s">
        <v>113</v>
      </c>
    </row>
    <row r="21" spans="2:3" ht="12.75">
      <c r="B21" s="2" t="s">
        <v>39</v>
      </c>
      <c r="C21" s="2" t="s">
        <v>45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0.13671875" style="2" customWidth="1"/>
    <col min="2" max="2" width="22.00390625" style="2" bestFit="1" customWidth="1"/>
    <col min="3" max="3" width="19.28125" style="2" customWidth="1"/>
    <col min="4" max="4" width="7.00390625" style="2" customWidth="1"/>
    <col min="5" max="5" width="5.8515625" style="2" customWidth="1"/>
    <col min="6" max="6" width="2.8515625" style="8" customWidth="1"/>
    <col min="7" max="7" width="8.421875" style="2" customWidth="1"/>
    <col min="8" max="8" width="2.8515625" style="8" customWidth="1"/>
    <col min="9" max="9" width="7.140625" style="2" customWidth="1"/>
    <col min="10" max="10" width="2.7109375" style="8" customWidth="1"/>
    <col min="11" max="11" width="8.28125" style="2" customWidth="1"/>
    <col min="12" max="12" width="2.57421875" style="2" customWidth="1"/>
    <col min="13" max="13" width="10.00390625" style="2" customWidth="1"/>
    <col min="14" max="14" width="2.7109375" style="2" customWidth="1"/>
    <col min="15" max="15" width="8.00390625" style="2" customWidth="1"/>
    <col min="16" max="16" width="2.8515625" style="2" customWidth="1"/>
    <col min="17" max="17" width="9.140625" style="2" customWidth="1"/>
    <col min="18" max="18" width="2.7109375" style="2" customWidth="1"/>
    <col min="19" max="19" width="7.8515625" style="2" customWidth="1"/>
    <col min="20" max="20" width="8.00390625" style="2" customWidth="1"/>
    <col min="21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9" ht="12.75">
      <c r="C3" s="2" t="s">
        <v>138</v>
      </c>
      <c r="D3" s="2" t="s">
        <v>48</v>
      </c>
      <c r="E3" s="2" t="s">
        <v>125</v>
      </c>
      <c r="G3" s="8"/>
      <c r="I3" s="8"/>
      <c r="K3" s="8"/>
      <c r="L3" s="9"/>
      <c r="M3" s="8"/>
      <c r="N3" s="8"/>
      <c r="O3" s="8"/>
      <c r="P3" s="8"/>
      <c r="Q3" s="8"/>
      <c r="R3" s="8"/>
      <c r="S3" s="8"/>
    </row>
    <row r="4" spans="7:19" ht="12.75">
      <c r="G4" s="8"/>
      <c r="I4" s="8"/>
      <c r="K4" s="8"/>
      <c r="L4" s="8"/>
      <c r="O4" s="8"/>
      <c r="P4" s="8"/>
      <c r="Q4" s="8"/>
      <c r="R4" s="8"/>
      <c r="S4" s="8"/>
    </row>
    <row r="5" spans="1:19" ht="12.75">
      <c r="A5" s="2">
        <v>10</v>
      </c>
      <c r="B5" s="1" t="s">
        <v>118</v>
      </c>
      <c r="C5" s="1" t="s">
        <v>139</v>
      </c>
      <c r="G5" s="8" t="s">
        <v>169</v>
      </c>
      <c r="I5" s="8" t="s">
        <v>170</v>
      </c>
      <c r="K5" s="8" t="s">
        <v>171</v>
      </c>
      <c r="L5" s="8"/>
      <c r="M5" s="2" t="s">
        <v>50</v>
      </c>
      <c r="O5" s="8"/>
      <c r="P5" s="8"/>
      <c r="Q5" s="8"/>
      <c r="R5" s="8"/>
      <c r="S5" s="8"/>
    </row>
    <row r="6" spans="2:12" ht="12.75">
      <c r="B6" s="1"/>
      <c r="C6" s="1"/>
      <c r="G6" s="8"/>
      <c r="I6" s="8"/>
      <c r="K6" s="8"/>
      <c r="L6" s="8"/>
    </row>
    <row r="7" spans="2:4" ht="12" customHeight="1">
      <c r="B7" s="2" t="s">
        <v>148</v>
      </c>
      <c r="C7" s="2" t="s">
        <v>114</v>
      </c>
      <c r="D7" s="2" t="s">
        <v>181</v>
      </c>
    </row>
    <row r="8" spans="2:13" ht="12.75">
      <c r="B8" s="2" t="s">
        <v>51</v>
      </c>
      <c r="D8" s="2" t="s">
        <v>13</v>
      </c>
      <c r="G8" s="2">
        <v>50346</v>
      </c>
      <c r="I8" s="2">
        <v>49884</v>
      </c>
      <c r="K8" s="2">
        <v>50398</v>
      </c>
      <c r="M8" s="10">
        <f>AVERAGE(K8,I8,G8)</f>
        <v>50209.333333333336</v>
      </c>
    </row>
    <row r="9" spans="2:13" ht="12.75">
      <c r="B9" s="2" t="s">
        <v>141</v>
      </c>
      <c r="D9" s="2" t="s">
        <v>14</v>
      </c>
      <c r="G9" s="2">
        <v>7.3</v>
      </c>
      <c r="I9" s="2">
        <v>6.3</v>
      </c>
      <c r="K9" s="2">
        <v>7.8</v>
      </c>
      <c r="M9" s="11">
        <f>AVERAGE(K9,I9,G9)</f>
        <v>7.133333333333333</v>
      </c>
    </row>
    <row r="10" spans="2:13" ht="12.75">
      <c r="B10" s="2" t="s">
        <v>142</v>
      </c>
      <c r="D10" s="2" t="s">
        <v>14</v>
      </c>
      <c r="G10" s="2">
        <v>15.81</v>
      </c>
      <c r="I10" s="2">
        <v>15.77</v>
      </c>
      <c r="K10" s="2">
        <v>15.89</v>
      </c>
      <c r="M10" s="11">
        <f>AVERAGE(K10,I10,G10)</f>
        <v>15.823333333333332</v>
      </c>
    </row>
    <row r="11" spans="2:13" ht="12.75">
      <c r="B11" s="2" t="s">
        <v>52</v>
      </c>
      <c r="D11" s="2" t="s">
        <v>15</v>
      </c>
      <c r="G11" s="2">
        <v>417</v>
      </c>
      <c r="I11" s="2">
        <v>419</v>
      </c>
      <c r="K11" s="2">
        <v>418</v>
      </c>
      <c r="M11" s="11">
        <f>AVERAGE(K11,I11,G11)</f>
        <v>418</v>
      </c>
    </row>
    <row r="12" ht="12.75">
      <c r="M12" s="11"/>
    </row>
    <row r="13" spans="2:13" ht="12.75">
      <c r="B13" s="2" t="s">
        <v>143</v>
      </c>
      <c r="C13" s="2" t="s">
        <v>144</v>
      </c>
      <c r="M13" s="11"/>
    </row>
    <row r="14" ht="12" customHeight="1"/>
    <row r="15" spans="1:13" ht="12.75" customHeight="1">
      <c r="A15" s="2">
        <v>11</v>
      </c>
      <c r="B15" s="1" t="s">
        <v>72</v>
      </c>
      <c r="C15" s="1" t="s">
        <v>140</v>
      </c>
      <c r="G15" s="8" t="s">
        <v>169</v>
      </c>
      <c r="I15" s="8" t="s">
        <v>170</v>
      </c>
      <c r="K15" s="8" t="s">
        <v>171</v>
      </c>
      <c r="L15" s="8"/>
      <c r="M15" s="2" t="s">
        <v>50</v>
      </c>
    </row>
    <row r="16" ht="12" customHeight="1"/>
    <row r="17" spans="2:13" ht="12.75">
      <c r="B17" s="2" t="s">
        <v>2</v>
      </c>
      <c r="C17" s="2" t="s">
        <v>181</v>
      </c>
      <c r="D17" s="2" t="s">
        <v>9</v>
      </c>
      <c r="E17" s="2" t="s">
        <v>53</v>
      </c>
      <c r="G17" s="2">
        <v>0.0015</v>
      </c>
      <c r="I17" s="2">
        <v>0.0034</v>
      </c>
      <c r="K17" s="2">
        <v>0.0014</v>
      </c>
      <c r="M17" s="2">
        <f>AVERAGE(K17,I17,G17)</f>
        <v>0.0021</v>
      </c>
    </row>
    <row r="18" spans="2:13" ht="12.75">
      <c r="B18" s="2" t="s">
        <v>146</v>
      </c>
      <c r="C18" s="2" t="s">
        <v>181</v>
      </c>
      <c r="D18" s="2" t="s">
        <v>10</v>
      </c>
      <c r="E18" s="2" t="s">
        <v>53</v>
      </c>
      <c r="G18" s="2">
        <v>53.8</v>
      </c>
      <c r="I18" s="2">
        <v>64.2</v>
      </c>
      <c r="K18" s="2">
        <v>55.8</v>
      </c>
      <c r="M18" s="11">
        <f>AVERAGE(K18,I18,G18)</f>
        <v>57.93333333333334</v>
      </c>
    </row>
    <row r="19" spans="2:13" ht="12.75">
      <c r="B19" s="2" t="s">
        <v>147</v>
      </c>
      <c r="C19" s="2" t="s">
        <v>181</v>
      </c>
      <c r="D19" s="2" t="s">
        <v>10</v>
      </c>
      <c r="E19" s="2" t="s">
        <v>53</v>
      </c>
      <c r="G19" s="2">
        <v>53.9</v>
      </c>
      <c r="I19" s="2">
        <v>65.2</v>
      </c>
      <c r="K19" s="2">
        <v>63.1</v>
      </c>
      <c r="M19" s="11">
        <f>AVERAGE(K19,I19,G19)</f>
        <v>60.73333333333334</v>
      </c>
    </row>
    <row r="20" spans="2:13" ht="12.75">
      <c r="B20" s="2" t="s">
        <v>3</v>
      </c>
      <c r="D20" s="2" t="s">
        <v>54</v>
      </c>
      <c r="F20" s="8" t="s">
        <v>55</v>
      </c>
      <c r="G20" s="2">
        <v>17.7</v>
      </c>
      <c r="H20" s="8" t="s">
        <v>55</v>
      </c>
      <c r="I20" s="2">
        <v>16.8</v>
      </c>
      <c r="J20" s="8" t="s">
        <v>55</v>
      </c>
      <c r="K20" s="2">
        <v>17.2</v>
      </c>
      <c r="M20" s="11">
        <f>AVERAGE(K20,I20,G20)</f>
        <v>17.233333333333334</v>
      </c>
    </row>
    <row r="21" spans="2:13" ht="12.75">
      <c r="B21" s="2" t="s">
        <v>4</v>
      </c>
      <c r="D21" s="2" t="s">
        <v>54</v>
      </c>
      <c r="F21" s="8" t="s">
        <v>55</v>
      </c>
      <c r="G21" s="2">
        <v>7.3</v>
      </c>
      <c r="H21" s="8" t="s">
        <v>55</v>
      </c>
      <c r="I21" s="2">
        <v>6.8</v>
      </c>
      <c r="J21" s="8" t="s">
        <v>55</v>
      </c>
      <c r="K21" s="2">
        <v>6.8</v>
      </c>
      <c r="M21" s="11">
        <f>AVERAGE(K21,I21,G21)</f>
        <v>6.966666666666666</v>
      </c>
    </row>
    <row r="22" ht="12.75" customHeight="1"/>
    <row r="23" spans="2:4" ht="12.75">
      <c r="B23" s="2" t="s">
        <v>148</v>
      </c>
      <c r="C23" s="2" t="s">
        <v>182</v>
      </c>
      <c r="D23" s="2" t="s">
        <v>181</v>
      </c>
    </row>
    <row r="24" spans="2:13" ht="12.75">
      <c r="B24" s="2" t="s">
        <v>51</v>
      </c>
      <c r="D24" s="2" t="s">
        <v>13</v>
      </c>
      <c r="G24" s="2">
        <v>47213</v>
      </c>
      <c r="I24" s="2">
        <v>47236</v>
      </c>
      <c r="K24" s="2">
        <v>46973</v>
      </c>
      <c r="M24" s="10">
        <f>AVERAGE(K24,I24,G24)</f>
        <v>47140.666666666664</v>
      </c>
    </row>
    <row r="25" spans="2:13" ht="12.75">
      <c r="B25" s="2" t="s">
        <v>141</v>
      </c>
      <c r="D25" s="2" t="s">
        <v>14</v>
      </c>
      <c r="G25" s="2">
        <v>3.8</v>
      </c>
      <c r="I25" s="2">
        <v>3.6</v>
      </c>
      <c r="K25" s="2">
        <v>3.9</v>
      </c>
      <c r="M25" s="11">
        <f>AVERAGE(K25,I25,G25)</f>
        <v>3.766666666666667</v>
      </c>
    </row>
    <row r="26" spans="2:13" ht="12.75">
      <c r="B26" s="2" t="s">
        <v>142</v>
      </c>
      <c r="D26" s="2" t="s">
        <v>14</v>
      </c>
      <c r="G26" s="2">
        <v>16.9</v>
      </c>
      <c r="I26" s="2">
        <v>16.2</v>
      </c>
      <c r="K26" s="2">
        <v>16.3</v>
      </c>
      <c r="M26" s="11">
        <f>AVERAGE(K26,I26,G26)</f>
        <v>16.466666666666665</v>
      </c>
    </row>
    <row r="27" spans="2:13" ht="12.75">
      <c r="B27" s="2" t="s">
        <v>52</v>
      </c>
      <c r="D27" s="2" t="s">
        <v>15</v>
      </c>
      <c r="G27" s="2">
        <f>1124-460</f>
        <v>664</v>
      </c>
      <c r="I27" s="2">
        <f>1123-460</f>
        <v>663</v>
      </c>
      <c r="K27" s="2">
        <f>1123-460</f>
        <v>663</v>
      </c>
      <c r="M27" s="11">
        <f>AVERAGE(K27,I27,G27)</f>
        <v>663.3333333333334</v>
      </c>
    </row>
    <row r="29" spans="2:13" ht="12.75">
      <c r="B29" s="2" t="s">
        <v>3</v>
      </c>
      <c r="C29" s="2" t="s">
        <v>181</v>
      </c>
      <c r="D29" s="2" t="s">
        <v>10</v>
      </c>
      <c r="E29" s="2" t="s">
        <v>53</v>
      </c>
      <c r="F29" s="8" t="s">
        <v>55</v>
      </c>
      <c r="G29" s="12">
        <f>G20/G24/60/0.0283*667.806*(21-7)/(21-G25)</f>
        <v>0.12001178319864823</v>
      </c>
      <c r="H29" s="26" t="s">
        <v>55</v>
      </c>
      <c r="I29" s="12">
        <f>I20/I24/60/0.0283*667.806*(21-7)/(21-I25)</f>
        <v>0.11254535774794013</v>
      </c>
      <c r="J29" s="26" t="s">
        <v>55</v>
      </c>
      <c r="K29" s="12">
        <f>K20/K24/60/0.0283*667.806*(21-7)/(21-K25)</f>
        <v>0.11790295910710749</v>
      </c>
      <c r="L29" s="10"/>
      <c r="M29" s="12">
        <f>AVERAGE(K29,I29,G29)</f>
        <v>0.11682003335123196</v>
      </c>
    </row>
    <row r="30" spans="2:13" ht="12.75">
      <c r="B30" s="2" t="s">
        <v>4</v>
      </c>
      <c r="C30" s="2" t="s">
        <v>181</v>
      </c>
      <c r="D30" s="2" t="s">
        <v>10</v>
      </c>
      <c r="E30" s="2" t="s">
        <v>53</v>
      </c>
      <c r="F30" s="8" t="s">
        <v>55</v>
      </c>
      <c r="G30" s="12">
        <f>G21/G24/60/0.0283*343.442*(21-7)/(21-G25)</f>
        <v>0.025455203326224297</v>
      </c>
      <c r="H30" s="26" t="s">
        <v>55</v>
      </c>
      <c r="I30" s="12">
        <f>I21/I24/60/0.0283*343.442*(21-7)/(21-I25)</f>
        <v>0.023427735102365656</v>
      </c>
      <c r="J30" s="26" t="s">
        <v>55</v>
      </c>
      <c r="K30" s="12">
        <f>K21/K24/60/0.0283*343.442*(21-7)/(21-K25)</f>
        <v>0.02397222022174364</v>
      </c>
      <c r="L30" s="10"/>
      <c r="M30" s="12">
        <f>AVERAGE(K30,I30,G30)</f>
        <v>0.02428505288344453</v>
      </c>
    </row>
    <row r="31" spans="2:13" ht="12.75">
      <c r="B31" s="2" t="s">
        <v>145</v>
      </c>
      <c r="C31" s="2" t="s">
        <v>181</v>
      </c>
      <c r="D31" s="2" t="s">
        <v>10</v>
      </c>
      <c r="E31" s="2" t="s">
        <v>53</v>
      </c>
      <c r="G31" s="12">
        <f>G29+(2*G30)</f>
        <v>0.17092218985109683</v>
      </c>
      <c r="H31" s="26"/>
      <c r="I31" s="12">
        <f>I29+(2*I30)</f>
        <v>0.15940082795267144</v>
      </c>
      <c r="J31" s="26"/>
      <c r="K31" s="12">
        <f>K29+(2*K30)</f>
        <v>0.16584739955059477</v>
      </c>
      <c r="L31" s="10"/>
      <c r="M31" s="12">
        <f>AVERAGE(K31,I31,G31)</f>
        <v>0.16539013911812103</v>
      </c>
    </row>
    <row r="35" spans="2:3" ht="12.75">
      <c r="B35"/>
      <c r="C3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88"/>
  <sheetViews>
    <sheetView zoomScale="75" zoomScaleNormal="75" workbookViewId="0" topLeftCell="B1">
      <selection activeCell="D2" sqref="D2"/>
    </sheetView>
  </sheetViews>
  <sheetFormatPr defaultColWidth="9.140625" defaultRowHeight="12.75"/>
  <cols>
    <col min="1" max="1" width="9.140625" style="2" hidden="1" customWidth="1"/>
    <col min="2" max="2" width="20.57421875" style="2" customWidth="1"/>
    <col min="3" max="3" width="2.00390625" style="2" customWidth="1"/>
    <col min="4" max="4" width="9.00390625" style="2" customWidth="1"/>
    <col min="5" max="5" width="4.421875" style="2" customWidth="1"/>
    <col min="6" max="6" width="9.140625" style="2" customWidth="1"/>
    <col min="7" max="7" width="4.421875" style="2" customWidth="1"/>
    <col min="8" max="8" width="9.7109375" style="2" customWidth="1"/>
    <col min="9" max="9" width="4.57421875" style="2" customWidth="1"/>
    <col min="10" max="10" width="10.7109375" style="2" customWidth="1"/>
    <col min="11" max="11" width="4.421875" style="2" customWidth="1"/>
    <col min="12" max="12" width="11.28125" style="2" customWidth="1"/>
    <col min="13" max="13" width="4.57421875" style="2" customWidth="1"/>
    <col min="14" max="14" width="9.8515625" style="2" customWidth="1"/>
    <col min="15" max="15" width="3.7109375" style="2" customWidth="1"/>
    <col min="16" max="16" width="10.00390625" style="2" customWidth="1"/>
    <col min="17" max="17" width="3.8515625" style="2" customWidth="1"/>
    <col min="18" max="18" width="8.7109375" style="2" customWidth="1"/>
    <col min="19" max="19" width="4.57421875" style="2" customWidth="1"/>
    <col min="20" max="20" width="11.00390625" style="2" bestFit="1" customWidth="1"/>
    <col min="21" max="21" width="2.57421875" style="2" customWidth="1"/>
    <col min="22" max="22" width="6.8515625" style="2" customWidth="1"/>
    <col min="23" max="23" width="2.8515625" style="2" customWidth="1"/>
    <col min="24" max="24" width="8.140625" style="2" customWidth="1"/>
    <col min="25" max="25" width="2.28125" style="2" customWidth="1"/>
    <col min="26" max="26" width="7.8515625" style="2" customWidth="1"/>
    <col min="27" max="27" width="3.7109375" style="2" customWidth="1"/>
    <col min="28" max="16384" width="11.421875" style="2" customWidth="1"/>
  </cols>
  <sheetData>
    <row r="1" spans="2:3" ht="12.75">
      <c r="B1" s="1" t="s">
        <v>119</v>
      </c>
      <c r="C1" s="1"/>
    </row>
    <row r="2" ht="12" customHeight="1"/>
    <row r="3" ht="12.75">
      <c r="P3" s="8"/>
    </row>
    <row r="4" ht="12.75">
      <c r="P4" s="8"/>
    </row>
    <row r="5" spans="1:20" ht="12.75">
      <c r="A5" s="2" t="s">
        <v>160</v>
      </c>
      <c r="B5" s="1" t="s">
        <v>156</v>
      </c>
      <c r="C5" s="1" t="s">
        <v>157</v>
      </c>
      <c r="F5" s="2" t="s">
        <v>169</v>
      </c>
      <c r="H5" s="2" t="s">
        <v>170</v>
      </c>
      <c r="J5" s="2" t="s">
        <v>171</v>
      </c>
      <c r="L5" s="2" t="s">
        <v>50</v>
      </c>
      <c r="N5" s="2" t="s">
        <v>169</v>
      </c>
      <c r="P5" s="2" t="s">
        <v>170</v>
      </c>
      <c r="R5" s="2" t="s">
        <v>171</v>
      </c>
      <c r="T5" s="2" t="s">
        <v>50</v>
      </c>
    </row>
    <row r="6" spans="2:3" ht="12.75">
      <c r="B6" s="1"/>
      <c r="C6" s="1"/>
    </row>
    <row r="7" spans="2:20" ht="12.75">
      <c r="B7" s="2" t="s">
        <v>187</v>
      </c>
      <c r="C7" s="1"/>
      <c r="F7" s="2" t="s">
        <v>190</v>
      </c>
      <c r="H7" s="2" t="s">
        <v>190</v>
      </c>
      <c r="J7" s="2" t="s">
        <v>190</v>
      </c>
      <c r="L7" s="2" t="s">
        <v>190</v>
      </c>
      <c r="N7" s="2" t="s">
        <v>192</v>
      </c>
      <c r="P7" s="2" t="s">
        <v>192</v>
      </c>
      <c r="R7" s="2" t="s">
        <v>192</v>
      </c>
      <c r="T7" s="2" t="s">
        <v>192</v>
      </c>
    </row>
    <row r="8" spans="2:20" ht="12.75">
      <c r="B8" s="2" t="s">
        <v>188</v>
      </c>
      <c r="C8" s="1"/>
      <c r="F8" s="2" t="s">
        <v>189</v>
      </c>
      <c r="H8" s="2" t="s">
        <v>189</v>
      </c>
      <c r="J8" s="2" t="s">
        <v>189</v>
      </c>
      <c r="L8" s="2" t="s">
        <v>189</v>
      </c>
      <c r="N8" s="2" t="s">
        <v>79</v>
      </c>
      <c r="P8" s="2" t="s">
        <v>79</v>
      </c>
      <c r="R8" s="2" t="s">
        <v>79</v>
      </c>
      <c r="T8" s="2" t="s">
        <v>79</v>
      </c>
    </row>
    <row r="9" spans="2:20" ht="12.75">
      <c r="B9" s="2" t="s">
        <v>195</v>
      </c>
      <c r="C9" s="1"/>
      <c r="F9" s="2" t="s">
        <v>1</v>
      </c>
      <c r="H9" s="2" t="s">
        <v>1</v>
      </c>
      <c r="J9" s="2" t="s">
        <v>1</v>
      </c>
      <c r="L9" s="2" t="s">
        <v>1</v>
      </c>
      <c r="N9" s="2" t="s">
        <v>79</v>
      </c>
      <c r="P9" s="2" t="s">
        <v>79</v>
      </c>
      <c r="R9" s="2" t="s">
        <v>79</v>
      </c>
      <c r="T9" s="2" t="s">
        <v>79</v>
      </c>
    </row>
    <row r="10" spans="2:20" ht="12.75">
      <c r="B10" s="2" t="s">
        <v>164</v>
      </c>
      <c r="F10" s="2" t="s">
        <v>30</v>
      </c>
      <c r="H10" s="2" t="s">
        <v>30</v>
      </c>
      <c r="J10" s="2" t="s">
        <v>30</v>
      </c>
      <c r="L10" s="2" t="s">
        <v>30</v>
      </c>
      <c r="N10" s="2" t="s">
        <v>79</v>
      </c>
      <c r="P10" s="2" t="s">
        <v>79</v>
      </c>
      <c r="R10" s="2" t="s">
        <v>79</v>
      </c>
      <c r="T10" s="2" t="s">
        <v>79</v>
      </c>
    </row>
    <row r="11" spans="2:12" ht="12.75">
      <c r="B11" s="2" t="s">
        <v>163</v>
      </c>
      <c r="D11" s="2" t="s">
        <v>56</v>
      </c>
      <c r="F11" s="2">
        <f>400211/454/60</f>
        <v>14.692033773861967</v>
      </c>
      <c r="H11" s="2">
        <f>400153/454/60</f>
        <v>14.689904552129223</v>
      </c>
      <c r="J11" s="2">
        <f>400199/454/60</f>
        <v>14.691593245227606</v>
      </c>
      <c r="L11" s="2">
        <v>14.7</v>
      </c>
    </row>
    <row r="12" spans="2:12" ht="12.75">
      <c r="B12" s="2" t="s">
        <v>57</v>
      </c>
      <c r="D12" s="2" t="s">
        <v>58</v>
      </c>
      <c r="F12" s="2">
        <v>0.75</v>
      </c>
      <c r="H12" s="2">
        <v>0.75</v>
      </c>
      <c r="J12" s="2">
        <v>0.76</v>
      </c>
      <c r="L12" s="2">
        <v>0.75</v>
      </c>
    </row>
    <row r="13" spans="2:12" ht="12.75">
      <c r="B13" s="2" t="s">
        <v>59</v>
      </c>
      <c r="D13" s="2" t="s">
        <v>60</v>
      </c>
      <c r="F13" s="2">
        <v>15400</v>
      </c>
      <c r="H13" s="2">
        <v>18096</v>
      </c>
      <c r="J13" s="2">
        <v>16745</v>
      </c>
      <c r="L13" s="2">
        <v>16747</v>
      </c>
    </row>
    <row r="14" spans="2:12" ht="12.75">
      <c r="B14" s="2" t="s">
        <v>7</v>
      </c>
      <c r="D14" s="2" t="s">
        <v>61</v>
      </c>
      <c r="E14" s="2" t="s">
        <v>55</v>
      </c>
      <c r="F14" s="2">
        <v>0.1</v>
      </c>
      <c r="G14" s="2" t="s">
        <v>55</v>
      </c>
      <c r="H14" s="2">
        <v>0.1</v>
      </c>
      <c r="I14" s="2" t="s">
        <v>55</v>
      </c>
      <c r="J14" s="2">
        <v>0.1</v>
      </c>
      <c r="L14" s="2">
        <v>0.01</v>
      </c>
    </row>
    <row r="15" spans="2:12" ht="12.75">
      <c r="B15" s="2" t="s">
        <v>62</v>
      </c>
      <c r="D15" s="2" t="s">
        <v>63</v>
      </c>
      <c r="F15" s="2">
        <v>958</v>
      </c>
      <c r="H15" s="2">
        <v>694</v>
      </c>
      <c r="J15" s="2">
        <v>1042</v>
      </c>
      <c r="L15" s="2">
        <v>898</v>
      </c>
    </row>
    <row r="16" spans="2:12" ht="12.75">
      <c r="B16" s="2" t="s">
        <v>162</v>
      </c>
      <c r="D16" s="2" t="s">
        <v>63</v>
      </c>
      <c r="E16" s="2" t="s">
        <v>55</v>
      </c>
      <c r="F16" s="2">
        <v>0.2</v>
      </c>
      <c r="G16" s="2" t="s">
        <v>55</v>
      </c>
      <c r="H16" s="2">
        <v>0.2</v>
      </c>
      <c r="I16" s="2" t="s">
        <v>55</v>
      </c>
      <c r="J16" s="2">
        <v>0.2</v>
      </c>
      <c r="L16" s="2">
        <v>0.2</v>
      </c>
    </row>
    <row r="17" spans="2:12" ht="12.75">
      <c r="B17" s="2" t="s">
        <v>152</v>
      </c>
      <c r="D17" s="2" t="s">
        <v>63</v>
      </c>
      <c r="E17" s="2" t="s">
        <v>55</v>
      </c>
      <c r="F17" s="2">
        <v>1.03</v>
      </c>
      <c r="G17" s="2" t="s">
        <v>55</v>
      </c>
      <c r="H17" s="2">
        <v>1.03</v>
      </c>
      <c r="I17" s="2" t="s">
        <v>55</v>
      </c>
      <c r="J17" s="2">
        <v>1.33</v>
      </c>
      <c r="L17" s="2">
        <v>1.13</v>
      </c>
    </row>
    <row r="18" spans="2:12" ht="12.75">
      <c r="B18" s="2" t="s">
        <v>154</v>
      </c>
      <c r="D18" s="2" t="s">
        <v>63</v>
      </c>
      <c r="E18" s="2" t="s">
        <v>55</v>
      </c>
      <c r="F18" s="2">
        <v>0.26</v>
      </c>
      <c r="G18" s="2" t="s">
        <v>55</v>
      </c>
      <c r="H18" s="2">
        <v>0.26</v>
      </c>
      <c r="I18" s="2" t="s">
        <v>55</v>
      </c>
      <c r="J18" s="2">
        <v>0.33</v>
      </c>
      <c r="L18" s="2">
        <v>0.37</v>
      </c>
    </row>
    <row r="19" spans="2:12" ht="12.75">
      <c r="B19" s="2" t="s">
        <v>149</v>
      </c>
      <c r="D19" s="2" t="s">
        <v>63</v>
      </c>
      <c r="E19" s="2" t="s">
        <v>55</v>
      </c>
      <c r="F19" s="2">
        <v>1.98</v>
      </c>
      <c r="G19" s="2" t="s">
        <v>55</v>
      </c>
      <c r="H19" s="2">
        <v>1.98</v>
      </c>
      <c r="I19" s="2" t="s">
        <v>55</v>
      </c>
      <c r="J19" s="2">
        <v>2.56</v>
      </c>
      <c r="L19" s="2">
        <v>2.2</v>
      </c>
    </row>
    <row r="20" spans="2:12" ht="12.75">
      <c r="B20" s="2" t="s">
        <v>150</v>
      </c>
      <c r="D20" s="2" t="s">
        <v>63</v>
      </c>
      <c r="E20" s="2" t="s">
        <v>55</v>
      </c>
      <c r="F20" s="2">
        <v>0.26</v>
      </c>
      <c r="G20" s="2" t="s">
        <v>55</v>
      </c>
      <c r="H20" s="2">
        <v>0.26</v>
      </c>
      <c r="I20" s="2" t="s">
        <v>55</v>
      </c>
      <c r="J20" s="2">
        <v>0.33</v>
      </c>
      <c r="L20" s="2">
        <v>0.28</v>
      </c>
    </row>
    <row r="21" spans="2:12" ht="12.75">
      <c r="B21" s="2" t="s">
        <v>155</v>
      </c>
      <c r="D21" s="2" t="s">
        <v>63</v>
      </c>
      <c r="E21" s="2" t="s">
        <v>55</v>
      </c>
      <c r="F21" s="2">
        <v>0.17</v>
      </c>
      <c r="G21" s="2" t="s">
        <v>55</v>
      </c>
      <c r="H21" s="2">
        <v>3.53</v>
      </c>
      <c r="I21" s="2" t="s">
        <v>55</v>
      </c>
      <c r="J21" s="2">
        <v>1.56</v>
      </c>
      <c r="L21" s="2">
        <v>1.34</v>
      </c>
    </row>
    <row r="22" spans="2:12" ht="12.75">
      <c r="B22" s="2" t="s">
        <v>153</v>
      </c>
      <c r="D22" s="2" t="s">
        <v>63</v>
      </c>
      <c r="E22" s="2" t="s">
        <v>55</v>
      </c>
      <c r="F22" s="2">
        <v>0.78</v>
      </c>
      <c r="G22" s="2" t="s">
        <v>55</v>
      </c>
      <c r="H22" s="2">
        <v>0.78</v>
      </c>
      <c r="I22" s="2" t="s">
        <v>55</v>
      </c>
      <c r="J22" s="2">
        <v>1</v>
      </c>
      <c r="L22" s="2">
        <v>0.85</v>
      </c>
    </row>
    <row r="23" spans="2:12" ht="12.75">
      <c r="B23" s="2" t="s">
        <v>151</v>
      </c>
      <c r="D23" s="2" t="s">
        <v>63</v>
      </c>
      <c r="E23" s="2" t="s">
        <v>55</v>
      </c>
      <c r="F23" s="2">
        <v>0.78</v>
      </c>
      <c r="G23" s="2" t="s">
        <v>55</v>
      </c>
      <c r="H23" s="2">
        <v>0.78</v>
      </c>
      <c r="I23" s="2" t="s">
        <v>55</v>
      </c>
      <c r="J23" s="2">
        <v>1</v>
      </c>
      <c r="L23" s="2">
        <v>0.85</v>
      </c>
    </row>
    <row r="24" spans="2:12" ht="12.75">
      <c r="B24" s="2" t="s">
        <v>191</v>
      </c>
      <c r="D24" s="2" t="s">
        <v>63</v>
      </c>
      <c r="E24" s="2" t="s">
        <v>55</v>
      </c>
      <c r="F24" s="2">
        <v>2.67</v>
      </c>
      <c r="G24" s="2" t="s">
        <v>55</v>
      </c>
      <c r="H24" s="2">
        <v>0.27</v>
      </c>
      <c r="I24" s="2" t="s">
        <v>55</v>
      </c>
      <c r="J24" s="2">
        <v>3.44</v>
      </c>
      <c r="L24" s="2">
        <v>2.1</v>
      </c>
    </row>
    <row r="25" ht="12.75" customHeight="1"/>
    <row r="26" spans="2:12" ht="12.75">
      <c r="B26" s="2" t="s">
        <v>64</v>
      </c>
      <c r="D26" s="2" t="s">
        <v>13</v>
      </c>
      <c r="F26" s="2">
        <f>emiss!G8</f>
        <v>50346</v>
      </c>
      <c r="H26" s="2">
        <f>emiss!I8</f>
        <v>49884</v>
      </c>
      <c r="J26" s="2">
        <f>emiss!K8</f>
        <v>50398</v>
      </c>
      <c r="L26" s="2">
        <v>50209</v>
      </c>
    </row>
    <row r="27" spans="2:12" ht="12.75">
      <c r="B27" s="2" t="s">
        <v>8</v>
      </c>
      <c r="D27" s="2" t="s">
        <v>14</v>
      </c>
      <c r="F27" s="2">
        <f>emiss!G9</f>
        <v>7.3</v>
      </c>
      <c r="H27" s="2">
        <f>emiss!I9</f>
        <v>6.3</v>
      </c>
      <c r="J27" s="2">
        <f>emiss!K9</f>
        <v>7.8</v>
      </c>
      <c r="L27" s="2">
        <v>7.1</v>
      </c>
    </row>
    <row r="28" ht="12.75" customHeight="1"/>
    <row r="29" spans="2:20" ht="12.75">
      <c r="B29" s="2" t="s">
        <v>161</v>
      </c>
      <c r="D29" s="2" t="s">
        <v>124</v>
      </c>
      <c r="F29" s="11">
        <f>F11*F13*60/1000000</f>
        <v>13.575439207048458</v>
      </c>
      <c r="H29" s="11">
        <f>H11*H13*60/1000000</f>
        <v>15.949710766519823</v>
      </c>
      <c r="J29" s="11">
        <f>J11*J13*60/1000000</f>
        <v>14.760643733480176</v>
      </c>
      <c r="L29" s="11">
        <f>L11*L13*60/1000000</f>
        <v>14.770854</v>
      </c>
      <c r="N29" s="11">
        <f>F29</f>
        <v>13.575439207048458</v>
      </c>
      <c r="P29" s="11">
        <f>H29</f>
        <v>15.949710766519823</v>
      </c>
      <c r="R29" s="11">
        <f>J29</f>
        <v>14.760643733480176</v>
      </c>
      <c r="T29" s="11">
        <f>L29</f>
        <v>14.770854</v>
      </c>
    </row>
    <row r="30" spans="2:20" ht="12.75">
      <c r="B30" s="2" t="s">
        <v>65</v>
      </c>
      <c r="D30" s="2" t="s">
        <v>124</v>
      </c>
      <c r="N30" s="11">
        <f>F26/9000*60*(21-F27)/(21)</f>
        <v>218.96514285714287</v>
      </c>
      <c r="P30" s="11">
        <f>H26/9000*60*(21-H27)/(21)</f>
        <v>232.79199999999997</v>
      </c>
      <c r="R30" s="11">
        <f>J26/9000*60*(21-J27)/(21)</f>
        <v>211.19161904761907</v>
      </c>
      <c r="T30" s="11">
        <f>L26/9000*60*(21-L27)/(21)</f>
        <v>221.55717460317464</v>
      </c>
    </row>
    <row r="31" spans="6:20" ht="12.75">
      <c r="F31" s="12"/>
      <c r="H31" s="12"/>
      <c r="J31" s="12"/>
      <c r="L31" s="12"/>
      <c r="N31" s="12"/>
      <c r="P31" s="12"/>
      <c r="R31" s="12"/>
      <c r="T31" s="12"/>
    </row>
    <row r="32" spans="2:20" ht="12.75">
      <c r="B32" s="28" t="s">
        <v>123</v>
      </c>
      <c r="C32" s="28"/>
      <c r="F32" s="12"/>
      <c r="H32" s="12"/>
      <c r="J32" s="12"/>
      <c r="L32" s="12"/>
      <c r="N32" s="12"/>
      <c r="P32" s="12"/>
      <c r="R32" s="12"/>
      <c r="T32" s="12"/>
    </row>
    <row r="33" spans="2:20" ht="12.75">
      <c r="B33" s="2" t="s">
        <v>7</v>
      </c>
      <c r="D33" s="2" t="s">
        <v>12</v>
      </c>
      <c r="E33" s="2">
        <v>100</v>
      </c>
      <c r="F33" s="11">
        <f>F11*454*(F14/100)/F26/0.0283*(21-7)/(21-F27)*1000</f>
        <v>4.784029317190384</v>
      </c>
      <c r="G33" s="2">
        <v>100</v>
      </c>
      <c r="H33" s="11">
        <f>H11*454*(H14/100)/H26/0.0283*(21-7)/(21-H27)*1000</f>
        <v>4.499226134409159</v>
      </c>
      <c r="I33" s="2">
        <v>100</v>
      </c>
      <c r="J33" s="11">
        <f>J11*454*(J14/100)/J26/0.0283*(21-7)/(21-J27)*1000</f>
        <v>4.959970751177342</v>
      </c>
      <c r="K33" s="10">
        <v>100</v>
      </c>
      <c r="L33" s="11">
        <f>AVERAGE(J33,H33,F33)</f>
        <v>4.747742067592295</v>
      </c>
      <c r="M33" s="2">
        <f aca="true" t="shared" si="0" ref="M33:R33">E33</f>
        <v>100</v>
      </c>
      <c r="N33" s="11">
        <f t="shared" si="0"/>
        <v>4.784029317190384</v>
      </c>
      <c r="O33" s="2">
        <f t="shared" si="0"/>
        <v>100</v>
      </c>
      <c r="P33" s="11">
        <f t="shared" si="0"/>
        <v>4.499226134409159</v>
      </c>
      <c r="Q33" s="2">
        <f t="shared" si="0"/>
        <v>100</v>
      </c>
      <c r="R33" s="11">
        <f t="shared" si="0"/>
        <v>4.959970751177342</v>
      </c>
      <c r="S33" s="2">
        <f aca="true" t="shared" si="1" ref="M33:S46">K33</f>
        <v>100</v>
      </c>
      <c r="T33" s="11">
        <f aca="true" t="shared" si="2" ref="T33:T43">L33</f>
        <v>4.747742067592295</v>
      </c>
    </row>
    <row r="34" spans="2:20" ht="12.75">
      <c r="B34" s="2" t="s">
        <v>62</v>
      </c>
      <c r="D34" s="2" t="s">
        <v>11</v>
      </c>
      <c r="F34" s="11">
        <f aca="true" t="shared" si="3" ref="F34:F43">F$11*454*(F15/1000000)/F$26/0.0283*(21-7)/(21-F$27)*1000000</f>
        <v>4583.100085868387</v>
      </c>
      <c r="G34" s="11"/>
      <c r="H34" s="11">
        <f aca="true" t="shared" si="4" ref="H34:H43">H$11*454*(H15/1000000)/H$26/0.0283*(21-7)/(21-H$27)*1000000</f>
        <v>3122.4629372799563</v>
      </c>
      <c r="I34" s="11"/>
      <c r="J34" s="11">
        <f aca="true" t="shared" si="5" ref="J34:J43">J$11*454*(J15/1000000)/J$26/0.0283*(21-7)/(21-J$27)*1000000</f>
        <v>5168.28952272679</v>
      </c>
      <c r="K34" s="11"/>
      <c r="L34" s="11">
        <f aca="true" t="shared" si="6" ref="L34:L46">AVERAGE(J34,H34,F34)</f>
        <v>4291.284181958378</v>
      </c>
      <c r="M34" s="2">
        <f t="shared" si="1"/>
        <v>0</v>
      </c>
      <c r="N34" s="11">
        <f aca="true" t="shared" si="7" ref="N34:N43">F34</f>
        <v>4583.100085868387</v>
      </c>
      <c r="O34" s="2">
        <f t="shared" si="1"/>
        <v>0</v>
      </c>
      <c r="P34" s="11">
        <f aca="true" t="shared" si="8" ref="P34:P43">H34</f>
        <v>3122.4629372799563</v>
      </c>
      <c r="Q34" s="2">
        <f t="shared" si="1"/>
        <v>0</v>
      </c>
      <c r="R34" s="11">
        <f aca="true" t="shared" si="9" ref="R34:R43">J34</f>
        <v>5168.28952272679</v>
      </c>
      <c r="S34" s="2">
        <f t="shared" si="1"/>
        <v>0</v>
      </c>
      <c r="T34" s="11">
        <f t="shared" si="2"/>
        <v>4291.284181958378</v>
      </c>
    </row>
    <row r="35" spans="2:20" ht="12.75">
      <c r="B35" s="2" t="s">
        <v>162</v>
      </c>
      <c r="D35" s="2" t="s">
        <v>11</v>
      </c>
      <c r="E35" s="2">
        <v>100</v>
      </c>
      <c r="F35" s="11">
        <f t="shared" si="3"/>
        <v>0.9568058634380768</v>
      </c>
      <c r="G35" s="2">
        <v>100</v>
      </c>
      <c r="H35" s="11">
        <f t="shared" si="4"/>
        <v>0.8998452268818318</v>
      </c>
      <c r="I35" s="2">
        <v>100</v>
      </c>
      <c r="J35" s="11">
        <f t="shared" si="5"/>
        <v>0.9919941502354683</v>
      </c>
      <c r="K35" s="10">
        <v>100</v>
      </c>
      <c r="L35" s="11">
        <f t="shared" si="6"/>
        <v>0.949548413518459</v>
      </c>
      <c r="M35" s="2">
        <f t="shared" si="1"/>
        <v>100</v>
      </c>
      <c r="N35" s="11">
        <f t="shared" si="7"/>
        <v>0.9568058634380768</v>
      </c>
      <c r="O35" s="2">
        <f t="shared" si="1"/>
        <v>100</v>
      </c>
      <c r="P35" s="11">
        <f t="shared" si="8"/>
        <v>0.8998452268818318</v>
      </c>
      <c r="Q35" s="2">
        <f t="shared" si="1"/>
        <v>100</v>
      </c>
      <c r="R35" s="11">
        <f t="shared" si="9"/>
        <v>0.9919941502354683</v>
      </c>
      <c r="S35" s="2">
        <f t="shared" si="1"/>
        <v>100</v>
      </c>
      <c r="T35" s="11">
        <f t="shared" si="2"/>
        <v>0.949548413518459</v>
      </c>
    </row>
    <row r="36" spans="2:20" ht="12.75">
      <c r="B36" s="2" t="s">
        <v>152</v>
      </c>
      <c r="D36" s="2" t="s">
        <v>11</v>
      </c>
      <c r="E36" s="2">
        <v>100</v>
      </c>
      <c r="F36" s="11">
        <f t="shared" si="3"/>
        <v>4.927550196706096</v>
      </c>
      <c r="G36" s="2">
        <v>100</v>
      </c>
      <c r="H36" s="11">
        <f t="shared" si="4"/>
        <v>4.634202918441434</v>
      </c>
      <c r="I36" s="2">
        <v>100</v>
      </c>
      <c r="J36" s="11">
        <f t="shared" si="5"/>
        <v>6.596761099065863</v>
      </c>
      <c r="K36" s="10">
        <v>100</v>
      </c>
      <c r="L36" s="11">
        <f t="shared" si="6"/>
        <v>5.386171404737798</v>
      </c>
      <c r="M36" s="2">
        <f t="shared" si="1"/>
        <v>100</v>
      </c>
      <c r="N36" s="11">
        <f t="shared" si="7"/>
        <v>4.927550196706096</v>
      </c>
      <c r="O36" s="2">
        <f t="shared" si="1"/>
        <v>100</v>
      </c>
      <c r="P36" s="11">
        <f t="shared" si="8"/>
        <v>4.634202918441434</v>
      </c>
      <c r="Q36" s="2">
        <f t="shared" si="1"/>
        <v>100</v>
      </c>
      <c r="R36" s="11">
        <f t="shared" si="9"/>
        <v>6.596761099065863</v>
      </c>
      <c r="S36" s="2">
        <f t="shared" si="1"/>
        <v>100</v>
      </c>
      <c r="T36" s="11">
        <f t="shared" si="2"/>
        <v>5.386171404737798</v>
      </c>
    </row>
    <row r="37" spans="2:20" ht="12.75">
      <c r="B37" s="2" t="s">
        <v>154</v>
      </c>
      <c r="D37" s="2" t="s">
        <v>11</v>
      </c>
      <c r="E37" s="2">
        <v>100</v>
      </c>
      <c r="F37" s="11">
        <f t="shared" si="3"/>
        <v>1.2438476224694999</v>
      </c>
      <c r="G37" s="2">
        <v>100</v>
      </c>
      <c r="H37" s="11">
        <f t="shared" si="4"/>
        <v>1.1697987949463813</v>
      </c>
      <c r="I37" s="2">
        <v>100</v>
      </c>
      <c r="J37" s="11">
        <f t="shared" si="5"/>
        <v>1.6367903478885228</v>
      </c>
      <c r="K37" s="10">
        <v>100</v>
      </c>
      <c r="L37" s="11">
        <f t="shared" si="6"/>
        <v>1.3501455884348015</v>
      </c>
      <c r="M37" s="2">
        <f t="shared" si="1"/>
        <v>100</v>
      </c>
      <c r="N37" s="11">
        <f t="shared" si="7"/>
        <v>1.2438476224694999</v>
      </c>
      <c r="O37" s="2">
        <f t="shared" si="1"/>
        <v>100</v>
      </c>
      <c r="P37" s="11">
        <f t="shared" si="8"/>
        <v>1.1697987949463813</v>
      </c>
      <c r="Q37" s="2">
        <f t="shared" si="1"/>
        <v>100</v>
      </c>
      <c r="R37" s="11">
        <f t="shared" si="9"/>
        <v>1.6367903478885228</v>
      </c>
      <c r="S37" s="2">
        <f t="shared" si="1"/>
        <v>100</v>
      </c>
      <c r="T37" s="11">
        <f t="shared" si="2"/>
        <v>1.3501455884348015</v>
      </c>
    </row>
    <row r="38" spans="2:20" ht="12.75">
      <c r="B38" s="2" t="s">
        <v>149</v>
      </c>
      <c r="D38" s="2" t="s">
        <v>11</v>
      </c>
      <c r="E38" s="2">
        <v>100</v>
      </c>
      <c r="F38" s="11">
        <f t="shared" si="3"/>
        <v>9.47237804803696</v>
      </c>
      <c r="G38" s="2">
        <v>100</v>
      </c>
      <c r="H38" s="11">
        <f t="shared" si="4"/>
        <v>8.908467746130135</v>
      </c>
      <c r="I38" s="2">
        <v>100</v>
      </c>
      <c r="J38" s="11">
        <f t="shared" si="5"/>
        <v>12.697525123013994</v>
      </c>
      <c r="K38" s="10">
        <v>100</v>
      </c>
      <c r="L38" s="11">
        <f t="shared" si="6"/>
        <v>10.359456972393696</v>
      </c>
      <c r="M38" s="2">
        <f t="shared" si="1"/>
        <v>100</v>
      </c>
      <c r="N38" s="11">
        <f t="shared" si="7"/>
        <v>9.47237804803696</v>
      </c>
      <c r="O38" s="2">
        <f t="shared" si="1"/>
        <v>100</v>
      </c>
      <c r="P38" s="11">
        <f t="shared" si="8"/>
        <v>8.908467746130135</v>
      </c>
      <c r="Q38" s="2">
        <f t="shared" si="1"/>
        <v>100</v>
      </c>
      <c r="R38" s="11">
        <f t="shared" si="9"/>
        <v>12.697525123013994</v>
      </c>
      <c r="S38" s="2">
        <f t="shared" si="1"/>
        <v>100</v>
      </c>
      <c r="T38" s="11">
        <f t="shared" si="2"/>
        <v>10.359456972393696</v>
      </c>
    </row>
    <row r="39" spans="2:20" ht="12.75">
      <c r="B39" s="2" t="s">
        <v>150</v>
      </c>
      <c r="D39" s="2" t="s">
        <v>11</v>
      </c>
      <c r="E39" s="2">
        <v>100</v>
      </c>
      <c r="F39" s="11">
        <f t="shared" si="3"/>
        <v>1.2438476224694999</v>
      </c>
      <c r="G39" s="2">
        <v>100</v>
      </c>
      <c r="H39" s="11">
        <f t="shared" si="4"/>
        <v>1.1697987949463813</v>
      </c>
      <c r="I39" s="2">
        <v>100</v>
      </c>
      <c r="J39" s="11">
        <f t="shared" si="5"/>
        <v>1.6367903478885228</v>
      </c>
      <c r="K39" s="10">
        <v>100</v>
      </c>
      <c r="L39" s="11">
        <f t="shared" si="6"/>
        <v>1.3501455884348015</v>
      </c>
      <c r="M39" s="2">
        <f t="shared" si="1"/>
        <v>100</v>
      </c>
      <c r="N39" s="11">
        <f t="shared" si="7"/>
        <v>1.2438476224694999</v>
      </c>
      <c r="O39" s="2">
        <f t="shared" si="1"/>
        <v>100</v>
      </c>
      <c r="P39" s="11">
        <f t="shared" si="8"/>
        <v>1.1697987949463813</v>
      </c>
      <c r="Q39" s="2">
        <f t="shared" si="1"/>
        <v>100</v>
      </c>
      <c r="R39" s="11">
        <f t="shared" si="9"/>
        <v>1.6367903478885228</v>
      </c>
      <c r="S39" s="2">
        <f t="shared" si="1"/>
        <v>100</v>
      </c>
      <c r="T39" s="11">
        <f t="shared" si="2"/>
        <v>1.3501455884348015</v>
      </c>
    </row>
    <row r="40" spans="2:20" ht="12.75">
      <c r="B40" s="2" t="s">
        <v>155</v>
      </c>
      <c r="D40" s="2" t="s">
        <v>11</v>
      </c>
      <c r="E40" s="2">
        <v>100</v>
      </c>
      <c r="F40" s="11">
        <f t="shared" si="3"/>
        <v>0.8132849839223653</v>
      </c>
      <c r="G40" s="2">
        <v>100</v>
      </c>
      <c r="H40" s="11">
        <f t="shared" si="4"/>
        <v>15.882268254464332</v>
      </c>
      <c r="I40" s="2">
        <v>100</v>
      </c>
      <c r="J40" s="11">
        <f t="shared" si="5"/>
        <v>7.7375543718366515</v>
      </c>
      <c r="K40" s="10">
        <v>100</v>
      </c>
      <c r="L40" s="11">
        <f t="shared" si="6"/>
        <v>8.144369203407782</v>
      </c>
      <c r="M40" s="2">
        <f t="shared" si="1"/>
        <v>100</v>
      </c>
      <c r="N40" s="11">
        <f t="shared" si="7"/>
        <v>0.8132849839223653</v>
      </c>
      <c r="O40" s="2">
        <f t="shared" si="1"/>
        <v>100</v>
      </c>
      <c r="P40" s="11">
        <f t="shared" si="8"/>
        <v>15.882268254464332</v>
      </c>
      <c r="Q40" s="2">
        <f t="shared" si="1"/>
        <v>100</v>
      </c>
      <c r="R40" s="11">
        <f t="shared" si="9"/>
        <v>7.7375543718366515</v>
      </c>
      <c r="S40" s="2">
        <f t="shared" si="1"/>
        <v>100</v>
      </c>
      <c r="T40" s="11">
        <f t="shared" si="2"/>
        <v>8.144369203407782</v>
      </c>
    </row>
    <row r="41" spans="2:20" ht="12.75">
      <c r="B41" s="2" t="s">
        <v>153</v>
      </c>
      <c r="D41" s="2" t="s">
        <v>11</v>
      </c>
      <c r="E41" s="2">
        <v>100</v>
      </c>
      <c r="F41" s="11">
        <f t="shared" si="3"/>
        <v>3.7315428674084994</v>
      </c>
      <c r="G41" s="2">
        <v>100</v>
      </c>
      <c r="H41" s="11">
        <f t="shared" si="4"/>
        <v>3.509396384839144</v>
      </c>
      <c r="I41" s="2">
        <v>100</v>
      </c>
      <c r="J41" s="11">
        <f t="shared" si="5"/>
        <v>4.95997075117734</v>
      </c>
      <c r="K41" s="10">
        <v>100</v>
      </c>
      <c r="L41" s="11">
        <f t="shared" si="6"/>
        <v>4.066970001141661</v>
      </c>
      <c r="M41" s="2">
        <f t="shared" si="1"/>
        <v>100</v>
      </c>
      <c r="N41" s="11">
        <f t="shared" si="7"/>
        <v>3.7315428674084994</v>
      </c>
      <c r="O41" s="2">
        <f t="shared" si="1"/>
        <v>100</v>
      </c>
      <c r="P41" s="11">
        <f t="shared" si="8"/>
        <v>3.509396384839144</v>
      </c>
      <c r="Q41" s="2">
        <f t="shared" si="1"/>
        <v>100</v>
      </c>
      <c r="R41" s="11">
        <f t="shared" si="9"/>
        <v>4.95997075117734</v>
      </c>
      <c r="S41" s="2">
        <f t="shared" si="1"/>
        <v>100</v>
      </c>
      <c r="T41" s="11">
        <f t="shared" si="2"/>
        <v>4.066970001141661</v>
      </c>
    </row>
    <row r="42" spans="2:20" ht="12.75">
      <c r="B42" s="2" t="s">
        <v>151</v>
      </c>
      <c r="D42" s="2" t="s">
        <v>11</v>
      </c>
      <c r="E42" s="2">
        <v>100</v>
      </c>
      <c r="F42" s="11">
        <f t="shared" si="3"/>
        <v>3.7315428674084994</v>
      </c>
      <c r="G42" s="2">
        <v>100</v>
      </c>
      <c r="H42" s="11">
        <f t="shared" si="4"/>
        <v>3.509396384839144</v>
      </c>
      <c r="I42" s="2">
        <v>100</v>
      </c>
      <c r="J42" s="11">
        <f t="shared" si="5"/>
        <v>4.95997075117734</v>
      </c>
      <c r="K42" s="10">
        <v>100</v>
      </c>
      <c r="L42" s="11">
        <f t="shared" si="6"/>
        <v>4.066970001141661</v>
      </c>
      <c r="M42" s="2">
        <f t="shared" si="1"/>
        <v>100</v>
      </c>
      <c r="N42" s="11">
        <f t="shared" si="7"/>
        <v>3.7315428674084994</v>
      </c>
      <c r="O42" s="2">
        <f t="shared" si="1"/>
        <v>100</v>
      </c>
      <c r="P42" s="11">
        <f t="shared" si="8"/>
        <v>3.509396384839144</v>
      </c>
      <c r="Q42" s="2">
        <f t="shared" si="1"/>
        <v>100</v>
      </c>
      <c r="R42" s="11">
        <f t="shared" si="9"/>
        <v>4.95997075117734</v>
      </c>
      <c r="S42" s="2">
        <f t="shared" si="1"/>
        <v>100</v>
      </c>
      <c r="T42" s="11">
        <f t="shared" si="2"/>
        <v>4.066970001141661</v>
      </c>
    </row>
    <row r="43" spans="2:20" ht="12.75">
      <c r="B43" s="2" t="s">
        <v>191</v>
      </c>
      <c r="D43" s="2" t="s">
        <v>11</v>
      </c>
      <c r="E43" s="2">
        <v>100</v>
      </c>
      <c r="F43" s="11">
        <f t="shared" si="3"/>
        <v>12.773358276898323</v>
      </c>
      <c r="G43" s="2">
        <v>100</v>
      </c>
      <c r="H43" s="11">
        <f t="shared" si="4"/>
        <v>1.214791056290473</v>
      </c>
      <c r="I43" s="2">
        <v>100</v>
      </c>
      <c r="J43" s="11">
        <f t="shared" si="5"/>
        <v>17.062299384050053</v>
      </c>
      <c r="K43" s="10">
        <v>100</v>
      </c>
      <c r="L43" s="11">
        <f t="shared" si="6"/>
        <v>10.35014957241295</v>
      </c>
      <c r="M43" s="2">
        <f t="shared" si="1"/>
        <v>100</v>
      </c>
      <c r="N43" s="11">
        <f t="shared" si="7"/>
        <v>12.773358276898323</v>
      </c>
      <c r="O43" s="2">
        <f t="shared" si="1"/>
        <v>100</v>
      </c>
      <c r="P43" s="11">
        <f t="shared" si="8"/>
        <v>1.214791056290473</v>
      </c>
      <c r="Q43" s="2">
        <f t="shared" si="1"/>
        <v>100</v>
      </c>
      <c r="R43" s="11">
        <f t="shared" si="9"/>
        <v>17.062299384050053</v>
      </c>
      <c r="S43" s="2">
        <f t="shared" si="1"/>
        <v>100</v>
      </c>
      <c r="T43" s="11">
        <f t="shared" si="2"/>
        <v>10.35014957241295</v>
      </c>
    </row>
    <row r="44" spans="6:20" ht="12.75">
      <c r="F44" s="11"/>
      <c r="H44" s="11"/>
      <c r="J44" s="11"/>
      <c r="K44" s="11"/>
      <c r="L44" s="11"/>
      <c r="N44" s="11"/>
      <c r="P44" s="11"/>
      <c r="R44" s="11"/>
      <c r="T44" s="11"/>
    </row>
    <row r="45" spans="2:20" ht="12.75">
      <c r="B45" s="2" t="s">
        <v>5</v>
      </c>
      <c r="D45" s="2" t="s">
        <v>11</v>
      </c>
      <c r="E45" s="10">
        <f>(E36*F36+E37*F37)/F45</f>
        <v>100.00000000000001</v>
      </c>
      <c r="F45" s="11">
        <f>(F36+F37)</f>
        <v>6.171397819175596</v>
      </c>
      <c r="G45" s="10">
        <f>(G36*H36+G37*H37)/H45</f>
        <v>99.99999999999999</v>
      </c>
      <c r="H45" s="11">
        <f>(H36+H37)</f>
        <v>5.804001713387816</v>
      </c>
      <c r="I45" s="10">
        <f>(I36*J36+I37*J37)/J45</f>
        <v>99.99999999999999</v>
      </c>
      <c r="J45" s="11">
        <f>(J36+J37)</f>
        <v>8.233551446954387</v>
      </c>
      <c r="K45" s="10">
        <f>(K36*L36+K37*L37)/L45</f>
        <v>100</v>
      </c>
      <c r="L45" s="11">
        <f t="shared" si="6"/>
        <v>6.7363169931726</v>
      </c>
      <c r="M45" s="2">
        <f t="shared" si="1"/>
        <v>100.00000000000001</v>
      </c>
      <c r="N45" s="11">
        <f>F45</f>
        <v>6.171397819175596</v>
      </c>
      <c r="O45" s="2">
        <f t="shared" si="1"/>
        <v>99.99999999999999</v>
      </c>
      <c r="P45" s="11">
        <f>H45</f>
        <v>5.804001713387816</v>
      </c>
      <c r="Q45" s="2">
        <f t="shared" si="1"/>
        <v>99.99999999999999</v>
      </c>
      <c r="R45" s="11">
        <f>J45</f>
        <v>8.233551446954387</v>
      </c>
      <c r="S45" s="2">
        <f t="shared" si="1"/>
        <v>100</v>
      </c>
      <c r="T45" s="11">
        <f>L45</f>
        <v>6.7363169931726</v>
      </c>
    </row>
    <row r="46" spans="2:20" ht="12.75">
      <c r="B46" s="2" t="s">
        <v>6</v>
      </c>
      <c r="D46" s="2" t="s">
        <v>11</v>
      </c>
      <c r="E46" s="10">
        <f>(E38*F38+E39*F39+E40*F40)/F46</f>
        <v>99.99999999999999</v>
      </c>
      <c r="F46" s="11">
        <f>(F38+F39+F40)</f>
        <v>11.529510654428826</v>
      </c>
      <c r="G46" s="10">
        <f>(G38*H38+G39*H39+G40*H40)/H46</f>
        <v>100</v>
      </c>
      <c r="H46" s="11">
        <f>(H38+H39+H40)</f>
        <v>25.96053479554085</v>
      </c>
      <c r="I46" s="10">
        <f>(I38*J38+I39*J39+I40*J40)/J46</f>
        <v>100</v>
      </c>
      <c r="J46" s="11">
        <f>(J38+J39+J40)</f>
        <v>22.07186984273917</v>
      </c>
      <c r="K46" s="10">
        <f>(K38*L38+K39*L39+K40*L40)/L46</f>
        <v>100</v>
      </c>
      <c r="L46" s="11">
        <f t="shared" si="6"/>
        <v>19.85397176423628</v>
      </c>
      <c r="M46" s="2">
        <f t="shared" si="1"/>
        <v>99.99999999999999</v>
      </c>
      <c r="N46" s="11">
        <f>F46</f>
        <v>11.529510654428826</v>
      </c>
      <c r="O46" s="2">
        <f t="shared" si="1"/>
        <v>100</v>
      </c>
      <c r="P46" s="11">
        <f>H46</f>
        <v>25.96053479554085</v>
      </c>
      <c r="Q46" s="2">
        <f t="shared" si="1"/>
        <v>100</v>
      </c>
      <c r="R46" s="11">
        <f>J46</f>
        <v>22.07186984273917</v>
      </c>
      <c r="S46" s="2">
        <f t="shared" si="1"/>
        <v>100</v>
      </c>
      <c r="T46" s="11">
        <f>L46</f>
        <v>19.85397176423628</v>
      </c>
    </row>
    <row r="50" spans="1:28" ht="12.75">
      <c r="A50" s="2" t="s">
        <v>160</v>
      </c>
      <c r="B50" s="1" t="s">
        <v>158</v>
      </c>
      <c r="C50" s="1" t="s">
        <v>159</v>
      </c>
      <c r="F50" s="2" t="s">
        <v>169</v>
      </c>
      <c r="H50" s="2" t="s">
        <v>170</v>
      </c>
      <c r="J50" s="2" t="s">
        <v>171</v>
      </c>
      <c r="L50" s="2" t="s">
        <v>50</v>
      </c>
      <c r="N50" s="2" t="s">
        <v>169</v>
      </c>
      <c r="P50" s="2" t="s">
        <v>170</v>
      </c>
      <c r="R50" s="2" t="s">
        <v>171</v>
      </c>
      <c r="T50" s="2" t="s">
        <v>50</v>
      </c>
      <c r="V50" s="2" t="s">
        <v>169</v>
      </c>
      <c r="X50" s="2" t="s">
        <v>170</v>
      </c>
      <c r="Z50" s="2" t="s">
        <v>171</v>
      </c>
      <c r="AB50" s="2" t="s">
        <v>50</v>
      </c>
    </row>
    <row r="52" spans="2:28" ht="12.75">
      <c r="B52" s="2" t="s">
        <v>187</v>
      </c>
      <c r="C52" s="1"/>
      <c r="F52" s="2" t="s">
        <v>190</v>
      </c>
      <c r="H52" s="2" t="s">
        <v>190</v>
      </c>
      <c r="J52" s="2" t="s">
        <v>190</v>
      </c>
      <c r="L52" s="2" t="s">
        <v>190</v>
      </c>
      <c r="N52" s="2" t="s">
        <v>192</v>
      </c>
      <c r="P52" s="2" t="s">
        <v>192</v>
      </c>
      <c r="R52" s="2" t="s">
        <v>192</v>
      </c>
      <c r="T52" s="2" t="s">
        <v>192</v>
      </c>
      <c r="V52" s="2" t="s">
        <v>194</v>
      </c>
      <c r="X52" s="2" t="s">
        <v>194</v>
      </c>
      <c r="Z52" s="2" t="s">
        <v>194</v>
      </c>
      <c r="AB52" s="2" t="s">
        <v>194</v>
      </c>
    </row>
    <row r="53" spans="2:28" ht="12.75">
      <c r="B53" s="2" t="s">
        <v>188</v>
      </c>
      <c r="C53" s="1"/>
      <c r="F53" s="2" t="s">
        <v>189</v>
      </c>
      <c r="H53" s="2" t="s">
        <v>189</v>
      </c>
      <c r="J53" s="2" t="s">
        <v>189</v>
      </c>
      <c r="L53" s="2" t="s">
        <v>189</v>
      </c>
      <c r="N53" s="2" t="s">
        <v>193</v>
      </c>
      <c r="P53" s="2" t="s">
        <v>193</v>
      </c>
      <c r="R53" s="2" t="s">
        <v>193</v>
      </c>
      <c r="T53" s="2" t="s">
        <v>193</v>
      </c>
      <c r="V53" s="2" t="s">
        <v>79</v>
      </c>
      <c r="X53" s="2" t="s">
        <v>79</v>
      </c>
      <c r="Z53" s="2" t="s">
        <v>79</v>
      </c>
      <c r="AB53" s="2" t="s">
        <v>79</v>
      </c>
    </row>
    <row r="54" spans="2:28" ht="12.75">
      <c r="B54" s="2" t="s">
        <v>195</v>
      </c>
      <c r="C54" s="1"/>
      <c r="F54" s="2" t="s">
        <v>1</v>
      </c>
      <c r="H54" s="2" t="s">
        <v>1</v>
      </c>
      <c r="J54" s="2" t="s">
        <v>1</v>
      </c>
      <c r="L54" s="2" t="s">
        <v>1</v>
      </c>
      <c r="N54" s="2" t="s">
        <v>196</v>
      </c>
      <c r="P54" s="2" t="s">
        <v>196</v>
      </c>
      <c r="R54" s="2" t="s">
        <v>196</v>
      </c>
      <c r="T54" s="2" t="s">
        <v>196</v>
      </c>
      <c r="V54" s="2" t="s">
        <v>79</v>
      </c>
      <c r="X54" s="2" t="s">
        <v>79</v>
      </c>
      <c r="Z54" s="2" t="s">
        <v>79</v>
      </c>
      <c r="AB54" s="2" t="s">
        <v>79</v>
      </c>
    </row>
    <row r="55" spans="2:28" ht="12.75">
      <c r="B55" s="2" t="s">
        <v>164</v>
      </c>
      <c r="F55" s="2" t="s">
        <v>66</v>
      </c>
      <c r="H55" s="2" t="s">
        <v>66</v>
      </c>
      <c r="J55" s="2" t="s">
        <v>66</v>
      </c>
      <c r="L55" s="2" t="s">
        <v>66</v>
      </c>
      <c r="N55" s="2" t="s">
        <v>67</v>
      </c>
      <c r="P55" s="2" t="s">
        <v>67</v>
      </c>
      <c r="R55" s="2" t="s">
        <v>67</v>
      </c>
      <c r="T55" s="2" t="s">
        <v>67</v>
      </c>
      <c r="V55" s="2" t="s">
        <v>79</v>
      </c>
      <c r="X55" s="2" t="s">
        <v>79</v>
      </c>
      <c r="Z55" s="2" t="s">
        <v>79</v>
      </c>
      <c r="AB55" s="2" t="s">
        <v>79</v>
      </c>
    </row>
    <row r="56" spans="2:12" ht="12.75">
      <c r="B56" s="2" t="s">
        <v>163</v>
      </c>
      <c r="D56" s="2" t="s">
        <v>56</v>
      </c>
      <c r="F56" s="11">
        <f>880/60</f>
        <v>14.666666666666666</v>
      </c>
      <c r="H56" s="11">
        <f>880/60</f>
        <v>14.666666666666666</v>
      </c>
      <c r="J56" s="11">
        <f>880/60</f>
        <v>14.666666666666666</v>
      </c>
      <c r="L56" s="11">
        <f>880/60</f>
        <v>14.666666666666666</v>
      </c>
    </row>
    <row r="57" spans="2:20" ht="12.75">
      <c r="B57" s="2" t="s">
        <v>163</v>
      </c>
      <c r="D57" s="2" t="s">
        <v>68</v>
      </c>
      <c r="F57" s="11"/>
      <c r="H57" s="11"/>
      <c r="J57" s="11"/>
      <c r="L57" s="11"/>
      <c r="N57" s="13">
        <v>190000</v>
      </c>
      <c r="P57" s="13">
        <v>190000</v>
      </c>
      <c r="R57" s="13">
        <v>190000</v>
      </c>
      <c r="T57" s="13">
        <v>190000</v>
      </c>
    </row>
    <row r="58" spans="2:12" ht="12.75">
      <c r="B58" s="2" t="s">
        <v>59</v>
      </c>
      <c r="D58" s="2" t="s">
        <v>60</v>
      </c>
      <c r="F58" s="2">
        <v>15000</v>
      </c>
      <c r="H58" s="2">
        <v>15000</v>
      </c>
      <c r="J58" s="2">
        <v>15000</v>
      </c>
      <c r="L58" s="2">
        <v>15000</v>
      </c>
    </row>
    <row r="59" spans="2:20" ht="12.75">
      <c r="B59" s="2" t="s">
        <v>59</v>
      </c>
      <c r="D59" s="2" t="s">
        <v>69</v>
      </c>
      <c r="N59" s="13">
        <v>1000</v>
      </c>
      <c r="P59" s="13">
        <v>1000</v>
      </c>
      <c r="R59" s="13">
        <v>1000</v>
      </c>
      <c r="T59" s="13">
        <v>1000</v>
      </c>
    </row>
    <row r="60" spans="2:12" ht="12.75">
      <c r="B60" s="2" t="s">
        <v>7</v>
      </c>
      <c r="D60" s="2" t="s">
        <v>61</v>
      </c>
      <c r="E60" s="2" t="s">
        <v>55</v>
      </c>
      <c r="F60" s="2">
        <v>0.01</v>
      </c>
      <c r="G60" s="2" t="s">
        <v>55</v>
      </c>
      <c r="H60" s="2">
        <v>0.01</v>
      </c>
      <c r="I60" s="2" t="s">
        <v>55</v>
      </c>
      <c r="J60" s="2">
        <v>0.01</v>
      </c>
      <c r="L60" s="2">
        <v>0.01</v>
      </c>
    </row>
    <row r="61" spans="2:12" ht="12.75">
      <c r="B61" s="2" t="s">
        <v>62</v>
      </c>
      <c r="D61" s="2" t="s">
        <v>63</v>
      </c>
      <c r="F61" s="2">
        <v>2500</v>
      </c>
      <c r="H61" s="2">
        <v>2500</v>
      </c>
      <c r="J61" s="2">
        <v>2500</v>
      </c>
      <c r="L61" s="2">
        <v>2500</v>
      </c>
    </row>
    <row r="62" spans="2:12" ht="12.75">
      <c r="B62" s="2" t="s">
        <v>162</v>
      </c>
      <c r="D62" s="2" t="s">
        <v>63</v>
      </c>
      <c r="E62" s="2" t="s">
        <v>55</v>
      </c>
      <c r="F62" s="2">
        <v>0.2</v>
      </c>
      <c r="G62" s="2" t="s">
        <v>55</v>
      </c>
      <c r="H62" s="2">
        <v>0.2</v>
      </c>
      <c r="I62" s="2" t="s">
        <v>55</v>
      </c>
      <c r="J62" s="2">
        <v>0.2</v>
      </c>
      <c r="L62" s="2">
        <v>0.2</v>
      </c>
    </row>
    <row r="63" spans="2:12" ht="12.75">
      <c r="B63" s="2" t="s">
        <v>152</v>
      </c>
      <c r="D63" s="2" t="s">
        <v>63</v>
      </c>
      <c r="E63" s="2" t="s">
        <v>55</v>
      </c>
      <c r="F63" s="2">
        <v>0.35</v>
      </c>
      <c r="G63" s="2" t="s">
        <v>55</v>
      </c>
      <c r="H63" s="2">
        <v>0.35</v>
      </c>
      <c r="I63" s="2" t="s">
        <v>55</v>
      </c>
      <c r="J63" s="2">
        <v>0.35</v>
      </c>
      <c r="L63" s="2">
        <v>0.35</v>
      </c>
    </row>
    <row r="64" spans="2:12" ht="12.75">
      <c r="B64" s="2" t="s">
        <v>154</v>
      </c>
      <c r="D64" s="2" t="s">
        <v>63</v>
      </c>
      <c r="E64" s="2" t="s">
        <v>55</v>
      </c>
      <c r="F64" s="2">
        <v>0.09</v>
      </c>
      <c r="G64" s="2" t="s">
        <v>55</v>
      </c>
      <c r="H64" s="2">
        <v>0.09</v>
      </c>
      <c r="I64" s="2" t="s">
        <v>55</v>
      </c>
      <c r="J64" s="2">
        <v>0.09</v>
      </c>
      <c r="L64" s="2">
        <v>0.09</v>
      </c>
    </row>
    <row r="65" spans="2:12" ht="12.75">
      <c r="B65" s="2" t="s">
        <v>149</v>
      </c>
      <c r="D65" s="2" t="s">
        <v>63</v>
      </c>
      <c r="E65" s="2" t="s">
        <v>55</v>
      </c>
      <c r="F65" s="2">
        <v>0.5</v>
      </c>
      <c r="G65" s="2" t="s">
        <v>55</v>
      </c>
      <c r="H65" s="2">
        <v>0.5</v>
      </c>
      <c r="I65" s="2" t="s">
        <v>55</v>
      </c>
      <c r="J65" s="2">
        <v>0.5</v>
      </c>
      <c r="L65" s="2">
        <v>0.5</v>
      </c>
    </row>
    <row r="66" spans="2:12" ht="12.75">
      <c r="B66" s="2" t="s">
        <v>150</v>
      </c>
      <c r="D66" s="2" t="s">
        <v>63</v>
      </c>
      <c r="E66" s="2" t="s">
        <v>55</v>
      </c>
      <c r="F66" s="2">
        <v>0.09</v>
      </c>
      <c r="G66" s="2" t="s">
        <v>55</v>
      </c>
      <c r="H66" s="2">
        <v>0.09</v>
      </c>
      <c r="I66" s="2" t="s">
        <v>55</v>
      </c>
      <c r="J66" s="2">
        <v>0.09</v>
      </c>
      <c r="L66" s="2">
        <v>0.09</v>
      </c>
    </row>
    <row r="67" spans="2:12" ht="12.75">
      <c r="B67" s="2" t="s">
        <v>155</v>
      </c>
      <c r="D67" s="2" t="s">
        <v>63</v>
      </c>
      <c r="E67" s="2" t="s">
        <v>55</v>
      </c>
      <c r="F67" s="2">
        <v>0.07</v>
      </c>
      <c r="G67" s="2" t="s">
        <v>55</v>
      </c>
      <c r="H67" s="2">
        <v>0.07</v>
      </c>
      <c r="I67" s="2" t="s">
        <v>55</v>
      </c>
      <c r="J67" s="2">
        <v>0.07</v>
      </c>
      <c r="L67" s="2">
        <v>0.07</v>
      </c>
    </row>
    <row r="68" spans="2:12" ht="12.75">
      <c r="B68" s="2" t="s">
        <v>151</v>
      </c>
      <c r="D68" s="2" t="s">
        <v>63</v>
      </c>
      <c r="E68" s="2" t="s">
        <v>55</v>
      </c>
      <c r="F68" s="2">
        <v>0.5</v>
      </c>
      <c r="G68" s="2" t="s">
        <v>55</v>
      </c>
      <c r="H68" s="2">
        <v>0.5</v>
      </c>
      <c r="I68" s="2" t="s">
        <v>55</v>
      </c>
      <c r="J68" s="2">
        <v>0.5</v>
      </c>
      <c r="L68" s="2">
        <v>0.5</v>
      </c>
    </row>
    <row r="69" ht="12.75" customHeight="1"/>
    <row r="70" spans="2:12" ht="12.75">
      <c r="B70" s="2" t="s">
        <v>64</v>
      </c>
      <c r="D70" s="2" t="s">
        <v>13</v>
      </c>
      <c r="F70" s="10">
        <f>emiss!G24</f>
        <v>47213</v>
      </c>
      <c r="H70" s="10">
        <f>emiss!I24</f>
        <v>47236</v>
      </c>
      <c r="J70" s="10">
        <f>emiss!K24</f>
        <v>46973</v>
      </c>
      <c r="L70" s="10">
        <f>emiss!M24</f>
        <v>47140.666666666664</v>
      </c>
    </row>
    <row r="71" spans="2:12" ht="12.75">
      <c r="B71" s="2" t="s">
        <v>8</v>
      </c>
      <c r="D71" s="2" t="s">
        <v>14</v>
      </c>
      <c r="F71" s="10">
        <f>emiss!G25</f>
        <v>3.8</v>
      </c>
      <c r="H71" s="10">
        <f>emiss!I25</f>
        <v>3.6</v>
      </c>
      <c r="J71" s="10">
        <f>emiss!K25</f>
        <v>3.9</v>
      </c>
      <c r="L71" s="10">
        <f>emiss!M25</f>
        <v>3.766666666666667</v>
      </c>
    </row>
    <row r="73" spans="2:28" ht="12.75">
      <c r="B73" s="2" t="s">
        <v>161</v>
      </c>
      <c r="D73" s="2" t="s">
        <v>124</v>
      </c>
      <c r="F73" s="11">
        <f>F56*60*F58/1000000</f>
        <v>13.2</v>
      </c>
      <c r="H73" s="11">
        <f>H56*60*H58/1000000</f>
        <v>13.2</v>
      </c>
      <c r="J73" s="11">
        <f>J56*60*J58/1000000</f>
        <v>13.2</v>
      </c>
      <c r="L73" s="11">
        <f>L56*60*L58/1000000</f>
        <v>13.2</v>
      </c>
      <c r="N73" s="2">
        <f>N57*N59/1000000</f>
        <v>190</v>
      </c>
      <c r="P73" s="2">
        <f>P57*P59/1000000</f>
        <v>190</v>
      </c>
      <c r="R73" s="2">
        <f>R57*R59/1000000</f>
        <v>190</v>
      </c>
      <c r="T73" s="2">
        <f>T57*T59/1000000</f>
        <v>190</v>
      </c>
      <c r="V73" s="11">
        <f>N73+F73</f>
        <v>203.2</v>
      </c>
      <c r="X73" s="11">
        <f>P73+H73</f>
        <v>203.2</v>
      </c>
      <c r="Z73" s="11">
        <f>R73+J73</f>
        <v>203.2</v>
      </c>
      <c r="AB73" s="11">
        <f>T73+L73</f>
        <v>203.2</v>
      </c>
    </row>
    <row r="74" spans="2:28" ht="12.75">
      <c r="B74" s="2" t="s">
        <v>65</v>
      </c>
      <c r="D74" s="2" t="s">
        <v>124</v>
      </c>
      <c r="F74" s="11"/>
      <c r="H74" s="11"/>
      <c r="J74" s="11"/>
      <c r="AB74" s="11">
        <f>L70/9000*60*(21-L71)/(21)</f>
        <v>257.90184832451496</v>
      </c>
    </row>
    <row r="75" spans="6:12" ht="12.75">
      <c r="F75" s="12"/>
      <c r="H75" s="12"/>
      <c r="J75" s="12"/>
      <c r="L75" s="12"/>
    </row>
    <row r="76" spans="2:12" ht="12.75">
      <c r="B76" s="28" t="s">
        <v>123</v>
      </c>
      <c r="C76" s="28"/>
      <c r="F76" s="12"/>
      <c r="H76" s="12"/>
      <c r="J76" s="12"/>
      <c r="L76" s="12"/>
    </row>
    <row r="77" spans="2:28" ht="12.75">
      <c r="B77" s="2" t="s">
        <v>7</v>
      </c>
      <c r="D77" s="2" t="s">
        <v>12</v>
      </c>
      <c r="E77" s="2">
        <v>100</v>
      </c>
      <c r="F77" s="11">
        <f>F56*454*(F60/100)/F70/0.0283*(21-7)/(21-F71)*1000</f>
        <v>0.4056381848803779</v>
      </c>
      <c r="G77" s="2">
        <v>100</v>
      </c>
      <c r="H77" s="11">
        <f>H56*454*(H60/100)/H70/0.0283*(21-7)/(21-H71)*1000</f>
        <v>0.4007804352313417</v>
      </c>
      <c r="I77" s="2">
        <v>100</v>
      </c>
      <c r="J77" s="11">
        <f>J56*454*(J60/100)/J70/0.0283*(21-7)/(21-J71)*1000</f>
        <v>0.4100949926210256</v>
      </c>
      <c r="K77" s="10">
        <v>100</v>
      </c>
      <c r="L77" s="11">
        <f aca="true" t="shared" si="10" ref="L77:L85">AVERAGE(J77,H77,F77)</f>
        <v>0.4055045375775817</v>
      </c>
      <c r="AA77" s="2">
        <v>100</v>
      </c>
      <c r="AB77" s="11">
        <f>L77</f>
        <v>0.4055045375775817</v>
      </c>
    </row>
    <row r="78" spans="2:28" ht="12.75">
      <c r="B78" s="2" t="s">
        <v>62</v>
      </c>
      <c r="D78" s="2" t="s">
        <v>11</v>
      </c>
      <c r="F78" s="11">
        <f>F$56*454*(F61/1000000)/F$70/0.0283*(21-7)/(21-F$71)*1000000</f>
        <v>10140.954622009447</v>
      </c>
      <c r="G78" s="11"/>
      <c r="H78" s="11">
        <f>H$56*454*(H61/1000000)/H$70/0.0283*(21-7)/(21-H$71)*1000000</f>
        <v>10019.510880783542</v>
      </c>
      <c r="I78" s="11"/>
      <c r="J78" s="11">
        <f aca="true" t="shared" si="11" ref="J78:J85">J$56*454*(J61/1000000)/J$70/0.0283*(21-7)/(21-J$71)*1000000</f>
        <v>10252.374815525642</v>
      </c>
      <c r="K78" s="11"/>
      <c r="L78" s="11">
        <f t="shared" si="10"/>
        <v>10137.613439439543</v>
      </c>
      <c r="AB78" s="11">
        <f>L78</f>
        <v>10137.613439439543</v>
      </c>
    </row>
    <row r="79" spans="2:28" ht="12.75">
      <c r="B79" s="2" t="s">
        <v>162</v>
      </c>
      <c r="D79" s="2" t="s">
        <v>11</v>
      </c>
      <c r="E79" s="2">
        <v>100</v>
      </c>
      <c r="F79" s="11">
        <f aca="true" t="shared" si="12" ref="F79:H85">F$56*454*(F62/1000000)/F$70/0.0283*(21-7)/(21-F$71)*1000000</f>
        <v>0.8112763697607557</v>
      </c>
      <c r="G79" s="2">
        <v>100</v>
      </c>
      <c r="H79" s="11">
        <f t="shared" si="12"/>
        <v>0.8015608704626833</v>
      </c>
      <c r="I79" s="2">
        <v>100</v>
      </c>
      <c r="J79" s="11">
        <f t="shared" si="11"/>
        <v>0.8201899852420514</v>
      </c>
      <c r="K79" s="10">
        <v>100</v>
      </c>
      <c r="L79" s="11">
        <f t="shared" si="10"/>
        <v>0.8110090751551634</v>
      </c>
      <c r="AA79" s="2">
        <v>100</v>
      </c>
      <c r="AB79" s="11">
        <f>L79</f>
        <v>0.8110090751551634</v>
      </c>
    </row>
    <row r="80" spans="2:28" ht="12.75">
      <c r="B80" s="2" t="s">
        <v>152</v>
      </c>
      <c r="D80" s="2" t="s">
        <v>11</v>
      </c>
      <c r="E80" s="2">
        <v>100</v>
      </c>
      <c r="F80" s="11">
        <f t="shared" si="12"/>
        <v>1.4197336470813222</v>
      </c>
      <c r="G80" s="2">
        <v>100</v>
      </c>
      <c r="H80" s="11">
        <f t="shared" si="12"/>
        <v>1.4027315233096957</v>
      </c>
      <c r="I80" s="2">
        <v>100</v>
      </c>
      <c r="J80" s="11">
        <f t="shared" si="11"/>
        <v>1.4353324741735896</v>
      </c>
      <c r="K80" s="10">
        <v>100</v>
      </c>
      <c r="L80" s="11">
        <f t="shared" si="10"/>
        <v>1.419265881521536</v>
      </c>
      <c r="AA80" s="2">
        <v>100</v>
      </c>
      <c r="AB80" s="11">
        <f aca="true" t="shared" si="13" ref="AB80:AB85">L80</f>
        <v>1.419265881521536</v>
      </c>
    </row>
    <row r="81" spans="2:28" ht="12.75">
      <c r="B81" s="2" t="s">
        <v>154</v>
      </c>
      <c r="D81" s="2" t="s">
        <v>11</v>
      </c>
      <c r="E81" s="2">
        <v>100</v>
      </c>
      <c r="F81" s="11">
        <f t="shared" si="12"/>
        <v>0.3650743663923401</v>
      </c>
      <c r="G81" s="2">
        <v>100</v>
      </c>
      <c r="H81" s="11">
        <f t="shared" si="12"/>
        <v>0.3607023917082075</v>
      </c>
      <c r="I81" s="2">
        <v>100</v>
      </c>
      <c r="J81" s="11">
        <f t="shared" si="11"/>
        <v>0.369085493358923</v>
      </c>
      <c r="K81" s="10">
        <v>100</v>
      </c>
      <c r="L81" s="11">
        <f t="shared" si="10"/>
        <v>0.3649540838198235</v>
      </c>
      <c r="AA81" s="2">
        <v>100</v>
      </c>
      <c r="AB81" s="11">
        <f t="shared" si="13"/>
        <v>0.3649540838198235</v>
      </c>
    </row>
    <row r="82" spans="2:28" ht="12.75">
      <c r="B82" s="2" t="s">
        <v>149</v>
      </c>
      <c r="D82" s="2" t="s">
        <v>11</v>
      </c>
      <c r="E82" s="2">
        <v>100</v>
      </c>
      <c r="F82" s="11">
        <f t="shared" si="12"/>
        <v>2.0281909244018896</v>
      </c>
      <c r="G82" s="2">
        <v>100</v>
      </c>
      <c r="H82" s="11">
        <f t="shared" si="12"/>
        <v>2.003902176156708</v>
      </c>
      <c r="I82" s="2">
        <v>100</v>
      </c>
      <c r="J82" s="11">
        <f t="shared" si="11"/>
        <v>2.050474963105128</v>
      </c>
      <c r="K82" s="10">
        <v>100</v>
      </c>
      <c r="L82" s="11">
        <f t="shared" si="10"/>
        <v>2.0275226878879087</v>
      </c>
      <c r="AA82" s="2">
        <v>100</v>
      </c>
      <c r="AB82" s="11">
        <f t="shared" si="13"/>
        <v>2.0275226878879087</v>
      </c>
    </row>
    <row r="83" spans="2:28" ht="12.75">
      <c r="B83" s="2" t="s">
        <v>150</v>
      </c>
      <c r="D83" s="2" t="s">
        <v>11</v>
      </c>
      <c r="E83" s="2">
        <v>100</v>
      </c>
      <c r="F83" s="11">
        <f t="shared" si="12"/>
        <v>0.3650743663923401</v>
      </c>
      <c r="G83" s="2">
        <v>100</v>
      </c>
      <c r="H83" s="11">
        <f t="shared" si="12"/>
        <v>0.3607023917082075</v>
      </c>
      <c r="I83" s="2">
        <v>100</v>
      </c>
      <c r="J83" s="11">
        <f t="shared" si="11"/>
        <v>0.369085493358923</v>
      </c>
      <c r="K83" s="10">
        <v>100</v>
      </c>
      <c r="L83" s="11">
        <f t="shared" si="10"/>
        <v>0.3649540838198235</v>
      </c>
      <c r="AA83" s="2">
        <v>100</v>
      </c>
      <c r="AB83" s="11">
        <f t="shared" si="13"/>
        <v>0.3649540838198235</v>
      </c>
    </row>
    <row r="84" spans="2:28" ht="12.75">
      <c r="B84" s="2" t="s">
        <v>155</v>
      </c>
      <c r="D84" s="2" t="s">
        <v>11</v>
      </c>
      <c r="E84" s="2">
        <v>100</v>
      </c>
      <c r="F84" s="11">
        <f t="shared" si="12"/>
        <v>0.28394672941626453</v>
      </c>
      <c r="G84" s="2">
        <v>100</v>
      </c>
      <c r="H84" s="11">
        <f t="shared" si="12"/>
        <v>0.2805463046619392</v>
      </c>
      <c r="I84" s="2">
        <v>100</v>
      </c>
      <c r="J84" s="11">
        <f t="shared" si="11"/>
        <v>0.28706649483471797</v>
      </c>
      <c r="K84" s="10">
        <v>100</v>
      </c>
      <c r="L84" s="11">
        <f t="shared" si="10"/>
        <v>0.28385317630430723</v>
      </c>
      <c r="AA84" s="2">
        <v>100</v>
      </c>
      <c r="AB84" s="11">
        <f t="shared" si="13"/>
        <v>0.28385317630430723</v>
      </c>
    </row>
    <row r="85" spans="2:28" ht="12.75">
      <c r="B85" s="2" t="s">
        <v>151</v>
      </c>
      <c r="D85" s="2" t="s">
        <v>11</v>
      </c>
      <c r="E85" s="2">
        <v>100</v>
      </c>
      <c r="F85" s="11">
        <f t="shared" si="12"/>
        <v>2.0281909244018896</v>
      </c>
      <c r="G85" s="2">
        <v>100</v>
      </c>
      <c r="H85" s="11">
        <f t="shared" si="12"/>
        <v>2.003902176156708</v>
      </c>
      <c r="I85" s="2">
        <v>100</v>
      </c>
      <c r="J85" s="11">
        <f t="shared" si="11"/>
        <v>2.050474963105128</v>
      </c>
      <c r="K85" s="10">
        <v>100</v>
      </c>
      <c r="L85" s="11">
        <f t="shared" si="10"/>
        <v>2.0275226878879087</v>
      </c>
      <c r="AA85" s="2">
        <v>100</v>
      </c>
      <c r="AB85" s="11">
        <f t="shared" si="13"/>
        <v>2.0275226878879087</v>
      </c>
    </row>
    <row r="86" spans="6:28" ht="12.75">
      <c r="F86" s="11"/>
      <c r="H86" s="11"/>
      <c r="J86" s="11"/>
      <c r="K86" s="10"/>
      <c r="L86" s="11"/>
      <c r="AB86" s="11"/>
    </row>
    <row r="87" spans="2:28" ht="12.75">
      <c r="B87" s="2" t="s">
        <v>5</v>
      </c>
      <c r="D87" s="2" t="s">
        <v>11</v>
      </c>
      <c r="E87" s="10">
        <v>100</v>
      </c>
      <c r="F87" s="11">
        <f>(F80+F81)</f>
        <v>1.7848080134736624</v>
      </c>
      <c r="G87" s="10">
        <v>100</v>
      </c>
      <c r="H87" s="11">
        <f>(H80+H81)</f>
        <v>1.7634339150179033</v>
      </c>
      <c r="I87" s="10">
        <v>100</v>
      </c>
      <c r="J87" s="11">
        <f>(J80+J81)</f>
        <v>1.8044179675325125</v>
      </c>
      <c r="K87" s="10">
        <v>100</v>
      </c>
      <c r="L87" s="11">
        <f>AVERAGE(J87,H87,F87)</f>
        <v>1.7842199653413593</v>
      </c>
      <c r="AA87" s="2">
        <v>100</v>
      </c>
      <c r="AB87" s="11">
        <f>L87</f>
        <v>1.7842199653413593</v>
      </c>
    </row>
    <row r="88" spans="2:28" ht="12.75">
      <c r="B88" s="2" t="s">
        <v>6</v>
      </c>
      <c r="D88" s="2" t="s">
        <v>11</v>
      </c>
      <c r="E88" s="10">
        <v>100</v>
      </c>
      <c r="F88" s="11">
        <f>SUM(F82:F84)</f>
        <v>2.677212020210494</v>
      </c>
      <c r="G88" s="10">
        <v>100</v>
      </c>
      <c r="H88" s="11">
        <f>SUM(H82:H84)</f>
        <v>2.6451508725268544</v>
      </c>
      <c r="I88" s="10">
        <v>100</v>
      </c>
      <c r="J88" s="11">
        <f>SUM(J82:J84)</f>
        <v>2.706626951298769</v>
      </c>
      <c r="K88" s="10">
        <v>100</v>
      </c>
      <c r="L88" s="11">
        <f>AVERAGE(J88,H88,F88)</f>
        <v>2.676329948012039</v>
      </c>
      <c r="AA88" s="2">
        <v>100</v>
      </c>
      <c r="AB88" s="11">
        <f>L88</f>
        <v>2.676329948012039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I11" sqref="I11"/>
    </sheetView>
  </sheetViews>
  <sheetFormatPr defaultColWidth="9.140625" defaultRowHeight="12.75"/>
  <cols>
    <col min="1" max="1" width="21.8515625" style="2" customWidth="1"/>
    <col min="2" max="2" width="7.00390625" style="2" customWidth="1"/>
    <col min="3" max="3" width="8.140625" style="2" customWidth="1"/>
    <col min="4" max="4" width="7.421875" style="2" customWidth="1"/>
    <col min="5" max="5" width="7.8515625" style="2" customWidth="1"/>
    <col min="6" max="6" width="8.28125" style="2" customWidth="1"/>
    <col min="7" max="16384" width="11.421875" style="2" customWidth="1"/>
  </cols>
  <sheetData>
    <row r="1" ht="12.75">
      <c r="A1" s="1" t="s">
        <v>70</v>
      </c>
    </row>
    <row r="3" spans="2:6" ht="12.75">
      <c r="B3" s="2" t="s">
        <v>48</v>
      </c>
      <c r="C3" s="8" t="s">
        <v>49</v>
      </c>
      <c r="D3" s="8" t="s">
        <v>49</v>
      </c>
      <c r="E3" s="8" t="s">
        <v>49</v>
      </c>
      <c r="F3" s="8" t="s">
        <v>71</v>
      </c>
    </row>
    <row r="4" spans="3:6" ht="12.75">
      <c r="C4" s="8">
        <v>1</v>
      </c>
      <c r="D4" s="8">
        <v>2</v>
      </c>
      <c r="E4" s="8">
        <v>3</v>
      </c>
      <c r="F4" s="8"/>
    </row>
    <row r="5" spans="3:6" ht="12.75">
      <c r="C5" s="8"/>
      <c r="D5" s="8"/>
      <c r="E5" s="8"/>
      <c r="F5" s="8"/>
    </row>
    <row r="6" spans="1:6" ht="12.75">
      <c r="A6" s="1" t="s">
        <v>72</v>
      </c>
      <c r="F6" s="8"/>
    </row>
    <row r="7" spans="1:6" ht="12.75">
      <c r="A7" s="1"/>
      <c r="F7" s="8"/>
    </row>
    <row r="8" spans="1:6" ht="12.75">
      <c r="A8" s="2" t="s">
        <v>126</v>
      </c>
      <c r="B8" s="2" t="s">
        <v>73</v>
      </c>
      <c r="C8" s="2">
        <v>179516</v>
      </c>
      <c r="D8" s="2">
        <v>180398</v>
      </c>
      <c r="E8" s="2">
        <v>179854</v>
      </c>
      <c r="F8" s="2">
        <f>AVERAGE(C8:E8)</f>
        <v>179922.66666666666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7" sqref="A7"/>
    </sheetView>
  </sheetViews>
  <sheetFormatPr defaultColWidth="9.140625" defaultRowHeight="12.75"/>
  <cols>
    <col min="1" max="1" width="2.00390625" style="14" customWidth="1"/>
    <col min="2" max="2" width="25.8515625" style="14" customWidth="1"/>
    <col min="3" max="3" width="6.57421875" style="14" customWidth="1"/>
    <col min="4" max="4" width="7.140625" style="14" customWidth="1"/>
    <col min="5" max="5" width="7.421875" style="15" customWidth="1"/>
    <col min="6" max="6" width="8.140625" style="16" customWidth="1"/>
    <col min="7" max="7" width="7.8515625" style="15" customWidth="1"/>
    <col min="8" max="8" width="8.140625" style="16" customWidth="1"/>
    <col min="9" max="9" width="5.7109375" style="20" customWidth="1"/>
    <col min="10" max="10" width="7.00390625" style="15" customWidth="1"/>
    <col min="11" max="11" width="8.7109375" style="15" customWidth="1"/>
    <col min="12" max="12" width="7.8515625" style="15" customWidth="1"/>
    <col min="13" max="13" width="8.7109375" style="15" customWidth="1"/>
    <col min="14" max="14" width="6.00390625" style="20" customWidth="1"/>
    <col min="15" max="15" width="7.8515625" style="15" customWidth="1"/>
    <col min="16" max="16" width="10.00390625" style="15" customWidth="1"/>
    <col min="17" max="17" width="8.421875" style="15" customWidth="1"/>
    <col min="18" max="18" width="10.00390625" style="15" customWidth="1"/>
    <col min="19" max="19" width="7.7109375" style="14" customWidth="1"/>
    <col min="20" max="20" width="7.8515625" style="14" customWidth="1"/>
    <col min="21" max="21" width="7.7109375" style="14" customWidth="1"/>
    <col min="22" max="22" width="7.00390625" style="14" customWidth="1"/>
    <col min="23" max="23" width="7.421875" style="14" customWidth="1"/>
    <col min="24" max="16384" width="10.8515625" style="14" customWidth="1"/>
  </cols>
  <sheetData>
    <row r="1" ht="12.75">
      <c r="A1" s="25" t="s">
        <v>114</v>
      </c>
    </row>
    <row r="2" ht="12.75">
      <c r="A2" s="14" t="s">
        <v>204</v>
      </c>
    </row>
    <row r="3" spans="1:3" ht="12.75">
      <c r="A3" s="14" t="s">
        <v>197</v>
      </c>
      <c r="C3" s="14" t="s">
        <v>198</v>
      </c>
    </row>
    <row r="4" spans="1:18" ht="12.75">
      <c r="A4" s="14" t="s">
        <v>203</v>
      </c>
      <c r="C4" s="17" t="s">
        <v>118</v>
      </c>
      <c r="D4" s="17"/>
      <c r="E4" s="18"/>
      <c r="F4" s="19"/>
      <c r="G4" s="18"/>
      <c r="H4" s="19"/>
      <c r="J4" s="18"/>
      <c r="K4" s="18"/>
      <c r="L4" s="18"/>
      <c r="M4" s="18"/>
      <c r="O4" s="18"/>
      <c r="P4" s="18"/>
      <c r="Q4" s="18"/>
      <c r="R4" s="18"/>
    </row>
    <row r="5" spans="1:4" ht="12.75">
      <c r="A5" s="14" t="s">
        <v>199</v>
      </c>
      <c r="C5" s="34" t="s">
        <v>200</v>
      </c>
      <c r="D5" s="17"/>
    </row>
    <row r="6" spans="3:17" ht="12.75">
      <c r="C6" s="17"/>
      <c r="D6" s="17"/>
      <c r="E6" s="20"/>
      <c r="G6" s="20"/>
      <c r="J6" s="20"/>
      <c r="L6" s="20"/>
      <c r="O6" s="20"/>
      <c r="Q6" s="20"/>
    </row>
    <row r="7" spans="3:18" ht="12.75">
      <c r="C7" s="17" t="s">
        <v>74</v>
      </c>
      <c r="D7" s="17"/>
      <c r="E7" s="21" t="s">
        <v>75</v>
      </c>
      <c r="F7" s="21"/>
      <c r="G7" s="21"/>
      <c r="H7" s="21"/>
      <c r="I7" s="22"/>
      <c r="J7" s="21" t="s">
        <v>76</v>
      </c>
      <c r="K7" s="21"/>
      <c r="L7" s="21"/>
      <c r="M7" s="21"/>
      <c r="N7" s="22"/>
      <c r="O7" s="21" t="s">
        <v>77</v>
      </c>
      <c r="P7" s="21"/>
      <c r="Q7" s="21"/>
      <c r="R7" s="21"/>
    </row>
    <row r="8" spans="3:18" ht="12.75">
      <c r="C8" s="17" t="s">
        <v>78</v>
      </c>
      <c r="E8" s="20" t="s">
        <v>79</v>
      </c>
      <c r="F8" s="19" t="s">
        <v>80</v>
      </c>
      <c r="G8" s="20" t="s">
        <v>79</v>
      </c>
      <c r="H8" s="19" t="s">
        <v>80</v>
      </c>
      <c r="J8" s="20" t="s">
        <v>79</v>
      </c>
      <c r="K8" s="20" t="s">
        <v>81</v>
      </c>
      <c r="L8" s="20" t="s">
        <v>79</v>
      </c>
      <c r="M8" s="20" t="s">
        <v>81</v>
      </c>
      <c r="O8" s="20" t="s">
        <v>79</v>
      </c>
      <c r="P8" s="20" t="s">
        <v>81</v>
      </c>
      <c r="Q8" s="20" t="s">
        <v>79</v>
      </c>
      <c r="R8" s="20" t="s">
        <v>81</v>
      </c>
    </row>
    <row r="9" spans="3:18" ht="12.75">
      <c r="C9" s="17"/>
      <c r="E9" s="20" t="s">
        <v>202</v>
      </c>
      <c r="F9" s="20" t="s">
        <v>202</v>
      </c>
      <c r="G9" s="20" t="s">
        <v>115</v>
      </c>
      <c r="H9" s="19" t="s">
        <v>115</v>
      </c>
      <c r="J9" s="20" t="s">
        <v>202</v>
      </c>
      <c r="K9" s="20" t="s">
        <v>202</v>
      </c>
      <c r="L9" s="20" t="s">
        <v>115</v>
      </c>
      <c r="M9" s="19" t="s">
        <v>115</v>
      </c>
      <c r="O9" s="20" t="s">
        <v>202</v>
      </c>
      <c r="P9" s="20" t="s">
        <v>202</v>
      </c>
      <c r="Q9" s="20" t="s">
        <v>115</v>
      </c>
      <c r="R9" s="19" t="s">
        <v>115</v>
      </c>
    </row>
    <row r="10" ht="13.5" customHeight="1">
      <c r="A10" s="14" t="s">
        <v>82</v>
      </c>
    </row>
    <row r="11" spans="2:18" ht="12.75">
      <c r="B11" s="14" t="s">
        <v>83</v>
      </c>
      <c r="C11" s="17">
        <v>1</v>
      </c>
      <c r="D11" s="17" t="s">
        <v>55</v>
      </c>
      <c r="E11" s="16">
        <v>0.03</v>
      </c>
      <c r="F11" s="16">
        <f aca="true" t="shared" si="0" ref="F11:H35">IF(E11="","",E11*$C11)</f>
        <v>0.03</v>
      </c>
      <c r="G11" s="16">
        <f>IF(E11=0,"",IF(D11="nd",E11/2,E11))</f>
        <v>0.015</v>
      </c>
      <c r="H11" s="16">
        <f t="shared" si="0"/>
        <v>0.015</v>
      </c>
      <c r="I11" s="19" t="s">
        <v>55</v>
      </c>
      <c r="J11" s="16">
        <v>0.03</v>
      </c>
      <c r="K11" s="16">
        <f aca="true" t="shared" si="1" ref="K11:K35">IF(J11="","",J11*$C11)</f>
        <v>0.03</v>
      </c>
      <c r="L11" s="16">
        <f>IF(J11=0,"",IF(I11="nd",J11/2,J11))</f>
        <v>0.015</v>
      </c>
      <c r="M11" s="16">
        <f aca="true" t="shared" si="2" ref="M11:M35">IF(L11="","",L11*$C11)</f>
        <v>0.015</v>
      </c>
      <c r="N11" s="19" t="s">
        <v>55</v>
      </c>
      <c r="O11" s="16">
        <v>0.03</v>
      </c>
      <c r="P11" s="16">
        <f>IF(O11="","",O11*$C11)</f>
        <v>0.03</v>
      </c>
      <c r="Q11" s="16">
        <f>IF(O11=0,"",IF(N11="nd",O11/2,O11))</f>
        <v>0.015</v>
      </c>
      <c r="R11" s="16">
        <f>IF(Q11="","",Q11*$C11)</f>
        <v>0.015</v>
      </c>
    </row>
    <row r="12" spans="2:18" ht="12.75">
      <c r="B12" s="14" t="s">
        <v>84</v>
      </c>
      <c r="C12" s="17">
        <v>0</v>
      </c>
      <c r="D12" s="17" t="s">
        <v>55</v>
      </c>
      <c r="E12" s="16">
        <v>0.06</v>
      </c>
      <c r="F12" s="16">
        <f t="shared" si="0"/>
        <v>0</v>
      </c>
      <c r="G12" s="16">
        <f>IF(E12=0,"",IF(D12="nd",E12/2,E12))</f>
        <v>0.03</v>
      </c>
      <c r="H12" s="16">
        <f t="shared" si="0"/>
        <v>0</v>
      </c>
      <c r="I12" s="19" t="s">
        <v>55</v>
      </c>
      <c r="J12" s="16">
        <v>0.03</v>
      </c>
      <c r="K12" s="16">
        <f t="shared" si="1"/>
        <v>0</v>
      </c>
      <c r="L12" s="16">
        <f>IF(J12=0,"",IF(I12="nd",J12/2,J12))</f>
        <v>0.015</v>
      </c>
      <c r="M12" s="16">
        <f t="shared" si="2"/>
        <v>0</v>
      </c>
      <c r="N12" s="19" t="s">
        <v>55</v>
      </c>
      <c r="O12" s="16">
        <v>0.06</v>
      </c>
      <c r="P12" s="16">
        <f>IF(O12="","",O12*$C12)</f>
        <v>0</v>
      </c>
      <c r="Q12" s="16">
        <f>IF(O12=0,"",IF(N12="nd",O12/2,O12))</f>
        <v>0.03</v>
      </c>
      <c r="R12" s="16">
        <f>IF(Q12="","",Q12*$C12)</f>
        <v>0</v>
      </c>
    </row>
    <row r="13" spans="2:18" ht="12.75">
      <c r="B13" s="14" t="s">
        <v>85</v>
      </c>
      <c r="C13" s="17">
        <v>0.5</v>
      </c>
      <c r="D13" s="17" t="s">
        <v>55</v>
      </c>
      <c r="E13" s="16">
        <v>0.05</v>
      </c>
      <c r="F13" s="16">
        <f t="shared" si="0"/>
        <v>0.025</v>
      </c>
      <c r="G13" s="16">
        <f>IF(E13=0,"",IF(D13="nd",E13/2,E13))</f>
        <v>0.025</v>
      </c>
      <c r="H13" s="16">
        <f t="shared" si="0"/>
        <v>0.0125</v>
      </c>
      <c r="I13" s="19" t="s">
        <v>55</v>
      </c>
      <c r="J13" s="16">
        <v>0.04</v>
      </c>
      <c r="K13" s="16">
        <f t="shared" si="1"/>
        <v>0.02</v>
      </c>
      <c r="L13" s="16">
        <f>IF(J13=0,"",IF(I13="nd",J13/2,J13))</f>
        <v>0.02</v>
      </c>
      <c r="M13" s="16">
        <f t="shared" si="2"/>
        <v>0.01</v>
      </c>
      <c r="N13" s="19" t="s">
        <v>55</v>
      </c>
      <c r="O13" s="16">
        <v>0.05</v>
      </c>
      <c r="P13" s="16">
        <f aca="true" t="shared" si="3" ref="P13:R28">IF(O13="","",O13*$C13)</f>
        <v>0.025</v>
      </c>
      <c r="Q13" s="16">
        <f>IF(O13=0,"",IF(N13="nd",O13/2,O13))</f>
        <v>0.025</v>
      </c>
      <c r="R13" s="16">
        <f t="shared" si="3"/>
        <v>0.0125</v>
      </c>
    </row>
    <row r="14" spans="2:18" ht="12.75">
      <c r="B14" s="14" t="s">
        <v>86</v>
      </c>
      <c r="C14" s="17">
        <v>0</v>
      </c>
      <c r="D14" s="17" t="s">
        <v>55</v>
      </c>
      <c r="E14" s="16">
        <v>0.05</v>
      </c>
      <c r="F14" s="16">
        <f t="shared" si="0"/>
        <v>0</v>
      </c>
      <c r="G14" s="16">
        <f aca="true" t="shared" si="4" ref="G14:G35">IF(E14=0,"",IF(D14="nd",E14/2,E14))</f>
        <v>0.025</v>
      </c>
      <c r="H14" s="16">
        <f t="shared" si="0"/>
        <v>0</v>
      </c>
      <c r="I14" s="19" t="s">
        <v>55</v>
      </c>
      <c r="J14" s="16">
        <v>0.04</v>
      </c>
      <c r="K14" s="16">
        <f t="shared" si="1"/>
        <v>0</v>
      </c>
      <c r="L14" s="16">
        <f aca="true" t="shared" si="5" ref="L14:L29">IF(J14=0,"",IF(I14="nd",J14/2,J14))</f>
        <v>0.02</v>
      </c>
      <c r="M14" s="16">
        <f t="shared" si="2"/>
        <v>0</v>
      </c>
      <c r="N14" s="19" t="s">
        <v>55</v>
      </c>
      <c r="O14" s="16">
        <v>0.05</v>
      </c>
      <c r="P14" s="16">
        <f t="shared" si="3"/>
        <v>0</v>
      </c>
      <c r="Q14" s="16">
        <f aca="true" t="shared" si="6" ref="Q14:Q29">IF(O14=0,"",IF(N14="nd",O14/2,O14))</f>
        <v>0.025</v>
      </c>
      <c r="R14" s="16">
        <f t="shared" si="3"/>
        <v>0</v>
      </c>
    </row>
    <row r="15" spans="2:18" ht="12.75">
      <c r="B15" s="14" t="s">
        <v>87</v>
      </c>
      <c r="C15" s="17">
        <v>0.1</v>
      </c>
      <c r="D15" s="17" t="s">
        <v>55</v>
      </c>
      <c r="E15" s="16">
        <v>0.05</v>
      </c>
      <c r="F15" s="16">
        <f t="shared" si="0"/>
        <v>0.005000000000000001</v>
      </c>
      <c r="G15" s="16">
        <f t="shared" si="4"/>
        <v>0.025</v>
      </c>
      <c r="H15" s="16">
        <f t="shared" si="0"/>
        <v>0.0025000000000000005</v>
      </c>
      <c r="I15" s="19" t="s">
        <v>55</v>
      </c>
      <c r="J15" s="16">
        <v>0.04</v>
      </c>
      <c r="K15" s="16">
        <f t="shared" si="1"/>
        <v>0.004</v>
      </c>
      <c r="L15" s="16">
        <f t="shared" si="5"/>
        <v>0.02</v>
      </c>
      <c r="M15" s="16">
        <f t="shared" si="2"/>
        <v>0.002</v>
      </c>
      <c r="N15" s="19" t="s">
        <v>55</v>
      </c>
      <c r="O15" s="16">
        <v>0.06</v>
      </c>
      <c r="P15" s="16">
        <f t="shared" si="3"/>
        <v>0.006</v>
      </c>
      <c r="Q15" s="16">
        <f t="shared" si="6"/>
        <v>0.03</v>
      </c>
      <c r="R15" s="16">
        <f t="shared" si="3"/>
        <v>0.003</v>
      </c>
    </row>
    <row r="16" spans="2:18" ht="12.75">
      <c r="B16" s="14" t="s">
        <v>88</v>
      </c>
      <c r="C16" s="17">
        <v>0.1</v>
      </c>
      <c r="D16" s="17" t="s">
        <v>55</v>
      </c>
      <c r="E16" s="16">
        <v>0.04</v>
      </c>
      <c r="F16" s="16">
        <f t="shared" si="0"/>
        <v>0.004</v>
      </c>
      <c r="G16" s="16">
        <f t="shared" si="4"/>
        <v>0.02</v>
      </c>
      <c r="H16" s="16">
        <f t="shared" si="0"/>
        <v>0.002</v>
      </c>
      <c r="I16" s="19" t="s">
        <v>55</v>
      </c>
      <c r="J16" s="16">
        <v>0.04</v>
      </c>
      <c r="K16" s="16">
        <f t="shared" si="1"/>
        <v>0.004</v>
      </c>
      <c r="L16" s="16">
        <f t="shared" si="5"/>
        <v>0.02</v>
      </c>
      <c r="M16" s="16">
        <f t="shared" si="2"/>
        <v>0.002</v>
      </c>
      <c r="N16" s="19" t="s">
        <v>55</v>
      </c>
      <c r="O16" s="16">
        <v>0.05</v>
      </c>
      <c r="P16" s="16">
        <f t="shared" si="3"/>
        <v>0.005000000000000001</v>
      </c>
      <c r="Q16" s="16">
        <f t="shared" si="6"/>
        <v>0.025</v>
      </c>
      <c r="R16" s="16">
        <f t="shared" si="3"/>
        <v>0.0025000000000000005</v>
      </c>
    </row>
    <row r="17" spans="2:18" ht="12.75">
      <c r="B17" s="14" t="s">
        <v>89</v>
      </c>
      <c r="C17" s="17">
        <v>0.1</v>
      </c>
      <c r="D17" s="17" t="s">
        <v>55</v>
      </c>
      <c r="E17" s="16">
        <v>0.04</v>
      </c>
      <c r="F17" s="16">
        <f t="shared" si="0"/>
        <v>0.004</v>
      </c>
      <c r="G17" s="16">
        <f t="shared" si="4"/>
        <v>0.02</v>
      </c>
      <c r="H17" s="16">
        <f t="shared" si="0"/>
        <v>0.002</v>
      </c>
      <c r="I17" s="19" t="s">
        <v>55</v>
      </c>
      <c r="J17" s="16">
        <v>0.04</v>
      </c>
      <c r="K17" s="16">
        <f t="shared" si="1"/>
        <v>0.004</v>
      </c>
      <c r="L17" s="16">
        <f t="shared" si="5"/>
        <v>0.02</v>
      </c>
      <c r="M17" s="16">
        <f t="shared" si="2"/>
        <v>0.002</v>
      </c>
      <c r="N17" s="19" t="s">
        <v>55</v>
      </c>
      <c r="O17" s="16">
        <v>0.05</v>
      </c>
      <c r="P17" s="16">
        <f t="shared" si="3"/>
        <v>0.005000000000000001</v>
      </c>
      <c r="Q17" s="16">
        <f t="shared" si="6"/>
        <v>0.025</v>
      </c>
      <c r="R17" s="16">
        <f t="shared" si="3"/>
        <v>0.0025000000000000005</v>
      </c>
    </row>
    <row r="18" spans="2:18" ht="12.75">
      <c r="B18" s="14" t="s">
        <v>90</v>
      </c>
      <c r="C18" s="17">
        <v>0</v>
      </c>
      <c r="D18" s="17" t="s">
        <v>55</v>
      </c>
      <c r="E18" s="16">
        <v>0.05</v>
      </c>
      <c r="F18" s="16">
        <f t="shared" si="0"/>
        <v>0</v>
      </c>
      <c r="G18" s="16">
        <f t="shared" si="4"/>
        <v>0.025</v>
      </c>
      <c r="H18" s="16">
        <f t="shared" si="0"/>
        <v>0</v>
      </c>
      <c r="I18" s="19" t="s">
        <v>55</v>
      </c>
      <c r="J18" s="16">
        <v>0.04</v>
      </c>
      <c r="K18" s="16">
        <f t="shared" si="1"/>
        <v>0</v>
      </c>
      <c r="L18" s="16">
        <f t="shared" si="5"/>
        <v>0.02</v>
      </c>
      <c r="M18" s="16">
        <f t="shared" si="2"/>
        <v>0</v>
      </c>
      <c r="N18" s="19" t="s">
        <v>55</v>
      </c>
      <c r="O18" s="16">
        <v>0.04</v>
      </c>
      <c r="P18" s="16">
        <f t="shared" si="3"/>
        <v>0</v>
      </c>
      <c r="Q18" s="16">
        <f t="shared" si="6"/>
        <v>0.02</v>
      </c>
      <c r="R18" s="16">
        <f t="shared" si="3"/>
        <v>0</v>
      </c>
    </row>
    <row r="19" spans="2:18" ht="12.75">
      <c r="B19" s="14" t="s">
        <v>91</v>
      </c>
      <c r="C19" s="17">
        <v>0.01</v>
      </c>
      <c r="D19" s="17" t="s">
        <v>55</v>
      </c>
      <c r="E19" s="16">
        <v>0.15</v>
      </c>
      <c r="F19" s="16">
        <f t="shared" si="0"/>
        <v>0.0015</v>
      </c>
      <c r="G19" s="16">
        <f t="shared" si="4"/>
        <v>0.075</v>
      </c>
      <c r="H19" s="16">
        <f t="shared" si="0"/>
        <v>0.00075</v>
      </c>
      <c r="I19" s="19" t="s">
        <v>55</v>
      </c>
      <c r="J19" s="16">
        <v>0.04</v>
      </c>
      <c r="K19" s="16">
        <f t="shared" si="1"/>
        <v>0.0004</v>
      </c>
      <c r="L19" s="16">
        <f t="shared" si="5"/>
        <v>0.02</v>
      </c>
      <c r="M19" s="16">
        <f t="shared" si="2"/>
        <v>0.0002</v>
      </c>
      <c r="N19" s="19" t="s">
        <v>55</v>
      </c>
      <c r="O19" s="16">
        <v>0.1</v>
      </c>
      <c r="P19" s="16">
        <f t="shared" si="3"/>
        <v>0.001</v>
      </c>
      <c r="Q19" s="16">
        <f t="shared" si="6"/>
        <v>0.05</v>
      </c>
      <c r="R19" s="16">
        <f t="shared" si="3"/>
        <v>0.0005</v>
      </c>
    </row>
    <row r="20" spans="2:18" ht="12.75">
      <c r="B20" s="14" t="s">
        <v>92</v>
      </c>
      <c r="C20" s="17">
        <v>0</v>
      </c>
      <c r="D20" s="17" t="s">
        <v>55</v>
      </c>
      <c r="E20" s="16">
        <v>0.15</v>
      </c>
      <c r="F20" s="16">
        <f t="shared" si="0"/>
        <v>0</v>
      </c>
      <c r="G20" s="16">
        <f t="shared" si="4"/>
        <v>0.075</v>
      </c>
      <c r="H20" s="16">
        <f t="shared" si="0"/>
        <v>0</v>
      </c>
      <c r="I20" s="19" t="s">
        <v>55</v>
      </c>
      <c r="J20" s="16">
        <v>0.07</v>
      </c>
      <c r="K20" s="16">
        <f t="shared" si="1"/>
        <v>0</v>
      </c>
      <c r="L20" s="16">
        <f t="shared" si="5"/>
        <v>0.035</v>
      </c>
      <c r="M20" s="16">
        <f t="shared" si="2"/>
        <v>0</v>
      </c>
      <c r="N20" s="19" t="s">
        <v>55</v>
      </c>
      <c r="O20" s="16">
        <v>0.1</v>
      </c>
      <c r="P20" s="16">
        <f t="shared" si="3"/>
        <v>0</v>
      </c>
      <c r="Q20" s="16">
        <f t="shared" si="6"/>
        <v>0.05</v>
      </c>
      <c r="R20" s="16">
        <f t="shared" si="3"/>
        <v>0</v>
      </c>
    </row>
    <row r="21" spans="2:18" ht="12.75">
      <c r="B21" s="14" t="s">
        <v>93</v>
      </c>
      <c r="C21" s="17">
        <v>0.001</v>
      </c>
      <c r="D21" s="17"/>
      <c r="E21" s="16">
        <v>0.43</v>
      </c>
      <c r="F21" s="16">
        <f t="shared" si="0"/>
        <v>0.00043</v>
      </c>
      <c r="G21" s="16">
        <f t="shared" si="4"/>
        <v>0.43</v>
      </c>
      <c r="H21" s="16">
        <f t="shared" si="0"/>
        <v>0.00043</v>
      </c>
      <c r="I21" s="19" t="s">
        <v>55</v>
      </c>
      <c r="J21" s="16">
        <v>0.12</v>
      </c>
      <c r="K21" s="16">
        <f t="shared" si="1"/>
        <v>0.00012</v>
      </c>
      <c r="L21" s="16">
        <f t="shared" si="5"/>
        <v>0.06</v>
      </c>
      <c r="M21" s="16">
        <f t="shared" si="2"/>
        <v>6E-05</v>
      </c>
      <c r="N21" s="19" t="s">
        <v>55</v>
      </c>
      <c r="O21" s="16">
        <v>0.26</v>
      </c>
      <c r="P21" s="16">
        <f t="shared" si="3"/>
        <v>0.00026000000000000003</v>
      </c>
      <c r="Q21" s="16">
        <f t="shared" si="6"/>
        <v>0.13</v>
      </c>
      <c r="R21" s="16">
        <f t="shared" si="3"/>
        <v>0.00013000000000000002</v>
      </c>
    </row>
    <row r="22" spans="2:18" ht="12.75">
      <c r="B22" s="14" t="s">
        <v>94</v>
      </c>
      <c r="C22" s="17">
        <v>0.1</v>
      </c>
      <c r="D22" s="17" t="s">
        <v>55</v>
      </c>
      <c r="E22" s="16">
        <v>0.02</v>
      </c>
      <c r="F22" s="16">
        <f t="shared" si="0"/>
        <v>0.002</v>
      </c>
      <c r="G22" s="16">
        <f t="shared" si="4"/>
        <v>0.01</v>
      </c>
      <c r="H22" s="16">
        <f t="shared" si="0"/>
        <v>0.001</v>
      </c>
      <c r="I22" s="19" t="s">
        <v>55</v>
      </c>
      <c r="J22" s="16">
        <v>0.02</v>
      </c>
      <c r="K22" s="16">
        <f t="shared" si="1"/>
        <v>0.002</v>
      </c>
      <c r="L22" s="16">
        <f t="shared" si="5"/>
        <v>0.01</v>
      </c>
      <c r="M22" s="16">
        <f t="shared" si="2"/>
        <v>0.001</v>
      </c>
      <c r="N22" s="19" t="s">
        <v>55</v>
      </c>
      <c r="O22" s="16">
        <v>0.02</v>
      </c>
      <c r="P22" s="16">
        <f t="shared" si="3"/>
        <v>0.002</v>
      </c>
      <c r="Q22" s="16">
        <f t="shared" si="6"/>
        <v>0.01</v>
      </c>
      <c r="R22" s="16">
        <f t="shared" si="3"/>
        <v>0.001</v>
      </c>
    </row>
    <row r="23" spans="2:18" ht="12.75">
      <c r="B23" s="14" t="s">
        <v>95</v>
      </c>
      <c r="C23" s="17">
        <v>0</v>
      </c>
      <c r="D23" s="17" t="s">
        <v>55</v>
      </c>
      <c r="E23" s="16">
        <v>0.02</v>
      </c>
      <c r="F23" s="16">
        <f t="shared" si="0"/>
        <v>0</v>
      </c>
      <c r="G23" s="16">
        <f t="shared" si="4"/>
        <v>0.01</v>
      </c>
      <c r="H23" s="16">
        <f t="shared" si="0"/>
        <v>0</v>
      </c>
      <c r="I23" s="19" t="s">
        <v>55</v>
      </c>
      <c r="J23" s="16">
        <v>0.02</v>
      </c>
      <c r="K23" s="16">
        <f t="shared" si="1"/>
        <v>0</v>
      </c>
      <c r="L23" s="16">
        <f t="shared" si="5"/>
        <v>0.01</v>
      </c>
      <c r="M23" s="16">
        <f t="shared" si="2"/>
        <v>0</v>
      </c>
      <c r="N23" s="19" t="s">
        <v>55</v>
      </c>
      <c r="O23" s="16">
        <v>0.02</v>
      </c>
      <c r="P23" s="16">
        <f t="shared" si="3"/>
        <v>0</v>
      </c>
      <c r="Q23" s="16">
        <f t="shared" si="6"/>
        <v>0.01</v>
      </c>
      <c r="R23" s="16">
        <f t="shared" si="3"/>
        <v>0</v>
      </c>
    </row>
    <row r="24" spans="2:18" ht="12.75">
      <c r="B24" s="14" t="s">
        <v>96</v>
      </c>
      <c r="C24" s="17">
        <v>0.05</v>
      </c>
      <c r="D24" s="17" t="s">
        <v>55</v>
      </c>
      <c r="E24" s="16">
        <v>0.03</v>
      </c>
      <c r="F24" s="16">
        <f t="shared" si="0"/>
        <v>0.0015</v>
      </c>
      <c r="G24" s="16">
        <f t="shared" si="4"/>
        <v>0.015</v>
      </c>
      <c r="H24" s="16">
        <f t="shared" si="0"/>
        <v>0.00075</v>
      </c>
      <c r="I24" s="19" t="s">
        <v>55</v>
      </c>
      <c r="J24" s="16">
        <v>0.03</v>
      </c>
      <c r="K24" s="16">
        <f t="shared" si="1"/>
        <v>0.0015</v>
      </c>
      <c r="L24" s="16">
        <f t="shared" si="5"/>
        <v>0.015</v>
      </c>
      <c r="M24" s="16">
        <f t="shared" si="2"/>
        <v>0.00075</v>
      </c>
      <c r="N24" s="19" t="s">
        <v>55</v>
      </c>
      <c r="O24" s="16">
        <v>0.04</v>
      </c>
      <c r="P24" s="16">
        <f t="shared" si="3"/>
        <v>0.002</v>
      </c>
      <c r="Q24" s="16">
        <f t="shared" si="6"/>
        <v>0.02</v>
      </c>
      <c r="R24" s="16">
        <f t="shared" si="3"/>
        <v>0.001</v>
      </c>
    </row>
    <row r="25" spans="2:18" ht="12.75">
      <c r="B25" s="14" t="s">
        <v>97</v>
      </c>
      <c r="C25" s="17">
        <v>0.5</v>
      </c>
      <c r="D25" s="17" t="s">
        <v>55</v>
      </c>
      <c r="E25" s="16">
        <v>0.03</v>
      </c>
      <c r="F25" s="16">
        <f t="shared" si="0"/>
        <v>0.015</v>
      </c>
      <c r="G25" s="16">
        <f t="shared" si="4"/>
        <v>0.015</v>
      </c>
      <c r="H25" s="16">
        <f t="shared" si="0"/>
        <v>0.0075</v>
      </c>
      <c r="I25" s="19" t="s">
        <v>55</v>
      </c>
      <c r="J25" s="16">
        <v>0.03</v>
      </c>
      <c r="K25" s="16">
        <f t="shared" si="1"/>
        <v>0.015</v>
      </c>
      <c r="L25" s="16">
        <f t="shared" si="5"/>
        <v>0.015</v>
      </c>
      <c r="M25" s="16">
        <f t="shared" si="2"/>
        <v>0.0075</v>
      </c>
      <c r="N25" s="19" t="s">
        <v>55</v>
      </c>
      <c r="O25" s="16">
        <v>0.03</v>
      </c>
      <c r="P25" s="16">
        <f t="shared" si="3"/>
        <v>0.015</v>
      </c>
      <c r="Q25" s="16">
        <f t="shared" si="6"/>
        <v>0.015</v>
      </c>
      <c r="R25" s="16">
        <f t="shared" si="3"/>
        <v>0.0075</v>
      </c>
    </row>
    <row r="26" spans="2:18" ht="12.75">
      <c r="B26" s="14" t="s">
        <v>98</v>
      </c>
      <c r="C26" s="17">
        <v>0</v>
      </c>
      <c r="D26" s="17" t="s">
        <v>55</v>
      </c>
      <c r="E26" s="16">
        <v>0.09</v>
      </c>
      <c r="F26" s="16">
        <f t="shared" si="0"/>
        <v>0</v>
      </c>
      <c r="G26" s="16">
        <f t="shared" si="4"/>
        <v>0.045</v>
      </c>
      <c r="H26" s="16">
        <f t="shared" si="0"/>
        <v>0</v>
      </c>
      <c r="I26" s="19" t="s">
        <v>55</v>
      </c>
      <c r="J26" s="16">
        <v>0.03</v>
      </c>
      <c r="K26" s="16">
        <f t="shared" si="1"/>
        <v>0</v>
      </c>
      <c r="L26" s="16">
        <f t="shared" si="5"/>
        <v>0.015</v>
      </c>
      <c r="M26" s="16">
        <f t="shared" si="2"/>
        <v>0</v>
      </c>
      <c r="N26" s="19" t="s">
        <v>55</v>
      </c>
      <c r="O26" s="16">
        <v>0.11</v>
      </c>
      <c r="P26" s="16">
        <f t="shared" si="3"/>
        <v>0</v>
      </c>
      <c r="Q26" s="16">
        <f t="shared" si="6"/>
        <v>0.055</v>
      </c>
      <c r="R26" s="16">
        <f t="shared" si="3"/>
        <v>0</v>
      </c>
    </row>
    <row r="27" spans="2:18" ht="12.75">
      <c r="B27" s="14" t="s">
        <v>99</v>
      </c>
      <c r="C27" s="17">
        <v>0.1</v>
      </c>
      <c r="D27" s="17" t="s">
        <v>55</v>
      </c>
      <c r="E27" s="16">
        <v>0.16</v>
      </c>
      <c r="F27" s="16">
        <f t="shared" si="0"/>
        <v>0.016</v>
      </c>
      <c r="G27" s="16">
        <f t="shared" si="4"/>
        <v>0.08</v>
      </c>
      <c r="H27" s="16">
        <f t="shared" si="0"/>
        <v>0.008</v>
      </c>
      <c r="I27" s="19" t="s">
        <v>55</v>
      </c>
      <c r="J27" s="16">
        <v>0.03</v>
      </c>
      <c r="K27" s="16">
        <f t="shared" si="1"/>
        <v>0.003</v>
      </c>
      <c r="L27" s="16">
        <f t="shared" si="5"/>
        <v>0.015</v>
      </c>
      <c r="M27" s="16">
        <f t="shared" si="2"/>
        <v>0.0015</v>
      </c>
      <c r="N27" s="19" t="s">
        <v>55</v>
      </c>
      <c r="O27" s="16">
        <v>0.13</v>
      </c>
      <c r="P27" s="16">
        <f t="shared" si="3"/>
        <v>0.013000000000000001</v>
      </c>
      <c r="Q27" s="16">
        <f t="shared" si="6"/>
        <v>0.065</v>
      </c>
      <c r="R27" s="16">
        <f t="shared" si="3"/>
        <v>0.006500000000000001</v>
      </c>
    </row>
    <row r="28" spans="2:18" ht="12.75">
      <c r="B28" s="14" t="s">
        <v>100</v>
      </c>
      <c r="C28" s="17">
        <v>0.1</v>
      </c>
      <c r="D28" s="17" t="s">
        <v>55</v>
      </c>
      <c r="E28" s="16">
        <v>0.08</v>
      </c>
      <c r="F28" s="16">
        <f t="shared" si="0"/>
        <v>0.008</v>
      </c>
      <c r="G28" s="16">
        <f t="shared" si="4"/>
        <v>0.04</v>
      </c>
      <c r="H28" s="16">
        <f t="shared" si="0"/>
        <v>0.004</v>
      </c>
      <c r="I28" s="19" t="s">
        <v>55</v>
      </c>
      <c r="J28" s="16">
        <v>0.03</v>
      </c>
      <c r="K28" s="16">
        <f t="shared" si="1"/>
        <v>0.003</v>
      </c>
      <c r="L28" s="16">
        <f t="shared" si="5"/>
        <v>0.015</v>
      </c>
      <c r="M28" s="16">
        <f t="shared" si="2"/>
        <v>0.0015</v>
      </c>
      <c r="N28" s="19" t="s">
        <v>55</v>
      </c>
      <c r="O28" s="16">
        <v>0.07</v>
      </c>
      <c r="P28" s="16">
        <f t="shared" si="3"/>
        <v>0.007000000000000001</v>
      </c>
      <c r="Q28" s="16">
        <f t="shared" si="6"/>
        <v>0.035</v>
      </c>
      <c r="R28" s="16">
        <f t="shared" si="3"/>
        <v>0.0035000000000000005</v>
      </c>
    </row>
    <row r="29" spans="2:18" ht="12.75">
      <c r="B29" s="14" t="s">
        <v>101</v>
      </c>
      <c r="C29" s="17">
        <v>0.1</v>
      </c>
      <c r="D29" s="17" t="s">
        <v>55</v>
      </c>
      <c r="E29" s="16">
        <v>0.12</v>
      </c>
      <c r="F29" s="16">
        <f t="shared" si="0"/>
        <v>0.012</v>
      </c>
      <c r="G29" s="16">
        <f t="shared" si="4"/>
        <v>0.06</v>
      </c>
      <c r="H29" s="16">
        <f t="shared" si="0"/>
        <v>0.006</v>
      </c>
      <c r="I29" s="19" t="s">
        <v>55</v>
      </c>
      <c r="J29" s="16">
        <v>0.04</v>
      </c>
      <c r="K29" s="16">
        <f t="shared" si="1"/>
        <v>0.004</v>
      </c>
      <c r="L29" s="16">
        <f t="shared" si="5"/>
        <v>0.02</v>
      </c>
      <c r="M29" s="16">
        <f t="shared" si="2"/>
        <v>0.002</v>
      </c>
      <c r="N29" s="19" t="s">
        <v>55</v>
      </c>
      <c r="O29" s="16">
        <v>0.1</v>
      </c>
      <c r="P29" s="16">
        <f aca="true" t="shared" si="7" ref="P29:R35">IF(O29="","",O29*$C29)</f>
        <v>0.010000000000000002</v>
      </c>
      <c r="Q29" s="16">
        <f t="shared" si="6"/>
        <v>0.05</v>
      </c>
      <c r="R29" s="16">
        <f t="shared" si="7"/>
        <v>0.005000000000000001</v>
      </c>
    </row>
    <row r="30" spans="2:18" ht="12.75">
      <c r="B30" s="14" t="s">
        <v>102</v>
      </c>
      <c r="C30" s="17">
        <v>0.1</v>
      </c>
      <c r="D30" s="17" t="s">
        <v>55</v>
      </c>
      <c r="E30" s="16">
        <v>0.05</v>
      </c>
      <c r="F30" s="16">
        <f t="shared" si="0"/>
        <v>0.005000000000000001</v>
      </c>
      <c r="G30" s="16">
        <f t="shared" si="4"/>
        <v>0.025</v>
      </c>
      <c r="H30" s="16">
        <f t="shared" si="0"/>
        <v>0.0025000000000000005</v>
      </c>
      <c r="I30" s="19" t="s">
        <v>55</v>
      </c>
      <c r="J30" s="16">
        <v>0.04</v>
      </c>
      <c r="K30" s="16">
        <f t="shared" si="1"/>
        <v>0.004</v>
      </c>
      <c r="L30" s="16">
        <f aca="true" t="shared" si="8" ref="L30:L35">IF(J30=0,"",IF(I30="nd",J30/2,J30))</f>
        <v>0.02</v>
      </c>
      <c r="M30" s="16">
        <f t="shared" si="2"/>
        <v>0.002</v>
      </c>
      <c r="N30" s="19" t="s">
        <v>55</v>
      </c>
      <c r="O30" s="16">
        <v>0.05</v>
      </c>
      <c r="P30" s="16">
        <f t="shared" si="7"/>
        <v>0.005000000000000001</v>
      </c>
      <c r="Q30" s="16">
        <f aca="true" t="shared" si="9" ref="Q30:Q35">IF(O30=0,"",IF(N30="nd",O30/2,O30))</f>
        <v>0.025</v>
      </c>
      <c r="R30" s="16">
        <f t="shared" si="7"/>
        <v>0.0025000000000000005</v>
      </c>
    </row>
    <row r="31" spans="2:18" ht="12.75">
      <c r="B31" s="14" t="s">
        <v>103</v>
      </c>
      <c r="C31" s="17">
        <v>0</v>
      </c>
      <c r="D31" s="17"/>
      <c r="E31" s="16">
        <v>0.14</v>
      </c>
      <c r="F31" s="16">
        <f t="shared" si="0"/>
        <v>0</v>
      </c>
      <c r="G31" s="16">
        <f t="shared" si="4"/>
        <v>0.14</v>
      </c>
      <c r="H31" s="16">
        <f t="shared" si="0"/>
        <v>0</v>
      </c>
      <c r="I31" s="19" t="s">
        <v>55</v>
      </c>
      <c r="J31" s="16">
        <v>0.06</v>
      </c>
      <c r="K31" s="16">
        <f t="shared" si="1"/>
        <v>0</v>
      </c>
      <c r="L31" s="16">
        <f t="shared" si="8"/>
        <v>0.03</v>
      </c>
      <c r="M31" s="16">
        <f t="shared" si="2"/>
        <v>0</v>
      </c>
      <c r="N31" s="19" t="s">
        <v>55</v>
      </c>
      <c r="O31" s="16">
        <v>0.47</v>
      </c>
      <c r="P31" s="16">
        <f t="shared" si="7"/>
        <v>0</v>
      </c>
      <c r="Q31" s="16">
        <f t="shared" si="9"/>
        <v>0.235</v>
      </c>
      <c r="R31" s="16">
        <f t="shared" si="7"/>
        <v>0</v>
      </c>
    </row>
    <row r="32" spans="2:18" ht="12.75">
      <c r="B32" s="14" t="s">
        <v>104</v>
      </c>
      <c r="C32" s="17">
        <v>0.01</v>
      </c>
      <c r="D32" s="17" t="s">
        <v>55</v>
      </c>
      <c r="E32" s="16">
        <v>0.42</v>
      </c>
      <c r="F32" s="16">
        <f t="shared" si="0"/>
        <v>0.0042</v>
      </c>
      <c r="G32" s="16">
        <f t="shared" si="4"/>
        <v>0.21</v>
      </c>
      <c r="H32" s="16">
        <f t="shared" si="0"/>
        <v>0.0021</v>
      </c>
      <c r="I32" s="19" t="s">
        <v>55</v>
      </c>
      <c r="J32" s="16">
        <v>0.06</v>
      </c>
      <c r="K32" s="16">
        <f t="shared" si="1"/>
        <v>0.0006</v>
      </c>
      <c r="L32" s="16">
        <f t="shared" si="8"/>
        <v>0.03</v>
      </c>
      <c r="M32" s="16">
        <f t="shared" si="2"/>
        <v>0.0003</v>
      </c>
      <c r="N32" s="19" t="s">
        <v>55</v>
      </c>
      <c r="O32" s="16">
        <v>0.34</v>
      </c>
      <c r="P32" s="16">
        <f t="shared" si="7"/>
        <v>0.0034000000000000002</v>
      </c>
      <c r="Q32" s="16">
        <f t="shared" si="9"/>
        <v>0.17</v>
      </c>
      <c r="R32" s="16">
        <f t="shared" si="7"/>
        <v>0.0017000000000000001</v>
      </c>
    </row>
    <row r="33" spans="2:18" ht="12.75">
      <c r="B33" s="14" t="s">
        <v>105</v>
      </c>
      <c r="C33" s="17">
        <v>0.01</v>
      </c>
      <c r="D33" s="17" t="s">
        <v>55</v>
      </c>
      <c r="E33" s="16">
        <v>0.12</v>
      </c>
      <c r="F33" s="16">
        <f t="shared" si="0"/>
        <v>0.0012</v>
      </c>
      <c r="G33" s="16">
        <f t="shared" si="4"/>
        <v>0.06</v>
      </c>
      <c r="H33" s="16">
        <f t="shared" si="0"/>
        <v>0.0006</v>
      </c>
      <c r="I33" s="19" t="s">
        <v>55</v>
      </c>
      <c r="J33" s="16">
        <v>0.05</v>
      </c>
      <c r="K33" s="16">
        <f t="shared" si="1"/>
        <v>0.0005</v>
      </c>
      <c r="L33" s="16">
        <f t="shared" si="8"/>
        <v>0.025</v>
      </c>
      <c r="M33" s="16">
        <f t="shared" si="2"/>
        <v>0.00025</v>
      </c>
      <c r="N33" s="19" t="s">
        <v>55</v>
      </c>
      <c r="O33" s="16">
        <v>0.07</v>
      </c>
      <c r="P33" s="16">
        <f t="shared" si="7"/>
        <v>0.0007000000000000001</v>
      </c>
      <c r="Q33" s="16">
        <f t="shared" si="9"/>
        <v>0.035</v>
      </c>
      <c r="R33" s="16">
        <f t="shared" si="7"/>
        <v>0.00035000000000000005</v>
      </c>
    </row>
    <row r="34" spans="2:18" ht="12.75">
      <c r="B34" s="14" t="s">
        <v>106</v>
      </c>
      <c r="C34" s="17">
        <v>0</v>
      </c>
      <c r="D34" s="17" t="s">
        <v>55</v>
      </c>
      <c r="E34" s="16">
        <v>0.75</v>
      </c>
      <c r="F34" s="16">
        <f t="shared" si="0"/>
        <v>0</v>
      </c>
      <c r="G34" s="16">
        <f t="shared" si="4"/>
        <v>0.375</v>
      </c>
      <c r="H34" s="16">
        <f t="shared" si="0"/>
        <v>0</v>
      </c>
      <c r="I34" s="19" t="s">
        <v>55</v>
      </c>
      <c r="J34" s="16">
        <v>0.06</v>
      </c>
      <c r="K34" s="16">
        <f t="shared" si="1"/>
        <v>0</v>
      </c>
      <c r="L34" s="16">
        <f t="shared" si="8"/>
        <v>0.03</v>
      </c>
      <c r="M34" s="16">
        <f t="shared" si="2"/>
        <v>0</v>
      </c>
      <c r="N34" s="19" t="s">
        <v>55</v>
      </c>
      <c r="O34" s="16">
        <v>0.47</v>
      </c>
      <c r="P34" s="16">
        <f t="shared" si="7"/>
        <v>0</v>
      </c>
      <c r="Q34" s="16">
        <f t="shared" si="9"/>
        <v>0.235</v>
      </c>
      <c r="R34" s="16">
        <f t="shared" si="7"/>
        <v>0</v>
      </c>
    </row>
    <row r="35" spans="2:18" ht="12.75">
      <c r="B35" s="14" t="s">
        <v>107</v>
      </c>
      <c r="C35" s="17">
        <v>0.001</v>
      </c>
      <c r="D35" s="17" t="s">
        <v>55</v>
      </c>
      <c r="E35" s="16">
        <v>0.46</v>
      </c>
      <c r="F35" s="16">
        <f t="shared" si="0"/>
        <v>0.00046</v>
      </c>
      <c r="G35" s="16">
        <f t="shared" si="4"/>
        <v>0.23</v>
      </c>
      <c r="H35" s="16">
        <f t="shared" si="0"/>
        <v>0.00023</v>
      </c>
      <c r="I35" s="19" t="s">
        <v>55</v>
      </c>
      <c r="J35" s="16">
        <v>0.06</v>
      </c>
      <c r="K35" s="16">
        <f t="shared" si="1"/>
        <v>6E-05</v>
      </c>
      <c r="L35" s="16">
        <f t="shared" si="8"/>
        <v>0.03</v>
      </c>
      <c r="M35" s="16">
        <f t="shared" si="2"/>
        <v>3E-05</v>
      </c>
      <c r="N35" s="19" t="s">
        <v>55</v>
      </c>
      <c r="O35" s="16">
        <v>0.31</v>
      </c>
      <c r="P35" s="16">
        <f t="shared" si="7"/>
        <v>0.00031</v>
      </c>
      <c r="Q35" s="16">
        <f t="shared" si="9"/>
        <v>0.155</v>
      </c>
      <c r="R35" s="16">
        <f t="shared" si="7"/>
        <v>0.000155</v>
      </c>
    </row>
    <row r="36" spans="5:17" ht="12.75">
      <c r="E36" s="23"/>
      <c r="G36" s="23"/>
      <c r="I36" s="29"/>
      <c r="J36" s="23"/>
      <c r="K36" s="23"/>
      <c r="L36" s="23"/>
      <c r="M36" s="23"/>
      <c r="N36" s="29"/>
      <c r="O36" s="23"/>
      <c r="Q36" s="23"/>
    </row>
    <row r="37" spans="2:18" ht="12.75">
      <c r="B37" s="14" t="s">
        <v>108</v>
      </c>
      <c r="E37" s="23">
        <v>132.26</v>
      </c>
      <c r="F37" s="23">
        <v>132.26</v>
      </c>
      <c r="G37" s="23">
        <v>132.26</v>
      </c>
      <c r="H37" s="23">
        <v>132.26</v>
      </c>
      <c r="I37" s="29"/>
      <c r="J37" s="23">
        <v>130.51</v>
      </c>
      <c r="K37" s="23">
        <v>130.51</v>
      </c>
      <c r="L37" s="23">
        <v>130.51</v>
      </c>
      <c r="M37" s="23">
        <v>130.51</v>
      </c>
      <c r="N37" s="29"/>
      <c r="O37" s="23">
        <v>134.05</v>
      </c>
      <c r="P37" s="23">
        <v>134.05</v>
      </c>
      <c r="Q37" s="23">
        <v>134.05</v>
      </c>
      <c r="R37" s="23">
        <v>134.05</v>
      </c>
    </row>
    <row r="38" spans="2:18" ht="12.75">
      <c r="B38" s="14" t="s">
        <v>109</v>
      </c>
      <c r="E38" s="23">
        <v>7.3</v>
      </c>
      <c r="F38" s="23">
        <v>7.3</v>
      </c>
      <c r="G38" s="23">
        <v>7.3</v>
      </c>
      <c r="H38" s="23">
        <v>7.3</v>
      </c>
      <c r="I38" s="29"/>
      <c r="J38" s="23">
        <v>6.3</v>
      </c>
      <c r="K38" s="23">
        <v>6.3</v>
      </c>
      <c r="L38" s="23">
        <v>6.3</v>
      </c>
      <c r="M38" s="23">
        <v>6.3</v>
      </c>
      <c r="N38" s="29"/>
      <c r="O38" s="23">
        <v>7.8</v>
      </c>
      <c r="P38" s="23">
        <v>7.8</v>
      </c>
      <c r="Q38" s="23">
        <v>7.8</v>
      </c>
      <c r="R38" s="23">
        <v>7.8</v>
      </c>
    </row>
    <row r="39" spans="5:17" ht="6.75" customHeight="1">
      <c r="E39" s="23"/>
      <c r="G39" s="23"/>
      <c r="I39" s="29"/>
      <c r="J39" s="23"/>
      <c r="K39" s="23"/>
      <c r="L39" s="23"/>
      <c r="M39" s="23"/>
      <c r="N39" s="29"/>
      <c r="O39" s="23"/>
      <c r="Q39" s="23"/>
    </row>
    <row r="40" spans="2:18" ht="13.5" customHeight="1">
      <c r="B40" s="14" t="s">
        <v>110</v>
      </c>
      <c r="C40" s="16"/>
      <c r="D40" s="16"/>
      <c r="E40" s="16">
        <f>SUM(E35,E34,E31,E26,E23,E21,E20,E18,E14,E12)</f>
        <v>2.1999999999999997</v>
      </c>
      <c r="F40" s="16">
        <f>SUM(F11:F35)</f>
        <v>0.13529</v>
      </c>
      <c r="G40" s="16">
        <f>SUM(G35,G34,G31,G26,G23,G21,G20,G18,G14,G12)</f>
        <v>1.3849999999999998</v>
      </c>
      <c r="H40" s="16">
        <f>SUM(H11:H35)</f>
        <v>0.06786</v>
      </c>
      <c r="I40" s="19"/>
      <c r="J40" s="16">
        <f>SUM(J35,J34,J31,J26,J23,J21,J20,J18,J14,J12)</f>
        <v>0.5299999999999999</v>
      </c>
      <c r="K40" s="16">
        <f>SUM(K11:K35)</f>
        <v>0.09618000000000003</v>
      </c>
      <c r="L40" s="16">
        <f>SUM(L35,L34,L31,L26,L23,L21,L20,L18,L14,L12)</f>
        <v>0.26499999999999996</v>
      </c>
      <c r="M40" s="16">
        <f>SUM(M11:M35)</f>
        <v>0.048090000000000015</v>
      </c>
      <c r="N40" s="19"/>
      <c r="O40" s="16">
        <f>SUM(O35,O34,O31,O26,O23,O21,O20,O18,O14,O12)</f>
        <v>1.8900000000000003</v>
      </c>
      <c r="P40" s="16">
        <f>SUM(P11:P35)</f>
        <v>0.13067</v>
      </c>
      <c r="Q40" s="16">
        <f>SUM(Q35,Q34,Q31,Q26,Q23,Q21,Q20,Q18,Q14,Q12)</f>
        <v>0.9450000000000002</v>
      </c>
      <c r="R40" s="16">
        <f>SUM(R11:R35)</f>
        <v>0.065335</v>
      </c>
    </row>
    <row r="41" spans="2:18" ht="12.75">
      <c r="B41" s="14" t="s">
        <v>111</v>
      </c>
      <c r="C41" s="16"/>
      <c r="D41" s="35">
        <f>(F41-H41)*2/F41*100</f>
        <v>99.68216423978117</v>
      </c>
      <c r="E41" s="16">
        <f>E40/E37/0.0283*(21-7)/(21-E38)</f>
        <v>0.6006413062828254</v>
      </c>
      <c r="F41" s="16">
        <f>F40/F37/0.0283*(21-7)/(21-F38)</f>
        <v>0.03693671014863793</v>
      </c>
      <c r="G41" s="16">
        <f>G40/G37/0.0283*(21-7)/(21-G38)</f>
        <v>0.37813100418259693</v>
      </c>
      <c r="H41" s="16">
        <f>H40/H37/0.0283*(21-7)/(21-H38)</f>
        <v>0.01852705411106934</v>
      </c>
      <c r="I41" s="35">
        <f>(K41-M41)*2/K41*100</f>
        <v>100</v>
      </c>
      <c r="J41" s="16">
        <f>J40/J37/0.0283*(21-7)/(21-J38)</f>
        <v>0.13666469779251575</v>
      </c>
      <c r="K41" s="16">
        <f>K40/K37/0.0283*(21-7)/(21-K38)</f>
        <v>0.024800774780536168</v>
      </c>
      <c r="L41" s="16">
        <f>L40/L37/0.0283*(21-7)/(21-L38)</f>
        <v>0.06833234889625787</v>
      </c>
      <c r="M41" s="16">
        <f>M40/M37/0.0283*(21-7)/(21-M38)</f>
        <v>0.012400387390268084</v>
      </c>
      <c r="N41" s="35">
        <f>(P41-R41)*2/P41*100</f>
        <v>100</v>
      </c>
      <c r="O41" s="16">
        <f>O40/O37/0.0283*(21-7)/(21-O38)</f>
        <v>0.5283998124600032</v>
      </c>
      <c r="P41" s="16">
        <f>P40/P37/0.0283*(21-7)/(21-P38)</f>
        <v>0.036532276981031016</v>
      </c>
      <c r="Q41" s="16">
        <f>Q40/Q37/0.0283*(21-7)/(21-Q38)</f>
        <v>0.2641999062300016</v>
      </c>
      <c r="R41" s="16">
        <f>R40/R37/0.0283*(21-7)/(21-R38)</f>
        <v>0.018266138490515508</v>
      </c>
    </row>
    <row r="42" spans="5:17" ht="6.75" customHeight="1">
      <c r="E42" s="24"/>
      <c r="G42" s="24"/>
      <c r="I42" s="30"/>
      <c r="J42" s="24"/>
      <c r="K42" s="24"/>
      <c r="L42" s="24"/>
      <c r="M42" s="24"/>
      <c r="N42" s="30"/>
      <c r="O42" s="24"/>
      <c r="Q42" s="24"/>
    </row>
    <row r="43" spans="2:23" s="23" customFormat="1" ht="12.75">
      <c r="B43" s="23" t="s">
        <v>116</v>
      </c>
      <c r="C43" s="16">
        <f>AVERAGE(H41,M41,R41)</f>
        <v>0.01639785999728431</v>
      </c>
      <c r="F43" s="16"/>
      <c r="H43" s="16"/>
      <c r="I43" s="29"/>
      <c r="N43" s="29"/>
      <c r="P43" s="15"/>
      <c r="R43" s="15"/>
      <c r="S43" s="14"/>
      <c r="T43" s="14"/>
      <c r="U43" s="14"/>
      <c r="V43" s="14"/>
      <c r="W43" s="14"/>
    </row>
    <row r="44" spans="2:3" ht="12.75">
      <c r="B44" s="14" t="s">
        <v>117</v>
      </c>
      <c r="C44" s="24">
        <f>AVERAGE(G41,L41,Q41)</f>
        <v>0.23688775310295215</v>
      </c>
    </row>
    <row r="45" spans="5:18" ht="12.75">
      <c r="E45" s="14"/>
      <c r="G45" s="14"/>
      <c r="I45" s="17"/>
      <c r="J45" s="14"/>
      <c r="K45" s="14"/>
      <c r="L45" s="14"/>
      <c r="M45" s="14"/>
      <c r="N45" s="17"/>
      <c r="O45" s="14"/>
      <c r="P45" s="14"/>
      <c r="Q45" s="14"/>
      <c r="R45" s="14"/>
    </row>
    <row r="46" spans="5:18" ht="12.75">
      <c r="E46" s="14"/>
      <c r="G46" s="14"/>
      <c r="I46" s="17"/>
      <c r="J46" s="14"/>
      <c r="K46" s="14"/>
      <c r="L46" s="14"/>
      <c r="M46" s="14"/>
      <c r="N46" s="17"/>
      <c r="O46" s="14"/>
      <c r="P46" s="14"/>
      <c r="Q46" s="14"/>
      <c r="R46" s="14"/>
    </row>
    <row r="47" spans="5:18" ht="12.75">
      <c r="E47" s="14"/>
      <c r="G47" s="14"/>
      <c r="I47" s="17"/>
      <c r="J47" s="14"/>
      <c r="K47" s="14"/>
      <c r="L47" s="14"/>
      <c r="M47" s="14"/>
      <c r="N47" s="17"/>
      <c r="O47" s="14"/>
      <c r="P47" s="14"/>
      <c r="Q47" s="14"/>
      <c r="R47" s="14"/>
    </row>
    <row r="48" spans="5:18" ht="12.75">
      <c r="E48" s="14"/>
      <c r="G48" s="14"/>
      <c r="I48" s="17"/>
      <c r="J48" s="14"/>
      <c r="K48" s="14"/>
      <c r="L48" s="14"/>
      <c r="M48" s="14"/>
      <c r="N48" s="17"/>
      <c r="O48" s="14"/>
      <c r="P48" s="14"/>
      <c r="Q48" s="14"/>
      <c r="R48" s="14"/>
    </row>
    <row r="49" spans="5:18" ht="12.75">
      <c r="E49" s="14"/>
      <c r="G49" s="14"/>
      <c r="I49" s="17"/>
      <c r="J49" s="14"/>
      <c r="K49" s="14"/>
      <c r="L49" s="14"/>
      <c r="M49" s="14"/>
      <c r="N49" s="17"/>
      <c r="O49" s="14"/>
      <c r="P49" s="14"/>
      <c r="Q49" s="14"/>
      <c r="R49" s="14"/>
    </row>
    <row r="50" spans="5:18" ht="12.75">
      <c r="E50" s="14"/>
      <c r="G50" s="14"/>
      <c r="I50" s="17"/>
      <c r="J50" s="14"/>
      <c r="K50" s="14"/>
      <c r="L50" s="14"/>
      <c r="M50" s="14"/>
      <c r="N50" s="17"/>
      <c r="O50" s="14"/>
      <c r="P50" s="14"/>
      <c r="Q50" s="14"/>
      <c r="R50" s="14"/>
    </row>
    <row r="51" spans="5:18" ht="12.75">
      <c r="E51" s="14"/>
      <c r="G51" s="14"/>
      <c r="I51" s="17"/>
      <c r="J51" s="14"/>
      <c r="K51" s="14"/>
      <c r="L51" s="14"/>
      <c r="M51" s="14"/>
      <c r="N51" s="17"/>
      <c r="O51" s="14"/>
      <c r="P51" s="14"/>
      <c r="Q51" s="14"/>
      <c r="R51" s="14"/>
    </row>
    <row r="52" spans="5:18" ht="12.75">
      <c r="E52" s="14"/>
      <c r="G52" s="14"/>
      <c r="I52" s="17"/>
      <c r="J52" s="14"/>
      <c r="K52" s="14"/>
      <c r="L52" s="14"/>
      <c r="M52" s="14"/>
      <c r="N52" s="17"/>
      <c r="O52" s="14"/>
      <c r="P52" s="14"/>
      <c r="Q52" s="14"/>
      <c r="R52" s="14"/>
    </row>
    <row r="53" spans="5:18" ht="12.75">
      <c r="E53" s="14"/>
      <c r="G53" s="14"/>
      <c r="I53" s="17"/>
      <c r="J53" s="14"/>
      <c r="K53" s="14"/>
      <c r="L53" s="14"/>
      <c r="M53" s="14"/>
      <c r="N53" s="17"/>
      <c r="O53" s="14"/>
      <c r="P53" s="14"/>
      <c r="Q53" s="14"/>
      <c r="R53" s="14"/>
    </row>
    <row r="54" spans="5:18" ht="12.75">
      <c r="E54" s="14"/>
      <c r="G54" s="14"/>
      <c r="I54" s="17"/>
      <c r="J54" s="14"/>
      <c r="K54" s="14"/>
      <c r="L54" s="14"/>
      <c r="M54" s="14"/>
      <c r="N54" s="17"/>
      <c r="O54" s="14"/>
      <c r="P54" s="14"/>
      <c r="Q54" s="14"/>
      <c r="R54" s="14"/>
    </row>
    <row r="55" spans="5:18" ht="12.75">
      <c r="E55" s="14"/>
      <c r="G55" s="14"/>
      <c r="I55" s="17"/>
      <c r="J55" s="14"/>
      <c r="K55" s="14"/>
      <c r="L55" s="14"/>
      <c r="M55" s="14"/>
      <c r="N55" s="17"/>
      <c r="O55" s="14"/>
      <c r="P55" s="14"/>
      <c r="Q55" s="14"/>
      <c r="R55" s="14"/>
    </row>
    <row r="56" spans="5:18" ht="12.75">
      <c r="E56" s="14"/>
      <c r="G56" s="14"/>
      <c r="I56" s="17"/>
      <c r="J56" s="14"/>
      <c r="K56" s="14"/>
      <c r="L56" s="14"/>
      <c r="M56" s="14"/>
      <c r="N56" s="17"/>
      <c r="O56" s="14"/>
      <c r="P56" s="14"/>
      <c r="Q56" s="14"/>
      <c r="R56" s="14"/>
    </row>
    <row r="57" spans="5:18" ht="12.75">
      <c r="E57" s="14"/>
      <c r="G57" s="14"/>
      <c r="I57" s="17"/>
      <c r="J57" s="14"/>
      <c r="K57" s="14"/>
      <c r="L57" s="14"/>
      <c r="M57" s="14"/>
      <c r="N57" s="17"/>
      <c r="O57" s="14"/>
      <c r="P57" s="14"/>
      <c r="Q57" s="14"/>
      <c r="R57" s="14"/>
    </row>
    <row r="58" spans="5:18" ht="12.75">
      <c r="E58" s="14"/>
      <c r="G58" s="14"/>
      <c r="I58" s="17"/>
      <c r="J58" s="14"/>
      <c r="K58" s="14"/>
      <c r="L58" s="14"/>
      <c r="M58" s="14"/>
      <c r="N58" s="17"/>
      <c r="O58" s="14"/>
      <c r="P58" s="14"/>
      <c r="Q58" s="14"/>
      <c r="R58" s="14"/>
    </row>
    <row r="59" spans="5:18" ht="12.75">
      <c r="E59" s="14"/>
      <c r="G59" s="14"/>
      <c r="I59" s="17"/>
      <c r="J59" s="14"/>
      <c r="K59" s="14"/>
      <c r="L59" s="14"/>
      <c r="M59" s="14"/>
      <c r="N59" s="17"/>
      <c r="O59" s="14"/>
      <c r="P59" s="14"/>
      <c r="Q59" s="14"/>
      <c r="R59" s="14"/>
    </row>
    <row r="60" spans="5:18" ht="12.75">
      <c r="E60" s="14"/>
      <c r="G60" s="14"/>
      <c r="I60" s="17"/>
      <c r="J60" s="14"/>
      <c r="K60" s="14"/>
      <c r="L60" s="14"/>
      <c r="M60" s="14"/>
      <c r="N60" s="17"/>
      <c r="O60" s="14"/>
      <c r="P60" s="14"/>
      <c r="Q60" s="14"/>
      <c r="R60" s="14"/>
    </row>
    <row r="61" spans="5:18" ht="12.75">
      <c r="E61" s="14"/>
      <c r="G61" s="14"/>
      <c r="I61" s="17"/>
      <c r="J61" s="14"/>
      <c r="K61" s="14"/>
      <c r="L61" s="14"/>
      <c r="M61" s="14"/>
      <c r="N61" s="17"/>
      <c r="O61" s="14"/>
      <c r="P61" s="14"/>
      <c r="Q61" s="14"/>
      <c r="R61" s="14"/>
    </row>
    <row r="62" spans="5:18" ht="12.75">
      <c r="E62" s="14"/>
      <c r="G62" s="14"/>
      <c r="I62" s="17"/>
      <c r="J62" s="14"/>
      <c r="K62" s="14"/>
      <c r="L62" s="14"/>
      <c r="M62" s="14"/>
      <c r="N62" s="17"/>
      <c r="O62" s="14"/>
      <c r="P62" s="14"/>
      <c r="Q62" s="14"/>
      <c r="R62" s="14"/>
    </row>
    <row r="63" spans="5:18" ht="12.75">
      <c r="E63" s="14"/>
      <c r="G63" s="14"/>
      <c r="I63" s="17"/>
      <c r="J63" s="14"/>
      <c r="K63" s="14"/>
      <c r="L63" s="14"/>
      <c r="M63" s="14"/>
      <c r="N63" s="17"/>
      <c r="O63" s="14"/>
      <c r="P63" s="14"/>
      <c r="Q63" s="14"/>
      <c r="R63" s="14"/>
    </row>
    <row r="64" spans="5:18" ht="12.75">
      <c r="E64" s="14"/>
      <c r="G64" s="14"/>
      <c r="I64" s="17"/>
      <c r="J64" s="14"/>
      <c r="K64" s="14"/>
      <c r="L64" s="14"/>
      <c r="M64" s="14"/>
      <c r="N64" s="17"/>
      <c r="O64" s="14"/>
      <c r="P64" s="14"/>
      <c r="Q64" s="14"/>
      <c r="R64" s="1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2004-02-20T17:57:34Z</cp:lastPrinted>
  <dcterms:created xsi:type="dcterms:W3CDTF">2000-11-27T20:27:17Z</dcterms:created>
  <dcterms:modified xsi:type="dcterms:W3CDTF">2004-02-20T17:57:49Z</dcterms:modified>
  <cp:category/>
  <cp:version/>
  <cp:contentType/>
  <cp:contentStatus/>
</cp:coreProperties>
</file>