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65416" windowWidth="12120" windowHeight="6780" tabRatio="693" firstSheet="1" activeTab="6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  <sheet name="df c4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<sst xmlns="http://schemas.openxmlformats.org/spreadsheetml/2006/main" count="1253" uniqueCount="230">
  <si>
    <t>Stack Gas Emissions</t>
  </si>
  <si>
    <t>HW</t>
  </si>
  <si>
    <t>PM</t>
  </si>
  <si>
    <t>HCl</t>
  </si>
  <si>
    <t>Cl2</t>
  </si>
  <si>
    <t>SVM</t>
  </si>
  <si>
    <t>LVM</t>
  </si>
  <si>
    <t>CO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</si>
  <si>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</si>
  <si>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</si>
  <si>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</si>
  <si>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</si>
  <si>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</si>
  <si>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</si>
  <si>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</si>
  <si>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</si>
  <si>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</si>
  <si>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</si>
  <si>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</si>
  <si>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</si>
  <si>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</si>
  <si>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</si>
  <si>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</si>
  <si>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</si>
  <si>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</si>
  <si>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</si>
  <si>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</si>
  <si>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</si>
  <si>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 xml:space="preserve">     Report Name/Date</t>
  </si>
  <si>
    <t xml:space="preserve">     Testing Firm</t>
  </si>
  <si>
    <t xml:space="preserve">     Testing Dates</t>
  </si>
  <si>
    <t xml:space="preserve">     Cond. Description</t>
  </si>
  <si>
    <t xml:space="preserve">     Content</t>
  </si>
  <si>
    <t>Units</t>
  </si>
  <si>
    <t>Cond Avg</t>
  </si>
  <si>
    <t>y</t>
  </si>
  <si>
    <t xml:space="preserve">   Stack Gas Flowrate</t>
  </si>
  <si>
    <t xml:space="preserve">   Temperature</t>
  </si>
  <si>
    <t>nd</t>
  </si>
  <si>
    <t>Heat Content</t>
  </si>
  <si>
    <t>lb/hr</t>
  </si>
  <si>
    <t>Chlorine</t>
  </si>
  <si>
    <t>Stack Gas Flowrate</t>
  </si>
  <si>
    <t>Btu/lb</t>
  </si>
  <si>
    <t>Process Information</t>
  </si>
  <si>
    <t>Avg</t>
  </si>
  <si>
    <t xml:space="preserve">     Report Prepare</t>
  </si>
  <si>
    <t>g/hr</t>
  </si>
  <si>
    <t>Density</t>
  </si>
  <si>
    <t>Reilly Industries, Inc.</t>
  </si>
  <si>
    <t>Indianapolis</t>
  </si>
  <si>
    <t>Pyridine and pyrindine-derived organic chemical production waste</t>
  </si>
  <si>
    <t>soot blow</t>
  </si>
  <si>
    <t>737C1</t>
  </si>
  <si>
    <t>Steam Production Rate</t>
  </si>
  <si>
    <t>klb/hr</t>
  </si>
  <si>
    <t>737C2</t>
  </si>
  <si>
    <t>g/ml</t>
  </si>
  <si>
    <t>Waste Fuel</t>
  </si>
  <si>
    <t>City Gas</t>
  </si>
  <si>
    <t>Chamber Temp</t>
  </si>
  <si>
    <t>IN</t>
  </si>
  <si>
    <t>737C3</t>
  </si>
  <si>
    <t>737C4</t>
  </si>
  <si>
    <t>Combustion Temp</t>
  </si>
  <si>
    <t>&gt;</t>
  </si>
  <si>
    <t xml:space="preserve">Spike </t>
  </si>
  <si>
    <t>Hazardous Wastes</t>
  </si>
  <si>
    <t>Liq</t>
  </si>
  <si>
    <t>DRE, PCDD/F</t>
  </si>
  <si>
    <t>Feed Rate</t>
  </si>
  <si>
    <t>PCDD/PCDF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</si>
  <si>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</si>
  <si>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</si>
  <si>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</si>
  <si>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</si>
  <si>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</si>
  <si>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</si>
  <si>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</si>
  <si>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</si>
  <si>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</si>
  <si>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</si>
  <si>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</si>
  <si>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</si>
  <si>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</si>
  <si>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</si>
  <si>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</si>
  <si>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</si>
  <si>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</si>
  <si>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</si>
  <si>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</si>
  <si>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</si>
  <si>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</si>
  <si>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</si>
  <si>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</si>
  <si>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</si>
  <si>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</si>
  <si>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</si>
  <si>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</si>
  <si>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</si>
  <si>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TEQ Cond Avg</t>
  </si>
  <si>
    <t>PM, HCl/Cl2, PCDD/F</t>
  </si>
  <si>
    <t>Trial burn/CoC, high feed rate, max steam prod, October 26-28, 1999</t>
  </si>
  <si>
    <t>NA</t>
  </si>
  <si>
    <t>ug/dscm</t>
  </si>
  <si>
    <t>MMBtu/hr</t>
  </si>
  <si>
    <t>Capacity (MMBtu/hr)</t>
  </si>
  <si>
    <t>None</t>
  </si>
  <si>
    <t>CoC, high feed rate</t>
  </si>
  <si>
    <t>CoC, low comb temp</t>
  </si>
  <si>
    <t>Trial burn, high feed rate, max steam prod</t>
  </si>
  <si>
    <t>Trial burn, min comb temp, min steam prod rate</t>
  </si>
  <si>
    <t>Reily Industries, Inc., Indianapolis, IN</t>
  </si>
  <si>
    <t>IND000807107</t>
  </si>
  <si>
    <t>Supplemental Fuel</t>
  </si>
  <si>
    <t>PM, CO, Cr(+6), HCl/Cl2</t>
  </si>
  <si>
    <t>Tier I metals except Cr(+6)</t>
  </si>
  <si>
    <t>Permitting Status</t>
  </si>
  <si>
    <t>October 26-28, 1999</t>
  </si>
  <si>
    <t>June 20-21, 1996</t>
  </si>
  <si>
    <t>Revised Certification of Compliance Test Report for Boilers 70K, 30K, and 28K, August 21, 1996</t>
  </si>
  <si>
    <t>Spectrum Compliance Resources, Inc., METCO Environmental, B3 Systems, Inc</t>
  </si>
  <si>
    <t>Spectrum Compliance Resources, Inc.</t>
  </si>
  <si>
    <t>Compliance Strategies &amp; Solutions, Inc.</t>
  </si>
  <si>
    <t>Trial Burn Report for Boiler 30K, February 3, 2000</t>
  </si>
  <si>
    <t>Waste</t>
  </si>
  <si>
    <t>Cond</t>
  </si>
  <si>
    <t>Detected in sample volume (ng/dscm)</t>
  </si>
  <si>
    <t>Feedstreams</t>
  </si>
  <si>
    <t>Feedrate MTEC Calculations</t>
  </si>
  <si>
    <t>Detected in stack gas (ng/dscm)</t>
  </si>
  <si>
    <t>Source Description</t>
  </si>
  <si>
    <t>Phase II ID No.</t>
  </si>
  <si>
    <t>7% O2</t>
  </si>
  <si>
    <t>g/s</t>
  </si>
  <si>
    <t xml:space="preserve">    City</t>
  </si>
  <si>
    <t xml:space="preserve">    State</t>
  </si>
  <si>
    <t>Soot Blowing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</si>
  <si>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</si>
  <si>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</si>
  <si>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</si>
  <si>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</si>
  <si>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</si>
  <si>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</si>
  <si>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Coc</t>
  </si>
  <si>
    <t>PM, HCl/Cl2</t>
  </si>
  <si>
    <t>Trial Burn</t>
  </si>
  <si>
    <t>POHC</t>
  </si>
  <si>
    <t>POHC Feedrate</t>
  </si>
  <si>
    <t>Emission Rate</t>
  </si>
  <si>
    <t xml:space="preserve">   O2</t>
  </si>
  <si>
    <t xml:space="preserve">   Moisture</t>
  </si>
  <si>
    <t>Benzene</t>
  </si>
  <si>
    <t>POHC DRE</t>
  </si>
  <si>
    <t>Toluene</t>
  </si>
  <si>
    <t>HC (RA)</t>
  </si>
  <si>
    <t>CO (RA)</t>
  </si>
  <si>
    <t>CO (MHRA)</t>
  </si>
  <si>
    <t>Total Chlorine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</si>
  <si>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</si>
  <si>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</si>
  <si>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</si>
  <si>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</si>
  <si>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</si>
  <si>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</si>
  <si>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</si>
  <si>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</si>
  <si>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</si>
  <si>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</si>
  <si>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 xml:space="preserve">737C3 </t>
  </si>
  <si>
    <t>Trial burn</t>
  </si>
  <si>
    <t xml:space="preserve">737C4 </t>
  </si>
  <si>
    <t>*</t>
  </si>
  <si>
    <t>Thermal Feedrate</t>
  </si>
  <si>
    <t>Mercury</t>
  </si>
  <si>
    <t>Feedstream Description</t>
  </si>
  <si>
    <t>City gas</t>
  </si>
  <si>
    <t>Boiler 30K</t>
  </si>
  <si>
    <t>November 2-3 and 5, 1999</t>
  </si>
  <si>
    <t>Trial burn/CoC, min comb temp, min steam prod rate, November 2-3, 5, 1999</t>
  </si>
  <si>
    <t>Trial burn retest, min comb temp, min steam prod rate</t>
  </si>
  <si>
    <t>May 24-25, 2000</t>
  </si>
  <si>
    <t>Trial Burn Retest Report for Boiler 30K, July 10, 2000</t>
  </si>
  <si>
    <t>Trial Burn Retest</t>
  </si>
  <si>
    <t>1,2-dichlorobenzene</t>
  </si>
  <si>
    <t>737C5</t>
  </si>
  <si>
    <t>BIF Tier I Feedrate Limits</t>
  </si>
  <si>
    <t>HWC Burn Status (Date if Terminated)</t>
  </si>
  <si>
    <t>sootblow</t>
  </si>
  <si>
    <t>R1</t>
  </si>
  <si>
    <t>R2</t>
  </si>
  <si>
    <t>R3</t>
  </si>
  <si>
    <t>R4</t>
  </si>
  <si>
    <t xml:space="preserve">     Cond Dates</t>
  </si>
  <si>
    <t>Watertube boiler. Babcock and Wilcox Company; a type FM; max thermal input of 39.3 MMBtu/hr; max operating pressure of 250 psig, a nameplate steam production rate of 30000 lbs/hr.</t>
  </si>
  <si>
    <t>Liquid-fired boiler</t>
  </si>
  <si>
    <t>Cond Description</t>
  </si>
  <si>
    <t>Number of Sister Facilities</t>
  </si>
  <si>
    <t>Combustor Type</t>
  </si>
  <si>
    <t>APCS Detailed Acronym</t>
  </si>
  <si>
    <t>APCS General Class</t>
  </si>
  <si>
    <t>Combustor Class</t>
  </si>
  <si>
    <t xml:space="preserve">Liquid-fired </t>
  </si>
  <si>
    <t>Chromium (Hex)</t>
  </si>
  <si>
    <t>E1</t>
  </si>
  <si>
    <t>Boiler 28K(Unit 738)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</si>
  <si>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</si>
  <si>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</si>
  <si>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</si>
  <si>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</si>
  <si>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</si>
  <si>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</si>
  <si>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</si>
  <si>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</si>
  <si>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</si>
  <si>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</si>
  <si>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NG</t>
  </si>
  <si>
    <t>F3</t>
  </si>
  <si>
    <t>F4</t>
  </si>
  <si>
    <t>CoC</t>
  </si>
  <si>
    <t>Feed Class 2</t>
  </si>
  <si>
    <t>MF</t>
  </si>
  <si>
    <t>Estimated Firing Rate</t>
  </si>
  <si>
    <t>df c3</t>
  </si>
  <si>
    <t>df c4</t>
  </si>
  <si>
    <t xml:space="preserve"> TEQ</t>
  </si>
  <si>
    <t>Full ND</t>
  </si>
  <si>
    <t>PCDD/PCDF (ng/dscm @ 7% O2)</t>
  </si>
  <si>
    <t>Yes, 4 times/day, 5 min/event (run 3, cond 3) (run 2, 4, cond 1)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</si>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</sst>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E+00"/>
    <numFmt numFmtId="174" formatCode="0E+0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65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Alignment="1">
      <alignment vertical="top"/>
      <protection/>
    </xf>
    <xf numFmtId="0" fontId="5" fillId="0" borderId="0" xfId="22" applyFont="1" applyAlignment="1">
      <alignment vertical="top" wrapText="1"/>
      <protection/>
    </xf>
    <xf numFmtId="0" fontId="5" fillId="0" borderId="0" xfId="22" applyFont="1" applyAlignment="1">
      <alignment horizontal="left" wrapText="1"/>
      <protection/>
    </xf>
    <xf numFmtId="0" fontId="5" fillId="0" borderId="0" xfId="22" applyFont="1" applyAlignment="1">
      <alignment wrapText="1"/>
      <protection/>
    </xf>
    <xf numFmtId="165" fontId="5" fillId="0" borderId="0" xfId="22" applyNumberFormat="1" applyFont="1" applyAlignment="1">
      <alignment horizontal="left"/>
      <protection/>
    </xf>
    <xf numFmtId="2" fontId="5" fillId="0" borderId="0" xfId="22" applyNumberFormat="1" applyFont="1" applyAlignment="1">
      <alignment horizontal="left"/>
      <protection/>
    </xf>
    <xf numFmtId="167" fontId="5" fillId="0" borderId="0" xfId="22" applyNumberFormat="1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5" fillId="0" borderId="0" xfId="0" applyNumberFormat="1" applyFont="1" applyAlignment="1">
      <alignment horizontal="right"/>
    </xf>
    <xf numFmtId="17" fontId="5" fillId="0" borderId="0" xfId="22" applyNumberFormat="1" applyFont="1" applyAlignment="1">
      <alignment horizontal="left"/>
      <protection/>
    </xf>
    <xf numFmtId="0" fontId="4" fillId="0" borderId="0" xfId="0" applyFont="1" applyAlignment="1">
      <alignment vertical="top" wrapText="1"/>
    </xf>
    <xf numFmtId="166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21" applyFont="1" applyFill="1" applyBorder="1" applyAlignment="1">
      <alignment horizontal="centerContinuous"/>
      <protection/>
    </xf>
    <xf numFmtId="11" fontId="5" fillId="0" borderId="0" xfId="21" applyNumberFormat="1" applyFont="1" applyFill="1" applyBorder="1" applyAlignment="1">
      <alignment horizontal="centerContinuous"/>
      <protection/>
    </xf>
    <xf numFmtId="11" fontId="5" fillId="0" borderId="0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SF Amines LA (834)" xfId="21"/>
    <cellStyle name="Normal_R-75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206</v>
      </c>
    </row>
    <row r="2" ht="12.75">
      <c r="A2" t="s">
        <v>207</v>
      </c>
    </row>
    <row r="3" ht="12.75">
      <c r="A3" t="s">
        <v>208</v>
      </c>
    </row>
    <row r="4" ht="12.75">
      <c r="A4" t="s">
        <v>209</v>
      </c>
    </row>
    <row r="5" ht="12.75">
      <c r="A5" t="s">
        <v>210</v>
      </c>
    </row>
    <row r="6" ht="12.75">
      <c r="A6" t="s">
        <v>223</v>
      </c>
    </row>
    <row r="7" ht="12.75">
      <c r="A7" t="s">
        <v>224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A4" sqref="A4"/>
    </sheetView>
  </sheetViews>
  <sheetFormatPr defaultColWidth="9.140625" defaultRowHeight="12.75"/>
  <cols>
    <col min="1" max="1" width="9.140625" style="27" hidden="1" customWidth="1"/>
    <col min="2" max="2" width="24.57421875" style="27" customWidth="1"/>
    <col min="3" max="3" width="61.140625" style="27" customWidth="1"/>
    <col min="4" max="4" width="9.00390625" style="27" customWidth="1"/>
    <col min="5" max="16384" width="11.421875" style="27" customWidth="1"/>
  </cols>
  <sheetData>
    <row r="1" ht="12.75">
      <c r="B1" s="26" t="s">
        <v>131</v>
      </c>
    </row>
    <row r="3" spans="2:3" ht="12.75">
      <c r="B3" s="27" t="s">
        <v>132</v>
      </c>
      <c r="C3" s="28">
        <v>737</v>
      </c>
    </row>
    <row r="4" spans="2:3" ht="12.75">
      <c r="B4" s="27" t="s">
        <v>19</v>
      </c>
      <c r="C4" s="27" t="s">
        <v>113</v>
      </c>
    </row>
    <row r="5" spans="2:3" ht="12.75">
      <c r="B5" s="27" t="s">
        <v>20</v>
      </c>
      <c r="C5" s="27" t="s">
        <v>49</v>
      </c>
    </row>
    <row r="6" ht="12.75">
      <c r="B6" s="27" t="s">
        <v>21</v>
      </c>
    </row>
    <row r="7" spans="2:3" ht="12.75">
      <c r="B7" s="27" t="s">
        <v>135</v>
      </c>
      <c r="C7" s="27" t="s">
        <v>50</v>
      </c>
    </row>
    <row r="8" spans="2:3" ht="12.75">
      <c r="B8" s="27" t="s">
        <v>136</v>
      </c>
      <c r="C8" s="27" t="s">
        <v>61</v>
      </c>
    </row>
    <row r="9" spans="2:3" ht="12.75">
      <c r="B9" s="27" t="s">
        <v>22</v>
      </c>
      <c r="C9" s="27" t="s">
        <v>177</v>
      </c>
    </row>
    <row r="10" spans="2:3" ht="12.75">
      <c r="B10" s="27" t="s">
        <v>23</v>
      </c>
      <c r="C10" s="27" t="s">
        <v>205</v>
      </c>
    </row>
    <row r="11" spans="2:3" ht="12.75">
      <c r="B11" s="27" t="s">
        <v>197</v>
      </c>
      <c r="C11" s="28">
        <v>0</v>
      </c>
    </row>
    <row r="12" spans="2:3" ht="12.75">
      <c r="B12" s="27" t="s">
        <v>201</v>
      </c>
      <c r="C12" s="27" t="s">
        <v>195</v>
      </c>
    </row>
    <row r="13" spans="2:3" ht="12.75">
      <c r="B13" s="27" t="s">
        <v>198</v>
      </c>
      <c r="C13" s="27" t="s">
        <v>202</v>
      </c>
    </row>
    <row r="14" spans="2:3" s="29" customFormat="1" ht="38.25">
      <c r="B14" s="29" t="s">
        <v>24</v>
      </c>
      <c r="C14" s="30" t="s">
        <v>194</v>
      </c>
    </row>
    <row r="15" spans="2:3" ht="12.75">
      <c r="B15" s="27" t="s">
        <v>106</v>
      </c>
      <c r="C15" s="31">
        <v>39.3</v>
      </c>
    </row>
    <row r="16" spans="2:3" ht="12.75">
      <c r="B16" s="27" t="s">
        <v>137</v>
      </c>
      <c r="C16" s="27" t="s">
        <v>228</v>
      </c>
    </row>
    <row r="17" spans="2:3" ht="12.75">
      <c r="B17" s="27" t="s">
        <v>199</v>
      </c>
      <c r="C17" s="32" t="s">
        <v>107</v>
      </c>
    </row>
    <row r="18" spans="2:3" ht="12.75">
      <c r="B18" s="27" t="s">
        <v>200</v>
      </c>
      <c r="C18" s="32"/>
    </row>
    <row r="19" spans="2:3" ht="12.75">
      <c r="B19" s="27" t="s">
        <v>25</v>
      </c>
      <c r="C19" s="27" t="s">
        <v>103</v>
      </c>
    </row>
    <row r="20" spans="2:3" ht="14.25" customHeight="1">
      <c r="B20" s="27" t="s">
        <v>67</v>
      </c>
      <c r="C20" s="27" t="s">
        <v>68</v>
      </c>
    </row>
    <row r="21" spans="2:3" ht="12.75">
      <c r="B21" s="27" t="s">
        <v>138</v>
      </c>
      <c r="C21" s="27" t="s">
        <v>51</v>
      </c>
    </row>
    <row r="22" spans="2:3" ht="12.75">
      <c r="B22" s="27" t="s">
        <v>114</v>
      </c>
      <c r="C22" s="27" t="s">
        <v>26</v>
      </c>
    </row>
    <row r="24" ht="12.75">
      <c r="B24" s="27" t="s">
        <v>27</v>
      </c>
    </row>
    <row r="25" spans="2:3" ht="12.75">
      <c r="B25" s="27" t="s">
        <v>139</v>
      </c>
      <c r="C25" s="33">
        <f>1.22*3.28</f>
        <v>4.0016</v>
      </c>
    </row>
    <row r="26" spans="2:3" ht="12.75">
      <c r="B26" s="27" t="s">
        <v>140</v>
      </c>
      <c r="C26" s="33">
        <f>13.11*3.28</f>
        <v>43.0008</v>
      </c>
    </row>
    <row r="27" spans="2:3" ht="12.75">
      <c r="B27" s="27" t="s">
        <v>141</v>
      </c>
      <c r="C27" s="33">
        <v>24.3</v>
      </c>
    </row>
    <row r="28" spans="2:3" ht="12.75">
      <c r="B28" s="27" t="s">
        <v>142</v>
      </c>
      <c r="C28" s="33">
        <v>664</v>
      </c>
    </row>
    <row r="29" ht="12.75">
      <c r="C29" s="34"/>
    </row>
    <row r="30" spans="2:3" ht="12.75">
      <c r="B30" s="27" t="s">
        <v>117</v>
      </c>
      <c r="C30" s="27" t="s">
        <v>116</v>
      </c>
    </row>
    <row r="31" s="32" customFormat="1" ht="25.5">
      <c r="B31" s="32" t="s">
        <v>187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7"/>
  <sheetViews>
    <sheetView workbookViewId="0" topLeftCell="B1">
      <selection activeCell="B2" sqref="B2"/>
    </sheetView>
  </sheetViews>
  <sheetFormatPr defaultColWidth="9.140625" defaultRowHeight="12.75"/>
  <cols>
    <col min="1" max="1" width="9.140625" style="8" hidden="1" customWidth="1"/>
    <col min="2" max="2" width="20.57421875" style="8" customWidth="1"/>
    <col min="3" max="3" width="54.7109375" style="8" customWidth="1"/>
    <col min="4" max="16384" width="9.140625" style="8" customWidth="1"/>
  </cols>
  <sheetData>
    <row r="1" ht="12.75">
      <c r="B1" s="36" t="s">
        <v>196</v>
      </c>
    </row>
    <row r="3" ht="12.75">
      <c r="B3" s="55" t="s">
        <v>53</v>
      </c>
    </row>
    <row r="4" ht="12.75">
      <c r="B4" s="55"/>
    </row>
    <row r="5" spans="2:3" s="29" customFormat="1" ht="25.5">
      <c r="B5" s="29" t="s">
        <v>28</v>
      </c>
      <c r="C5" s="30" t="s">
        <v>120</v>
      </c>
    </row>
    <row r="6" spans="2:3" s="27" customFormat="1" ht="12.75">
      <c r="B6" s="27" t="s">
        <v>46</v>
      </c>
      <c r="C6" s="27" t="s">
        <v>122</v>
      </c>
    </row>
    <row r="7" spans="2:3" s="29" customFormat="1" ht="25.5">
      <c r="B7" s="29" t="s">
        <v>29</v>
      </c>
      <c r="C7" s="30" t="s">
        <v>121</v>
      </c>
    </row>
    <row r="8" spans="2:3" s="27" customFormat="1" ht="12.75">
      <c r="B8" s="27" t="s">
        <v>30</v>
      </c>
      <c r="C8" s="35">
        <v>33774</v>
      </c>
    </row>
    <row r="9" spans="2:3" s="27" customFormat="1" ht="12.75">
      <c r="B9" s="27" t="s">
        <v>193</v>
      </c>
      <c r="C9" s="54">
        <v>33755</v>
      </c>
    </row>
    <row r="10" spans="2:3" s="27" customFormat="1" ht="12.75">
      <c r="B10" s="27" t="s">
        <v>31</v>
      </c>
      <c r="C10" s="27" t="s">
        <v>108</v>
      </c>
    </row>
    <row r="11" spans="2:3" s="27" customFormat="1" ht="12.75">
      <c r="B11" s="27" t="s">
        <v>32</v>
      </c>
      <c r="C11" s="27" t="s">
        <v>115</v>
      </c>
    </row>
    <row r="12" s="27" customFormat="1" ht="12.75"/>
    <row r="13" s="27" customFormat="1" ht="12.75">
      <c r="B13" s="55" t="s">
        <v>56</v>
      </c>
    </row>
    <row r="14" ht="12.75">
      <c r="B14" s="55"/>
    </row>
    <row r="15" spans="2:3" s="29" customFormat="1" ht="25.5">
      <c r="B15" s="29" t="s">
        <v>28</v>
      </c>
      <c r="C15" s="30" t="s">
        <v>120</v>
      </c>
    </row>
    <row r="16" spans="2:3" s="27" customFormat="1" ht="12.75">
      <c r="B16" s="27" t="s">
        <v>46</v>
      </c>
      <c r="C16" s="27" t="s">
        <v>122</v>
      </c>
    </row>
    <row r="17" spans="2:3" s="29" customFormat="1" ht="25.5">
      <c r="B17" s="29" t="s">
        <v>29</v>
      </c>
      <c r="C17" s="30" t="s">
        <v>121</v>
      </c>
    </row>
    <row r="18" spans="2:3" s="27" customFormat="1" ht="12.75">
      <c r="B18" s="27" t="s">
        <v>30</v>
      </c>
      <c r="C18" s="35" t="s">
        <v>119</v>
      </c>
    </row>
    <row r="19" spans="2:3" s="27" customFormat="1" ht="12.75">
      <c r="B19" s="27" t="s">
        <v>193</v>
      </c>
      <c r="C19" s="54">
        <v>33755</v>
      </c>
    </row>
    <row r="20" spans="2:3" s="27" customFormat="1" ht="12.75">
      <c r="B20" s="27" t="s">
        <v>31</v>
      </c>
      <c r="C20" s="27" t="s">
        <v>109</v>
      </c>
    </row>
    <row r="21" spans="2:3" s="27" customFormat="1" ht="12.75">
      <c r="B21" s="27" t="s">
        <v>32</v>
      </c>
      <c r="C21" s="27" t="s">
        <v>7</v>
      </c>
    </row>
    <row r="22" s="27" customFormat="1" ht="12.75"/>
    <row r="23" s="27" customFormat="1" ht="12.75">
      <c r="B23" s="55" t="s">
        <v>62</v>
      </c>
    </row>
    <row r="24" s="27" customFormat="1" ht="12.75">
      <c r="B24" s="55"/>
    </row>
    <row r="25" spans="2:3" s="27" customFormat="1" ht="12.75">
      <c r="B25" s="27" t="s">
        <v>28</v>
      </c>
      <c r="C25" s="27" t="s">
        <v>124</v>
      </c>
    </row>
    <row r="26" spans="2:3" s="27" customFormat="1" ht="12.75">
      <c r="B26" s="27" t="s">
        <v>46</v>
      </c>
      <c r="C26" s="27" t="s">
        <v>123</v>
      </c>
    </row>
    <row r="27" spans="2:3" s="27" customFormat="1" ht="12.75">
      <c r="B27" s="27" t="s">
        <v>30</v>
      </c>
      <c r="C27" s="27" t="s">
        <v>118</v>
      </c>
    </row>
    <row r="28" spans="2:3" s="27" customFormat="1" ht="12.75">
      <c r="B28" s="27" t="s">
        <v>193</v>
      </c>
      <c r="C28" s="54">
        <v>35003</v>
      </c>
    </row>
    <row r="29" spans="2:3" s="27" customFormat="1" ht="12.75">
      <c r="B29" s="27" t="s">
        <v>31</v>
      </c>
      <c r="C29" s="27" t="s">
        <v>110</v>
      </c>
    </row>
    <row r="30" spans="2:3" s="27" customFormat="1" ht="12.75">
      <c r="B30" s="27" t="s">
        <v>32</v>
      </c>
      <c r="C30" s="27" t="s">
        <v>101</v>
      </c>
    </row>
    <row r="31" s="27" customFormat="1" ht="12.75"/>
    <row r="32" s="27" customFormat="1" ht="12.75">
      <c r="B32" s="55" t="s">
        <v>63</v>
      </c>
    </row>
    <row r="33" s="27" customFormat="1" ht="12.75">
      <c r="B33" s="55"/>
    </row>
    <row r="34" spans="2:3" s="27" customFormat="1" ht="12.75">
      <c r="B34" s="27" t="s">
        <v>28</v>
      </c>
      <c r="C34" s="27" t="s">
        <v>124</v>
      </c>
    </row>
    <row r="35" spans="2:3" s="27" customFormat="1" ht="12.75">
      <c r="B35" s="27" t="s">
        <v>46</v>
      </c>
      <c r="C35" s="27" t="s">
        <v>123</v>
      </c>
    </row>
    <row r="36" spans="2:3" s="27" customFormat="1" ht="12.75">
      <c r="B36" s="27" t="s">
        <v>30</v>
      </c>
      <c r="C36" s="27" t="s">
        <v>178</v>
      </c>
    </row>
    <row r="37" spans="2:3" s="27" customFormat="1" ht="12.75">
      <c r="B37" s="27" t="s">
        <v>193</v>
      </c>
      <c r="C37" s="54">
        <v>35003</v>
      </c>
    </row>
    <row r="38" spans="2:3" s="27" customFormat="1" ht="12.75">
      <c r="B38" s="27" t="s">
        <v>31</v>
      </c>
      <c r="C38" s="27" t="s">
        <v>111</v>
      </c>
    </row>
    <row r="39" spans="2:3" s="27" customFormat="1" ht="12.75">
      <c r="B39" s="27" t="s">
        <v>32</v>
      </c>
      <c r="C39" s="27" t="s">
        <v>69</v>
      </c>
    </row>
    <row r="40" s="27" customFormat="1" ht="12.75"/>
    <row r="41" s="27" customFormat="1" ht="12.75">
      <c r="B41" s="55" t="s">
        <v>185</v>
      </c>
    </row>
    <row r="42" s="27" customFormat="1" ht="12.75">
      <c r="B42" s="55"/>
    </row>
    <row r="43" spans="2:3" s="27" customFormat="1" ht="12.75">
      <c r="B43" s="27" t="s">
        <v>28</v>
      </c>
      <c r="C43" s="27" t="s">
        <v>182</v>
      </c>
    </row>
    <row r="44" spans="2:3" s="27" customFormat="1" ht="12.75">
      <c r="B44" s="27" t="s">
        <v>30</v>
      </c>
      <c r="C44" s="27" t="s">
        <v>181</v>
      </c>
    </row>
    <row r="45" spans="2:3" s="27" customFormat="1" ht="12.75">
      <c r="B45" s="27" t="s">
        <v>193</v>
      </c>
      <c r="C45" s="54">
        <v>35185</v>
      </c>
    </row>
    <row r="46" spans="2:3" s="27" customFormat="1" ht="12.75">
      <c r="B46" s="27" t="s">
        <v>31</v>
      </c>
      <c r="C46" s="27" t="s">
        <v>180</v>
      </c>
    </row>
    <row r="47" spans="2:3" s="27" customFormat="1" ht="12.75">
      <c r="B47" s="27" t="s">
        <v>32</v>
      </c>
      <c r="C47" s="27" t="s">
        <v>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0.13671875" style="8" customWidth="1"/>
    <col min="2" max="2" width="20.421875" style="8" customWidth="1"/>
    <col min="3" max="3" width="11.421875" style="8" customWidth="1"/>
    <col min="4" max="4" width="8.140625" style="8" customWidth="1"/>
    <col min="5" max="5" width="5.140625" style="8" customWidth="1"/>
    <col min="6" max="6" width="3.140625" style="24" customWidth="1"/>
    <col min="7" max="7" width="9.8515625" style="8" customWidth="1"/>
    <col min="8" max="8" width="3.00390625" style="24" customWidth="1"/>
    <col min="9" max="9" width="10.140625" style="8" customWidth="1"/>
    <col min="10" max="10" width="3.140625" style="24" customWidth="1"/>
    <col min="11" max="11" width="9.8515625" style="8" customWidth="1"/>
    <col min="12" max="12" width="3.00390625" style="24" customWidth="1"/>
    <col min="13" max="13" width="9.8515625" style="8" customWidth="1"/>
    <col min="14" max="14" width="3.7109375" style="8" customWidth="1"/>
    <col min="15" max="15" width="9.57421875" style="8" customWidth="1"/>
    <col min="16" max="16" width="10.421875" style="8" customWidth="1"/>
    <col min="17" max="17" width="9.8515625" style="8" customWidth="1"/>
    <col min="18" max="16384" width="11.421875" style="8" customWidth="1"/>
  </cols>
  <sheetData>
    <row r="1" spans="2:3" ht="12.75">
      <c r="B1" s="36" t="s">
        <v>0</v>
      </c>
      <c r="C1" s="36"/>
    </row>
    <row r="3" spans="3:17" ht="12.75">
      <c r="C3" s="8" t="s">
        <v>143</v>
      </c>
      <c r="D3" s="8" t="s">
        <v>33</v>
      </c>
      <c r="E3" s="8" t="s">
        <v>133</v>
      </c>
      <c r="G3" s="24"/>
      <c r="I3" s="24"/>
      <c r="K3" s="24"/>
      <c r="M3" s="24"/>
      <c r="N3" s="37"/>
      <c r="Q3" s="24"/>
    </row>
    <row r="4" spans="7:17" ht="12.75">
      <c r="G4" s="24"/>
      <c r="I4" s="24"/>
      <c r="K4" s="24"/>
      <c r="M4" s="24"/>
      <c r="N4" s="37"/>
      <c r="Q4" s="24"/>
    </row>
    <row r="5" spans="7:14" ht="12.75">
      <c r="G5" s="24"/>
      <c r="I5" s="24" t="s">
        <v>52</v>
      </c>
      <c r="K5" s="24"/>
      <c r="M5" s="24" t="s">
        <v>52</v>
      </c>
      <c r="N5" s="24"/>
    </row>
    <row r="6" spans="1:15" ht="12.75">
      <c r="A6" s="8">
        <v>1</v>
      </c>
      <c r="B6" s="36" t="s">
        <v>53</v>
      </c>
      <c r="C6" s="36" t="s">
        <v>144</v>
      </c>
      <c r="G6" s="24" t="s">
        <v>189</v>
      </c>
      <c r="I6" s="24" t="s">
        <v>190</v>
      </c>
      <c r="K6" s="24" t="s">
        <v>191</v>
      </c>
      <c r="M6" s="24" t="s">
        <v>192</v>
      </c>
      <c r="N6" s="24"/>
      <c r="O6" s="24" t="s">
        <v>34</v>
      </c>
    </row>
    <row r="7" spans="2:14" ht="12.75" customHeight="1">
      <c r="B7" s="36"/>
      <c r="C7" s="36"/>
      <c r="G7" s="24"/>
      <c r="I7" s="24"/>
      <c r="K7" s="24"/>
      <c r="M7" s="24"/>
      <c r="N7" s="24"/>
    </row>
    <row r="8" spans="2:15" ht="12.75">
      <c r="B8" s="8" t="s">
        <v>2</v>
      </c>
      <c r="C8" s="8" t="s">
        <v>204</v>
      </c>
      <c r="D8" s="8" t="s">
        <v>11</v>
      </c>
      <c r="E8" s="8" t="s">
        <v>35</v>
      </c>
      <c r="G8" s="18">
        <v>0.0235</v>
      </c>
      <c r="H8" s="38"/>
      <c r="I8" s="39">
        <v>0.1064</v>
      </c>
      <c r="J8" s="38"/>
      <c r="K8" s="18">
        <v>0.0218</v>
      </c>
      <c r="L8" s="38"/>
      <c r="M8" s="40"/>
      <c r="N8" s="41"/>
      <c r="O8" s="41">
        <v>0.0486</v>
      </c>
    </row>
    <row r="9" spans="2:15" ht="12.75">
      <c r="B9" s="8" t="s">
        <v>157</v>
      </c>
      <c r="C9" s="8" t="s">
        <v>204</v>
      </c>
      <c r="D9" s="8" t="s">
        <v>12</v>
      </c>
      <c r="E9" s="8" t="s">
        <v>35</v>
      </c>
      <c r="G9" s="15">
        <v>15.77</v>
      </c>
      <c r="H9" s="42"/>
      <c r="I9" s="15">
        <v>8.63</v>
      </c>
      <c r="K9" s="8">
        <v>2.7</v>
      </c>
      <c r="M9" s="8">
        <v>2.51</v>
      </c>
      <c r="O9" s="39">
        <v>7.4</v>
      </c>
    </row>
    <row r="10" spans="2:15" ht="12.75">
      <c r="B10" s="8" t="s">
        <v>156</v>
      </c>
      <c r="C10" s="8" t="s">
        <v>204</v>
      </c>
      <c r="D10" s="8" t="s">
        <v>12</v>
      </c>
      <c r="E10" s="8" t="s">
        <v>35</v>
      </c>
      <c r="G10" s="15">
        <v>9.89</v>
      </c>
      <c r="H10" s="42"/>
      <c r="I10" s="15">
        <v>4.24</v>
      </c>
      <c r="K10" s="8">
        <v>2.51</v>
      </c>
      <c r="M10" s="8">
        <v>2.23</v>
      </c>
      <c r="O10" s="39">
        <f>AVERAGE(M10,K10,I10,G10)</f>
        <v>4.7175</v>
      </c>
    </row>
    <row r="11" spans="2:15" ht="12.75">
      <c r="B11" s="19" t="s">
        <v>203</v>
      </c>
      <c r="D11" s="8" t="s">
        <v>47</v>
      </c>
      <c r="G11" s="8">
        <v>0.0649</v>
      </c>
      <c r="I11" s="43" t="s">
        <v>103</v>
      </c>
      <c r="K11" s="8">
        <v>0.1842</v>
      </c>
      <c r="M11" s="8">
        <v>0.1306</v>
      </c>
      <c r="O11" s="39">
        <v>0.1268</v>
      </c>
    </row>
    <row r="12" spans="2:15" ht="12.75">
      <c r="B12" s="8" t="s">
        <v>3</v>
      </c>
      <c r="D12" s="8" t="s">
        <v>47</v>
      </c>
      <c r="G12" s="15">
        <v>34.927</v>
      </c>
      <c r="H12" s="42"/>
      <c r="I12" s="15">
        <v>100.699</v>
      </c>
      <c r="J12" s="44"/>
      <c r="K12" s="39">
        <v>0.454</v>
      </c>
      <c r="M12" s="43"/>
      <c r="O12" s="15">
        <v>43.42</v>
      </c>
    </row>
    <row r="13" spans="2:15" ht="12.75">
      <c r="B13" s="8" t="s">
        <v>4</v>
      </c>
      <c r="D13" s="8" t="s">
        <v>47</v>
      </c>
      <c r="G13" s="39">
        <v>0.454</v>
      </c>
      <c r="H13" s="44" t="s">
        <v>38</v>
      </c>
      <c r="I13" s="39">
        <v>0.454</v>
      </c>
      <c r="J13" s="44" t="s">
        <v>38</v>
      </c>
      <c r="K13" s="39">
        <v>0.454</v>
      </c>
      <c r="M13" s="43"/>
      <c r="O13" s="39">
        <v>0.454</v>
      </c>
    </row>
    <row r="14" spans="13:15" ht="12.75">
      <c r="M14" s="43"/>
      <c r="O14" s="39"/>
    </row>
    <row r="15" spans="2:15" ht="12.75">
      <c r="B15" s="19" t="s">
        <v>203</v>
      </c>
      <c r="C15" s="19" t="s">
        <v>204</v>
      </c>
      <c r="D15" s="19" t="s">
        <v>13</v>
      </c>
      <c r="E15" s="19" t="s">
        <v>35</v>
      </c>
      <c r="F15" s="20"/>
      <c r="G15" s="21">
        <f>(G11/(G21*60*0.0283))*10^6*(14/(21-G22))</f>
        <v>3.926170387287385</v>
      </c>
      <c r="H15" s="21"/>
      <c r="I15" s="21" t="s">
        <v>103</v>
      </c>
      <c r="J15" s="21"/>
      <c r="K15" s="21">
        <f>(K11/(K21*60*0.0283))*10^6*(14/(21-K20))</f>
        <v>8.596264936885355</v>
      </c>
      <c r="L15" s="21"/>
      <c r="M15" s="21">
        <f>(M11/(M21*60*0.0283))*10^6*(14/(21-M20))</f>
        <v>6.0948545100826665</v>
      </c>
      <c r="O15" s="21">
        <f>(O11/(O21*60*0.0283))*10^6*(14/(21-O20))</f>
        <v>5.9175157111675505</v>
      </c>
    </row>
    <row r="16" spans="2:15" ht="12.75">
      <c r="B16" s="19" t="s">
        <v>3</v>
      </c>
      <c r="C16" s="19" t="s">
        <v>204</v>
      </c>
      <c r="D16" s="19" t="s">
        <v>12</v>
      </c>
      <c r="E16" s="19" t="s">
        <v>35</v>
      </c>
      <c r="F16" s="20"/>
      <c r="G16" s="21">
        <f>G12*(1/G21/60)*(1/0.0283)*(14/(21-G22))*667.8</f>
        <v>1.4110166719782749</v>
      </c>
      <c r="H16" s="21"/>
      <c r="I16" s="21">
        <f>I12*(1/I21/60)*(1/0.0283)*(14/(21-I22))*667.8</f>
        <v>4.068141204556369</v>
      </c>
      <c r="J16" s="21"/>
      <c r="K16" s="22">
        <f>K12*(1/K21/60)*(1/0.0283)*(14/(21-K22))*667.8</f>
        <v>0.018341156385550915</v>
      </c>
      <c r="L16" s="21"/>
      <c r="M16" s="21"/>
      <c r="O16" s="22">
        <f>O12*(1/O21/60)*(1/0.0283)*(14/(21-O22))*667.8</f>
        <v>1.7541255732612793</v>
      </c>
    </row>
    <row r="17" spans="2:15" ht="12.75">
      <c r="B17" s="19" t="s">
        <v>4</v>
      </c>
      <c r="C17" s="19" t="s">
        <v>204</v>
      </c>
      <c r="D17" s="19" t="s">
        <v>12</v>
      </c>
      <c r="E17" s="19" t="s">
        <v>35</v>
      </c>
      <c r="F17" s="20"/>
      <c r="G17" s="22">
        <f>G13*(1/G21/60)*(1/0.0283)*(14/(21-G22))*343.4</f>
        <v>0.009431496110808901</v>
      </c>
      <c r="H17" s="22"/>
      <c r="I17" s="22">
        <f>I13*(1/I21/60)*(1/0.0283)*(14/(21-I22))*343.4</f>
        <v>0.009431496110808901</v>
      </c>
      <c r="J17" s="22"/>
      <c r="K17" s="22">
        <f>K13*(1/K21/60)*(1/0.0283)*(14/(21-K22))*343.4</f>
        <v>0.009431496110808901</v>
      </c>
      <c r="L17" s="21"/>
      <c r="M17" s="22"/>
      <c r="O17" s="22">
        <f>O13*(1/O21/60)*(1/0.0283)*(14/(21-O22))*343.4</f>
        <v>0.009431496110808901</v>
      </c>
    </row>
    <row r="18" spans="2:15" ht="12.75">
      <c r="B18" s="19" t="s">
        <v>158</v>
      </c>
      <c r="C18" s="19" t="s">
        <v>204</v>
      </c>
      <c r="D18" s="19" t="s">
        <v>12</v>
      </c>
      <c r="E18" s="19" t="s">
        <v>35</v>
      </c>
      <c r="F18" s="20"/>
      <c r="G18" s="22">
        <f>2*G17+G16</f>
        <v>1.4298796641998925</v>
      </c>
      <c r="H18" s="22"/>
      <c r="I18" s="22">
        <f>2*I17+I16</f>
        <v>4.087004196777987</v>
      </c>
      <c r="J18" s="22"/>
      <c r="K18" s="22">
        <f>2*K17+K16</f>
        <v>0.03720414860716872</v>
      </c>
      <c r="L18" s="22"/>
      <c r="M18" s="21"/>
      <c r="N18" s="21"/>
      <c r="O18" s="22">
        <f>2*O17+O16</f>
        <v>1.7729885654828972</v>
      </c>
    </row>
    <row r="19" spans="13:15" ht="12.75">
      <c r="M19" s="43"/>
      <c r="O19" s="39"/>
    </row>
    <row r="20" spans="2:4" ht="12.75">
      <c r="B20" s="8" t="s">
        <v>159</v>
      </c>
      <c r="C20" s="8" t="s">
        <v>145</v>
      </c>
      <c r="D20" s="8" t="s">
        <v>204</v>
      </c>
    </row>
    <row r="21" spans="2:15" ht="12.75">
      <c r="B21" s="8" t="s">
        <v>36</v>
      </c>
      <c r="D21" s="8" t="s">
        <v>16</v>
      </c>
      <c r="G21" s="8">
        <v>8413</v>
      </c>
      <c r="H21" s="8"/>
      <c r="I21" s="8">
        <v>8413</v>
      </c>
      <c r="J21" s="8"/>
      <c r="K21" s="8">
        <v>8413</v>
      </c>
      <c r="L21" s="8"/>
      <c r="M21" s="8">
        <v>8413</v>
      </c>
      <c r="O21" s="8">
        <v>8413</v>
      </c>
    </row>
    <row r="22" spans="2:15" ht="12.75">
      <c r="B22" s="8" t="s">
        <v>150</v>
      </c>
      <c r="D22" s="8" t="s">
        <v>17</v>
      </c>
      <c r="G22" s="8">
        <v>4.8</v>
      </c>
      <c r="I22" s="8">
        <v>4.8</v>
      </c>
      <c r="K22" s="8">
        <v>4.8</v>
      </c>
      <c r="M22" s="8">
        <v>4.8</v>
      </c>
      <c r="O22" s="39">
        <f>AVERAGE(M22,K22,I22,G22)</f>
        <v>4.8</v>
      </c>
    </row>
    <row r="23" spans="2:15" ht="12.75">
      <c r="B23" s="8" t="s">
        <v>151</v>
      </c>
      <c r="D23" s="8" t="s">
        <v>17</v>
      </c>
      <c r="G23" s="15"/>
      <c r="H23" s="42"/>
      <c r="I23" s="15"/>
      <c r="J23" s="42"/>
      <c r="K23" s="15"/>
      <c r="L23" s="42"/>
      <c r="M23" s="15"/>
      <c r="N23" s="15"/>
      <c r="O23" s="39"/>
    </row>
    <row r="24" spans="2:4" ht="15" customHeight="1">
      <c r="B24" s="8" t="s">
        <v>37</v>
      </c>
      <c r="D24" s="8" t="s">
        <v>18</v>
      </c>
    </row>
    <row r="26" spans="1:15" ht="12.75">
      <c r="A26" s="8">
        <v>2</v>
      </c>
      <c r="B26" s="36" t="s">
        <v>56</v>
      </c>
      <c r="C26" s="36" t="s">
        <v>144</v>
      </c>
      <c r="G26" s="24" t="s">
        <v>189</v>
      </c>
      <c r="I26" s="24" t="s">
        <v>190</v>
      </c>
      <c r="K26" s="24" t="s">
        <v>191</v>
      </c>
      <c r="M26" s="24" t="s">
        <v>192</v>
      </c>
      <c r="N26" s="24"/>
      <c r="O26" s="24" t="s">
        <v>34</v>
      </c>
    </row>
    <row r="27" spans="2:13" ht="12.75">
      <c r="B27" s="36"/>
      <c r="C27" s="36"/>
      <c r="G27" s="24"/>
      <c r="I27" s="24"/>
      <c r="K27" s="24"/>
      <c r="M27" s="24"/>
    </row>
    <row r="28" spans="2:15" ht="12.75">
      <c r="B28" s="8" t="s">
        <v>156</v>
      </c>
      <c r="C28" s="8" t="s">
        <v>204</v>
      </c>
      <c r="D28" s="8" t="s">
        <v>12</v>
      </c>
      <c r="E28" s="8" t="s">
        <v>35</v>
      </c>
      <c r="G28" s="8">
        <v>23.87</v>
      </c>
      <c r="I28" s="43"/>
      <c r="J28" s="43"/>
      <c r="K28" s="43"/>
      <c r="L28" s="43"/>
      <c r="M28" s="43"/>
      <c r="O28" s="15"/>
    </row>
    <row r="30" spans="2:4" ht="12.75">
      <c r="B30" s="8" t="s">
        <v>159</v>
      </c>
      <c r="C30" s="8" t="s">
        <v>7</v>
      </c>
      <c r="D30" s="8" t="s">
        <v>204</v>
      </c>
    </row>
    <row r="31" spans="2:15" ht="12.75">
      <c r="B31" s="8" t="s">
        <v>36</v>
      </c>
      <c r="D31" s="8" t="s">
        <v>16</v>
      </c>
      <c r="O31" s="46"/>
    </row>
    <row r="32" spans="2:15" ht="12.75">
      <c r="B32" s="8" t="s">
        <v>150</v>
      </c>
      <c r="D32" s="8" t="s">
        <v>17</v>
      </c>
      <c r="G32" s="8">
        <v>9.39</v>
      </c>
      <c r="O32" s="15"/>
    </row>
    <row r="33" spans="2:15" ht="12.75">
      <c r="B33" s="8" t="s">
        <v>151</v>
      </c>
      <c r="D33" s="8" t="s">
        <v>17</v>
      </c>
      <c r="K33" s="15"/>
      <c r="L33" s="42"/>
      <c r="M33" s="15"/>
      <c r="O33" s="15"/>
    </row>
    <row r="34" spans="2:15" ht="12.75">
      <c r="B34" s="8" t="s">
        <v>37</v>
      </c>
      <c r="D34" s="8" t="s">
        <v>18</v>
      </c>
      <c r="O34" s="46"/>
    </row>
    <row r="35" ht="12.75">
      <c r="K35" s="24" t="s">
        <v>188</v>
      </c>
    </row>
    <row r="36" spans="1:15" ht="12.75">
      <c r="A36" s="8">
        <v>3</v>
      </c>
      <c r="B36" s="36" t="s">
        <v>62</v>
      </c>
      <c r="C36" s="36" t="s">
        <v>146</v>
      </c>
      <c r="G36" s="24" t="s">
        <v>189</v>
      </c>
      <c r="I36" s="24" t="s">
        <v>190</v>
      </c>
      <c r="K36" s="24" t="s">
        <v>191</v>
      </c>
      <c r="M36" s="24" t="s">
        <v>192</v>
      </c>
      <c r="O36" s="8" t="s">
        <v>34</v>
      </c>
    </row>
    <row r="37" spans="2:11" ht="12.75">
      <c r="B37" s="36"/>
      <c r="C37" s="36"/>
      <c r="G37" s="24"/>
      <c r="I37" s="24"/>
      <c r="K37" s="24"/>
    </row>
    <row r="38" spans="2:15" ht="12.75">
      <c r="B38" s="8" t="s">
        <v>2</v>
      </c>
      <c r="C38" s="8" t="s">
        <v>204</v>
      </c>
      <c r="D38" s="8" t="s">
        <v>11</v>
      </c>
      <c r="E38" s="8" t="s">
        <v>35</v>
      </c>
      <c r="G38" s="43">
        <v>0.0494</v>
      </c>
      <c r="I38" s="43">
        <v>0.0501</v>
      </c>
      <c r="K38" s="43">
        <v>0.072</v>
      </c>
      <c r="O38" s="47">
        <v>0.0559</v>
      </c>
    </row>
    <row r="39" spans="2:15" ht="12.75">
      <c r="B39" s="8" t="s">
        <v>157</v>
      </c>
      <c r="C39" s="8" t="s">
        <v>204</v>
      </c>
      <c r="D39" s="8" t="s">
        <v>12</v>
      </c>
      <c r="E39" s="8" t="s">
        <v>35</v>
      </c>
      <c r="G39" s="8">
        <v>2.25</v>
      </c>
      <c r="I39" s="8">
        <v>0.73</v>
      </c>
      <c r="K39" s="39">
        <v>0.9</v>
      </c>
      <c r="O39" s="39">
        <f>AVERAGE(G39,I39,K39)</f>
        <v>1.2933333333333332</v>
      </c>
    </row>
    <row r="40" spans="2:15" ht="12.75">
      <c r="B40" s="8" t="s">
        <v>156</v>
      </c>
      <c r="C40" s="8" t="s">
        <v>204</v>
      </c>
      <c r="D40" s="8" t="s">
        <v>12</v>
      </c>
      <c r="E40" s="8" t="s">
        <v>35</v>
      </c>
      <c r="G40" s="8">
        <v>1.54</v>
      </c>
      <c r="I40" s="8">
        <v>0.26</v>
      </c>
      <c r="K40" s="39">
        <v>0.64</v>
      </c>
      <c r="O40" s="39">
        <v>0.81</v>
      </c>
    </row>
    <row r="41" spans="2:15" ht="12.75">
      <c r="B41" s="8" t="s">
        <v>3</v>
      </c>
      <c r="D41" s="8" t="s">
        <v>40</v>
      </c>
      <c r="F41" s="24" t="s">
        <v>38</v>
      </c>
      <c r="G41" s="43">
        <v>0.02</v>
      </c>
      <c r="H41" s="24" t="s">
        <v>38</v>
      </c>
      <c r="I41" s="43">
        <v>0.03</v>
      </c>
      <c r="J41" s="24" t="s">
        <v>38</v>
      </c>
      <c r="K41" s="43">
        <v>0.03</v>
      </c>
      <c r="L41" s="24" t="s">
        <v>38</v>
      </c>
      <c r="O41" s="47">
        <f>AVERAGE(G41,I41,K41)</f>
        <v>0.02666666666666667</v>
      </c>
    </row>
    <row r="42" spans="2:16" ht="12.75">
      <c r="B42" s="8" t="s">
        <v>4</v>
      </c>
      <c r="D42" s="8" t="s">
        <v>40</v>
      </c>
      <c r="F42" s="24" t="s">
        <v>38</v>
      </c>
      <c r="G42" s="43">
        <v>0.02</v>
      </c>
      <c r="H42" s="24" t="s">
        <v>38</v>
      </c>
      <c r="I42" s="43">
        <v>0.03</v>
      </c>
      <c r="J42" s="24" t="s">
        <v>38</v>
      </c>
      <c r="K42" s="43">
        <v>0.02</v>
      </c>
      <c r="L42" s="24" t="s">
        <v>38</v>
      </c>
      <c r="N42" s="43"/>
      <c r="O42" s="47">
        <f>AVERAGE(G42,I42,K42)</f>
        <v>0.023333333333333334</v>
      </c>
      <c r="P42" s="47"/>
    </row>
    <row r="43" spans="2:16" ht="12.75">
      <c r="B43" s="8" t="s">
        <v>155</v>
      </c>
      <c r="D43" s="8" t="s">
        <v>12</v>
      </c>
      <c r="G43" s="43">
        <v>0.4</v>
      </c>
      <c r="I43" s="43">
        <v>0.3</v>
      </c>
      <c r="J43" s="24" t="s">
        <v>38</v>
      </c>
      <c r="K43" s="43">
        <v>0.1</v>
      </c>
      <c r="N43" s="43"/>
      <c r="O43" s="47">
        <f>AVERAGE(G43,I43,K43)</f>
        <v>0.26666666666666666</v>
      </c>
      <c r="P43" s="47"/>
    </row>
    <row r="44" spans="7:16" ht="12.75">
      <c r="G44" s="43"/>
      <c r="I44" s="43"/>
      <c r="K44" s="43"/>
      <c r="N44" s="43"/>
      <c r="O44" s="47"/>
      <c r="P44" s="47"/>
    </row>
    <row r="45" spans="2:16" ht="12.75">
      <c r="B45" s="19" t="s">
        <v>3</v>
      </c>
      <c r="C45" s="19" t="s">
        <v>204</v>
      </c>
      <c r="D45" s="19" t="s">
        <v>12</v>
      </c>
      <c r="E45" s="19" t="s">
        <v>35</v>
      </c>
      <c r="G45" s="21">
        <f>G41*454*(1/G51/60)*(1/0.0283)*(14/(21-G52))*667.8</f>
        <v>0.396306528749717</v>
      </c>
      <c r="H45" s="21"/>
      <c r="I45" s="21">
        <f>I41*454*(1/I51/60)*(1/0.0283)*(14/(21-I52))*667.8</f>
        <v>0.6003273842756056</v>
      </c>
      <c r="J45" s="21"/>
      <c r="K45" s="21">
        <f>K41*454*(1/K51/60)*(1/0.0283)*(14/(21-K52))*667.8</f>
        <v>0.6108636131102132</v>
      </c>
      <c r="N45" s="43"/>
      <c r="O45" s="48">
        <f>AVERAGE(K45,I45,G45)</f>
        <v>0.5358325087118453</v>
      </c>
      <c r="P45" s="47"/>
    </row>
    <row r="46" spans="2:16" ht="12.75">
      <c r="B46" s="19" t="s">
        <v>4</v>
      </c>
      <c r="C46" s="19" t="s">
        <v>204</v>
      </c>
      <c r="D46" s="19" t="s">
        <v>12</v>
      </c>
      <c r="E46" s="19" t="s">
        <v>35</v>
      </c>
      <c r="G46" s="22">
        <f>G42*454*(1/G51/60)*(1/0.0283)*(14/(21-G52))*343.4</f>
        <v>0.2037910481770782</v>
      </c>
      <c r="H46" s="22"/>
      <c r="I46" s="22">
        <f>I42*454*(1/I51/60)*(1/0.0283)*(14/(21-I52))*343.4</f>
        <v>0.3087038391138709</v>
      </c>
      <c r="J46" s="22"/>
      <c r="K46" s="22">
        <f>K42*454*(1/K51/60)*(1/0.0283)*(14/(21-K52))*343.4</f>
        <v>0.20941455999006411</v>
      </c>
      <c r="N46" s="43"/>
      <c r="O46" s="48">
        <f>AVERAGE(K46,I46,G46)</f>
        <v>0.2406364824270044</v>
      </c>
      <c r="P46" s="47"/>
    </row>
    <row r="47" spans="2:16" ht="12.75">
      <c r="B47" s="19" t="s">
        <v>158</v>
      </c>
      <c r="C47" s="19" t="s">
        <v>204</v>
      </c>
      <c r="D47" s="19" t="s">
        <v>12</v>
      </c>
      <c r="E47" s="19" t="s">
        <v>35</v>
      </c>
      <c r="G47" s="22">
        <f>2*G46+G45</f>
        <v>0.8038886251038734</v>
      </c>
      <c r="H47" s="22"/>
      <c r="I47" s="22">
        <f>2*I46+I45</f>
        <v>1.2177350625033474</v>
      </c>
      <c r="J47" s="22"/>
      <c r="K47" s="22">
        <f>2*K46+K45</f>
        <v>1.0296927330903414</v>
      </c>
      <c r="N47" s="43"/>
      <c r="O47" s="48">
        <f>AVERAGE(K47,I47,G47)</f>
        <v>1.017105473565854</v>
      </c>
      <c r="P47" s="47"/>
    </row>
    <row r="48" spans="2:16" ht="12.75">
      <c r="B48" s="8" t="s">
        <v>155</v>
      </c>
      <c r="C48" s="8" t="s">
        <v>204</v>
      </c>
      <c r="D48" s="19" t="s">
        <v>12</v>
      </c>
      <c r="E48" s="19" t="s">
        <v>35</v>
      </c>
      <c r="G48" s="22">
        <f>G43*(14/(21-G52))</f>
        <v>0.3333333333333333</v>
      </c>
      <c r="H48" s="22"/>
      <c r="I48" s="22">
        <f>I43*(14/(21-I52))</f>
        <v>0.25925925925925924</v>
      </c>
      <c r="J48" s="22"/>
      <c r="K48" s="22">
        <f>K43*(14/(21-K52))</f>
        <v>0.08641975308641976</v>
      </c>
      <c r="L48" s="22"/>
      <c r="N48" s="43"/>
      <c r="O48" s="22">
        <f>O43*(14/(21-O52))</f>
        <v>0.22764227642276424</v>
      </c>
      <c r="P48" s="47"/>
    </row>
    <row r="49" spans="7:16" ht="12.75">
      <c r="G49" s="43"/>
      <c r="I49" s="43"/>
      <c r="K49" s="43"/>
      <c r="N49" s="43"/>
      <c r="O49" s="47"/>
      <c r="P49" s="47"/>
    </row>
    <row r="50" spans="2:4" ht="12.75">
      <c r="B50" s="8" t="s">
        <v>159</v>
      </c>
      <c r="C50" s="8" t="s">
        <v>145</v>
      </c>
      <c r="D50" s="8" t="s">
        <v>204</v>
      </c>
    </row>
    <row r="51" spans="2:15" ht="12.75">
      <c r="B51" s="8" t="s">
        <v>36</v>
      </c>
      <c r="D51" s="8" t="s">
        <v>16</v>
      </c>
      <c r="G51" s="8">
        <v>7509</v>
      </c>
      <c r="I51" s="8">
        <v>7711</v>
      </c>
      <c r="K51" s="8">
        <v>7578</v>
      </c>
      <c r="O51" s="46">
        <f>AVERAGE(G51,I51,K51)</f>
        <v>7599.333333333333</v>
      </c>
    </row>
    <row r="52" spans="2:15" ht="12.75">
      <c r="B52" s="8" t="s">
        <v>150</v>
      </c>
      <c r="D52" s="8" t="s">
        <v>17</v>
      </c>
      <c r="G52" s="8">
        <v>4.2</v>
      </c>
      <c r="I52" s="8">
        <v>4.8</v>
      </c>
      <c r="K52" s="8">
        <v>4.8</v>
      </c>
      <c r="O52" s="8">
        <v>4.6</v>
      </c>
    </row>
    <row r="53" spans="2:4" ht="12.75">
      <c r="B53" s="8" t="s">
        <v>151</v>
      </c>
      <c r="D53" s="8" t="s">
        <v>17</v>
      </c>
    </row>
    <row r="54" spans="2:15" ht="12.75">
      <c r="B54" s="8" t="s">
        <v>37</v>
      </c>
      <c r="D54" s="8" t="s">
        <v>18</v>
      </c>
      <c r="G54" s="8">
        <v>649</v>
      </c>
      <c r="I54" s="8">
        <v>666</v>
      </c>
      <c r="K54" s="8">
        <v>674</v>
      </c>
      <c r="O54" s="46">
        <v>676</v>
      </c>
    </row>
    <row r="56" spans="1:15" ht="12.75">
      <c r="A56" s="8">
        <v>4</v>
      </c>
      <c r="B56" s="36" t="s">
        <v>63</v>
      </c>
      <c r="C56" s="36" t="s">
        <v>146</v>
      </c>
      <c r="G56" s="24" t="s">
        <v>189</v>
      </c>
      <c r="I56" s="24" t="s">
        <v>190</v>
      </c>
      <c r="K56" s="24" t="s">
        <v>191</v>
      </c>
      <c r="M56" s="24" t="s">
        <v>192</v>
      </c>
      <c r="O56" s="8" t="s">
        <v>34</v>
      </c>
    </row>
    <row r="57" spans="2:11" ht="12.75">
      <c r="B57" s="36"/>
      <c r="C57" s="36"/>
      <c r="G57" s="24"/>
      <c r="I57" s="24"/>
      <c r="K57" s="24"/>
    </row>
    <row r="58" spans="2:15" ht="12.75">
      <c r="B58" s="8" t="s">
        <v>157</v>
      </c>
      <c r="C58" s="8" t="s">
        <v>204</v>
      </c>
      <c r="D58" s="8" t="s">
        <v>12</v>
      </c>
      <c r="E58" s="8" t="s">
        <v>35</v>
      </c>
      <c r="G58" s="43">
        <v>0.15</v>
      </c>
      <c r="I58" s="43">
        <v>0.036</v>
      </c>
      <c r="K58" s="43">
        <v>0.012</v>
      </c>
      <c r="O58" s="47">
        <f>AVERAGE(G58,I58,K58)</f>
        <v>0.066</v>
      </c>
    </row>
    <row r="59" spans="2:15" ht="12.75">
      <c r="B59" s="8" t="s">
        <v>156</v>
      </c>
      <c r="C59" s="8" t="s">
        <v>204</v>
      </c>
      <c r="D59" s="8" t="s">
        <v>12</v>
      </c>
      <c r="E59" s="8" t="s">
        <v>35</v>
      </c>
      <c r="G59" s="43">
        <v>0.09</v>
      </c>
      <c r="I59" s="43">
        <v>0.008</v>
      </c>
      <c r="K59" s="43">
        <v>0.005</v>
      </c>
      <c r="O59" s="47">
        <f>AVERAGE(G59,I59,K59)</f>
        <v>0.034333333333333334</v>
      </c>
    </row>
    <row r="60" spans="2:15" ht="12.75">
      <c r="B60" s="8" t="s">
        <v>155</v>
      </c>
      <c r="D60" s="8" t="s">
        <v>12</v>
      </c>
      <c r="G60" s="43">
        <v>0.1</v>
      </c>
      <c r="H60" s="43"/>
      <c r="I60" s="43">
        <v>1.6</v>
      </c>
      <c r="K60" s="43">
        <v>1.7</v>
      </c>
      <c r="O60" s="47">
        <f>AVERAGE(G60,I60,K60)</f>
        <v>1.1333333333333335</v>
      </c>
    </row>
    <row r="61" spans="7:15" ht="12.75">
      <c r="G61" s="43"/>
      <c r="H61" s="43"/>
      <c r="I61" s="43"/>
      <c r="K61" s="43"/>
      <c r="O61" s="47"/>
    </row>
    <row r="62" spans="2:15" ht="12.75">
      <c r="B62" s="8" t="s">
        <v>155</v>
      </c>
      <c r="C62" s="8" t="s">
        <v>204</v>
      </c>
      <c r="D62" s="19" t="s">
        <v>12</v>
      </c>
      <c r="E62" s="19" t="s">
        <v>35</v>
      </c>
      <c r="G62" s="22">
        <f>G38*(14/(21-G76))</f>
        <v>0.05239393939393939</v>
      </c>
      <c r="H62" s="22"/>
      <c r="I62" s="22">
        <f>I38*(14/(21-I76))</f>
        <v>0.04870833333333333</v>
      </c>
      <c r="J62" s="22"/>
      <c r="K62" s="22">
        <f>K38*(14/(21-K76))</f>
        <v>0.0681081081081081</v>
      </c>
      <c r="L62" s="22"/>
      <c r="O62" s="22">
        <f>O38*(14/(21-O76))</f>
        <v>0.05538570417551309</v>
      </c>
    </row>
    <row r="63" spans="7:15" ht="12.75">
      <c r="G63" s="43"/>
      <c r="H63" s="43"/>
      <c r="I63" s="43"/>
      <c r="K63" s="43"/>
      <c r="O63" s="47"/>
    </row>
    <row r="64" spans="2:15" ht="12.75">
      <c r="B64" s="8" t="s">
        <v>153</v>
      </c>
      <c r="C64" s="8" t="s">
        <v>152</v>
      </c>
      <c r="G64" s="43"/>
      <c r="H64" s="43"/>
      <c r="I64" s="43"/>
      <c r="K64" s="43"/>
      <c r="O64" s="47"/>
    </row>
    <row r="65" spans="2:15" ht="12.75">
      <c r="B65" s="8" t="s">
        <v>148</v>
      </c>
      <c r="D65" s="8" t="s">
        <v>134</v>
      </c>
      <c r="G65" s="43">
        <v>0.377</v>
      </c>
      <c r="H65" s="43"/>
      <c r="I65" s="43">
        <v>0.532</v>
      </c>
      <c r="K65" s="43">
        <v>0.513</v>
      </c>
      <c r="O65" s="47"/>
    </row>
    <row r="66" spans="2:15" ht="12.75">
      <c r="B66" s="8" t="s">
        <v>149</v>
      </c>
      <c r="C66" s="8" t="s">
        <v>204</v>
      </c>
      <c r="D66" s="8" t="s">
        <v>134</v>
      </c>
      <c r="G66" s="49">
        <v>0.000555</v>
      </c>
      <c r="H66" s="43"/>
      <c r="I66" s="49">
        <v>0.00153</v>
      </c>
      <c r="K66" s="49">
        <v>0.000909</v>
      </c>
      <c r="O66" s="47"/>
    </row>
    <row r="67" spans="2:15" ht="12.75">
      <c r="B67" s="8" t="s">
        <v>8</v>
      </c>
      <c r="C67" s="8" t="s">
        <v>204</v>
      </c>
      <c r="D67" s="8" t="s">
        <v>17</v>
      </c>
      <c r="G67" s="43">
        <v>99.853</v>
      </c>
      <c r="H67" s="43"/>
      <c r="I67" s="43">
        <v>99.712</v>
      </c>
      <c r="K67" s="43">
        <v>99.823</v>
      </c>
      <c r="O67" s="47"/>
    </row>
    <row r="68" spans="7:15" ht="12.75">
      <c r="G68" s="43"/>
      <c r="H68" s="43"/>
      <c r="I68" s="43"/>
      <c r="K68" s="43"/>
      <c r="O68" s="47"/>
    </row>
    <row r="69" spans="2:15" ht="12.75">
      <c r="B69" s="8" t="s">
        <v>153</v>
      </c>
      <c r="C69" s="8" t="s">
        <v>154</v>
      </c>
      <c r="G69" s="43"/>
      <c r="H69" s="43"/>
      <c r="I69" s="43"/>
      <c r="K69" s="43"/>
      <c r="O69" s="47"/>
    </row>
    <row r="70" spans="2:15" ht="12.75">
      <c r="B70" s="8" t="s">
        <v>148</v>
      </c>
      <c r="D70" s="8" t="s">
        <v>134</v>
      </c>
      <c r="G70" s="43">
        <v>2.713</v>
      </c>
      <c r="H70" s="43"/>
      <c r="I70" s="43">
        <v>3.821</v>
      </c>
      <c r="K70" s="43">
        <v>3.687</v>
      </c>
      <c r="O70" s="47"/>
    </row>
    <row r="71" spans="2:15" ht="12.75">
      <c r="B71" s="8" t="s">
        <v>149</v>
      </c>
      <c r="C71" s="8" t="s">
        <v>204</v>
      </c>
      <c r="D71" s="8" t="s">
        <v>134</v>
      </c>
      <c r="F71" s="24" t="s">
        <v>38</v>
      </c>
      <c r="G71" s="49">
        <v>3.67E-05</v>
      </c>
      <c r="H71" s="43" t="s">
        <v>38</v>
      </c>
      <c r="I71" s="49">
        <v>0.000168</v>
      </c>
      <c r="J71" s="24" t="s">
        <v>38</v>
      </c>
      <c r="K71" s="49">
        <v>3.24E-05</v>
      </c>
      <c r="O71" s="47"/>
    </row>
    <row r="72" spans="2:11" ht="12.75">
      <c r="B72" s="8" t="s">
        <v>8</v>
      </c>
      <c r="C72" s="8" t="s">
        <v>204</v>
      </c>
      <c r="D72" s="8" t="s">
        <v>17</v>
      </c>
      <c r="F72" s="24" t="s">
        <v>65</v>
      </c>
      <c r="G72" s="43">
        <v>99.99865</v>
      </c>
      <c r="H72" s="24" t="s">
        <v>65</v>
      </c>
      <c r="I72" s="43">
        <v>99.9956</v>
      </c>
      <c r="J72" s="24" t="s">
        <v>65</v>
      </c>
      <c r="K72" s="43">
        <v>99.99912</v>
      </c>
    </row>
    <row r="73" spans="7:11" ht="12.75">
      <c r="G73" s="24"/>
      <c r="I73" s="24"/>
      <c r="K73" s="24"/>
    </row>
    <row r="74" spans="2:11" ht="12.75">
      <c r="B74" s="8" t="s">
        <v>159</v>
      </c>
      <c r="C74" s="8" t="s">
        <v>147</v>
      </c>
      <c r="D74" s="8" t="s">
        <v>204</v>
      </c>
      <c r="G74" s="24"/>
      <c r="I74" s="24"/>
      <c r="K74" s="24"/>
    </row>
    <row r="75" spans="2:15" ht="12.75">
      <c r="B75" s="8" t="s">
        <v>36</v>
      </c>
      <c r="D75" s="8" t="s">
        <v>16</v>
      </c>
      <c r="G75" s="43">
        <v>2454</v>
      </c>
      <c r="H75" s="43"/>
      <c r="I75" s="43">
        <v>3641</v>
      </c>
      <c r="J75" s="43"/>
      <c r="K75" s="43">
        <v>3426</v>
      </c>
      <c r="L75" s="43"/>
      <c r="O75" s="50">
        <f>AVERAGE(G75,I75,K75)</f>
        <v>3173.6666666666665</v>
      </c>
    </row>
    <row r="76" spans="2:16" ht="12.75">
      <c r="B76" s="8" t="s">
        <v>150</v>
      </c>
      <c r="D76" s="8" t="s">
        <v>17</v>
      </c>
      <c r="G76" s="43">
        <v>7.8</v>
      </c>
      <c r="H76" s="43"/>
      <c r="I76" s="43">
        <v>6.6</v>
      </c>
      <c r="J76" s="43"/>
      <c r="K76" s="43">
        <v>6.2</v>
      </c>
      <c r="L76" s="43"/>
      <c r="O76" s="43">
        <v>6.87</v>
      </c>
      <c r="P76" s="15"/>
    </row>
    <row r="77" spans="2:11" ht="12.75">
      <c r="B77" s="8" t="s">
        <v>151</v>
      </c>
      <c r="D77" s="8" t="s">
        <v>17</v>
      </c>
      <c r="G77" s="24"/>
      <c r="I77" s="24"/>
      <c r="K77" s="24"/>
    </row>
    <row r="78" spans="2:15" ht="12.75">
      <c r="B78" s="8" t="s">
        <v>37</v>
      </c>
      <c r="D78" s="8" t="s">
        <v>18</v>
      </c>
      <c r="G78" s="43">
        <v>387</v>
      </c>
      <c r="H78" s="43"/>
      <c r="I78" s="43">
        <v>440</v>
      </c>
      <c r="J78" s="43"/>
      <c r="K78" s="43">
        <v>440</v>
      </c>
      <c r="L78" s="43"/>
      <c r="O78" s="50">
        <f>AVERAGE(G78,I78,K78)</f>
        <v>422.3333333333333</v>
      </c>
    </row>
    <row r="79" spans="7:11" ht="12.75">
      <c r="G79" s="24"/>
      <c r="I79" s="24"/>
      <c r="K79" s="24"/>
    </row>
    <row r="80" spans="1:15" ht="12.75">
      <c r="A80" s="8">
        <v>5</v>
      </c>
      <c r="B80" s="36" t="s">
        <v>185</v>
      </c>
      <c r="C80" s="36" t="s">
        <v>183</v>
      </c>
      <c r="G80" s="24" t="s">
        <v>189</v>
      </c>
      <c r="I80" s="24" t="s">
        <v>190</v>
      </c>
      <c r="K80" s="24" t="s">
        <v>191</v>
      </c>
      <c r="M80" s="24" t="s">
        <v>192</v>
      </c>
      <c r="O80" s="8" t="s">
        <v>34</v>
      </c>
    </row>
    <row r="82" spans="2:15" ht="12.75">
      <c r="B82" s="8" t="s">
        <v>156</v>
      </c>
      <c r="C82" s="8" t="s">
        <v>204</v>
      </c>
      <c r="D82" s="8" t="s">
        <v>12</v>
      </c>
      <c r="E82" s="8" t="s">
        <v>35</v>
      </c>
      <c r="G82" s="8">
        <v>0.04</v>
      </c>
      <c r="I82" s="8">
        <v>0.02</v>
      </c>
      <c r="K82" s="8">
        <v>0.28</v>
      </c>
      <c r="O82" s="8">
        <v>0.11</v>
      </c>
    </row>
    <row r="83" spans="2:11" ht="12.75">
      <c r="B83" s="8" t="s">
        <v>152</v>
      </c>
      <c r="D83" s="8" t="s">
        <v>134</v>
      </c>
      <c r="F83" s="24" t="s">
        <v>38</v>
      </c>
      <c r="G83" s="17">
        <v>0.00178</v>
      </c>
      <c r="H83" s="24" t="s">
        <v>38</v>
      </c>
      <c r="I83" s="17">
        <v>0.00144</v>
      </c>
      <c r="J83" s="24" t="s">
        <v>38</v>
      </c>
      <c r="K83" s="17">
        <v>0.00143</v>
      </c>
    </row>
    <row r="84" spans="2:11" ht="12.75">
      <c r="B84" s="8" t="s">
        <v>154</v>
      </c>
      <c r="D84" s="8" t="s">
        <v>134</v>
      </c>
      <c r="F84" s="24" t="s">
        <v>38</v>
      </c>
      <c r="G84" s="17">
        <v>3.32E-05</v>
      </c>
      <c r="H84" s="24" t="s">
        <v>38</v>
      </c>
      <c r="I84" s="17">
        <v>2.32E-05</v>
      </c>
      <c r="J84" s="24" t="s">
        <v>38</v>
      </c>
      <c r="K84" s="17">
        <v>2.79E-05</v>
      </c>
    </row>
    <row r="86" spans="2:3" ht="12.75">
      <c r="B86" s="8" t="s">
        <v>153</v>
      </c>
      <c r="C86" s="8" t="s">
        <v>184</v>
      </c>
    </row>
    <row r="87" spans="2:11" ht="12.75">
      <c r="B87" s="8" t="s">
        <v>148</v>
      </c>
      <c r="D87" s="8" t="s">
        <v>47</v>
      </c>
      <c r="G87" s="8">
        <v>9523</v>
      </c>
      <c r="I87" s="8">
        <v>9496</v>
      </c>
      <c r="K87" s="8">
        <v>9519</v>
      </c>
    </row>
    <row r="88" spans="2:11" ht="12.75">
      <c r="B88" s="8" t="s">
        <v>149</v>
      </c>
      <c r="C88" s="8" t="s">
        <v>204</v>
      </c>
      <c r="D88" s="8" t="s">
        <v>134</v>
      </c>
      <c r="F88" s="24" t="s">
        <v>38</v>
      </c>
      <c r="G88" s="17">
        <v>1.51E-05</v>
      </c>
      <c r="H88" s="24" t="s">
        <v>38</v>
      </c>
      <c r="I88" s="17">
        <v>1.56E-05</v>
      </c>
      <c r="J88" s="24" t="s">
        <v>38</v>
      </c>
      <c r="K88" s="17">
        <v>1.52E-05</v>
      </c>
    </row>
    <row r="89" spans="2:11" ht="12.75">
      <c r="B89" s="8" t="s">
        <v>8</v>
      </c>
      <c r="C89" s="8" t="s">
        <v>204</v>
      </c>
      <c r="D89" s="8" t="s">
        <v>17</v>
      </c>
      <c r="F89" s="24" t="s">
        <v>65</v>
      </c>
      <c r="G89" s="8">
        <v>99.99943</v>
      </c>
      <c r="H89" s="24" t="s">
        <v>65</v>
      </c>
      <c r="I89" s="8">
        <v>99.99941</v>
      </c>
      <c r="J89" s="24" t="s">
        <v>65</v>
      </c>
      <c r="K89" s="8">
        <v>99.99942</v>
      </c>
    </row>
    <row r="91" spans="2:4" ht="12.75">
      <c r="B91" s="8" t="s">
        <v>159</v>
      </c>
      <c r="C91" s="8" t="s">
        <v>147</v>
      </c>
      <c r="D91" s="8" t="s">
        <v>204</v>
      </c>
    </row>
    <row r="92" spans="2:15" ht="12.75">
      <c r="B92" s="8" t="s">
        <v>36</v>
      </c>
      <c r="D92" s="8" t="s">
        <v>16</v>
      </c>
      <c r="G92" s="8">
        <v>3800</v>
      </c>
      <c r="I92" s="8">
        <v>3617</v>
      </c>
      <c r="K92" s="8">
        <v>3638</v>
      </c>
      <c r="O92" s="53">
        <f>AVERAGE(G92,I92,K92)</f>
        <v>3685</v>
      </c>
    </row>
    <row r="93" spans="2:15" ht="12.75">
      <c r="B93" s="8" t="s">
        <v>150</v>
      </c>
      <c r="D93" s="8" t="s">
        <v>17</v>
      </c>
      <c r="G93" s="8">
        <v>5.5</v>
      </c>
      <c r="I93" s="8">
        <v>5.2</v>
      </c>
      <c r="K93" s="8">
        <v>6</v>
      </c>
      <c r="O93" s="53">
        <f>AVERAGE(G93,I93,K93)</f>
        <v>5.566666666666666</v>
      </c>
    </row>
    <row r="94" spans="2:15" ht="12.75">
      <c r="B94" s="8" t="s">
        <v>151</v>
      </c>
      <c r="D94" s="8" t="s">
        <v>17</v>
      </c>
      <c r="G94" s="8">
        <v>15.01</v>
      </c>
      <c r="I94" s="8">
        <v>11.35</v>
      </c>
      <c r="K94" s="8">
        <v>12.46</v>
      </c>
      <c r="O94" s="53">
        <f>AVERAGE(G94,I94,K94)</f>
        <v>12.94</v>
      </c>
    </row>
    <row r="95" spans="2:15" ht="12.75">
      <c r="B95" s="8" t="s">
        <v>37</v>
      </c>
      <c r="D95" s="8" t="s">
        <v>18</v>
      </c>
      <c r="G95" s="8">
        <v>467</v>
      </c>
      <c r="I95" s="8">
        <v>469</v>
      </c>
      <c r="K95" s="8">
        <v>464</v>
      </c>
      <c r="O95" s="53">
        <f>AVERAGE(G95,I95,K95)</f>
        <v>466.6666666666667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140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1" max="1" width="0.13671875" style="8" hidden="1" customWidth="1"/>
    <col min="2" max="2" width="20.7109375" style="8" customWidth="1"/>
    <col min="3" max="3" width="5.57421875" style="8" customWidth="1"/>
    <col min="4" max="4" width="9.28125" style="8" customWidth="1"/>
    <col min="5" max="5" width="4.140625" style="24" customWidth="1"/>
    <col min="6" max="6" width="9.8515625" style="24" customWidth="1"/>
    <col min="7" max="7" width="4.8515625" style="24" customWidth="1"/>
    <col min="8" max="8" width="10.7109375" style="24" customWidth="1"/>
    <col min="9" max="9" width="4.7109375" style="24" customWidth="1"/>
    <col min="10" max="10" width="14.00390625" style="24" customWidth="1"/>
    <col min="11" max="11" width="4.28125" style="24" customWidth="1"/>
    <col min="12" max="12" width="11.421875" style="24" customWidth="1"/>
    <col min="13" max="13" width="4.7109375" style="24" customWidth="1"/>
    <col min="14" max="14" width="12.140625" style="8" customWidth="1"/>
    <col min="15" max="15" width="4.57421875" style="24" customWidth="1"/>
    <col min="16" max="16" width="10.8515625" style="24" customWidth="1"/>
    <col min="17" max="17" width="4.140625" style="24" customWidth="1"/>
    <col min="18" max="18" width="10.421875" style="24" customWidth="1"/>
    <col min="19" max="19" width="4.421875" style="24" customWidth="1"/>
    <col min="20" max="20" width="9.421875" style="24" customWidth="1"/>
    <col min="21" max="21" width="3.8515625" style="24" customWidth="1"/>
    <col min="22" max="22" width="10.28125" style="24" customWidth="1"/>
    <col min="23" max="23" width="4.421875" style="24" customWidth="1"/>
    <col min="24" max="24" width="11.421875" style="8" customWidth="1"/>
    <col min="25" max="25" width="4.421875" style="24" customWidth="1"/>
    <col min="26" max="26" width="11.7109375" style="24" customWidth="1"/>
    <col min="27" max="27" width="5.28125" style="24" customWidth="1"/>
    <col min="28" max="28" width="10.28125" style="24" customWidth="1"/>
    <col min="29" max="29" width="4.140625" style="24" customWidth="1"/>
    <col min="30" max="30" width="9.00390625" style="24" customWidth="1"/>
    <col min="31" max="31" width="4.28125" style="24" customWidth="1"/>
    <col min="32" max="32" width="11.7109375" style="24" customWidth="1"/>
    <col min="33" max="33" width="4.28125" style="24" customWidth="1"/>
    <col min="34" max="34" width="9.8515625" style="8" customWidth="1"/>
    <col min="35" max="35" width="4.28125" style="8" customWidth="1"/>
    <col min="36" max="36" width="10.28125" style="8" customWidth="1"/>
    <col min="37" max="37" width="3.8515625" style="8" customWidth="1"/>
    <col min="38" max="38" width="8.8515625" style="8" customWidth="1"/>
    <col min="39" max="39" width="3.8515625" style="8" customWidth="1"/>
    <col min="40" max="40" width="9.140625" style="8" customWidth="1"/>
    <col min="41" max="41" width="4.57421875" style="8" customWidth="1"/>
    <col min="42" max="42" width="12.140625" style="8" customWidth="1"/>
    <col min="43" max="43" width="4.00390625" style="8" customWidth="1"/>
    <col min="44" max="44" width="7.7109375" style="8" customWidth="1"/>
    <col min="45" max="45" width="3.7109375" style="8" customWidth="1"/>
    <col min="46" max="46" width="11.421875" style="0" customWidth="1"/>
    <col min="47" max="47" width="3.28125" style="0" customWidth="1"/>
    <col min="48" max="48" width="11.421875" style="0" customWidth="1"/>
    <col min="49" max="49" width="4.57421875" style="0" customWidth="1"/>
    <col min="50" max="50" width="11.421875" style="0" customWidth="1"/>
    <col min="51" max="51" width="3.57421875" style="0" customWidth="1"/>
    <col min="52" max="52" width="11.421875" style="0" customWidth="1"/>
    <col min="53" max="53" width="3.57421875" style="0" customWidth="1"/>
    <col min="54" max="54" width="12.8515625" style="0" customWidth="1"/>
    <col min="55" max="55" width="3.28125" style="0" customWidth="1"/>
    <col min="56" max="56" width="10.7109375" style="0" customWidth="1"/>
    <col min="57" max="57" width="3.28125" style="0" customWidth="1"/>
    <col min="58" max="58" width="12.28125" style="0" customWidth="1"/>
    <col min="59" max="59" width="3.57421875" style="0" customWidth="1"/>
    <col min="60" max="60" width="12.28125" style="0" customWidth="1"/>
    <col min="61" max="61" width="3.7109375" style="0" customWidth="1"/>
    <col min="62" max="62" width="11.421875" style="0" customWidth="1"/>
    <col min="63" max="63" width="3.8515625" style="0" customWidth="1"/>
    <col min="64" max="64" width="11.421875" style="0" customWidth="1"/>
    <col min="65" max="65" width="3.7109375" style="0" customWidth="1"/>
    <col min="66" max="78" width="11.421875" style="0" customWidth="1"/>
    <col min="79" max="16384" width="11.421875" style="8" customWidth="1"/>
  </cols>
  <sheetData>
    <row r="1" spans="2:3" ht="12.75">
      <c r="B1" s="36" t="s">
        <v>128</v>
      </c>
      <c r="C1" s="36"/>
    </row>
    <row r="2" ht="12.75" customHeight="1"/>
    <row r="3" ht="12.75">
      <c r="AS3" s="24"/>
    </row>
    <row r="4" spans="1:44" ht="12.75">
      <c r="A4" s="8" t="s">
        <v>172</v>
      </c>
      <c r="B4" s="36" t="s">
        <v>53</v>
      </c>
      <c r="C4" s="36" t="s">
        <v>219</v>
      </c>
      <c r="F4" s="24" t="s">
        <v>189</v>
      </c>
      <c r="H4" s="24" t="s">
        <v>190</v>
      </c>
      <c r="J4" s="24" t="s">
        <v>191</v>
      </c>
      <c r="L4" s="24" t="s">
        <v>192</v>
      </c>
      <c r="N4" s="8" t="s">
        <v>34</v>
      </c>
      <c r="P4" s="24" t="s">
        <v>189</v>
      </c>
      <c r="R4" s="24" t="s">
        <v>190</v>
      </c>
      <c r="T4" s="24" t="s">
        <v>191</v>
      </c>
      <c r="V4" s="24" t="s">
        <v>192</v>
      </c>
      <c r="X4" s="8" t="s">
        <v>34</v>
      </c>
      <c r="Z4" s="24" t="s">
        <v>189</v>
      </c>
      <c r="AB4" s="24" t="s">
        <v>190</v>
      </c>
      <c r="AD4" s="24" t="s">
        <v>191</v>
      </c>
      <c r="AF4" s="24" t="s">
        <v>192</v>
      </c>
      <c r="AH4" s="8" t="s">
        <v>34</v>
      </c>
      <c r="AI4" s="24"/>
      <c r="AJ4" s="24" t="s">
        <v>189</v>
      </c>
      <c r="AK4" s="24"/>
      <c r="AL4" s="24" t="s">
        <v>190</v>
      </c>
      <c r="AM4" s="24"/>
      <c r="AN4" s="24" t="s">
        <v>191</v>
      </c>
      <c r="AO4" s="24"/>
      <c r="AP4" s="24" t="s">
        <v>192</v>
      </c>
      <c r="AQ4" s="24"/>
      <c r="AR4" s="8" t="s">
        <v>34</v>
      </c>
    </row>
    <row r="5" spans="14:45" ht="12.75">
      <c r="N5" s="24"/>
      <c r="X5" s="24"/>
      <c r="AH5" s="24"/>
      <c r="AR5" s="24"/>
      <c r="AS5" s="24"/>
    </row>
    <row r="6" spans="2:45" ht="12.75">
      <c r="B6" s="8" t="s">
        <v>211</v>
      </c>
      <c r="F6" s="24" t="s">
        <v>213</v>
      </c>
      <c r="H6" s="24" t="s">
        <v>213</v>
      </c>
      <c r="J6" s="24" t="s">
        <v>213</v>
      </c>
      <c r="L6" s="24" t="s">
        <v>213</v>
      </c>
      <c r="N6" s="24" t="s">
        <v>213</v>
      </c>
      <c r="P6" s="24" t="s">
        <v>215</v>
      </c>
      <c r="R6" s="24" t="s">
        <v>215</v>
      </c>
      <c r="T6" s="24" t="s">
        <v>215</v>
      </c>
      <c r="V6" s="24" t="s">
        <v>215</v>
      </c>
      <c r="X6" s="24" t="s">
        <v>215</v>
      </c>
      <c r="Z6" s="24" t="s">
        <v>217</v>
      </c>
      <c r="AB6" s="24" t="s">
        <v>217</v>
      </c>
      <c r="AD6" s="24" t="s">
        <v>217</v>
      </c>
      <c r="AF6" s="24" t="s">
        <v>217</v>
      </c>
      <c r="AH6" s="24" t="s">
        <v>217</v>
      </c>
      <c r="AJ6" s="8" t="s">
        <v>218</v>
      </c>
      <c r="AL6" s="8" t="s">
        <v>218</v>
      </c>
      <c r="AN6" s="8" t="s">
        <v>218</v>
      </c>
      <c r="AP6" s="8" t="s">
        <v>218</v>
      </c>
      <c r="AR6" s="8" t="s">
        <v>218</v>
      </c>
      <c r="AS6" s="24"/>
    </row>
    <row r="7" spans="2:45" ht="12.75">
      <c r="B7" s="8" t="s">
        <v>212</v>
      </c>
      <c r="F7" s="24" t="s">
        <v>214</v>
      </c>
      <c r="H7" s="24" t="s">
        <v>214</v>
      </c>
      <c r="J7" s="24" t="s">
        <v>214</v>
      </c>
      <c r="L7" s="24" t="s">
        <v>214</v>
      </c>
      <c r="N7" s="24" t="s">
        <v>214</v>
      </c>
      <c r="P7" s="24" t="s">
        <v>216</v>
      </c>
      <c r="R7" s="24" t="s">
        <v>216</v>
      </c>
      <c r="T7" s="24" t="s">
        <v>216</v>
      </c>
      <c r="V7" s="24" t="s">
        <v>216</v>
      </c>
      <c r="X7" s="24" t="s">
        <v>216</v>
      </c>
      <c r="Z7" s="24" t="s">
        <v>66</v>
      </c>
      <c r="AB7" s="24" t="s">
        <v>66</v>
      </c>
      <c r="AD7" s="24" t="s">
        <v>66</v>
      </c>
      <c r="AF7" s="24" t="s">
        <v>66</v>
      </c>
      <c r="AH7" s="24" t="s">
        <v>66</v>
      </c>
      <c r="AJ7" s="8" t="s">
        <v>80</v>
      </c>
      <c r="AL7" s="8" t="s">
        <v>80</v>
      </c>
      <c r="AN7" s="8" t="s">
        <v>80</v>
      </c>
      <c r="AP7" s="8" t="s">
        <v>80</v>
      </c>
      <c r="AR7" s="8" t="s">
        <v>80</v>
      </c>
      <c r="AS7" s="24"/>
    </row>
    <row r="8" spans="2:45" ht="12.75">
      <c r="B8" s="8" t="s">
        <v>220</v>
      </c>
      <c r="F8" s="24" t="s">
        <v>1</v>
      </c>
      <c r="H8" s="24" t="s">
        <v>1</v>
      </c>
      <c r="J8" s="24" t="s">
        <v>1</v>
      </c>
      <c r="L8" s="24" t="s">
        <v>1</v>
      </c>
      <c r="N8" s="24" t="s">
        <v>1</v>
      </c>
      <c r="P8" s="24" t="s">
        <v>221</v>
      </c>
      <c r="R8" s="24" t="s">
        <v>221</v>
      </c>
      <c r="T8" s="24" t="s">
        <v>221</v>
      </c>
      <c r="V8" s="24" t="s">
        <v>221</v>
      </c>
      <c r="X8" s="24" t="s">
        <v>221</v>
      </c>
      <c r="Z8" s="24" t="s">
        <v>66</v>
      </c>
      <c r="AB8" s="24" t="s">
        <v>66</v>
      </c>
      <c r="AD8" s="24" t="s">
        <v>66</v>
      </c>
      <c r="AF8" s="24" t="s">
        <v>66</v>
      </c>
      <c r="AH8" s="24" t="s">
        <v>66</v>
      </c>
      <c r="AJ8" s="8" t="s">
        <v>80</v>
      </c>
      <c r="AL8" s="8" t="s">
        <v>80</v>
      </c>
      <c r="AN8" s="8" t="s">
        <v>80</v>
      </c>
      <c r="AP8" s="8" t="s">
        <v>80</v>
      </c>
      <c r="AR8" s="8" t="s">
        <v>80</v>
      </c>
      <c r="AS8" s="24"/>
    </row>
    <row r="9" spans="2:44" ht="12.75">
      <c r="B9" s="8" t="s">
        <v>175</v>
      </c>
      <c r="F9" s="43" t="s">
        <v>58</v>
      </c>
      <c r="H9" s="43" t="s">
        <v>58</v>
      </c>
      <c r="J9" s="43" t="s">
        <v>58</v>
      </c>
      <c r="L9" s="43" t="s">
        <v>58</v>
      </c>
      <c r="N9" s="43" t="s">
        <v>58</v>
      </c>
      <c r="O9" s="43"/>
      <c r="P9" s="43" t="s">
        <v>59</v>
      </c>
      <c r="Q9" s="43"/>
      <c r="R9" s="43" t="s">
        <v>59</v>
      </c>
      <c r="S9" s="43"/>
      <c r="T9" s="43" t="s">
        <v>59</v>
      </c>
      <c r="U9" s="43"/>
      <c r="V9" s="43" t="s">
        <v>59</v>
      </c>
      <c r="W9" s="43"/>
      <c r="X9" s="43" t="s">
        <v>59</v>
      </c>
      <c r="Y9" s="43"/>
      <c r="Z9" s="43" t="s">
        <v>66</v>
      </c>
      <c r="AA9" s="43"/>
      <c r="AB9" s="43" t="s">
        <v>66</v>
      </c>
      <c r="AC9" s="43"/>
      <c r="AD9" s="43" t="s">
        <v>66</v>
      </c>
      <c r="AE9" s="43"/>
      <c r="AF9" s="43" t="s">
        <v>66</v>
      </c>
      <c r="AG9" s="43"/>
      <c r="AH9" s="43" t="s">
        <v>66</v>
      </c>
      <c r="AI9" s="43"/>
      <c r="AJ9" s="43" t="s">
        <v>80</v>
      </c>
      <c r="AK9" s="43"/>
      <c r="AL9" s="43" t="s">
        <v>80</v>
      </c>
      <c r="AM9" s="43"/>
      <c r="AN9" s="43" t="s">
        <v>80</v>
      </c>
      <c r="AO9" s="43"/>
      <c r="AP9" s="43" t="s">
        <v>80</v>
      </c>
      <c r="AQ9" s="43"/>
      <c r="AR9" s="43" t="s">
        <v>80</v>
      </c>
    </row>
    <row r="10" spans="2:24" ht="12.75">
      <c r="B10" s="8" t="s">
        <v>70</v>
      </c>
      <c r="D10" s="8" t="s">
        <v>40</v>
      </c>
      <c r="F10" s="43">
        <v>2191</v>
      </c>
      <c r="G10" s="43"/>
      <c r="H10" s="43">
        <v>2235</v>
      </c>
      <c r="I10" s="43"/>
      <c r="J10" s="43">
        <v>2236</v>
      </c>
      <c r="K10" s="43"/>
      <c r="L10" s="43">
        <v>2192</v>
      </c>
      <c r="N10" s="46">
        <v>2213.5</v>
      </c>
      <c r="P10" s="43">
        <v>350</v>
      </c>
      <c r="Q10" s="43"/>
      <c r="R10" s="43">
        <v>294</v>
      </c>
      <c r="S10" s="43"/>
      <c r="T10" s="43">
        <v>302</v>
      </c>
      <c r="U10" s="43"/>
      <c r="V10" s="43">
        <v>333</v>
      </c>
      <c r="X10" s="8">
        <v>320</v>
      </c>
    </row>
    <row r="11" spans="2:22" ht="12.75">
      <c r="B11" s="8" t="s">
        <v>48</v>
      </c>
      <c r="D11" s="8" t="s">
        <v>57</v>
      </c>
      <c r="F11" s="43">
        <v>0.963</v>
      </c>
      <c r="G11" s="43"/>
      <c r="H11" s="43">
        <v>0.963</v>
      </c>
      <c r="I11" s="43"/>
      <c r="J11" s="43">
        <v>0.963</v>
      </c>
      <c r="K11" s="43"/>
      <c r="L11" s="43">
        <v>0.964</v>
      </c>
      <c r="N11" s="18">
        <v>0.9632499999999999</v>
      </c>
      <c r="P11" s="43"/>
      <c r="Q11" s="43"/>
      <c r="R11" s="43"/>
      <c r="S11" s="43"/>
      <c r="T11" s="43"/>
      <c r="U11" s="43"/>
      <c r="V11" s="43"/>
    </row>
    <row r="12" spans="2:24" ht="12.75">
      <c r="B12" s="8" t="s">
        <v>39</v>
      </c>
      <c r="D12" s="8" t="s">
        <v>43</v>
      </c>
      <c r="F12" s="43">
        <v>14694</v>
      </c>
      <c r="G12" s="43"/>
      <c r="H12" s="43">
        <v>14756</v>
      </c>
      <c r="I12" s="43"/>
      <c r="J12" s="43">
        <v>14719</v>
      </c>
      <c r="K12" s="43"/>
      <c r="L12" s="43">
        <v>14684</v>
      </c>
      <c r="N12" s="46">
        <v>14713.25</v>
      </c>
      <c r="P12" s="8">
        <v>6.7</v>
      </c>
      <c r="Q12" s="43"/>
      <c r="R12" s="8">
        <v>6.7</v>
      </c>
      <c r="S12" s="43"/>
      <c r="T12" s="8">
        <v>6.7</v>
      </c>
      <c r="U12" s="43"/>
      <c r="V12" s="8">
        <v>6.7</v>
      </c>
      <c r="X12" s="8">
        <v>6.7</v>
      </c>
    </row>
    <row r="13" spans="2:34" ht="12.75">
      <c r="B13" s="8" t="s">
        <v>203</v>
      </c>
      <c r="D13" s="8" t="s">
        <v>47</v>
      </c>
      <c r="F13" s="43"/>
      <c r="G13" s="43"/>
      <c r="H13" s="43"/>
      <c r="I13" s="43"/>
      <c r="J13" s="43"/>
      <c r="K13" s="43"/>
      <c r="L13" s="43"/>
      <c r="N13" s="46"/>
      <c r="P13" s="43"/>
      <c r="Q13" s="43"/>
      <c r="R13" s="43"/>
      <c r="S13" s="43"/>
      <c r="T13" s="43"/>
      <c r="U13" s="43"/>
      <c r="V13" s="43"/>
      <c r="Z13" s="39">
        <v>0.25</v>
      </c>
      <c r="AB13" s="39">
        <v>0.25</v>
      </c>
      <c r="AD13" s="39">
        <v>0.25</v>
      </c>
      <c r="AF13" s="39">
        <v>0.25</v>
      </c>
      <c r="AH13" s="39">
        <v>0.25</v>
      </c>
    </row>
    <row r="14" spans="2:34" ht="12" customHeight="1">
      <c r="B14" s="8" t="s">
        <v>9</v>
      </c>
      <c r="D14" s="8" t="s">
        <v>47</v>
      </c>
      <c r="F14" s="43">
        <v>1073.3</v>
      </c>
      <c r="G14" s="43"/>
      <c r="H14" s="43">
        <v>689.4</v>
      </c>
      <c r="I14" s="43"/>
      <c r="J14" s="43">
        <v>1207</v>
      </c>
      <c r="K14" s="43"/>
      <c r="L14" s="43">
        <v>1063.9</v>
      </c>
      <c r="N14" s="15">
        <v>1008.4</v>
      </c>
      <c r="P14" s="43"/>
      <c r="Q14" s="43"/>
      <c r="R14" s="43"/>
      <c r="S14" s="43"/>
      <c r="T14" s="43"/>
      <c r="U14" s="43"/>
      <c r="V14" s="43"/>
      <c r="Y14" s="24" t="s">
        <v>38</v>
      </c>
      <c r="Z14" s="43">
        <v>1432.4</v>
      </c>
      <c r="AA14" s="43" t="s">
        <v>38</v>
      </c>
      <c r="AB14" s="43">
        <v>1398.8</v>
      </c>
      <c r="AC14" s="43" t="s">
        <v>38</v>
      </c>
      <c r="AD14" s="43">
        <v>1433.2</v>
      </c>
      <c r="AE14" s="43" t="s">
        <v>38</v>
      </c>
      <c r="AF14" s="43">
        <v>1459.3</v>
      </c>
      <c r="AG14" s="43"/>
      <c r="AH14" s="43">
        <v>1429</v>
      </c>
    </row>
    <row r="15" spans="2:34" ht="12.75">
      <c r="B15" s="8" t="s">
        <v>41</v>
      </c>
      <c r="D15" s="8" t="s">
        <v>47</v>
      </c>
      <c r="F15" s="43">
        <v>327.97</v>
      </c>
      <c r="G15" s="43"/>
      <c r="H15" s="43">
        <v>924.41</v>
      </c>
      <c r="I15" s="43"/>
      <c r="J15" s="43">
        <v>446.27</v>
      </c>
      <c r="K15" s="43"/>
      <c r="L15" s="43">
        <v>457.37</v>
      </c>
      <c r="N15" s="15">
        <v>389.005</v>
      </c>
      <c r="O15" s="24" t="s">
        <v>38</v>
      </c>
      <c r="P15" s="43">
        <v>0.27</v>
      </c>
      <c r="Q15" s="43" t="s">
        <v>38</v>
      </c>
      <c r="R15" s="43">
        <v>0.1</v>
      </c>
      <c r="S15" s="43" t="s">
        <v>38</v>
      </c>
      <c r="T15" s="43">
        <v>0.09</v>
      </c>
      <c r="U15" s="43" t="s">
        <v>38</v>
      </c>
      <c r="V15" s="43">
        <v>0.15</v>
      </c>
      <c r="X15" s="39">
        <v>0.1525</v>
      </c>
      <c r="Z15" s="43">
        <v>473.39</v>
      </c>
      <c r="AA15" s="43"/>
      <c r="AB15" s="43">
        <v>330.17</v>
      </c>
      <c r="AC15" s="43"/>
      <c r="AD15" s="43">
        <v>465.03</v>
      </c>
      <c r="AE15" s="43"/>
      <c r="AF15" s="43">
        <v>420.26</v>
      </c>
      <c r="AG15" s="43"/>
      <c r="AH15" s="43">
        <v>416</v>
      </c>
    </row>
    <row r="16" spans="2:34" ht="12.75">
      <c r="B16" s="8" t="s">
        <v>164</v>
      </c>
      <c r="D16" s="8" t="s">
        <v>47</v>
      </c>
      <c r="E16" s="24" t="s">
        <v>38</v>
      </c>
      <c r="F16" s="43">
        <v>0.2385</v>
      </c>
      <c r="G16" s="43"/>
      <c r="H16" s="43">
        <v>0.2534</v>
      </c>
      <c r="I16" s="43" t="s">
        <v>38</v>
      </c>
      <c r="J16" s="43">
        <v>0.2536</v>
      </c>
      <c r="K16" s="43" t="s">
        <v>38</v>
      </c>
      <c r="L16" s="43">
        <v>0.2287</v>
      </c>
      <c r="N16" s="45">
        <v>0.24355000000000002</v>
      </c>
      <c r="O16" s="24" t="s">
        <v>38</v>
      </c>
      <c r="P16" s="43">
        <v>0.0013</v>
      </c>
      <c r="Q16" s="43" t="s">
        <v>38</v>
      </c>
      <c r="R16" s="43">
        <v>0.0005</v>
      </c>
      <c r="S16" s="43" t="s">
        <v>38</v>
      </c>
      <c r="T16" s="43">
        <v>0.0004</v>
      </c>
      <c r="U16" s="43" t="s">
        <v>38</v>
      </c>
      <c r="V16" s="43">
        <v>0.0007</v>
      </c>
      <c r="X16" s="45">
        <v>0.0007250000000000001</v>
      </c>
      <c r="Y16" s="24" t="s">
        <v>38</v>
      </c>
      <c r="Z16" s="43">
        <v>0.005</v>
      </c>
      <c r="AA16" s="43" t="s">
        <v>38</v>
      </c>
      <c r="AB16" s="43">
        <v>0.0049</v>
      </c>
      <c r="AC16" s="43" t="s">
        <v>38</v>
      </c>
      <c r="AD16" s="43">
        <v>0.0049</v>
      </c>
      <c r="AE16" s="43" t="s">
        <v>38</v>
      </c>
      <c r="AF16" s="43">
        <v>0.0048</v>
      </c>
      <c r="AG16" s="43"/>
      <c r="AH16" s="56">
        <v>0.0049</v>
      </c>
    </row>
    <row r="17" spans="2:34" ht="12.75">
      <c r="B17" s="8" t="s">
        <v>160</v>
      </c>
      <c r="D17" s="8" t="s">
        <v>47</v>
      </c>
      <c r="E17" s="24" t="s">
        <v>38</v>
      </c>
      <c r="F17" s="43">
        <v>0.0696</v>
      </c>
      <c r="G17" s="43"/>
      <c r="H17" s="43">
        <v>0.071</v>
      </c>
      <c r="I17" s="43" t="s">
        <v>38</v>
      </c>
      <c r="J17" s="43">
        <v>0.071</v>
      </c>
      <c r="K17" s="43" t="s">
        <v>38</v>
      </c>
      <c r="L17" s="43">
        <v>0.0696</v>
      </c>
      <c r="N17" s="45">
        <v>0.0703</v>
      </c>
      <c r="P17" s="43">
        <v>0.0009</v>
      </c>
      <c r="Q17" s="43"/>
      <c r="R17" s="43">
        <v>0.0003</v>
      </c>
      <c r="S17" s="43"/>
      <c r="T17" s="43">
        <v>0.0003</v>
      </c>
      <c r="U17" s="43"/>
      <c r="V17" s="43">
        <v>0.0005</v>
      </c>
      <c r="X17" s="45">
        <v>0.0005</v>
      </c>
      <c r="Y17" s="24" t="s">
        <v>38</v>
      </c>
      <c r="Z17" s="43">
        <v>0.0157</v>
      </c>
      <c r="AA17" s="43" t="s">
        <v>38</v>
      </c>
      <c r="AB17" s="43">
        <v>0.0095</v>
      </c>
      <c r="AC17" s="43" t="s">
        <v>38</v>
      </c>
      <c r="AD17" s="43">
        <v>0.0101</v>
      </c>
      <c r="AE17" s="43" t="s">
        <v>38</v>
      </c>
      <c r="AF17" s="43">
        <v>0.0102</v>
      </c>
      <c r="AG17" s="43"/>
      <c r="AH17" s="56">
        <v>0.011375</v>
      </c>
    </row>
    <row r="18" spans="2:34" ht="12.75">
      <c r="B18" s="8" t="s">
        <v>161</v>
      </c>
      <c r="D18" s="8" t="s">
        <v>47</v>
      </c>
      <c r="E18" s="24" t="s">
        <v>38</v>
      </c>
      <c r="F18" s="43">
        <v>0.0994</v>
      </c>
      <c r="G18" s="43"/>
      <c r="H18" s="43">
        <v>0.1014</v>
      </c>
      <c r="I18" s="43" t="s">
        <v>38</v>
      </c>
      <c r="J18" s="43">
        <v>0.1014</v>
      </c>
      <c r="K18" s="43" t="s">
        <v>38</v>
      </c>
      <c r="L18" s="43">
        <v>0.0994</v>
      </c>
      <c r="N18" s="45">
        <v>0.1004</v>
      </c>
      <c r="O18" s="24" t="s">
        <v>38</v>
      </c>
      <c r="P18" s="43">
        <v>0.0847</v>
      </c>
      <c r="Q18" s="43" t="s">
        <v>38</v>
      </c>
      <c r="R18" s="43">
        <v>0.0019</v>
      </c>
      <c r="S18" s="43" t="s">
        <v>38</v>
      </c>
      <c r="T18" s="43">
        <v>0.0017</v>
      </c>
      <c r="U18" s="43" t="s">
        <v>38</v>
      </c>
      <c r="V18" s="43">
        <v>0.0282</v>
      </c>
      <c r="X18" s="45">
        <v>0.029124999999999998</v>
      </c>
      <c r="Y18" s="24" t="s">
        <v>38</v>
      </c>
      <c r="Z18" s="43">
        <v>0.0081</v>
      </c>
      <c r="AA18" s="43" t="s">
        <v>38</v>
      </c>
      <c r="AB18" s="43">
        <v>0.002</v>
      </c>
      <c r="AC18" s="43" t="s">
        <v>38</v>
      </c>
      <c r="AD18" s="43">
        <v>0.002</v>
      </c>
      <c r="AE18" s="43" t="s">
        <v>38</v>
      </c>
      <c r="AF18" s="43">
        <v>0.002</v>
      </c>
      <c r="AG18" s="43"/>
      <c r="AH18" s="56">
        <v>0.003525</v>
      </c>
    </row>
    <row r="19" spans="2:34" ht="12.75">
      <c r="B19" s="8" t="s">
        <v>162</v>
      </c>
      <c r="D19" s="8" t="s">
        <v>47</v>
      </c>
      <c r="E19" s="24" t="s">
        <v>38</v>
      </c>
      <c r="F19" s="43">
        <v>0.0119</v>
      </c>
      <c r="G19" s="43"/>
      <c r="H19" s="43">
        <v>0.0203</v>
      </c>
      <c r="I19" s="43" t="s">
        <v>38</v>
      </c>
      <c r="J19" s="43">
        <v>0.0203</v>
      </c>
      <c r="K19" s="43" t="s">
        <v>38</v>
      </c>
      <c r="L19" s="43">
        <v>0.0199</v>
      </c>
      <c r="N19" s="45">
        <v>0.0201</v>
      </c>
      <c r="O19" s="24" t="s">
        <v>38</v>
      </c>
      <c r="P19" s="43">
        <v>0.0001</v>
      </c>
      <c r="Q19" s="43" t="s">
        <v>38</v>
      </c>
      <c r="R19" s="43">
        <v>5E-05</v>
      </c>
      <c r="S19" s="43" t="s">
        <v>38</v>
      </c>
      <c r="T19" s="43">
        <v>4E-05</v>
      </c>
      <c r="U19" s="43" t="s">
        <v>38</v>
      </c>
      <c r="V19" s="43">
        <v>0.0001</v>
      </c>
      <c r="X19" s="45">
        <v>7.25E-05</v>
      </c>
      <c r="Y19" s="24" t="s">
        <v>38</v>
      </c>
      <c r="Z19" s="43">
        <v>0.0004</v>
      </c>
      <c r="AA19" s="43" t="s">
        <v>38</v>
      </c>
      <c r="AB19" s="43">
        <v>0.0004</v>
      </c>
      <c r="AC19" s="43" t="s">
        <v>38</v>
      </c>
      <c r="AD19" s="43">
        <v>0.0004</v>
      </c>
      <c r="AE19" s="43" t="s">
        <v>38</v>
      </c>
      <c r="AF19" s="43">
        <v>0.0004</v>
      </c>
      <c r="AG19" s="43"/>
      <c r="AH19" s="56">
        <v>0.0004</v>
      </c>
    </row>
    <row r="20" spans="2:34" ht="12.75">
      <c r="B20" s="8" t="s">
        <v>166</v>
      </c>
      <c r="D20" s="8" t="s">
        <v>47</v>
      </c>
      <c r="F20" s="43">
        <v>0.0497</v>
      </c>
      <c r="G20" s="43"/>
      <c r="H20" s="43">
        <v>0.0507</v>
      </c>
      <c r="I20" s="43" t="s">
        <v>38</v>
      </c>
      <c r="J20" s="43">
        <v>0.0507</v>
      </c>
      <c r="K20" s="43" t="s">
        <v>38</v>
      </c>
      <c r="L20" s="43">
        <v>0.0497</v>
      </c>
      <c r="N20" s="45">
        <v>0.0502</v>
      </c>
      <c r="O20" s="24" t="s">
        <v>38</v>
      </c>
      <c r="P20" s="43">
        <v>0.0008</v>
      </c>
      <c r="Q20" s="43"/>
      <c r="R20" s="43">
        <v>5E-05</v>
      </c>
      <c r="S20" s="43"/>
      <c r="T20" s="43">
        <v>0.0003</v>
      </c>
      <c r="U20" s="43"/>
      <c r="V20" s="43">
        <v>0.0004</v>
      </c>
      <c r="X20" s="45">
        <v>0.0003875</v>
      </c>
      <c r="Y20" s="24" t="s">
        <v>38</v>
      </c>
      <c r="Z20" s="43">
        <v>0.0027</v>
      </c>
      <c r="AA20" s="43" t="s">
        <v>38</v>
      </c>
      <c r="AB20" s="43">
        <v>0.0024</v>
      </c>
      <c r="AC20" s="43" t="s">
        <v>38</v>
      </c>
      <c r="AD20" s="43">
        <v>0.0024</v>
      </c>
      <c r="AE20" s="43" t="s">
        <v>38</v>
      </c>
      <c r="AF20" s="43">
        <v>0.0024</v>
      </c>
      <c r="AG20" s="43"/>
      <c r="AH20" s="56">
        <v>0.0024749999999999998</v>
      </c>
    </row>
    <row r="21" spans="2:34" ht="12.75">
      <c r="B21" s="8" t="s">
        <v>168</v>
      </c>
      <c r="D21" s="8" t="s">
        <v>47</v>
      </c>
      <c r="F21" s="43">
        <v>0.29815</v>
      </c>
      <c r="G21" s="43"/>
      <c r="H21" s="43">
        <v>0.30414</v>
      </c>
      <c r="I21" s="43"/>
      <c r="J21" s="43">
        <v>0.30427</v>
      </c>
      <c r="K21" s="43"/>
      <c r="L21" s="43">
        <v>0.29829</v>
      </c>
      <c r="N21" s="45">
        <v>0.3012125</v>
      </c>
      <c r="O21" s="24" t="s">
        <v>38</v>
      </c>
      <c r="P21" s="43">
        <v>0.00146</v>
      </c>
      <c r="Q21" s="43"/>
      <c r="R21" s="43">
        <v>0.00045</v>
      </c>
      <c r="S21" s="43" t="s">
        <v>38</v>
      </c>
      <c r="T21" s="43">
        <v>5E-05</v>
      </c>
      <c r="U21" s="43" t="s">
        <v>38</v>
      </c>
      <c r="V21" s="43">
        <v>0.00065</v>
      </c>
      <c r="X21" s="45">
        <v>0.0006525</v>
      </c>
      <c r="Y21" s="24" t="s">
        <v>38</v>
      </c>
      <c r="Z21" s="43">
        <v>0.2737</v>
      </c>
      <c r="AA21" s="43" t="s">
        <v>38</v>
      </c>
      <c r="AB21" s="43">
        <v>0.23945</v>
      </c>
      <c r="AC21" s="43" t="s">
        <v>38</v>
      </c>
      <c r="AD21" s="43">
        <v>0.2508</v>
      </c>
      <c r="AE21" s="43" t="s">
        <v>38</v>
      </c>
      <c r="AF21" s="43">
        <v>0.24667</v>
      </c>
      <c r="AG21" s="43"/>
      <c r="AH21" s="56">
        <v>0.25265000000000004</v>
      </c>
    </row>
    <row r="22" spans="2:34" ht="12.75">
      <c r="B22" s="8" t="s">
        <v>165</v>
      </c>
      <c r="D22" s="8" t="s">
        <v>47</v>
      </c>
      <c r="E22" s="24" t="s">
        <v>38</v>
      </c>
      <c r="F22" s="43">
        <v>0.0696</v>
      </c>
      <c r="G22" s="43"/>
      <c r="H22" s="43">
        <v>0.071</v>
      </c>
      <c r="I22" s="43" t="s">
        <v>38</v>
      </c>
      <c r="J22" s="43">
        <v>0.07</v>
      </c>
      <c r="K22" s="43" t="s">
        <v>38</v>
      </c>
      <c r="L22" s="43">
        <v>0.0696</v>
      </c>
      <c r="N22" s="45">
        <v>0.0703</v>
      </c>
      <c r="O22" s="24" t="s">
        <v>38</v>
      </c>
      <c r="P22" s="43">
        <v>0.0002</v>
      </c>
      <c r="Q22" s="43" t="s">
        <v>38</v>
      </c>
      <c r="R22" s="43">
        <v>0.0001</v>
      </c>
      <c r="S22" s="43" t="s">
        <v>38</v>
      </c>
      <c r="T22" s="43">
        <v>0.0001</v>
      </c>
      <c r="U22" s="43" t="s">
        <v>38</v>
      </c>
      <c r="V22" s="43">
        <v>0.0001</v>
      </c>
      <c r="X22" s="45">
        <v>0.000125</v>
      </c>
      <c r="Y22" s="24" t="s">
        <v>38</v>
      </c>
      <c r="Z22" s="43">
        <v>0.0019</v>
      </c>
      <c r="AA22" s="43" t="s">
        <v>38</v>
      </c>
      <c r="AB22" s="43">
        <v>0.0023</v>
      </c>
      <c r="AC22" s="43" t="s">
        <v>38</v>
      </c>
      <c r="AD22" s="43">
        <v>0.0017</v>
      </c>
      <c r="AE22" s="43" t="s">
        <v>38</v>
      </c>
      <c r="AF22" s="43">
        <v>0.0021</v>
      </c>
      <c r="AG22" s="43"/>
      <c r="AH22" s="56">
        <v>0.002</v>
      </c>
    </row>
    <row r="23" spans="2:34" ht="12.75">
      <c r="B23" s="8" t="s">
        <v>174</v>
      </c>
      <c r="D23" s="8" t="s">
        <v>47</v>
      </c>
      <c r="E23" s="24" t="s">
        <v>38</v>
      </c>
      <c r="F23" s="43">
        <v>0.0199</v>
      </c>
      <c r="G23" s="43"/>
      <c r="H23" s="43">
        <v>0.0253</v>
      </c>
      <c r="I23" s="43" t="s">
        <v>38</v>
      </c>
      <c r="J23" s="43">
        <v>0.0619</v>
      </c>
      <c r="K23" s="43" t="s">
        <v>38</v>
      </c>
      <c r="L23" s="43">
        <v>0.0199</v>
      </c>
      <c r="N23" s="45">
        <v>0.03175</v>
      </c>
      <c r="P23" s="43">
        <v>0.0004</v>
      </c>
      <c r="Q23" s="43" t="s">
        <v>38</v>
      </c>
      <c r="R23" s="43">
        <v>2E-05</v>
      </c>
      <c r="S23" s="43" t="s">
        <v>38</v>
      </c>
      <c r="T23" s="43">
        <v>2E-05</v>
      </c>
      <c r="U23" s="43" t="s">
        <v>38</v>
      </c>
      <c r="V23" s="43">
        <v>0.0002</v>
      </c>
      <c r="X23" s="45">
        <v>0.00016</v>
      </c>
      <c r="Y23" s="24" t="s">
        <v>38</v>
      </c>
      <c r="Z23" s="43">
        <v>0.0004</v>
      </c>
      <c r="AA23" s="43" t="s">
        <v>38</v>
      </c>
      <c r="AB23" s="43">
        <v>0.0005</v>
      </c>
      <c r="AC23" s="43" t="s">
        <v>38</v>
      </c>
      <c r="AD23" s="43">
        <v>0.0006</v>
      </c>
      <c r="AE23" s="43" t="s">
        <v>38</v>
      </c>
      <c r="AF23" s="43">
        <v>0.0004</v>
      </c>
      <c r="AG23" s="43"/>
      <c r="AH23" s="56">
        <v>0.000475</v>
      </c>
    </row>
    <row r="24" spans="2:34" ht="12.75">
      <c r="B24" s="8" t="s">
        <v>167</v>
      </c>
      <c r="D24" s="8" t="s">
        <v>47</v>
      </c>
      <c r="E24" s="24" t="s">
        <v>38</v>
      </c>
      <c r="F24" s="43">
        <v>0.2683</v>
      </c>
      <c r="G24" s="43"/>
      <c r="H24" s="43">
        <v>0.2737</v>
      </c>
      <c r="I24" s="43" t="s">
        <v>38</v>
      </c>
      <c r="J24" s="43">
        <v>0.284</v>
      </c>
      <c r="K24" s="43" t="s">
        <v>38</v>
      </c>
      <c r="L24" s="43">
        <v>0.2883</v>
      </c>
      <c r="N24" s="45">
        <v>0.278575</v>
      </c>
      <c r="O24" s="24" t="s">
        <v>38</v>
      </c>
      <c r="P24" s="43">
        <v>0.0007</v>
      </c>
      <c r="Q24" s="43" t="s">
        <v>38</v>
      </c>
      <c r="R24" s="43">
        <v>0.0002</v>
      </c>
      <c r="S24" s="43" t="s">
        <v>38</v>
      </c>
      <c r="T24" s="43">
        <v>0.0002</v>
      </c>
      <c r="U24" s="43" t="s">
        <v>38</v>
      </c>
      <c r="V24" s="43">
        <v>0.0004</v>
      </c>
      <c r="X24" s="45">
        <v>0.000375</v>
      </c>
      <c r="Y24" s="24" t="s">
        <v>38</v>
      </c>
      <c r="Z24" s="43">
        <v>0.0055</v>
      </c>
      <c r="AA24" s="43" t="s">
        <v>38</v>
      </c>
      <c r="AB24" s="43">
        <v>0.0058</v>
      </c>
      <c r="AC24" s="43" t="s">
        <v>38</v>
      </c>
      <c r="AD24" s="43">
        <v>0.0059</v>
      </c>
      <c r="AE24" s="43" t="s">
        <v>38</v>
      </c>
      <c r="AF24" s="43">
        <v>0.0054</v>
      </c>
      <c r="AG24" s="43"/>
      <c r="AH24" s="56">
        <v>0.0056500000000000005</v>
      </c>
    </row>
    <row r="25" spans="2:34" ht="12.75">
      <c r="B25" s="8" t="s">
        <v>163</v>
      </c>
      <c r="D25" s="8" t="s">
        <v>47</v>
      </c>
      <c r="E25" s="24" t="s">
        <v>38</v>
      </c>
      <c r="F25" s="43">
        <v>0.2385</v>
      </c>
      <c r="G25" s="43"/>
      <c r="H25" s="43">
        <v>0.2534</v>
      </c>
      <c r="I25" s="43" t="s">
        <v>38</v>
      </c>
      <c r="J25" s="43">
        <v>0.2536</v>
      </c>
      <c r="K25" s="43" t="s">
        <v>38</v>
      </c>
      <c r="L25" s="43">
        <v>0.2287</v>
      </c>
      <c r="N25" s="45">
        <v>0.24355000000000002</v>
      </c>
      <c r="O25" s="24" t="s">
        <v>38</v>
      </c>
      <c r="P25" s="43">
        <v>0.0002</v>
      </c>
      <c r="Q25" s="43" t="s">
        <v>38</v>
      </c>
      <c r="R25" s="43">
        <v>0.0001</v>
      </c>
      <c r="S25" s="43" t="s">
        <v>38</v>
      </c>
      <c r="T25" s="43">
        <v>0.0001</v>
      </c>
      <c r="U25" s="43" t="s">
        <v>38</v>
      </c>
      <c r="V25" s="43">
        <v>0.0001</v>
      </c>
      <c r="X25" s="45">
        <v>0.000125</v>
      </c>
      <c r="Y25" s="24" t="s">
        <v>38</v>
      </c>
      <c r="Z25" s="43">
        <v>0.005</v>
      </c>
      <c r="AA25" s="43" t="s">
        <v>38</v>
      </c>
      <c r="AB25" s="43">
        <v>0.0049</v>
      </c>
      <c r="AC25" s="43" t="s">
        <v>38</v>
      </c>
      <c r="AD25" s="43">
        <v>0.0049</v>
      </c>
      <c r="AE25" s="43" t="s">
        <v>38</v>
      </c>
      <c r="AF25" s="43">
        <v>0.0048</v>
      </c>
      <c r="AG25" s="43"/>
      <c r="AH25" s="56">
        <v>0.0049</v>
      </c>
    </row>
    <row r="27" spans="2:34" ht="12.75">
      <c r="B27" s="8" t="s">
        <v>42</v>
      </c>
      <c r="D27" s="8" t="s">
        <v>16</v>
      </c>
      <c r="F27" s="43">
        <f>emiss!$G$21</f>
        <v>8413</v>
      </c>
      <c r="H27" s="43">
        <f>emiss!$I$21</f>
        <v>8413</v>
      </c>
      <c r="J27" s="43">
        <f>emiss!$K$21</f>
        <v>8413</v>
      </c>
      <c r="L27" s="43">
        <f>emiss!$M$21</f>
        <v>8413</v>
      </c>
      <c r="N27" s="43">
        <f>emiss!$O$21</f>
        <v>8413</v>
      </c>
      <c r="P27" s="43">
        <f>emiss!$G$21</f>
        <v>8413</v>
      </c>
      <c r="R27" s="43">
        <f>emiss!$I$21</f>
        <v>8413</v>
      </c>
      <c r="T27" s="43">
        <f>emiss!$K$21</f>
        <v>8413</v>
      </c>
      <c r="V27" s="43">
        <f>emiss!$M$21</f>
        <v>8413</v>
      </c>
      <c r="X27" s="43">
        <f>emiss!$O$21</f>
        <v>8413</v>
      </c>
      <c r="Z27" s="43">
        <f>emiss!$G$21</f>
        <v>8413</v>
      </c>
      <c r="AB27" s="43">
        <f>emiss!$I$21</f>
        <v>8413</v>
      </c>
      <c r="AD27" s="43">
        <f>emiss!$K$21</f>
        <v>8413</v>
      </c>
      <c r="AF27" s="43">
        <f>emiss!$M$21</f>
        <v>8413</v>
      </c>
      <c r="AH27" s="43">
        <f>emiss!$O$21</f>
        <v>8413</v>
      </c>
    </row>
    <row r="28" spans="2:34" ht="12.75">
      <c r="B28" s="8" t="s">
        <v>10</v>
      </c>
      <c r="D28" s="8" t="s">
        <v>17</v>
      </c>
      <c r="F28" s="43">
        <f>emiss!$G$22</f>
        <v>4.8</v>
      </c>
      <c r="H28" s="43">
        <f>emiss!$I$22</f>
        <v>4.8</v>
      </c>
      <c r="J28" s="43">
        <f>emiss!$K$22</f>
        <v>4.8</v>
      </c>
      <c r="L28" s="43">
        <f>emiss!$M$22</f>
        <v>4.8</v>
      </c>
      <c r="N28" s="48">
        <f>emiss!$O$22</f>
        <v>4.8</v>
      </c>
      <c r="P28" s="43">
        <f>emiss!$G$22</f>
        <v>4.8</v>
      </c>
      <c r="R28" s="43">
        <f>emiss!$I$22</f>
        <v>4.8</v>
      </c>
      <c r="T28" s="43">
        <f>emiss!$K$22</f>
        <v>4.8</v>
      </c>
      <c r="V28" s="43">
        <f>emiss!$M$22</f>
        <v>4.8</v>
      </c>
      <c r="X28" s="48">
        <f>emiss!$O$22</f>
        <v>4.8</v>
      </c>
      <c r="Z28" s="43">
        <f>emiss!$G$22</f>
        <v>4.8</v>
      </c>
      <c r="AB28" s="43">
        <f>emiss!$I$22</f>
        <v>4.8</v>
      </c>
      <c r="AD28" s="43">
        <f>emiss!$K$22</f>
        <v>4.8</v>
      </c>
      <c r="AF28" s="43">
        <f>emiss!$M$22</f>
        <v>4.8</v>
      </c>
      <c r="AH28" s="48">
        <f>emiss!$O$22</f>
        <v>4.8</v>
      </c>
    </row>
    <row r="30" spans="2:44" ht="12.75">
      <c r="B30" s="5" t="s">
        <v>173</v>
      </c>
      <c r="C30" s="5"/>
      <c r="D30" s="5" t="s">
        <v>105</v>
      </c>
      <c r="F30" s="23">
        <f>(F12*F10)/1000000</f>
        <v>32.194554</v>
      </c>
      <c r="H30" s="23">
        <f>(H12*H10)/1000000</f>
        <v>32.97966</v>
      </c>
      <c r="J30" s="23">
        <f>(J12*J10)/1000000</f>
        <v>32.911684</v>
      </c>
      <c r="L30" s="23">
        <f>(L12*L10)/1000000</f>
        <v>32.187328</v>
      </c>
      <c r="N30" s="23">
        <f>(N12*N10)/1000000</f>
        <v>32.567778875</v>
      </c>
      <c r="P30" s="8">
        <v>6.7</v>
      </c>
      <c r="R30" s="8">
        <v>6.7</v>
      </c>
      <c r="T30" s="8">
        <v>6.7</v>
      </c>
      <c r="V30" s="8">
        <v>6.7</v>
      </c>
      <c r="X30" s="8">
        <v>6.7</v>
      </c>
      <c r="AJ30" s="15">
        <f>F30+P30</f>
        <v>38.894554</v>
      </c>
      <c r="AL30" s="15">
        <f>H30+R30</f>
        <v>39.679660000000005</v>
      </c>
      <c r="AN30" s="15">
        <f>J30+T30</f>
        <v>39.611684000000004</v>
      </c>
      <c r="AP30" s="15">
        <f>L30+V30</f>
        <v>38.887328000000004</v>
      </c>
      <c r="AR30" s="15">
        <f>N30+X30</f>
        <v>39.267778875000005</v>
      </c>
    </row>
    <row r="31" spans="2:44" ht="12.75">
      <c r="B31" s="5" t="s">
        <v>222</v>
      </c>
      <c r="C31" s="5"/>
      <c r="D31" s="5" t="s">
        <v>105</v>
      </c>
      <c r="F31" s="51"/>
      <c r="H31" s="51"/>
      <c r="J31" s="51"/>
      <c r="L31" s="51"/>
      <c r="N31" s="51"/>
      <c r="AR31" s="23">
        <f>(N27/9000)*((21-N28)/21)*60</f>
        <v>43.26685714285714</v>
      </c>
    </row>
    <row r="32" spans="2:44" ht="12.75">
      <c r="B32" s="5"/>
      <c r="C32" s="5"/>
      <c r="D32" s="5"/>
      <c r="F32" s="51"/>
      <c r="H32" s="51"/>
      <c r="J32" s="51"/>
      <c r="L32" s="51"/>
      <c r="N32" s="51"/>
      <c r="AR32" s="23"/>
    </row>
    <row r="33" spans="2:44" ht="12.75">
      <c r="B33" s="52" t="s">
        <v>129</v>
      </c>
      <c r="C33" s="52"/>
      <c r="D33" s="5"/>
      <c r="F33" s="51"/>
      <c r="H33" s="51"/>
      <c r="J33" s="51"/>
      <c r="L33" s="51"/>
      <c r="N33" s="51"/>
      <c r="AR33" s="23"/>
    </row>
    <row r="34" spans="2:44" ht="12.75">
      <c r="B34" s="8" t="s">
        <v>203</v>
      </c>
      <c r="C34" s="5"/>
      <c r="D34" s="5" t="s">
        <v>104</v>
      </c>
      <c r="F34" s="51"/>
      <c r="H34" s="51"/>
      <c r="J34" s="51"/>
      <c r="L34" s="51"/>
      <c r="N34" s="51"/>
      <c r="Z34" s="23">
        <f>(Z13/(F$27*60*0.0283))*(14/(21-F$28))*1000000</f>
        <v>15.123922909427526</v>
      </c>
      <c r="AB34" s="23">
        <f>(AB13/(H$27*60*0.0283))*(14/(21-H$28))*1000000</f>
        <v>15.123922909427526</v>
      </c>
      <c r="AD34" s="23">
        <f>(AD13/(J$27*60*0.0283))*(14/(21-J$28))*1000000</f>
        <v>15.123922909427526</v>
      </c>
      <c r="AF34" s="23">
        <f>(AF13/(L$27*60*0.0283))*(14/(21-L$28))*1000000</f>
        <v>15.123922909427526</v>
      </c>
      <c r="AH34" s="57">
        <f>AVERAGE(Z34,AB34,AD34,AF34)</f>
        <v>15.123922909427526</v>
      </c>
      <c r="AR34" s="15">
        <f>N34+X34+AH34</f>
        <v>15.123922909427526</v>
      </c>
    </row>
    <row r="35" spans="2:44" ht="12.75">
      <c r="B35" s="5" t="s">
        <v>9</v>
      </c>
      <c r="C35" s="5"/>
      <c r="D35" s="5" t="s">
        <v>15</v>
      </c>
      <c r="F35" s="23">
        <f>(F14/(F27*60*0.0283))*(14/(21-F28))*1000</f>
        <v>64.93002583475428</v>
      </c>
      <c r="G35" s="42"/>
      <c r="H35" s="23">
        <f>(H14/(H27*60*0.0283))*(14/(21-H28))*1000</f>
        <v>41.705729815037344</v>
      </c>
      <c r="I35" s="42"/>
      <c r="J35" s="23">
        <f>(J14/(J27*60*0.0283))*(14/(21-J28))*1000</f>
        <v>73.01829980671609</v>
      </c>
      <c r="K35" s="42"/>
      <c r="L35" s="23">
        <f>(L14/(L27*60*0.0283))*(14/(21-L28))*1000</f>
        <v>64.36136633335978</v>
      </c>
      <c r="M35" s="42"/>
      <c r="N35" s="23">
        <f aca="true" t="shared" si="0" ref="N35:N46">AVERAGE(F35,H35,J35,L35)</f>
        <v>61.003855447466876</v>
      </c>
      <c r="O35" s="42"/>
      <c r="P35" s="23"/>
      <c r="Q35" s="42"/>
      <c r="R35" s="23"/>
      <c r="S35" s="42"/>
      <c r="T35" s="23"/>
      <c r="U35" s="42"/>
      <c r="V35" s="23"/>
      <c r="W35" s="42"/>
      <c r="X35" s="23"/>
      <c r="Y35" s="58">
        <v>100</v>
      </c>
      <c r="Z35" s="23">
        <f>(Z14/(F27*60*0.0283))*(14/(21-F28))*1000</f>
        <v>86.65402870185596</v>
      </c>
      <c r="AA35" s="58">
        <v>100</v>
      </c>
      <c r="AB35" s="23">
        <f>(AB14/(H27*60*0.0283))*(14/(21-H28))*1000</f>
        <v>84.6213734628289</v>
      </c>
      <c r="AC35" s="58">
        <v>100</v>
      </c>
      <c r="AD35" s="23">
        <f>(AD14/(J27*60*0.0283))*(14/(21-J28))*1000</f>
        <v>86.70242525516612</v>
      </c>
      <c r="AE35" s="58">
        <v>100</v>
      </c>
      <c r="AF35" s="23">
        <f>(AF14/(L27*60*0.0283))*(14/(21-L28))*1000</f>
        <v>88.28136280691037</v>
      </c>
      <c r="AG35" s="58">
        <v>100</v>
      </c>
      <c r="AH35" s="57">
        <f aca="true" t="shared" si="1" ref="AH35:AH46">AVERAGE(Z35,AB35,AD35,AF35)</f>
        <v>86.56479755669034</v>
      </c>
      <c r="AI35" s="46">
        <f aca="true" t="shared" si="2" ref="AI35:AI46">SUM(Y35*Z35,O35*P35,E35*F35)/AJ35</f>
        <v>57.16566228997885</v>
      </c>
      <c r="AJ35" s="15">
        <f>SUM(Z35,P35,F35)</f>
        <v>151.58405453661024</v>
      </c>
      <c r="AK35" s="46">
        <f aca="true" t="shared" si="3" ref="AK35:AK46">SUM(AA35*AB35,Q35*R35,G35*H35)/AL35</f>
        <v>66.98592088880376</v>
      </c>
      <c r="AL35" s="15">
        <f>SUM(AB35,R35,H35)</f>
        <v>126.32710327786624</v>
      </c>
      <c r="AM35" s="46">
        <f aca="true" t="shared" si="4" ref="AM35:AM46">SUM(AC35*AD35,S35*T35,I35*J35)/AN35</f>
        <v>54.28376638133476</v>
      </c>
      <c r="AN35" s="15">
        <f>SUM(AD35,T35,J35)</f>
        <v>159.7207250618822</v>
      </c>
      <c r="AO35" s="46">
        <f aca="true" t="shared" si="5" ref="AO35:AO46">SUM(AE35*AF35,U35*V35,K35*L35)/AP35</f>
        <v>57.8352885225111</v>
      </c>
      <c r="AP35" s="15">
        <f>SUM(AF35,V35,L35)</f>
        <v>152.64272914027015</v>
      </c>
      <c r="AQ35" s="46">
        <f aca="true" t="shared" si="6" ref="AQ35:AQ46">AVERAGE(AI35*AJ35,AK35*AL35,AM35*AN35,AO35*AP35)/AR35</f>
        <v>58.6606950693327</v>
      </c>
      <c r="AR35" s="15">
        <f>SUM(AH35,X35,N35)</f>
        <v>147.56865300415723</v>
      </c>
    </row>
    <row r="36" spans="2:44" ht="12.75">
      <c r="B36" s="5" t="s">
        <v>41</v>
      </c>
      <c r="C36" s="5"/>
      <c r="D36" s="5" t="s">
        <v>104</v>
      </c>
      <c r="F36" s="23">
        <f>(F15/(F27*60*0.0283))*(14/(21-F28))*1000000</f>
        <v>19840.771986419786</v>
      </c>
      <c r="G36" s="42"/>
      <c r="H36" s="23">
        <f>(H15/(H27*60*0.0283))*(14/(21-H28))*1000000</f>
        <v>55922.8223068156</v>
      </c>
      <c r="I36" s="42"/>
      <c r="J36" s="23">
        <f>(J15/(J27*60*0.0283))*(14/(21-J28))*1000000</f>
        <v>26997.41230716089</v>
      </c>
      <c r="K36" s="42"/>
      <c r="L36" s="23">
        <f>(L15/(L27*60*0.0283))*(14/(21-L28))*1000000</f>
        <v>27668.914484339475</v>
      </c>
      <c r="M36" s="42"/>
      <c r="N36" s="23">
        <f t="shared" si="0"/>
        <v>32607.48027118394</v>
      </c>
      <c r="O36" s="58">
        <v>100</v>
      </c>
      <c r="P36" s="23">
        <f>(P15/(F27*60*0.0283))*(14/(21-F28))*1000000</f>
        <v>16.333836742181727</v>
      </c>
      <c r="Q36" s="58">
        <v>100</v>
      </c>
      <c r="R36" s="57">
        <f>(R15/(H27*60*0.0283))*(14/(21-H28))*1000000</f>
        <v>6.049569163771011</v>
      </c>
      <c r="S36" s="58">
        <v>100</v>
      </c>
      <c r="T36" s="57">
        <f>(T15/(J27*60*0.0283))*(14/(21-J28))*1000000</f>
        <v>5.44461224739391</v>
      </c>
      <c r="U36" s="58">
        <v>100</v>
      </c>
      <c r="V36" s="57">
        <f>(V15/(L27*60*0.0283))*(14/(21-L28))*1000000</f>
        <v>9.074353745656516</v>
      </c>
      <c r="W36" s="58">
        <v>100</v>
      </c>
      <c r="X36" s="57">
        <f>AVERAGE(P36,R36,T36,V36)</f>
        <v>9.225592974750791</v>
      </c>
      <c r="Y36" s="58"/>
      <c r="Z36" s="23">
        <f>(Z15/(F27*60*0.0283))*(14/(21-F28))*1000000</f>
        <v>28638.05546437559</v>
      </c>
      <c r="AA36" s="58"/>
      <c r="AB36" s="23">
        <f>(AB15/(H27*60*0.0283))*(14/(21-H28))*1000000</f>
        <v>19973.862508022747</v>
      </c>
      <c r="AC36" s="58"/>
      <c r="AD36" s="23">
        <f>(AD15/(J27*60*0.0283))*(14/(21-J28))*1000000</f>
        <v>28132.311482284327</v>
      </c>
      <c r="AE36" s="58"/>
      <c r="AF36" s="23">
        <f>(AF15/(L27*60*0.0283))*(14/(21-L28))*1000000</f>
        <v>25423.91936766405</v>
      </c>
      <c r="AG36" s="42"/>
      <c r="AH36" s="57">
        <f t="shared" si="1"/>
        <v>25542.037205586683</v>
      </c>
      <c r="AI36" s="46">
        <f t="shared" si="2"/>
        <v>0.03368137420006736</v>
      </c>
      <c r="AJ36" s="15">
        <f aca="true" t="shared" si="7" ref="AJ36:AR46">SUM(Z36,P36,F36)</f>
        <v>48495.16128753756</v>
      </c>
      <c r="AK36" s="46">
        <f t="shared" si="3"/>
        <v>0.00797015972200083</v>
      </c>
      <c r="AL36" s="15">
        <f t="shared" si="7"/>
        <v>75902.73438400212</v>
      </c>
      <c r="AM36" s="46">
        <f t="shared" si="4"/>
        <v>0.009875026059096547</v>
      </c>
      <c r="AN36" s="15">
        <f t="shared" si="7"/>
        <v>55135.16840169261</v>
      </c>
      <c r="AO36" s="46">
        <f t="shared" si="5"/>
        <v>0.017088564332748524</v>
      </c>
      <c r="AP36" s="15">
        <f t="shared" si="7"/>
        <v>53101.90820574918</v>
      </c>
      <c r="AQ36" s="46">
        <f t="shared" si="6"/>
        <v>0.01586277915890864</v>
      </c>
      <c r="AR36" s="15">
        <f t="shared" si="7"/>
        <v>58158.743069745375</v>
      </c>
    </row>
    <row r="37" spans="2:44" ht="12.75">
      <c r="B37" s="5" t="s">
        <v>164</v>
      </c>
      <c r="C37" s="5"/>
      <c r="D37" s="5" t="s">
        <v>104</v>
      </c>
      <c r="E37" s="24">
        <v>100</v>
      </c>
      <c r="F37" s="23">
        <f>(F16/(F$27*60*0.0283))*(14/(21-F$28))*1000000</f>
        <v>14.428222455593861</v>
      </c>
      <c r="G37" s="24">
        <v>100</v>
      </c>
      <c r="H37" s="23">
        <f>(H16/(H$27*60*0.0283))*(14/(21-H$28))*1000000</f>
        <v>15.329608260995743</v>
      </c>
      <c r="I37" s="24">
        <v>100</v>
      </c>
      <c r="J37" s="23">
        <f aca="true" t="shared" si="8" ref="J37:J46">(J16/(J$27*60*0.0283))*(14/(21-J$28))*1000000</f>
        <v>15.341707399323283</v>
      </c>
      <c r="K37" s="58">
        <v>100</v>
      </c>
      <c r="L37" s="23">
        <f aca="true" t="shared" si="9" ref="L37:L46">(L16/(L$27*60*0.0283))*(14/(21-L$28))*1000000</f>
        <v>13.8353646775443</v>
      </c>
      <c r="M37" s="58">
        <v>100</v>
      </c>
      <c r="N37" s="23">
        <f t="shared" si="0"/>
        <v>14.733725698364296</v>
      </c>
      <c r="O37" s="58">
        <v>100</v>
      </c>
      <c r="P37" s="23">
        <f>(P16/(F$27*60*0.0283))*(14/(21-F$28))*1000000</f>
        <v>0.07864439912902314</v>
      </c>
      <c r="Q37" s="58">
        <v>100</v>
      </c>
      <c r="R37" s="57">
        <f>(R16/(H$27*60*0.0283))*(14/(21-H$28))*1000000</f>
        <v>0.030247845818855052</v>
      </c>
      <c r="S37" s="58">
        <v>100</v>
      </c>
      <c r="T37" s="57">
        <f>(T16/(J$27*60*0.0283))*(14/(21-J$28))*1000000</f>
        <v>0.024198276655084044</v>
      </c>
      <c r="U37" s="58">
        <v>100</v>
      </c>
      <c r="V37" s="57">
        <f>(V16/(L$27*60*0.0283))*(14/(21-L$28))*1000000</f>
        <v>0.04234698414639707</v>
      </c>
      <c r="W37" s="58">
        <v>100</v>
      </c>
      <c r="X37" s="57">
        <f aca="true" t="shared" si="10" ref="X37:X46">AVERAGE(P37,R37,T37,V37)</f>
        <v>0.04385937643733982</v>
      </c>
      <c r="Y37" s="58">
        <v>100</v>
      </c>
      <c r="Z37" s="23">
        <f>(Z16/(F$27*60*0.0283))*(14/(21-F$28))*1000000</f>
        <v>0.30247845818855057</v>
      </c>
      <c r="AA37" s="58">
        <v>100</v>
      </c>
      <c r="AB37" s="23">
        <f>(AB16/(H$27*60*0.0283))*(14/(21-H$28))*1000000</f>
        <v>0.29642888902477954</v>
      </c>
      <c r="AC37" s="58">
        <v>100</v>
      </c>
      <c r="AD37" s="23">
        <f>(AD16/(J$27*60*0.0283))*(14/(21-J$28))*1000000</f>
        <v>0.29642888902477954</v>
      </c>
      <c r="AE37" s="58">
        <v>100</v>
      </c>
      <c r="AF37" s="23">
        <f>(AF16/(L$27*60*0.0283))*(14/(21-L$28))*1000000</f>
        <v>0.2903793198610085</v>
      </c>
      <c r="AG37" s="58">
        <v>100</v>
      </c>
      <c r="AH37" s="57">
        <f t="shared" si="1"/>
        <v>0.29642888902477954</v>
      </c>
      <c r="AI37" s="46">
        <f t="shared" si="2"/>
        <v>100</v>
      </c>
      <c r="AJ37" s="15">
        <f t="shared" si="7"/>
        <v>14.809345312911434</v>
      </c>
      <c r="AK37" s="46">
        <f t="shared" si="3"/>
        <v>100</v>
      </c>
      <c r="AL37" s="15">
        <f t="shared" si="7"/>
        <v>15.656284995839377</v>
      </c>
      <c r="AM37" s="46">
        <f t="shared" si="4"/>
        <v>100.00000000000001</v>
      </c>
      <c r="AN37" s="15">
        <f t="shared" si="7"/>
        <v>15.662334565003146</v>
      </c>
      <c r="AO37" s="46">
        <f t="shared" si="5"/>
        <v>100.00000000000001</v>
      </c>
      <c r="AP37" s="15">
        <f t="shared" si="7"/>
        <v>14.168090981551705</v>
      </c>
      <c r="AQ37" s="46">
        <f t="shared" si="6"/>
        <v>100</v>
      </c>
      <c r="AR37" s="15">
        <f t="shared" si="7"/>
        <v>15.074013963826415</v>
      </c>
    </row>
    <row r="38" spans="2:44" ht="12.75">
      <c r="B38" s="5" t="s">
        <v>160</v>
      </c>
      <c r="C38" s="5"/>
      <c r="D38" s="5" t="s">
        <v>104</v>
      </c>
      <c r="E38" s="24">
        <v>100</v>
      </c>
      <c r="F38" s="23">
        <f aca="true" t="shared" si="11" ref="F38:H46">(F17/(F$27*60*0.0283))*(14/(21-F$28))*1000000</f>
        <v>4.210500137984623</v>
      </c>
      <c r="G38" s="24">
        <v>100</v>
      </c>
      <c r="H38" s="23">
        <f t="shared" si="11"/>
        <v>4.2951941062774175</v>
      </c>
      <c r="I38" s="24">
        <v>100</v>
      </c>
      <c r="J38" s="23">
        <f t="shared" si="8"/>
        <v>4.2951941062774175</v>
      </c>
      <c r="K38" s="58">
        <v>100</v>
      </c>
      <c r="L38" s="23">
        <f t="shared" si="9"/>
        <v>4.210500137984623</v>
      </c>
      <c r="M38" s="58">
        <v>100</v>
      </c>
      <c r="N38" s="23">
        <f t="shared" si="0"/>
        <v>4.252847122131021</v>
      </c>
      <c r="O38" s="42"/>
      <c r="P38" s="23">
        <f aca="true" t="shared" si="12" ref="P38:P46">(P17/(F$27*60*0.0283))*(14/(21-F$28))*1000000</f>
        <v>0.0544461224739391</v>
      </c>
      <c r="Q38" s="42"/>
      <c r="R38" s="57">
        <f aca="true" t="shared" si="13" ref="R38:R46">(R17/(H$27*60*0.0283))*(14/(21-H$28))*1000000</f>
        <v>0.018148707491313032</v>
      </c>
      <c r="S38" s="42"/>
      <c r="T38" s="57">
        <f aca="true" t="shared" si="14" ref="T38:T46">(T17/(J$27*60*0.0283))*(14/(21-J$28))*1000000</f>
        <v>0.018148707491313032</v>
      </c>
      <c r="U38" s="42"/>
      <c r="V38" s="57">
        <f aca="true" t="shared" si="15" ref="V38:V46">(V17/(L$27*60*0.0283))*(14/(21-L$28))*1000000</f>
        <v>0.030247845818855052</v>
      </c>
      <c r="W38" s="42"/>
      <c r="X38" s="57">
        <f t="shared" si="10"/>
        <v>0.030247845818855052</v>
      </c>
      <c r="Y38" s="58">
        <v>100</v>
      </c>
      <c r="Z38" s="23">
        <f aca="true" t="shared" si="16" ref="Z38:Z46">(Z17/(F$27*60*0.0283))*(14/(21-F$28))*1000000</f>
        <v>0.9497823587120486</v>
      </c>
      <c r="AA38" s="58">
        <v>100</v>
      </c>
      <c r="AB38" s="23">
        <f aca="true" t="shared" si="17" ref="AB38:AB46">(AB17/(H$27*60*0.0283))*(14/(21-H$28))*1000000</f>
        <v>0.574709070558246</v>
      </c>
      <c r="AC38" s="58">
        <v>100</v>
      </c>
      <c r="AD38" s="23">
        <f aca="true" t="shared" si="18" ref="AD38:AD46">(AD17/(J$27*60*0.0283))*(14/(21-J$28))*1000000</f>
        <v>0.6110064855408721</v>
      </c>
      <c r="AE38" s="58">
        <v>100</v>
      </c>
      <c r="AF38" s="23">
        <f aca="true" t="shared" si="19" ref="AF38:AF46">(AF17/(L$27*60*0.0283))*(14/(21-L$28))*1000000</f>
        <v>0.6170560547046431</v>
      </c>
      <c r="AG38" s="58">
        <v>100</v>
      </c>
      <c r="AH38" s="57">
        <f t="shared" si="1"/>
        <v>0.6881384923789524</v>
      </c>
      <c r="AI38" s="46">
        <f t="shared" si="2"/>
        <v>98.95591647331787</v>
      </c>
      <c r="AJ38" s="15">
        <f t="shared" si="7"/>
        <v>5.214728619170611</v>
      </c>
      <c r="AK38" s="46">
        <f t="shared" si="3"/>
        <v>99.62871287128714</v>
      </c>
      <c r="AL38" s="15">
        <f t="shared" si="7"/>
        <v>4.888051884326977</v>
      </c>
      <c r="AM38" s="46">
        <f t="shared" si="4"/>
        <v>99.63144963144964</v>
      </c>
      <c r="AN38" s="15">
        <f t="shared" si="7"/>
        <v>4.924349299309602</v>
      </c>
      <c r="AO38" s="46">
        <f t="shared" si="5"/>
        <v>99.37733499377335</v>
      </c>
      <c r="AP38" s="15">
        <f t="shared" si="7"/>
        <v>4.857804038508122</v>
      </c>
      <c r="AQ38" s="46">
        <f t="shared" si="6"/>
        <v>99.39154243991482</v>
      </c>
      <c r="AR38" s="15">
        <f t="shared" si="7"/>
        <v>4.971233460328828</v>
      </c>
    </row>
    <row r="39" spans="2:44" ht="12.75">
      <c r="B39" s="5" t="s">
        <v>161</v>
      </c>
      <c r="C39" s="5"/>
      <c r="D39" s="5" t="s">
        <v>104</v>
      </c>
      <c r="E39" s="24">
        <v>100</v>
      </c>
      <c r="F39" s="23">
        <f t="shared" si="11"/>
        <v>6.013271748788385</v>
      </c>
      <c r="G39" s="24">
        <v>100</v>
      </c>
      <c r="H39" s="23">
        <f t="shared" si="11"/>
        <v>6.134263132063806</v>
      </c>
      <c r="I39" s="24">
        <v>100</v>
      </c>
      <c r="J39" s="23">
        <f t="shared" si="8"/>
        <v>6.134263132063806</v>
      </c>
      <c r="K39" s="58">
        <v>100</v>
      </c>
      <c r="L39" s="23">
        <f t="shared" si="9"/>
        <v>6.013271748788385</v>
      </c>
      <c r="M39" s="58">
        <v>100</v>
      </c>
      <c r="N39" s="23">
        <f t="shared" si="0"/>
        <v>6.073767440426096</v>
      </c>
      <c r="O39" s="58">
        <v>100</v>
      </c>
      <c r="P39" s="23">
        <f t="shared" si="12"/>
        <v>5.123985081714046</v>
      </c>
      <c r="Q39" s="58">
        <v>100</v>
      </c>
      <c r="R39" s="57">
        <f t="shared" si="13"/>
        <v>0.11494181411164921</v>
      </c>
      <c r="S39" s="58">
        <v>100</v>
      </c>
      <c r="T39" s="57">
        <f t="shared" si="14"/>
        <v>0.10284267578410718</v>
      </c>
      <c r="U39" s="58">
        <v>100</v>
      </c>
      <c r="V39" s="57">
        <f t="shared" si="15"/>
        <v>1.7059785041834252</v>
      </c>
      <c r="W39" s="58">
        <v>100</v>
      </c>
      <c r="X39" s="57">
        <f t="shared" si="10"/>
        <v>1.761937018948307</v>
      </c>
      <c r="Y39" s="58">
        <v>100</v>
      </c>
      <c r="Z39" s="23">
        <f t="shared" si="16"/>
        <v>0.49001510226545186</v>
      </c>
      <c r="AA39" s="58">
        <v>100</v>
      </c>
      <c r="AB39" s="23">
        <f t="shared" si="17"/>
        <v>0.12099138327542021</v>
      </c>
      <c r="AC39" s="58">
        <v>100</v>
      </c>
      <c r="AD39" s="23">
        <f t="shared" si="18"/>
        <v>0.12099138327542021</v>
      </c>
      <c r="AE39" s="58">
        <v>100</v>
      </c>
      <c r="AF39" s="23">
        <f t="shared" si="19"/>
        <v>0.12099138327542021</v>
      </c>
      <c r="AG39" s="58">
        <v>100</v>
      </c>
      <c r="AH39" s="57">
        <f t="shared" si="1"/>
        <v>0.21324731302292815</v>
      </c>
      <c r="AI39" s="46">
        <f t="shared" si="2"/>
        <v>100</v>
      </c>
      <c r="AJ39" s="15">
        <f t="shared" si="7"/>
        <v>11.627271932767883</v>
      </c>
      <c r="AK39" s="46">
        <f t="shared" si="3"/>
        <v>99.99999999999999</v>
      </c>
      <c r="AL39" s="15">
        <f t="shared" si="7"/>
        <v>6.370196329450875</v>
      </c>
      <c r="AM39" s="46">
        <f t="shared" si="4"/>
        <v>99.99999999999999</v>
      </c>
      <c r="AN39" s="15">
        <f t="shared" si="7"/>
        <v>6.358097191123333</v>
      </c>
      <c r="AO39" s="46">
        <f t="shared" si="5"/>
        <v>100.00000000000001</v>
      </c>
      <c r="AP39" s="15">
        <f t="shared" si="7"/>
        <v>7.84024163624723</v>
      </c>
      <c r="AQ39" s="46">
        <f t="shared" si="6"/>
        <v>100</v>
      </c>
      <c r="AR39" s="15">
        <f t="shared" si="7"/>
        <v>8.04895177239733</v>
      </c>
    </row>
    <row r="40" spans="2:44" ht="12.75">
      <c r="B40" s="5" t="s">
        <v>162</v>
      </c>
      <c r="C40" s="5"/>
      <c r="D40" s="5" t="s">
        <v>104</v>
      </c>
      <c r="E40" s="24">
        <v>100</v>
      </c>
      <c r="F40" s="23">
        <f t="shared" si="11"/>
        <v>0.7198987304887503</v>
      </c>
      <c r="G40" s="24">
        <v>100</v>
      </c>
      <c r="H40" s="23">
        <f t="shared" si="11"/>
        <v>1.228062540245515</v>
      </c>
      <c r="I40" s="24">
        <v>100</v>
      </c>
      <c r="J40" s="23">
        <f t="shared" si="8"/>
        <v>1.228062540245515</v>
      </c>
      <c r="K40" s="58">
        <v>100</v>
      </c>
      <c r="L40" s="23">
        <f t="shared" si="9"/>
        <v>1.203864263590431</v>
      </c>
      <c r="M40" s="58">
        <v>100</v>
      </c>
      <c r="N40" s="23">
        <f t="shared" si="0"/>
        <v>1.0949720186425527</v>
      </c>
      <c r="O40" s="58">
        <v>100</v>
      </c>
      <c r="P40" s="23">
        <f t="shared" si="12"/>
        <v>0.006049569163771011</v>
      </c>
      <c r="Q40" s="58">
        <v>100</v>
      </c>
      <c r="R40" s="57">
        <f t="shared" si="13"/>
        <v>0.0030247845818855055</v>
      </c>
      <c r="S40" s="58">
        <v>100</v>
      </c>
      <c r="T40" s="57">
        <f t="shared" si="14"/>
        <v>0.0024198276655084043</v>
      </c>
      <c r="U40" s="58">
        <v>100</v>
      </c>
      <c r="V40" s="57">
        <f t="shared" si="15"/>
        <v>0.006049569163771011</v>
      </c>
      <c r="W40" s="58">
        <v>100</v>
      </c>
      <c r="X40" s="57">
        <f t="shared" si="10"/>
        <v>0.004385937643733983</v>
      </c>
      <c r="Y40" s="58">
        <v>100</v>
      </c>
      <c r="Z40" s="23">
        <f t="shared" si="16"/>
        <v>0.024198276655084044</v>
      </c>
      <c r="AA40" s="58">
        <v>100</v>
      </c>
      <c r="AB40" s="23">
        <f t="shared" si="17"/>
        <v>0.024198276655084044</v>
      </c>
      <c r="AC40" s="58">
        <v>100</v>
      </c>
      <c r="AD40" s="23">
        <f t="shared" si="18"/>
        <v>0.024198276655084044</v>
      </c>
      <c r="AE40" s="58">
        <v>100</v>
      </c>
      <c r="AF40" s="23">
        <f t="shared" si="19"/>
        <v>0.024198276655084044</v>
      </c>
      <c r="AG40" s="58">
        <v>100</v>
      </c>
      <c r="AH40" s="57">
        <f t="shared" si="1"/>
        <v>0.024198276655084044</v>
      </c>
      <c r="AI40" s="46">
        <f t="shared" si="2"/>
        <v>99.99999999999999</v>
      </c>
      <c r="AJ40" s="15">
        <f t="shared" si="7"/>
        <v>0.7501465763076054</v>
      </c>
      <c r="AK40" s="46">
        <f t="shared" si="3"/>
        <v>100</v>
      </c>
      <c r="AL40" s="15">
        <f t="shared" si="7"/>
        <v>1.2552856014824845</v>
      </c>
      <c r="AM40" s="46">
        <f t="shared" si="4"/>
        <v>100</v>
      </c>
      <c r="AN40" s="15">
        <f t="shared" si="7"/>
        <v>1.2546806445661074</v>
      </c>
      <c r="AO40" s="46">
        <f t="shared" si="5"/>
        <v>100</v>
      </c>
      <c r="AP40" s="15">
        <f t="shared" si="7"/>
        <v>1.2341121094092862</v>
      </c>
      <c r="AQ40" s="46">
        <f t="shared" si="6"/>
        <v>100.00000000000001</v>
      </c>
      <c r="AR40" s="15">
        <f t="shared" si="7"/>
        <v>1.1235562329413706</v>
      </c>
    </row>
    <row r="41" spans="2:44" ht="12.75">
      <c r="B41" s="5" t="s">
        <v>166</v>
      </c>
      <c r="C41" s="5"/>
      <c r="D41" s="5" t="s">
        <v>104</v>
      </c>
      <c r="F41" s="23">
        <f t="shared" si="11"/>
        <v>3.0066358743941923</v>
      </c>
      <c r="G41" s="24">
        <v>100</v>
      </c>
      <c r="H41" s="23">
        <f t="shared" si="11"/>
        <v>3.067131566031903</v>
      </c>
      <c r="I41" s="24">
        <v>100</v>
      </c>
      <c r="J41" s="23">
        <f t="shared" si="8"/>
        <v>3.067131566031903</v>
      </c>
      <c r="K41" s="58">
        <v>100</v>
      </c>
      <c r="L41" s="23">
        <f t="shared" si="9"/>
        <v>3.0066358743941923</v>
      </c>
      <c r="M41" s="58">
        <v>100</v>
      </c>
      <c r="N41" s="23">
        <f t="shared" si="0"/>
        <v>3.036883720213048</v>
      </c>
      <c r="O41" s="58">
        <v>100</v>
      </c>
      <c r="P41" s="23">
        <f t="shared" si="12"/>
        <v>0.04839655331016809</v>
      </c>
      <c r="Q41" s="58">
        <v>100</v>
      </c>
      <c r="R41" s="57">
        <f t="shared" si="13"/>
        <v>0.0030247845818855055</v>
      </c>
      <c r="S41" s="58">
        <v>100</v>
      </c>
      <c r="T41" s="57">
        <f t="shared" si="14"/>
        <v>0.018148707491313032</v>
      </c>
      <c r="U41" s="58">
        <v>100</v>
      </c>
      <c r="V41" s="57">
        <f t="shared" si="15"/>
        <v>0.024198276655084044</v>
      </c>
      <c r="W41" s="58">
        <v>100</v>
      </c>
      <c r="X41" s="57">
        <f t="shared" si="10"/>
        <v>0.02344208050961267</v>
      </c>
      <c r="Y41" s="58">
        <v>100</v>
      </c>
      <c r="Z41" s="23">
        <f t="shared" si="16"/>
        <v>0.1633383674218173</v>
      </c>
      <c r="AA41" s="58">
        <v>100</v>
      </c>
      <c r="AB41" s="23">
        <f t="shared" si="17"/>
        <v>0.14518965993050426</v>
      </c>
      <c r="AC41" s="58">
        <v>100</v>
      </c>
      <c r="AD41" s="23">
        <f t="shared" si="18"/>
        <v>0.14518965993050426</v>
      </c>
      <c r="AE41" s="58">
        <v>100</v>
      </c>
      <c r="AF41" s="23">
        <f t="shared" si="19"/>
        <v>0.14518965993050426</v>
      </c>
      <c r="AG41" s="58">
        <v>100</v>
      </c>
      <c r="AH41" s="57">
        <f t="shared" si="1"/>
        <v>0.1497268368033325</v>
      </c>
      <c r="AI41" s="46">
        <f t="shared" si="2"/>
        <v>6.578947368421053</v>
      </c>
      <c r="AJ41" s="15">
        <f t="shared" si="7"/>
        <v>3.2183707951261775</v>
      </c>
      <c r="AK41" s="46">
        <f t="shared" si="3"/>
        <v>99.99999999999999</v>
      </c>
      <c r="AL41" s="15">
        <f t="shared" si="7"/>
        <v>3.215346010544293</v>
      </c>
      <c r="AM41" s="46">
        <f t="shared" si="4"/>
        <v>100</v>
      </c>
      <c r="AN41" s="15">
        <f t="shared" si="7"/>
        <v>3.2304699334537204</v>
      </c>
      <c r="AO41" s="46">
        <f t="shared" si="5"/>
        <v>100.00000000000001</v>
      </c>
      <c r="AP41" s="15">
        <f t="shared" si="7"/>
        <v>3.1760238109797805</v>
      </c>
      <c r="AQ41" s="46">
        <f t="shared" si="6"/>
        <v>76.58421672555947</v>
      </c>
      <c r="AR41" s="15">
        <f t="shared" si="7"/>
        <v>3.210052637525993</v>
      </c>
    </row>
    <row r="42" spans="2:44" ht="12.75">
      <c r="B42" s="5" t="s">
        <v>168</v>
      </c>
      <c r="C42" s="5"/>
      <c r="D42" s="5" t="s">
        <v>104</v>
      </c>
      <c r="F42" s="23">
        <f t="shared" si="11"/>
        <v>18.03679046178327</v>
      </c>
      <c r="G42" s="42"/>
      <c r="H42" s="23">
        <f t="shared" si="11"/>
        <v>18.399159654693154</v>
      </c>
      <c r="I42" s="42"/>
      <c r="J42" s="23">
        <f t="shared" si="8"/>
        <v>18.40702409460605</v>
      </c>
      <c r="K42" s="42"/>
      <c r="L42" s="23">
        <f t="shared" si="9"/>
        <v>18.045259858612546</v>
      </c>
      <c r="M42" s="58"/>
      <c r="N42" s="23">
        <f t="shared" si="0"/>
        <v>18.222058517423754</v>
      </c>
      <c r="O42" s="58">
        <v>100</v>
      </c>
      <c r="P42" s="23">
        <f t="shared" si="12"/>
        <v>0.08832370979105676</v>
      </c>
      <c r="Q42" s="58">
        <v>100</v>
      </c>
      <c r="R42" s="57">
        <f t="shared" si="13"/>
        <v>0.02722306123696955</v>
      </c>
      <c r="S42" s="58">
        <v>100</v>
      </c>
      <c r="T42" s="57">
        <f t="shared" si="14"/>
        <v>0.0030247845818855055</v>
      </c>
      <c r="U42" s="58">
        <v>100</v>
      </c>
      <c r="V42" s="57">
        <f t="shared" si="15"/>
        <v>0.03932219956451157</v>
      </c>
      <c r="W42" s="58">
        <v>100</v>
      </c>
      <c r="X42" s="57">
        <f t="shared" si="10"/>
        <v>0.03947343879360585</v>
      </c>
      <c r="Y42" s="58">
        <v>100</v>
      </c>
      <c r="Z42" s="23">
        <f t="shared" si="16"/>
        <v>16.557670801241255</v>
      </c>
      <c r="AA42" s="58">
        <v>100</v>
      </c>
      <c r="AB42" s="23">
        <f t="shared" si="17"/>
        <v>14.485693362649686</v>
      </c>
      <c r="AC42" s="58">
        <v>100</v>
      </c>
      <c r="AD42" s="23">
        <f t="shared" si="18"/>
        <v>15.172319462737697</v>
      </c>
      <c r="AE42" s="58">
        <v>100</v>
      </c>
      <c r="AF42" s="23">
        <f t="shared" si="19"/>
        <v>14.922472256273952</v>
      </c>
      <c r="AG42" s="58">
        <v>100</v>
      </c>
      <c r="AH42" s="57">
        <f t="shared" si="1"/>
        <v>15.284538970725649</v>
      </c>
      <c r="AI42" s="46">
        <f t="shared" si="2"/>
        <v>47.994976539742886</v>
      </c>
      <c r="AJ42" s="15">
        <f t="shared" si="7"/>
        <v>34.68278497281558</v>
      </c>
      <c r="AK42" s="46">
        <f t="shared" si="3"/>
        <v>44.0960223512977</v>
      </c>
      <c r="AL42" s="15">
        <f t="shared" si="7"/>
        <v>32.91207607857981</v>
      </c>
      <c r="AM42" s="46">
        <f t="shared" si="4"/>
        <v>45.188427727338244</v>
      </c>
      <c r="AN42" s="15">
        <f t="shared" si="7"/>
        <v>33.58236834192563</v>
      </c>
      <c r="AO42" s="46">
        <f t="shared" si="5"/>
        <v>45.32908121185463</v>
      </c>
      <c r="AP42" s="15">
        <f t="shared" si="7"/>
        <v>33.00705431445101</v>
      </c>
      <c r="AQ42" s="46">
        <f t="shared" si="6"/>
        <v>45.68049844910914</v>
      </c>
      <c r="AR42" s="15">
        <f t="shared" si="7"/>
        <v>33.54607092694301</v>
      </c>
    </row>
    <row r="43" spans="2:44" ht="12.75">
      <c r="B43" s="5" t="s">
        <v>165</v>
      </c>
      <c r="C43" s="5"/>
      <c r="D43" s="5" t="s">
        <v>104</v>
      </c>
      <c r="E43" s="24">
        <v>100</v>
      </c>
      <c r="F43" s="23">
        <f t="shared" si="11"/>
        <v>4.210500137984623</v>
      </c>
      <c r="G43" s="24">
        <v>100</v>
      </c>
      <c r="H43" s="23">
        <f t="shared" si="11"/>
        <v>4.2951941062774175</v>
      </c>
      <c r="I43" s="24">
        <v>100</v>
      </c>
      <c r="J43" s="23">
        <f t="shared" si="8"/>
        <v>4.234698414639708</v>
      </c>
      <c r="K43" s="58">
        <v>100</v>
      </c>
      <c r="L43" s="23">
        <f t="shared" si="9"/>
        <v>4.210500137984623</v>
      </c>
      <c r="M43" s="58">
        <v>100</v>
      </c>
      <c r="N43" s="23">
        <f t="shared" si="0"/>
        <v>4.237723199221594</v>
      </c>
      <c r="O43" s="42"/>
      <c r="P43" s="23">
        <f t="shared" si="12"/>
        <v>0.012099138327542022</v>
      </c>
      <c r="Q43" s="58">
        <v>100</v>
      </c>
      <c r="R43" s="57">
        <f t="shared" si="13"/>
        <v>0.006049569163771011</v>
      </c>
      <c r="S43" s="58">
        <v>100</v>
      </c>
      <c r="T43" s="57">
        <f t="shared" si="14"/>
        <v>0.006049569163771011</v>
      </c>
      <c r="U43" s="58">
        <v>100</v>
      </c>
      <c r="V43" s="57">
        <f t="shared" si="15"/>
        <v>0.006049569163771011</v>
      </c>
      <c r="W43" s="58">
        <v>100</v>
      </c>
      <c r="X43" s="57">
        <f t="shared" si="10"/>
        <v>0.007561961454713764</v>
      </c>
      <c r="Y43" s="58">
        <v>100</v>
      </c>
      <c r="Z43" s="23">
        <f t="shared" si="16"/>
        <v>0.11494181411164921</v>
      </c>
      <c r="AA43" s="58">
        <v>100</v>
      </c>
      <c r="AB43" s="23">
        <f t="shared" si="17"/>
        <v>0.13914009076673325</v>
      </c>
      <c r="AC43" s="58">
        <v>100</v>
      </c>
      <c r="AD43" s="23">
        <f t="shared" si="18"/>
        <v>0.10284267578410718</v>
      </c>
      <c r="AE43" s="58">
        <v>100</v>
      </c>
      <c r="AF43" s="23">
        <f t="shared" si="19"/>
        <v>0.12704095243919122</v>
      </c>
      <c r="AG43" s="58">
        <v>100</v>
      </c>
      <c r="AH43" s="57">
        <f t="shared" si="1"/>
        <v>0.12099138327542021</v>
      </c>
      <c r="AI43" s="46">
        <f t="shared" si="2"/>
        <v>99.72105997210598</v>
      </c>
      <c r="AJ43" s="15">
        <f t="shared" si="7"/>
        <v>4.337541090423815</v>
      </c>
      <c r="AK43" s="46">
        <f t="shared" si="3"/>
        <v>100</v>
      </c>
      <c r="AL43" s="15">
        <f t="shared" si="7"/>
        <v>4.440383766207922</v>
      </c>
      <c r="AM43" s="46">
        <f t="shared" si="4"/>
        <v>100</v>
      </c>
      <c r="AN43" s="15">
        <f t="shared" si="7"/>
        <v>4.343590659587586</v>
      </c>
      <c r="AO43" s="46">
        <f t="shared" si="5"/>
        <v>100</v>
      </c>
      <c r="AP43" s="15">
        <f t="shared" si="7"/>
        <v>4.343590659587585</v>
      </c>
      <c r="AQ43" s="46">
        <f t="shared" si="6"/>
        <v>99.93072393488046</v>
      </c>
      <c r="AR43" s="15">
        <f t="shared" si="7"/>
        <v>4.366276543951728</v>
      </c>
    </row>
    <row r="44" spans="2:44" ht="12.75">
      <c r="B44" s="5" t="s">
        <v>174</v>
      </c>
      <c r="C44" s="5"/>
      <c r="D44" s="5" t="s">
        <v>104</v>
      </c>
      <c r="E44" s="24">
        <v>100</v>
      </c>
      <c r="F44" s="23">
        <f t="shared" si="11"/>
        <v>1.203864263590431</v>
      </c>
      <c r="G44" s="24">
        <v>100</v>
      </c>
      <c r="H44" s="23">
        <f t="shared" si="11"/>
        <v>1.5305409984340657</v>
      </c>
      <c r="I44" s="24">
        <v>100</v>
      </c>
      <c r="J44" s="23">
        <f t="shared" si="8"/>
        <v>3.744683312374255</v>
      </c>
      <c r="K44" s="58">
        <v>100</v>
      </c>
      <c r="L44" s="23">
        <f t="shared" si="9"/>
        <v>1.203864263590431</v>
      </c>
      <c r="M44" s="58">
        <v>100</v>
      </c>
      <c r="N44" s="23">
        <f t="shared" si="0"/>
        <v>1.9207382094972956</v>
      </c>
      <c r="O44" s="58">
        <v>100</v>
      </c>
      <c r="P44" s="23">
        <f t="shared" si="12"/>
        <v>0.024198276655084044</v>
      </c>
      <c r="Q44" s="58">
        <v>100</v>
      </c>
      <c r="R44" s="57">
        <f t="shared" si="13"/>
        <v>0.0012099138327542021</v>
      </c>
      <c r="S44" s="58">
        <v>100</v>
      </c>
      <c r="T44" s="57">
        <f t="shared" si="14"/>
        <v>0.0012099138327542021</v>
      </c>
      <c r="U44" s="58">
        <v>100</v>
      </c>
      <c r="V44" s="57">
        <f t="shared" si="15"/>
        <v>0.012099138327542022</v>
      </c>
      <c r="W44" s="58">
        <v>100</v>
      </c>
      <c r="X44" s="57">
        <f t="shared" si="10"/>
        <v>0.009679310662033617</v>
      </c>
      <c r="Y44" s="58">
        <v>100</v>
      </c>
      <c r="Z44" s="23">
        <f t="shared" si="16"/>
        <v>0.024198276655084044</v>
      </c>
      <c r="AA44" s="58">
        <v>100</v>
      </c>
      <c r="AB44" s="23">
        <f t="shared" si="17"/>
        <v>0.030247845818855052</v>
      </c>
      <c r="AC44" s="58">
        <v>100</v>
      </c>
      <c r="AD44" s="23">
        <f t="shared" si="18"/>
        <v>0.036297414982626064</v>
      </c>
      <c r="AE44" s="58">
        <v>100</v>
      </c>
      <c r="AF44" s="23">
        <f t="shared" si="19"/>
        <v>0.024198276655084044</v>
      </c>
      <c r="AG44" s="58">
        <v>100</v>
      </c>
      <c r="AH44" s="57">
        <f t="shared" si="1"/>
        <v>0.028735453527912302</v>
      </c>
      <c r="AI44" s="46">
        <f t="shared" si="2"/>
        <v>100.00000000000001</v>
      </c>
      <c r="AJ44" s="15">
        <f t="shared" si="7"/>
        <v>1.252260816900599</v>
      </c>
      <c r="AK44" s="46">
        <f t="shared" si="3"/>
        <v>100</v>
      </c>
      <c r="AL44" s="15">
        <f t="shared" si="7"/>
        <v>1.561998758085675</v>
      </c>
      <c r="AM44" s="46">
        <f t="shared" si="4"/>
        <v>99.99999999999999</v>
      </c>
      <c r="AN44" s="15">
        <f t="shared" si="7"/>
        <v>3.7821906411896355</v>
      </c>
      <c r="AO44" s="46">
        <f t="shared" si="5"/>
        <v>100</v>
      </c>
      <c r="AP44" s="15">
        <f t="shared" si="7"/>
        <v>1.2401616785730571</v>
      </c>
      <c r="AQ44" s="46">
        <f t="shared" si="6"/>
        <v>100.00000000000001</v>
      </c>
      <c r="AR44" s="15">
        <f t="shared" si="7"/>
        <v>1.9591529736872415</v>
      </c>
    </row>
    <row r="45" spans="2:44" ht="12.75">
      <c r="B45" s="5" t="s">
        <v>167</v>
      </c>
      <c r="C45" s="5"/>
      <c r="D45" s="5" t="s">
        <v>104</v>
      </c>
      <c r="E45" s="24">
        <v>100</v>
      </c>
      <c r="F45" s="23">
        <f t="shared" si="11"/>
        <v>16.230994066397624</v>
      </c>
      <c r="G45" s="24">
        <v>100</v>
      </c>
      <c r="H45" s="23">
        <f t="shared" si="11"/>
        <v>16.557670801241255</v>
      </c>
      <c r="I45" s="24">
        <v>100</v>
      </c>
      <c r="J45" s="23">
        <f t="shared" si="8"/>
        <v>17.18077642510967</v>
      </c>
      <c r="K45" s="58">
        <v>100</v>
      </c>
      <c r="L45" s="23">
        <f t="shared" si="9"/>
        <v>17.440907899151828</v>
      </c>
      <c r="M45" s="58">
        <v>100</v>
      </c>
      <c r="N45" s="23">
        <f t="shared" si="0"/>
        <v>16.852587297975095</v>
      </c>
      <c r="O45" s="58">
        <v>100</v>
      </c>
      <c r="P45" s="23">
        <f t="shared" si="12"/>
        <v>0.04234698414639707</v>
      </c>
      <c r="Q45" s="58">
        <v>100</v>
      </c>
      <c r="R45" s="57">
        <f t="shared" si="13"/>
        <v>0.012099138327542022</v>
      </c>
      <c r="S45" s="58">
        <v>100</v>
      </c>
      <c r="T45" s="57">
        <f t="shared" si="14"/>
        <v>0.012099138327542022</v>
      </c>
      <c r="U45" s="58">
        <v>100</v>
      </c>
      <c r="V45" s="57">
        <f t="shared" si="15"/>
        <v>0.024198276655084044</v>
      </c>
      <c r="W45" s="58">
        <v>100</v>
      </c>
      <c r="X45" s="57">
        <f t="shared" si="10"/>
        <v>0.02268588436414129</v>
      </c>
      <c r="Y45" s="58">
        <v>100</v>
      </c>
      <c r="Z45" s="23">
        <f t="shared" si="16"/>
        <v>0.3327263040074056</v>
      </c>
      <c r="AA45" s="58">
        <v>100</v>
      </c>
      <c r="AB45" s="23">
        <f t="shared" si="17"/>
        <v>0.3508750114987186</v>
      </c>
      <c r="AC45" s="58">
        <v>100</v>
      </c>
      <c r="AD45" s="23">
        <f t="shared" si="18"/>
        <v>0.3569245806624896</v>
      </c>
      <c r="AE45" s="58">
        <v>100</v>
      </c>
      <c r="AF45" s="23">
        <f t="shared" si="19"/>
        <v>0.3266767348436346</v>
      </c>
      <c r="AG45" s="58">
        <v>100</v>
      </c>
      <c r="AH45" s="57">
        <f t="shared" si="1"/>
        <v>0.3418006577530621</v>
      </c>
      <c r="AI45" s="46">
        <f t="shared" si="2"/>
        <v>100</v>
      </c>
      <c r="AJ45" s="15">
        <f t="shared" si="7"/>
        <v>16.606067354551428</v>
      </c>
      <c r="AK45" s="46">
        <f t="shared" si="3"/>
        <v>100</v>
      </c>
      <c r="AL45" s="15">
        <f t="shared" si="7"/>
        <v>16.920644951067516</v>
      </c>
      <c r="AM45" s="46">
        <f t="shared" si="4"/>
        <v>100</v>
      </c>
      <c r="AN45" s="15">
        <f t="shared" si="7"/>
        <v>17.549800144099702</v>
      </c>
      <c r="AO45" s="46">
        <f t="shared" si="5"/>
        <v>100</v>
      </c>
      <c r="AP45" s="15">
        <f t="shared" si="7"/>
        <v>17.791782910650547</v>
      </c>
      <c r="AQ45" s="46">
        <f t="shared" si="6"/>
        <v>100</v>
      </c>
      <c r="AR45" s="15">
        <f t="shared" si="7"/>
        <v>17.217073840092297</v>
      </c>
    </row>
    <row r="46" spans="2:44" ht="12.75">
      <c r="B46" s="5" t="s">
        <v>163</v>
      </c>
      <c r="C46" s="5"/>
      <c r="D46" s="5" t="s">
        <v>104</v>
      </c>
      <c r="E46" s="24">
        <v>100</v>
      </c>
      <c r="F46" s="23">
        <f t="shared" si="11"/>
        <v>14.428222455593861</v>
      </c>
      <c r="G46" s="24">
        <v>100</v>
      </c>
      <c r="H46" s="23">
        <f t="shared" si="11"/>
        <v>15.329608260995743</v>
      </c>
      <c r="I46" s="24">
        <v>100</v>
      </c>
      <c r="J46" s="23">
        <f t="shared" si="8"/>
        <v>15.341707399323283</v>
      </c>
      <c r="K46" s="58">
        <v>100</v>
      </c>
      <c r="L46" s="23">
        <f t="shared" si="9"/>
        <v>13.8353646775443</v>
      </c>
      <c r="M46" s="58">
        <v>100</v>
      </c>
      <c r="N46" s="23">
        <f t="shared" si="0"/>
        <v>14.733725698364296</v>
      </c>
      <c r="O46" s="58">
        <v>100</v>
      </c>
      <c r="P46" s="23">
        <f t="shared" si="12"/>
        <v>0.012099138327542022</v>
      </c>
      <c r="Q46" s="58">
        <v>100</v>
      </c>
      <c r="R46" s="57">
        <f t="shared" si="13"/>
        <v>0.006049569163771011</v>
      </c>
      <c r="S46" s="58">
        <v>100</v>
      </c>
      <c r="T46" s="57">
        <f t="shared" si="14"/>
        <v>0.006049569163771011</v>
      </c>
      <c r="U46" s="58">
        <v>100</v>
      </c>
      <c r="V46" s="57">
        <f t="shared" si="15"/>
        <v>0.006049569163771011</v>
      </c>
      <c r="W46" s="58">
        <v>100</v>
      </c>
      <c r="X46" s="57">
        <f t="shared" si="10"/>
        <v>0.007561961454713764</v>
      </c>
      <c r="Y46" s="58">
        <v>100</v>
      </c>
      <c r="Z46" s="23">
        <f t="shared" si="16"/>
        <v>0.30247845818855057</v>
      </c>
      <c r="AA46" s="58">
        <v>100</v>
      </c>
      <c r="AB46" s="23">
        <f t="shared" si="17"/>
        <v>0.29642888902477954</v>
      </c>
      <c r="AC46" s="58">
        <v>100</v>
      </c>
      <c r="AD46" s="23">
        <f t="shared" si="18"/>
        <v>0.29642888902477954</v>
      </c>
      <c r="AE46" s="58">
        <v>100</v>
      </c>
      <c r="AF46" s="23">
        <f t="shared" si="19"/>
        <v>0.2903793198610085</v>
      </c>
      <c r="AG46" s="58">
        <v>100</v>
      </c>
      <c r="AH46" s="57">
        <f t="shared" si="1"/>
        <v>0.29642888902477954</v>
      </c>
      <c r="AI46" s="46">
        <f t="shared" si="2"/>
        <v>99.99999999999999</v>
      </c>
      <c r="AJ46" s="15">
        <f t="shared" si="7"/>
        <v>14.742800052109954</v>
      </c>
      <c r="AK46" s="46">
        <f t="shared" si="3"/>
        <v>99.99999999999999</v>
      </c>
      <c r="AL46" s="15">
        <f t="shared" si="7"/>
        <v>15.632086719184294</v>
      </c>
      <c r="AM46" s="46">
        <f t="shared" si="4"/>
        <v>100</v>
      </c>
      <c r="AN46" s="15">
        <f t="shared" si="7"/>
        <v>15.644185857511834</v>
      </c>
      <c r="AO46" s="46">
        <f t="shared" si="5"/>
        <v>100.00000000000001</v>
      </c>
      <c r="AP46" s="15">
        <f t="shared" si="7"/>
        <v>14.13179356656908</v>
      </c>
      <c r="AQ46" s="46">
        <f t="shared" si="6"/>
        <v>100.00000000000001</v>
      </c>
      <c r="AR46" s="15">
        <f t="shared" si="7"/>
        <v>15.03771654884379</v>
      </c>
    </row>
    <row r="47" spans="2:44" ht="12.75">
      <c r="B47" s="5"/>
      <c r="C47" s="5"/>
      <c r="D47" s="5"/>
      <c r="F47" s="23"/>
      <c r="H47" s="23"/>
      <c r="J47" s="23"/>
      <c r="K47" s="58"/>
      <c r="L47" s="23"/>
      <c r="M47" s="58"/>
      <c r="N47" s="23"/>
      <c r="O47" s="42"/>
      <c r="P47" s="23"/>
      <c r="Q47" s="42"/>
      <c r="R47" s="23"/>
      <c r="S47" s="42"/>
      <c r="T47" s="23"/>
      <c r="U47" s="42"/>
      <c r="V47" s="23"/>
      <c r="W47" s="42"/>
      <c r="X47" s="57"/>
      <c r="Y47" s="42"/>
      <c r="Z47" s="23"/>
      <c r="AA47" s="42"/>
      <c r="AB47" s="23"/>
      <c r="AC47" s="42"/>
      <c r="AD47" s="23"/>
      <c r="AE47" s="42"/>
      <c r="AF47" s="23"/>
      <c r="AG47" s="42"/>
      <c r="AH47" s="57"/>
      <c r="AI47" s="15"/>
      <c r="AJ47" s="15"/>
      <c r="AK47" s="15"/>
      <c r="AL47" s="15"/>
      <c r="AM47" s="15"/>
      <c r="AN47" s="15"/>
      <c r="AO47" s="15"/>
      <c r="AP47" s="15"/>
      <c r="AQ47" s="15"/>
      <c r="AR47" s="15"/>
    </row>
    <row r="48" spans="2:44" ht="12.75">
      <c r="B48" s="5" t="s">
        <v>5</v>
      </c>
      <c r="C48" s="5"/>
      <c r="D48" s="5" t="s">
        <v>104</v>
      </c>
      <c r="E48" s="46">
        <f>(E41*F41+E43*F43)/F48</f>
        <v>58.34031852472757</v>
      </c>
      <c r="F48" s="15">
        <f>(F41+F43)</f>
        <v>7.217136012378816</v>
      </c>
      <c r="G48" s="46">
        <f>(G41*H41+G43*H43)/H48</f>
        <v>100</v>
      </c>
      <c r="H48" s="15">
        <f>(H41+H43)</f>
        <v>7.3623256723093204</v>
      </c>
      <c r="I48" s="46">
        <f>(I41*J41+I43*J43)/J48</f>
        <v>100</v>
      </c>
      <c r="J48" s="15">
        <f>(J41+J43)</f>
        <v>7.301829980671611</v>
      </c>
      <c r="K48" s="46">
        <f>(K41*L41+K43*L43)/L48</f>
        <v>99.99999999999999</v>
      </c>
      <c r="L48" s="15">
        <f>(L41+L43)</f>
        <v>7.217136012378816</v>
      </c>
      <c r="M48" s="46">
        <f>(M41*N41+M43*N43)/N48</f>
        <v>100</v>
      </c>
      <c r="N48" s="23">
        <f>AVERAGE(F48,H48,J48,L48)</f>
        <v>7.274606919434641</v>
      </c>
      <c r="O48" s="46">
        <f>(O41*P41+O43*P43)/P48</f>
        <v>80</v>
      </c>
      <c r="P48" s="15">
        <f>(P41+P43)</f>
        <v>0.06049569163771011</v>
      </c>
      <c r="Q48" s="46">
        <f>(Q41*R41+Q43*R43)/R48</f>
        <v>100.00000000000001</v>
      </c>
      <c r="R48" s="39">
        <f>(R41+R43)</f>
        <v>0.009074353745656516</v>
      </c>
      <c r="S48" s="46">
        <f>(S41*T41+S43*T43)/T48</f>
        <v>100.00000000000001</v>
      </c>
      <c r="T48" s="39">
        <f>(T41+T43)</f>
        <v>0.024198276655084044</v>
      </c>
      <c r="U48" s="46">
        <f>(U41*V41+U43*V43)/V48</f>
        <v>100</v>
      </c>
      <c r="V48" s="39">
        <f>(V41+V43)</f>
        <v>0.030247845818855056</v>
      </c>
      <c r="W48" s="46">
        <f>(W41*X41+W43*X43)/X48</f>
        <v>99.99999999999999</v>
      </c>
      <c r="X48" s="57">
        <f>AVERAGE(P48,R48,T48,V48)</f>
        <v>0.031004041964326434</v>
      </c>
      <c r="Y48" s="46">
        <f>(Y41*Z41+Y43*Z43)/Z48</f>
        <v>99.99999999999999</v>
      </c>
      <c r="Z48" s="15">
        <f>(Z41+Z43)</f>
        <v>0.2782801815334665</v>
      </c>
      <c r="AA48" s="46">
        <f>(AA41*AB41+AA43*AB43)/AB48</f>
        <v>100</v>
      </c>
      <c r="AB48" s="15">
        <f>(AB41+AB43)</f>
        <v>0.28432975069723754</v>
      </c>
      <c r="AC48" s="46">
        <f>(AC41*AD41+AC43*AD43)/AD48</f>
        <v>100</v>
      </c>
      <c r="AD48" s="15">
        <f>(AD41+AD43)</f>
        <v>0.24803233571461142</v>
      </c>
      <c r="AE48" s="46">
        <f>(AE41*AF41+AE43*AF43)/AF48</f>
        <v>100</v>
      </c>
      <c r="AF48" s="15">
        <f>(AF41+AF43)</f>
        <v>0.2722306123696955</v>
      </c>
      <c r="AG48" s="46">
        <f>(AG41*AH41+AG43*AH43)/AH48</f>
        <v>99.99999999999996</v>
      </c>
      <c r="AH48" s="57">
        <f>AVERAGE(Z48,AB48,AD48,AF48)</f>
        <v>0.2707182200787528</v>
      </c>
      <c r="AI48" s="46">
        <f>(AI41*AJ41+AI43*AJ43)/AJ48</f>
        <v>60.04803843074459</v>
      </c>
      <c r="AJ48" s="15">
        <f aca="true" t="shared" si="20" ref="AJ48:AP49">SUM(Z48,P48,F48)</f>
        <v>7.5559118855499925</v>
      </c>
      <c r="AK48" s="46">
        <f>(AK41*AL41+AK43*AL43)/AL48</f>
        <v>100</v>
      </c>
      <c r="AL48" s="15">
        <f t="shared" si="20"/>
        <v>7.6557297767522146</v>
      </c>
      <c r="AM48" s="46">
        <f>(AM41*AN41+AM43*AN43)/AN48</f>
        <v>99.99999999999999</v>
      </c>
      <c r="AN48" s="15">
        <f t="shared" si="20"/>
        <v>7.574060593041307</v>
      </c>
      <c r="AO48" s="46">
        <f>(AO41*AP41+AO43*AP43)/AP48</f>
        <v>100</v>
      </c>
      <c r="AP48" s="15">
        <f t="shared" si="20"/>
        <v>7.519614470567367</v>
      </c>
      <c r="AQ48" s="46">
        <f>(AQ41*AR41+AQ43*AR43)/AR48</f>
        <v>90.038926040523</v>
      </c>
      <c r="AR48" s="15">
        <f>N48+X48+AH48</f>
        <v>7.57632918147772</v>
      </c>
    </row>
    <row r="49" spans="2:44" ht="12.75">
      <c r="B49" s="5" t="s">
        <v>6</v>
      </c>
      <c r="C49" s="5"/>
      <c r="D49" s="5" t="s">
        <v>104</v>
      </c>
      <c r="E49" s="46">
        <f>(E38*F38+E40*F40+E42*F42)/F49</f>
        <v>21.467140787567494</v>
      </c>
      <c r="F49" s="15">
        <f>(F38+F40+F42)</f>
        <v>22.967189330256645</v>
      </c>
      <c r="G49" s="46">
        <f>(G38*H38+G40*H40+G42*H42)/H49</f>
        <v>23.088205543192387</v>
      </c>
      <c r="H49" s="15">
        <f>(H38+H40+H42)</f>
        <v>23.92241630121609</v>
      </c>
      <c r="I49" s="46">
        <f>(I38*J38+I40*J40+I42*J42)/J49</f>
        <v>23.080617842606873</v>
      </c>
      <c r="J49" s="15">
        <f>(J38+J40+J42)</f>
        <v>23.930280741128982</v>
      </c>
      <c r="K49" s="46">
        <f>(K38*L38+K40*L40+K42*L42)/L49</f>
        <v>23.07950179220712</v>
      </c>
      <c r="L49" s="15">
        <f>(L38+L40+L42)</f>
        <v>23.459624260187603</v>
      </c>
      <c r="M49" s="46">
        <f>(M38*N38+M40*N40+M42*N42)/N49</f>
        <v>22.689210433443485</v>
      </c>
      <c r="N49" s="23">
        <f>AVERAGE(F49,H49,J49,L49)</f>
        <v>23.569877658197328</v>
      </c>
      <c r="O49" s="46">
        <f>(O38*P38+O40*P40+O42*P42)/P49</f>
        <v>63.41463414634146</v>
      </c>
      <c r="P49" s="15">
        <f>(P38+P40+P42)</f>
        <v>0.14881940142876687</v>
      </c>
      <c r="Q49" s="46">
        <f>(Q38*R38+Q40*R40+Q42*R42)/R49</f>
        <v>62.5</v>
      </c>
      <c r="R49" s="39">
        <f>(R38+R40+R42)</f>
        <v>0.04839655331016809</v>
      </c>
      <c r="S49" s="46">
        <f>(S38*T38+S40*T40+S42*T42)/T49</f>
        <v>23.076923076923077</v>
      </c>
      <c r="T49" s="39">
        <f>(T38+T40+T42)</f>
        <v>0.02359331973870694</v>
      </c>
      <c r="U49" s="46">
        <f>(U38*V38+U40*V40+U42*V42)/V49</f>
        <v>59.99999999999999</v>
      </c>
      <c r="V49" s="39">
        <f>(V38+V40+V42)</f>
        <v>0.07561961454713764</v>
      </c>
      <c r="W49" s="46">
        <f>(W38*X38+W40*X40+W42*X42)/X49</f>
        <v>59.18367346938775</v>
      </c>
      <c r="X49" s="57">
        <f>AVERAGE(P49,R49,T49,V49)</f>
        <v>0.07410722225619489</v>
      </c>
      <c r="Y49" s="46">
        <f>(Y38*Z38+Y40*Z40+Y42*Z42)/Z49</f>
        <v>99.99999999999999</v>
      </c>
      <c r="Z49" s="15">
        <f>(Z38+Z40+Z42)</f>
        <v>17.53165143660839</v>
      </c>
      <c r="AA49" s="46">
        <f>(AA38*AB38+AA40*AB40+AA42*AB42)/AB49</f>
        <v>100</v>
      </c>
      <c r="AB49" s="15">
        <f>(AB38+AB40+AB42)</f>
        <v>15.084600709863016</v>
      </c>
      <c r="AC49" s="46">
        <f>(AC38*AD38+AC40*AD40+AC42*AD42)/AD49</f>
        <v>100</v>
      </c>
      <c r="AD49" s="15">
        <f>(AD38+AD40+AD42)</f>
        <v>15.807524224933653</v>
      </c>
      <c r="AE49" s="46">
        <f>(AE38*AF38+AE40*AF40+AE42*AF42)/AF49</f>
        <v>100</v>
      </c>
      <c r="AF49" s="15">
        <f>(AF38+AF40+AF42)</f>
        <v>15.56372658763368</v>
      </c>
      <c r="AG49" s="46">
        <f>(AG38*AH38+AG40*AH40+AG42*AH42)/AH49</f>
        <v>100</v>
      </c>
      <c r="AH49" s="57">
        <f>AVERAGE(Z49,AB49,AD49,AF49)</f>
        <v>15.996875739759684</v>
      </c>
      <c r="AI49" s="46">
        <f>(AI38*AJ38+AI40*AJ40+AI42*AJ42)/AJ49</f>
        <v>55.49255108571088</v>
      </c>
      <c r="AJ49" s="15">
        <f t="shared" si="20"/>
        <v>40.6476601682938</v>
      </c>
      <c r="AK49" s="46">
        <f>(AK38*AL38+AK40*AL40+AK42*AL42)/AL49</f>
        <v>52.84313573630322</v>
      </c>
      <c r="AL49" s="15">
        <f t="shared" si="20"/>
        <v>39.05541356438927</v>
      </c>
      <c r="AM49" s="46">
        <f>(AM38*AN38+AM40*AN40+AM42*AN42)/AN49</f>
        <v>53.660651796853614</v>
      </c>
      <c r="AN49" s="15">
        <f t="shared" si="20"/>
        <v>39.76139828580134</v>
      </c>
      <c r="AO49" s="46">
        <f>(AO38*AP38+AO40*AP40+AO42*AP42)/AP49</f>
        <v>53.76986275935697</v>
      </c>
      <c r="AP49" s="15">
        <f t="shared" si="20"/>
        <v>39.09897046236842</v>
      </c>
      <c r="AQ49" s="46">
        <f>(AQ38*AR38+AQ40*AR40+AQ42*AR42)/AR49</f>
        <v>53.95582720034185</v>
      </c>
      <c r="AR49" s="15">
        <f>N49+X49+AH49</f>
        <v>39.6408606202132</v>
      </c>
    </row>
    <row r="50" spans="2:30" ht="12.75">
      <c r="B50" s="5"/>
      <c r="C50" s="5"/>
      <c r="D50" s="5"/>
      <c r="T50" s="44"/>
      <c r="Z50" s="39"/>
      <c r="AB50" s="39"/>
      <c r="AD50" s="39"/>
    </row>
    <row r="52" spans="1:36" ht="12.75">
      <c r="A52" s="8" t="s">
        <v>172</v>
      </c>
      <c r="B52" s="36" t="s">
        <v>169</v>
      </c>
      <c r="C52" s="36" t="s">
        <v>170</v>
      </c>
      <c r="F52" s="24" t="s">
        <v>189</v>
      </c>
      <c r="H52" s="24" t="s">
        <v>190</v>
      </c>
      <c r="J52" s="24" t="s">
        <v>191</v>
      </c>
      <c r="L52" s="8" t="s">
        <v>34</v>
      </c>
      <c r="N52" s="24" t="s">
        <v>189</v>
      </c>
      <c r="P52" s="24" t="s">
        <v>190</v>
      </c>
      <c r="R52" s="24" t="s">
        <v>191</v>
      </c>
      <c r="T52" s="8" t="s">
        <v>34</v>
      </c>
      <c r="V52" s="24" t="s">
        <v>189</v>
      </c>
      <c r="X52" s="24" t="s">
        <v>190</v>
      </c>
      <c r="Z52" s="24" t="s">
        <v>191</v>
      </c>
      <c r="AB52" s="8" t="s">
        <v>34</v>
      </c>
      <c r="AD52" s="24" t="s">
        <v>189</v>
      </c>
      <c r="AF52" s="24" t="s">
        <v>190</v>
      </c>
      <c r="AH52" s="24" t="s">
        <v>191</v>
      </c>
      <c r="AI52" s="24"/>
      <c r="AJ52" s="8" t="s">
        <v>34</v>
      </c>
    </row>
    <row r="54" spans="2:36" ht="12.75">
      <c r="B54" s="8" t="s">
        <v>211</v>
      </c>
      <c r="F54" s="24" t="s">
        <v>213</v>
      </c>
      <c r="H54" s="24" t="s">
        <v>213</v>
      </c>
      <c r="J54" s="24" t="s">
        <v>213</v>
      </c>
      <c r="L54" s="24" t="s">
        <v>213</v>
      </c>
      <c r="N54" s="24" t="s">
        <v>215</v>
      </c>
      <c r="P54" s="24" t="s">
        <v>215</v>
      </c>
      <c r="R54" s="24" t="s">
        <v>215</v>
      </c>
      <c r="T54" s="24" t="s">
        <v>215</v>
      </c>
      <c r="V54" s="24" t="s">
        <v>217</v>
      </c>
      <c r="X54" s="24" t="s">
        <v>217</v>
      </c>
      <c r="Z54" s="24" t="s">
        <v>217</v>
      </c>
      <c r="AB54" s="24" t="s">
        <v>217</v>
      </c>
      <c r="AD54" s="24" t="s">
        <v>218</v>
      </c>
      <c r="AF54" s="24" t="s">
        <v>218</v>
      </c>
      <c r="AH54" s="24" t="s">
        <v>218</v>
      </c>
      <c r="AJ54" s="24" t="s">
        <v>218</v>
      </c>
    </row>
    <row r="55" spans="2:36" ht="12.75">
      <c r="B55" s="8" t="s">
        <v>212</v>
      </c>
      <c r="F55" s="24" t="s">
        <v>214</v>
      </c>
      <c r="H55" s="24" t="s">
        <v>214</v>
      </c>
      <c r="J55" s="24" t="s">
        <v>214</v>
      </c>
      <c r="L55" s="24" t="s">
        <v>214</v>
      </c>
      <c r="N55" s="24" t="s">
        <v>216</v>
      </c>
      <c r="P55" s="24" t="s">
        <v>216</v>
      </c>
      <c r="R55" s="24" t="s">
        <v>216</v>
      </c>
      <c r="T55" s="24" t="s">
        <v>216</v>
      </c>
      <c r="V55" s="24" t="s">
        <v>14</v>
      </c>
      <c r="X55" s="24" t="s">
        <v>14</v>
      </c>
      <c r="Z55" s="24" t="s">
        <v>14</v>
      </c>
      <c r="AB55" s="24" t="s">
        <v>14</v>
      </c>
      <c r="AD55" s="24" t="s">
        <v>80</v>
      </c>
      <c r="AF55" s="24" t="s">
        <v>80</v>
      </c>
      <c r="AH55" s="24" t="s">
        <v>80</v>
      </c>
      <c r="AJ55" s="24" t="s">
        <v>80</v>
      </c>
    </row>
    <row r="56" spans="2:36" ht="12.75">
      <c r="B56" s="8" t="s">
        <v>220</v>
      </c>
      <c r="F56" s="24" t="s">
        <v>1</v>
      </c>
      <c r="H56" s="24" t="s">
        <v>1</v>
      </c>
      <c r="J56" s="24" t="s">
        <v>1</v>
      </c>
      <c r="L56" s="24" t="s">
        <v>1</v>
      </c>
      <c r="N56" s="24" t="s">
        <v>221</v>
      </c>
      <c r="P56" s="24" t="s">
        <v>221</v>
      </c>
      <c r="R56" s="24" t="s">
        <v>221</v>
      </c>
      <c r="T56" s="24" t="s">
        <v>221</v>
      </c>
      <c r="V56" s="24" t="s">
        <v>14</v>
      </c>
      <c r="X56" s="24" t="s">
        <v>14</v>
      </c>
      <c r="Z56" s="24" t="s">
        <v>14</v>
      </c>
      <c r="AB56" s="24" t="s">
        <v>14</v>
      </c>
      <c r="AD56" s="24" t="s">
        <v>80</v>
      </c>
      <c r="AF56" s="24" t="s">
        <v>80</v>
      </c>
      <c r="AH56" s="24" t="s">
        <v>80</v>
      </c>
      <c r="AJ56" s="24" t="s">
        <v>80</v>
      </c>
    </row>
    <row r="57" spans="2:36" ht="12.75">
      <c r="B57" s="8" t="s">
        <v>175</v>
      </c>
      <c r="F57" s="8" t="s">
        <v>125</v>
      </c>
      <c r="H57" s="8" t="s">
        <v>125</v>
      </c>
      <c r="J57" s="8" t="s">
        <v>125</v>
      </c>
      <c r="L57" s="8" t="s">
        <v>125</v>
      </c>
      <c r="N57" s="8" t="s">
        <v>59</v>
      </c>
      <c r="P57" s="8" t="s">
        <v>59</v>
      </c>
      <c r="R57" s="8" t="s">
        <v>59</v>
      </c>
      <c r="T57" s="8" t="s">
        <v>59</v>
      </c>
      <c r="V57" s="8" t="s">
        <v>14</v>
      </c>
      <c r="X57" s="8" t="s">
        <v>14</v>
      </c>
      <c r="Z57" s="8" t="s">
        <v>14</v>
      </c>
      <c r="AB57" s="8" t="s">
        <v>14</v>
      </c>
      <c r="AD57" s="24" t="s">
        <v>80</v>
      </c>
      <c r="AF57" s="24" t="s">
        <v>80</v>
      </c>
      <c r="AH57" s="8" t="s">
        <v>80</v>
      </c>
      <c r="AJ57" s="8" t="s">
        <v>80</v>
      </c>
    </row>
    <row r="58" spans="2:28" ht="12.75">
      <c r="B58" s="8" t="s">
        <v>70</v>
      </c>
      <c r="D58" s="8" t="s">
        <v>40</v>
      </c>
      <c r="F58" s="43">
        <v>2255.7</v>
      </c>
      <c r="G58" s="43"/>
      <c r="H58" s="43">
        <v>2201.6</v>
      </c>
      <c r="I58" s="43"/>
      <c r="J58" s="43">
        <v>2249.7</v>
      </c>
      <c r="K58" s="43"/>
      <c r="L58" s="43">
        <v>2235</v>
      </c>
      <c r="N58" s="8">
        <v>213.6</v>
      </c>
      <c r="P58" s="24">
        <v>224</v>
      </c>
      <c r="R58" s="24">
        <v>225.5</v>
      </c>
      <c r="T58" s="8">
        <v>221</v>
      </c>
      <c r="AB58" s="8"/>
    </row>
    <row r="59" spans="2:28" ht="12.75">
      <c r="B59" s="8" t="s">
        <v>48</v>
      </c>
      <c r="D59" s="8" t="s">
        <v>57</v>
      </c>
      <c r="F59" s="43">
        <v>0.987</v>
      </c>
      <c r="G59" s="43"/>
      <c r="H59" s="43">
        <v>0.988</v>
      </c>
      <c r="I59" s="43"/>
      <c r="J59" s="43">
        <v>0.989</v>
      </c>
      <c r="K59" s="43"/>
      <c r="L59" s="43">
        <v>0.988</v>
      </c>
      <c r="T59" s="8"/>
      <c r="AB59" s="8"/>
    </row>
    <row r="60" spans="2:28" ht="12.75">
      <c r="B60" s="8" t="s">
        <v>39</v>
      </c>
      <c r="D60" s="8" t="s">
        <v>43</v>
      </c>
      <c r="F60" s="43">
        <v>15180</v>
      </c>
      <c r="G60" s="43"/>
      <c r="H60" s="43">
        <v>15375</v>
      </c>
      <c r="I60" s="43"/>
      <c r="J60" s="43">
        <v>15288</v>
      </c>
      <c r="K60" s="43"/>
      <c r="L60" s="43">
        <v>15281</v>
      </c>
      <c r="N60" s="8">
        <v>21214</v>
      </c>
      <c r="P60" s="8">
        <v>21214</v>
      </c>
      <c r="R60" s="8">
        <v>21214</v>
      </c>
      <c r="T60" s="8">
        <v>21214</v>
      </c>
      <c r="AB60" s="8">
        <v>4.67</v>
      </c>
    </row>
    <row r="61" spans="2:28" ht="12.75">
      <c r="B61" s="8" t="s">
        <v>9</v>
      </c>
      <c r="D61" s="8" t="s">
        <v>47</v>
      </c>
      <c r="F61" s="43">
        <v>1957.2</v>
      </c>
      <c r="G61" s="43"/>
      <c r="H61" s="43">
        <v>413.5</v>
      </c>
      <c r="I61" s="43"/>
      <c r="J61" s="43">
        <v>411.1</v>
      </c>
      <c r="K61" s="43"/>
      <c r="L61" s="23">
        <f>AVERAGE(F61,H61,J61)</f>
        <v>927.2666666666665</v>
      </c>
      <c r="T61" s="8"/>
      <c r="V61" s="43">
        <v>2082.2</v>
      </c>
      <c r="W61" s="43"/>
      <c r="X61" s="43">
        <v>2147.2</v>
      </c>
      <c r="Y61" s="43"/>
      <c r="Z61" s="43">
        <v>2122.7</v>
      </c>
      <c r="AA61" s="43"/>
      <c r="AB61" s="43">
        <f>AVERAGE(Z61,X61,V61)</f>
        <v>2117.3666666666663</v>
      </c>
    </row>
    <row r="62" spans="2:28" ht="12.75">
      <c r="B62" s="8" t="s">
        <v>41</v>
      </c>
      <c r="D62" s="8" t="s">
        <v>47</v>
      </c>
      <c r="E62" s="24" t="s">
        <v>38</v>
      </c>
      <c r="F62" s="43">
        <v>20.6</v>
      </c>
      <c r="G62" s="43" t="s">
        <v>38</v>
      </c>
      <c r="H62" s="43">
        <v>20.67</v>
      </c>
      <c r="I62" s="43" t="s">
        <v>38</v>
      </c>
      <c r="J62" s="43">
        <v>20.56</v>
      </c>
      <c r="K62" s="43"/>
      <c r="L62" s="43">
        <v>20.61</v>
      </c>
      <c r="T62" s="8"/>
      <c r="U62" s="24" t="s">
        <v>38</v>
      </c>
      <c r="V62" s="43">
        <v>0.22</v>
      </c>
      <c r="W62" s="43" t="s">
        <v>38</v>
      </c>
      <c r="X62" s="43">
        <v>0.14</v>
      </c>
      <c r="Y62" s="43" t="s">
        <v>38</v>
      </c>
      <c r="Z62" s="43">
        <v>0.22</v>
      </c>
      <c r="AA62" s="43"/>
      <c r="AB62" s="43">
        <f aca="true" t="shared" si="21" ref="AB62:AB72">AVERAGE(Z62,X62,V62)</f>
        <v>0.19333333333333333</v>
      </c>
    </row>
    <row r="63" spans="2:28" ht="12.75">
      <c r="B63" s="8" t="s">
        <v>164</v>
      </c>
      <c r="D63" s="8" t="s">
        <v>47</v>
      </c>
      <c r="E63" s="24" t="s">
        <v>38</v>
      </c>
      <c r="F63" s="43">
        <v>0.21</v>
      </c>
      <c r="G63" s="43" t="s">
        <v>38</v>
      </c>
      <c r="H63" s="43">
        <v>0.21</v>
      </c>
      <c r="I63" s="43" t="s">
        <v>38</v>
      </c>
      <c r="J63" s="43">
        <v>0.21</v>
      </c>
      <c r="K63" s="43"/>
      <c r="L63" s="43">
        <v>0.21</v>
      </c>
      <c r="T63" s="8"/>
      <c r="U63" s="24" t="s">
        <v>38</v>
      </c>
      <c r="V63" s="43">
        <v>0.0003</v>
      </c>
      <c r="W63" s="43" t="s">
        <v>38</v>
      </c>
      <c r="X63" s="43">
        <v>0.0011</v>
      </c>
      <c r="Y63" s="43" t="s">
        <v>38</v>
      </c>
      <c r="Z63" s="43">
        <v>0.0013</v>
      </c>
      <c r="AA63" s="43"/>
      <c r="AB63" s="43">
        <f t="shared" si="21"/>
        <v>0.0009000000000000001</v>
      </c>
    </row>
    <row r="64" spans="2:28" ht="12.75">
      <c r="B64" s="8" t="s">
        <v>160</v>
      </c>
      <c r="D64" s="8" t="s">
        <v>47</v>
      </c>
      <c r="E64" s="24" t="s">
        <v>38</v>
      </c>
      <c r="F64" s="43">
        <v>0.21</v>
      </c>
      <c r="G64" s="43" t="s">
        <v>38</v>
      </c>
      <c r="H64" s="43">
        <v>0.21</v>
      </c>
      <c r="I64" s="43" t="s">
        <v>38</v>
      </c>
      <c r="J64" s="43">
        <v>0.21</v>
      </c>
      <c r="K64" s="43"/>
      <c r="L64" s="43">
        <v>0.21</v>
      </c>
      <c r="T64" s="8"/>
      <c r="U64" s="24" t="s">
        <v>38</v>
      </c>
      <c r="V64" s="43">
        <v>0.0016</v>
      </c>
      <c r="W64" s="43" t="s">
        <v>38</v>
      </c>
      <c r="X64" s="43">
        <v>0.0011</v>
      </c>
      <c r="Y64" s="43" t="s">
        <v>38</v>
      </c>
      <c r="Z64" s="43">
        <v>0.0011</v>
      </c>
      <c r="AA64" s="43"/>
      <c r="AB64" s="43">
        <f t="shared" si="21"/>
        <v>0.0012666666666666668</v>
      </c>
    </row>
    <row r="65" spans="2:28" ht="12.75">
      <c r="B65" s="8" t="s">
        <v>161</v>
      </c>
      <c r="D65" s="8" t="s">
        <v>47</v>
      </c>
      <c r="E65" s="24" t="s">
        <v>38</v>
      </c>
      <c r="F65" s="43">
        <v>0.067</v>
      </c>
      <c r="G65" s="43" t="s">
        <v>38</v>
      </c>
      <c r="H65" s="43">
        <v>0.084</v>
      </c>
      <c r="I65" s="43" t="s">
        <v>38</v>
      </c>
      <c r="J65" s="43">
        <v>0.042</v>
      </c>
      <c r="K65" s="43"/>
      <c r="L65" s="43">
        <v>0.064</v>
      </c>
      <c r="T65" s="8"/>
      <c r="V65" s="43">
        <v>0.004</v>
      </c>
      <c r="W65" s="43"/>
      <c r="X65" s="43">
        <v>0.0045</v>
      </c>
      <c r="Y65" s="43"/>
      <c r="Z65" s="43">
        <v>0.0044</v>
      </c>
      <c r="AA65" s="43"/>
      <c r="AB65" s="43">
        <f t="shared" si="21"/>
        <v>0.0043</v>
      </c>
    </row>
    <row r="66" spans="2:28" ht="12.75">
      <c r="B66" s="8" t="s">
        <v>162</v>
      </c>
      <c r="D66" s="8" t="s">
        <v>47</v>
      </c>
      <c r="E66" s="24" t="s">
        <v>38</v>
      </c>
      <c r="F66" s="43">
        <v>0.1</v>
      </c>
      <c r="G66" s="43" t="s">
        <v>38</v>
      </c>
      <c r="H66" s="43">
        <v>0.1</v>
      </c>
      <c r="I66" s="43" t="s">
        <v>38</v>
      </c>
      <c r="J66" s="43">
        <v>0.1</v>
      </c>
      <c r="K66" s="43"/>
      <c r="L66" s="43">
        <v>0.1</v>
      </c>
      <c r="T66" s="8"/>
      <c r="U66" s="24" t="s">
        <v>38</v>
      </c>
      <c r="V66" s="43">
        <v>0.0011</v>
      </c>
      <c r="W66" s="43" t="s">
        <v>38</v>
      </c>
      <c r="X66" s="43">
        <v>0.0011</v>
      </c>
      <c r="Y66" s="43" t="s">
        <v>38</v>
      </c>
      <c r="Z66" s="43">
        <v>0.0011</v>
      </c>
      <c r="AA66" s="43"/>
      <c r="AB66" s="43">
        <f t="shared" si="21"/>
        <v>0.0011</v>
      </c>
    </row>
    <row r="67" spans="2:28" ht="12.75">
      <c r="B67" s="8" t="s">
        <v>166</v>
      </c>
      <c r="D67" s="8" t="s">
        <v>47</v>
      </c>
      <c r="E67" s="24" t="s">
        <v>38</v>
      </c>
      <c r="F67" s="43">
        <v>0.103</v>
      </c>
      <c r="G67" s="43" t="s">
        <v>38</v>
      </c>
      <c r="H67" s="43">
        <v>0.014</v>
      </c>
      <c r="I67" s="43" t="s">
        <v>38</v>
      </c>
      <c r="J67" s="43">
        <v>0.011</v>
      </c>
      <c r="K67" s="43"/>
      <c r="L67" s="43">
        <v>0.043</v>
      </c>
      <c r="T67" s="8"/>
      <c r="U67" s="24" t="s">
        <v>38</v>
      </c>
      <c r="V67" s="43">
        <v>0.0007</v>
      </c>
      <c r="W67" s="43" t="s">
        <v>38</v>
      </c>
      <c r="X67" s="43">
        <v>0.0011</v>
      </c>
      <c r="Y67" s="43" t="s">
        <v>38</v>
      </c>
      <c r="Z67" s="43">
        <v>0.002</v>
      </c>
      <c r="AA67" s="43"/>
      <c r="AB67" s="43">
        <f t="shared" si="21"/>
        <v>0.0012666666666666668</v>
      </c>
    </row>
    <row r="68" spans="2:28" ht="12.75">
      <c r="B68" s="8" t="s">
        <v>168</v>
      </c>
      <c r="D68" s="8" t="s">
        <v>47</v>
      </c>
      <c r="F68" s="43">
        <v>0.94</v>
      </c>
      <c r="G68" s="43"/>
      <c r="H68" s="43">
        <v>1.14</v>
      </c>
      <c r="I68" s="43"/>
      <c r="J68" s="43">
        <v>0.97</v>
      </c>
      <c r="K68" s="43"/>
      <c r="L68" s="43">
        <v>1.01</v>
      </c>
      <c r="T68" s="8"/>
      <c r="V68" s="43">
        <v>0.0021</v>
      </c>
      <c r="W68" s="43"/>
      <c r="X68" s="43">
        <v>0.0031</v>
      </c>
      <c r="Y68" s="43"/>
      <c r="Z68" s="43">
        <v>0.003</v>
      </c>
      <c r="AA68" s="43"/>
      <c r="AB68" s="43">
        <f t="shared" si="21"/>
        <v>0.002733333333333333</v>
      </c>
    </row>
    <row r="69" spans="2:28" ht="12.75">
      <c r="B69" s="8" t="s">
        <v>165</v>
      </c>
      <c r="D69" s="8" t="s">
        <v>47</v>
      </c>
      <c r="E69" s="24" t="s">
        <v>38</v>
      </c>
      <c r="F69" s="43">
        <v>0.025</v>
      </c>
      <c r="G69" s="43" t="s">
        <v>38</v>
      </c>
      <c r="H69" s="43">
        <v>0.042</v>
      </c>
      <c r="I69" s="43" t="s">
        <v>38</v>
      </c>
      <c r="J69" s="43">
        <v>0.042</v>
      </c>
      <c r="K69" s="43"/>
      <c r="L69" s="43">
        <v>0.036</v>
      </c>
      <c r="T69" s="8"/>
      <c r="U69" s="24" t="s">
        <v>38</v>
      </c>
      <c r="V69" s="43">
        <v>0.0008</v>
      </c>
      <c r="W69" s="43" t="s">
        <v>38</v>
      </c>
      <c r="X69" s="43">
        <v>0.0005</v>
      </c>
      <c r="Y69" s="43" t="s">
        <v>38</v>
      </c>
      <c r="Z69" s="43">
        <v>0.0009</v>
      </c>
      <c r="AA69" s="43"/>
      <c r="AB69" s="43">
        <f t="shared" si="21"/>
        <v>0.0007333333333333333</v>
      </c>
    </row>
    <row r="70" spans="2:28" ht="12.75">
      <c r="B70" s="8" t="s">
        <v>174</v>
      </c>
      <c r="D70" s="8" t="s">
        <v>47</v>
      </c>
      <c r="F70" s="43">
        <v>0.06</v>
      </c>
      <c r="G70" s="43"/>
      <c r="H70" s="43">
        <v>0.054</v>
      </c>
      <c r="I70" s="43"/>
      <c r="J70" s="43">
        <v>0.06</v>
      </c>
      <c r="K70" s="43"/>
      <c r="L70" s="43">
        <v>0.058</v>
      </c>
      <c r="T70" s="8"/>
      <c r="U70" s="24" t="s">
        <v>38</v>
      </c>
      <c r="V70" s="43">
        <v>0.0004</v>
      </c>
      <c r="W70" s="43" t="s">
        <v>38</v>
      </c>
      <c r="X70" s="43">
        <v>0.0004</v>
      </c>
      <c r="Y70" s="43" t="s">
        <v>38</v>
      </c>
      <c r="Z70" s="43">
        <v>0.0004</v>
      </c>
      <c r="AA70" s="43"/>
      <c r="AB70" s="43">
        <f t="shared" si="21"/>
        <v>0.0004</v>
      </c>
    </row>
    <row r="71" spans="2:28" ht="12.75">
      <c r="B71" s="8" t="s">
        <v>167</v>
      </c>
      <c r="D71" s="8" t="s">
        <v>47</v>
      </c>
      <c r="E71" s="24" t="s">
        <v>38</v>
      </c>
      <c r="F71" s="43">
        <v>0.1</v>
      </c>
      <c r="G71" s="43" t="s">
        <v>38</v>
      </c>
      <c r="H71" s="43">
        <v>0.1</v>
      </c>
      <c r="I71" s="43" t="s">
        <v>38</v>
      </c>
      <c r="J71" s="43">
        <v>0.1</v>
      </c>
      <c r="K71" s="43"/>
      <c r="L71" s="43">
        <v>0.1</v>
      </c>
      <c r="T71" s="8"/>
      <c r="U71" s="24" t="s">
        <v>38</v>
      </c>
      <c r="V71" s="43">
        <v>0.0011</v>
      </c>
      <c r="W71" s="43" t="s">
        <v>38</v>
      </c>
      <c r="X71" s="43">
        <v>0.0011</v>
      </c>
      <c r="Y71" s="43" t="s">
        <v>38</v>
      </c>
      <c r="Z71" s="43">
        <v>0.0011</v>
      </c>
      <c r="AA71" s="43"/>
      <c r="AB71" s="43">
        <f t="shared" si="21"/>
        <v>0.0011</v>
      </c>
    </row>
    <row r="72" spans="2:28" ht="12.75">
      <c r="B72" s="8" t="s">
        <v>163</v>
      </c>
      <c r="D72" s="8" t="s">
        <v>47</v>
      </c>
      <c r="E72" s="24" t="s">
        <v>38</v>
      </c>
      <c r="F72" s="43">
        <v>0.1</v>
      </c>
      <c r="G72" s="43" t="s">
        <v>38</v>
      </c>
      <c r="H72" s="43">
        <v>0.1</v>
      </c>
      <c r="I72" s="43" t="s">
        <v>38</v>
      </c>
      <c r="J72" s="43">
        <v>0.1</v>
      </c>
      <c r="K72" s="43"/>
      <c r="L72" s="43">
        <v>0.1</v>
      </c>
      <c r="T72" s="8"/>
      <c r="U72" s="24" t="s">
        <v>38</v>
      </c>
      <c r="V72" s="43">
        <v>0.0011</v>
      </c>
      <c r="W72" s="43" t="s">
        <v>38</v>
      </c>
      <c r="X72" s="43">
        <v>0.0011</v>
      </c>
      <c r="Y72" s="43" t="s">
        <v>38</v>
      </c>
      <c r="Z72" s="43">
        <v>0.0011</v>
      </c>
      <c r="AA72" s="43"/>
      <c r="AB72" s="43">
        <f t="shared" si="21"/>
        <v>0.0011</v>
      </c>
    </row>
    <row r="73" spans="12:20" ht="12.75">
      <c r="L73" s="8"/>
      <c r="T73" s="8"/>
    </row>
    <row r="74" spans="2:28" ht="12.75">
      <c r="B74" s="8" t="s">
        <v>42</v>
      </c>
      <c r="D74" s="8" t="s">
        <v>16</v>
      </c>
      <c r="F74" s="43">
        <f>emiss!$G$51</f>
        <v>7509</v>
      </c>
      <c r="H74" s="43">
        <f>emiss!$I$51</f>
        <v>7711</v>
      </c>
      <c r="J74" s="43">
        <f>emiss!$K$51</f>
        <v>7578</v>
      </c>
      <c r="L74" s="53">
        <f>emiss!$O$51</f>
        <v>7599.333333333333</v>
      </c>
      <c r="N74" s="43">
        <f>emiss!$G$51</f>
        <v>7509</v>
      </c>
      <c r="P74" s="43">
        <f>emiss!$I$51</f>
        <v>7711</v>
      </c>
      <c r="R74" s="43">
        <f>emiss!$K$51</f>
        <v>7578</v>
      </c>
      <c r="T74" s="53">
        <f>emiss!$O$51</f>
        <v>7599.333333333333</v>
      </c>
      <c r="V74" s="43">
        <f>emiss!$G$51</f>
        <v>7509</v>
      </c>
      <c r="X74" s="43">
        <f>emiss!$I$51</f>
        <v>7711</v>
      </c>
      <c r="Z74" s="43">
        <f>emiss!$K$51</f>
        <v>7578</v>
      </c>
      <c r="AB74" s="53">
        <f>emiss!$O$51</f>
        <v>7599.333333333333</v>
      </c>
    </row>
    <row r="75" spans="2:28" ht="12.75">
      <c r="B75" s="8" t="s">
        <v>10</v>
      </c>
      <c r="D75" s="8" t="s">
        <v>17</v>
      </c>
      <c r="F75" s="43">
        <f>emiss!$G$52</f>
        <v>4.2</v>
      </c>
      <c r="H75" s="43">
        <f>emiss!$I$52</f>
        <v>4.8</v>
      </c>
      <c r="J75" s="43">
        <f>emiss!$K$52</f>
        <v>4.8</v>
      </c>
      <c r="L75" s="53">
        <f>emiss!$O$52</f>
        <v>4.6</v>
      </c>
      <c r="N75" s="43">
        <f>emiss!$G$52</f>
        <v>4.2</v>
      </c>
      <c r="P75" s="43">
        <f>emiss!$I$52</f>
        <v>4.8</v>
      </c>
      <c r="R75" s="43">
        <f>emiss!$K$52</f>
        <v>4.8</v>
      </c>
      <c r="T75" s="53">
        <f>emiss!$O$52</f>
        <v>4.6</v>
      </c>
      <c r="V75" s="43">
        <f>emiss!$G$52</f>
        <v>4.2</v>
      </c>
      <c r="X75" s="43">
        <f>emiss!$I$52</f>
        <v>4.8</v>
      </c>
      <c r="Z75" s="43">
        <f>emiss!$K$52</f>
        <v>4.8</v>
      </c>
      <c r="AB75" s="53">
        <f>emiss!$O$52</f>
        <v>4.6</v>
      </c>
    </row>
    <row r="76" spans="12:20" ht="12.75">
      <c r="L76" s="8"/>
      <c r="T76" s="8"/>
    </row>
    <row r="77" spans="2:44" ht="12.75">
      <c r="B77" s="5" t="s">
        <v>173</v>
      </c>
      <c r="C77" s="5"/>
      <c r="D77" s="5" t="s">
        <v>105</v>
      </c>
      <c r="F77" s="23">
        <f>(F60*F58)/1000000</f>
        <v>34.241526</v>
      </c>
      <c r="H77" s="23">
        <f>(H60*H58)/1000000</f>
        <v>33.8496</v>
      </c>
      <c r="J77" s="23">
        <f>(J60*J58)/1000000</f>
        <v>34.393413599999995</v>
      </c>
      <c r="L77" s="23">
        <f>(L60*L58)/1000000</f>
        <v>34.153035</v>
      </c>
      <c r="N77" s="23">
        <f>(N60*N58)/1000000</f>
        <v>4.5313104</v>
      </c>
      <c r="P77" s="23">
        <f>(P60*P58)/1000000</f>
        <v>4.751936</v>
      </c>
      <c r="R77" s="23">
        <f>(R60*R58)/1000000</f>
        <v>4.783757</v>
      </c>
      <c r="T77" s="23">
        <f>(T60*T58)/1000000</f>
        <v>4.688294</v>
      </c>
      <c r="AD77" s="15">
        <f>N77+F77</f>
        <v>38.7728364</v>
      </c>
      <c r="AF77" s="15">
        <f>P77+H77</f>
        <v>38.601536</v>
      </c>
      <c r="AH77" s="15">
        <f>R77+J77</f>
        <v>39.1771706</v>
      </c>
      <c r="AJ77" s="15">
        <f>T77+L77</f>
        <v>38.841329</v>
      </c>
      <c r="AR77" s="15"/>
    </row>
    <row r="78" spans="2:44" ht="12.75">
      <c r="B78" s="5" t="s">
        <v>222</v>
      </c>
      <c r="C78" s="5"/>
      <c r="D78" s="5" t="s">
        <v>105</v>
      </c>
      <c r="F78" s="51"/>
      <c r="H78" s="51"/>
      <c r="J78" s="51"/>
      <c r="L78" s="51"/>
      <c r="AD78" s="15"/>
      <c r="AJ78" s="15">
        <f>L74*60/9000*(21-L75)/21</f>
        <v>39.56478306878306</v>
      </c>
      <c r="AR78" s="23"/>
    </row>
    <row r="79" spans="2:44" ht="12.75">
      <c r="B79" s="5"/>
      <c r="C79" s="5"/>
      <c r="D79" s="5"/>
      <c r="F79" s="51"/>
      <c r="H79" s="51"/>
      <c r="J79" s="51"/>
      <c r="L79" s="51"/>
      <c r="AR79" s="23"/>
    </row>
    <row r="80" spans="2:44" ht="12.75">
      <c r="B80" s="52" t="s">
        <v>129</v>
      </c>
      <c r="C80" s="52"/>
      <c r="D80" s="5"/>
      <c r="F80" s="51"/>
      <c r="H80" s="51"/>
      <c r="J80" s="51"/>
      <c r="L80" s="51"/>
      <c r="AR80" s="23"/>
    </row>
    <row r="81" spans="2:36" ht="12.75">
      <c r="B81" s="5" t="s">
        <v>9</v>
      </c>
      <c r="C81" s="5"/>
      <c r="D81" s="5" t="s">
        <v>15</v>
      </c>
      <c r="F81" s="23">
        <f>(F61/(F74*60*0.0283))*(14/(21-F75))*1000</f>
        <v>127.91873936592147</v>
      </c>
      <c r="G81" s="42"/>
      <c r="H81" s="23">
        <f>(H61/(H74*60*0.0283))*(14/(21-H75))*1000</f>
        <v>27.292300599769263</v>
      </c>
      <c r="I81" s="42"/>
      <c r="J81" s="23">
        <f>(J61/(J74*60*0.0283))*(14/(21-J75))*1000</f>
        <v>27.610114715733108</v>
      </c>
      <c r="K81" s="42"/>
      <c r="L81" s="23">
        <f>AVERAGE(F81,H81,J81)</f>
        <v>60.94038489380795</v>
      </c>
      <c r="M81" s="42"/>
      <c r="N81" s="15"/>
      <c r="O81" s="42"/>
      <c r="P81" s="42"/>
      <c r="Q81" s="42"/>
      <c r="R81" s="42"/>
      <c r="S81" s="42"/>
      <c r="T81" s="42"/>
      <c r="U81" s="42"/>
      <c r="V81" s="23">
        <f>(V61/(P74*60*0.0283))*(14/(21-P75))*1000</f>
        <v>137.431749235404</v>
      </c>
      <c r="W81" s="42"/>
      <c r="X81" s="23">
        <f>(X61/(R74*60*0.0283))*(14/(21-R75))*1000</f>
        <v>144.20928805064975</v>
      </c>
      <c r="Y81" s="42"/>
      <c r="Z81" s="23">
        <f>(Z61/(T74*60*0.0283))*(14/(21-T75))*1000</f>
        <v>140.42991307663496</v>
      </c>
      <c r="AA81" s="42"/>
      <c r="AB81" s="23">
        <f>AVERAGE(V81,X81,Z81)</f>
        <v>140.6903167875629</v>
      </c>
      <c r="AC81" s="50">
        <f>SUM(U81*V81,M81*N81,E81*F81)/AD81</f>
        <v>0</v>
      </c>
      <c r="AD81" s="53">
        <f>SUM(V81,N81,F81)</f>
        <v>265.3504886013255</v>
      </c>
      <c r="AE81" s="50">
        <f>SUM(W81*X81,O81*P81,G81*H81)/AF81</f>
        <v>0</v>
      </c>
      <c r="AF81" s="53">
        <f>SUM(X81,P81,H81)</f>
        <v>171.50158865041902</v>
      </c>
      <c r="AG81" s="50">
        <f>SUM(Y81*Z81,Q81*R81,I81*J81)/AH81</f>
        <v>0</v>
      </c>
      <c r="AH81" s="53">
        <f>SUM(Z81,R81,J81)</f>
        <v>168.04002779236808</v>
      </c>
      <c r="AI81" s="50">
        <f>SUM(AA81*AB81,S81*T81,K81*L81)/AJ81</f>
        <v>0</v>
      </c>
      <c r="AJ81" s="53">
        <f>SUM(L81,T81,AB81)</f>
        <v>201.63070168137085</v>
      </c>
    </row>
    <row r="82" spans="2:36" ht="12.75">
      <c r="B82" s="5" t="s">
        <v>41</v>
      </c>
      <c r="C82" s="5"/>
      <c r="D82" s="5" t="s">
        <v>104</v>
      </c>
      <c r="E82" s="24">
        <v>100</v>
      </c>
      <c r="F82" s="23">
        <f>(F62/(F74*60*0.0283))*(14/(21-F75))*1000000</f>
        <v>1346.3754501011558</v>
      </c>
      <c r="G82" s="24">
        <v>100</v>
      </c>
      <c r="H82" s="23">
        <f>(H62/(H74*60*0.0283))*(14/(21-H75))*1000000</f>
        <v>1364.285014261743</v>
      </c>
      <c r="I82" s="24">
        <v>100</v>
      </c>
      <c r="J82" s="23">
        <f>(J62/(J74*60*0.0283))*(14/(21-J75))*1000000</f>
        <v>1380.8415435550294</v>
      </c>
      <c r="K82" s="24">
        <v>100</v>
      </c>
      <c r="L82" s="23">
        <f aca="true" t="shared" si="22" ref="L82:L95">AVERAGE(F82,H82,J82)</f>
        <v>1363.8340026393096</v>
      </c>
      <c r="M82" s="42"/>
      <c r="N82" s="15"/>
      <c r="O82" s="42"/>
      <c r="P82" s="42"/>
      <c r="Q82" s="42"/>
      <c r="R82" s="42"/>
      <c r="S82" s="42"/>
      <c r="T82" s="42"/>
      <c r="U82" s="58">
        <v>100</v>
      </c>
      <c r="V82" s="23">
        <f>(V62/(F74*60*0.0283))*(14/(21-F75))*1000000</f>
        <v>14.378766942827879</v>
      </c>
      <c r="W82" s="58">
        <v>100</v>
      </c>
      <c r="X82" s="23">
        <f>(X62/(H74*60*0.0283))*(14/(21-H75))*1000000</f>
        <v>9.240440348168555</v>
      </c>
      <c r="Y82" s="58">
        <v>100</v>
      </c>
      <c r="Z82" s="23">
        <f>(Z62/(J74*60*0.0283))*(14/(21-J75))*1000000</f>
        <v>14.775541808468216</v>
      </c>
      <c r="AA82" s="58">
        <v>100</v>
      </c>
      <c r="AB82" s="23">
        <f>AVERAGE(V82,X82,Z82)</f>
        <v>12.798249699821548</v>
      </c>
      <c r="AC82" s="50">
        <f aca="true" t="shared" si="23" ref="AC82:AI92">SUM(U82*V82,M82*N82,E82*F82)/AD82</f>
        <v>99.99999999999999</v>
      </c>
      <c r="AD82" s="53">
        <f>SUM(V82,N82,F82)</f>
        <v>1360.7542170439838</v>
      </c>
      <c r="AE82" s="50">
        <f t="shared" si="23"/>
        <v>100</v>
      </c>
      <c r="AF82" s="53">
        <f>SUM(X82,P82,H82)</f>
        <v>1373.5254546099115</v>
      </c>
      <c r="AG82" s="50">
        <f t="shared" si="23"/>
        <v>100</v>
      </c>
      <c r="AH82" s="53">
        <f>SUM(Z82,R82,J82)</f>
        <v>1395.6170853634976</v>
      </c>
      <c r="AI82" s="50">
        <f t="shared" si="23"/>
        <v>100</v>
      </c>
      <c r="AJ82" s="53">
        <f aca="true" t="shared" si="24" ref="AJ82:AJ95">SUM(L82,T82,AB82)</f>
        <v>1376.6322523391311</v>
      </c>
    </row>
    <row r="83" spans="2:36" ht="12.75">
      <c r="B83" s="5" t="s">
        <v>164</v>
      </c>
      <c r="C83" s="5"/>
      <c r="D83" s="5" t="s">
        <v>104</v>
      </c>
      <c r="E83" s="24">
        <v>100</v>
      </c>
      <c r="F83" s="23">
        <f>(F63/(F$74*60*0.0283))*(14/(21-F$75))*1000000</f>
        <v>13.72518662724479</v>
      </c>
      <c r="G83" s="24">
        <v>100</v>
      </c>
      <c r="H83" s="23">
        <f>(H63/(H$74*60*0.0283))*(14/(21-H$75))*1000000</f>
        <v>13.860660522252829</v>
      </c>
      <c r="I83" s="24">
        <v>100</v>
      </c>
      <c r="J83" s="23">
        <f aca="true" t="shared" si="25" ref="J83:J92">(J63/(J$74*60*0.0283))*(14/(21-J$75))*1000000</f>
        <v>14.10392627171966</v>
      </c>
      <c r="K83" s="24">
        <v>100</v>
      </c>
      <c r="L83" s="23">
        <f t="shared" si="22"/>
        <v>13.896591140405759</v>
      </c>
      <c r="M83" s="42"/>
      <c r="N83" s="15"/>
      <c r="O83" s="42"/>
      <c r="P83" s="42"/>
      <c r="Q83" s="42"/>
      <c r="R83" s="42"/>
      <c r="S83" s="42"/>
      <c r="T83" s="42"/>
      <c r="U83" s="58">
        <v>100</v>
      </c>
      <c r="V83" s="23">
        <f>(V63/(P$74*60*0.0283))*(14/(21-P$75))*1000000</f>
        <v>0.01980094360321833</v>
      </c>
      <c r="W83" s="58">
        <v>100</v>
      </c>
      <c r="X83" s="23">
        <f>(X63/(R$74*60*0.0283))*(14/(21-R$75))*1000000</f>
        <v>0.07387770904234107</v>
      </c>
      <c r="Y83" s="58">
        <v>100</v>
      </c>
      <c r="Z83" s="23">
        <f>(Z63/(T$74*60*0.0283))*(14/(21-T$75))*1000000</f>
        <v>0.08600315023301713</v>
      </c>
      <c r="AA83" s="58">
        <v>100</v>
      </c>
      <c r="AB83" s="23">
        <f aca="true" t="shared" si="26" ref="AB83:AB92">AVERAGE(V83,X83,Z83)</f>
        <v>0.05989393429285885</v>
      </c>
      <c r="AC83" s="50">
        <f t="shared" si="23"/>
        <v>100</v>
      </c>
      <c r="AD83" s="53">
        <f aca="true" t="shared" si="27" ref="AD83:AH92">SUM(V83,N83,F83)</f>
        <v>13.744987570848009</v>
      </c>
      <c r="AE83" s="50">
        <f t="shared" si="23"/>
        <v>100</v>
      </c>
      <c r="AF83" s="53">
        <f t="shared" si="27"/>
        <v>13.93453823129517</v>
      </c>
      <c r="AG83" s="50">
        <f t="shared" si="23"/>
        <v>100</v>
      </c>
      <c r="AH83" s="53">
        <f t="shared" si="27"/>
        <v>14.189929421952677</v>
      </c>
      <c r="AI83" s="50">
        <f t="shared" si="23"/>
        <v>99.99999999999999</v>
      </c>
      <c r="AJ83" s="53">
        <f t="shared" si="24"/>
        <v>13.956485074698618</v>
      </c>
    </row>
    <row r="84" spans="2:36" ht="12.75">
      <c r="B84" s="5" t="s">
        <v>160</v>
      </c>
      <c r="C84" s="5"/>
      <c r="D84" s="5" t="s">
        <v>104</v>
      </c>
      <c r="E84" s="24">
        <v>100</v>
      </c>
      <c r="F84" s="23">
        <f aca="true" t="shared" si="28" ref="F84:F92">(F64/(F$74*60*0.0283))*(14/(21-F$75))*1000000</f>
        <v>13.72518662724479</v>
      </c>
      <c r="G84" s="24">
        <v>100</v>
      </c>
      <c r="H84" s="23">
        <f aca="true" t="shared" si="29" ref="H84:H92">(H64/(H$74*60*0.0283))*(14/(21-H$75))*1000000</f>
        <v>13.860660522252829</v>
      </c>
      <c r="I84" s="24">
        <v>100</v>
      </c>
      <c r="J84" s="23">
        <f t="shared" si="25"/>
        <v>14.10392627171966</v>
      </c>
      <c r="K84" s="24">
        <v>100</v>
      </c>
      <c r="L84" s="23">
        <f t="shared" si="22"/>
        <v>13.896591140405759</v>
      </c>
      <c r="M84" s="42"/>
      <c r="N84" s="15"/>
      <c r="O84" s="42"/>
      <c r="P84" s="42"/>
      <c r="Q84" s="42"/>
      <c r="R84" s="42"/>
      <c r="S84" s="42"/>
      <c r="T84" s="42"/>
      <c r="U84" s="58">
        <v>100</v>
      </c>
      <c r="V84" s="23">
        <f aca="true" t="shared" si="30" ref="V84:V92">(V64/(P$74*60*0.0283))*(14/(21-P$75))*1000000</f>
        <v>0.10560503255049775</v>
      </c>
      <c r="W84" s="58">
        <v>100</v>
      </c>
      <c r="X84" s="23">
        <f aca="true" t="shared" si="31" ref="X84:X92">(X64/(R$74*60*0.0283))*(14/(21-R$75))*1000000</f>
        <v>0.07387770904234107</v>
      </c>
      <c r="Y84" s="58">
        <v>100</v>
      </c>
      <c r="Z84" s="23">
        <f aca="true" t="shared" si="32" ref="Z84:Z92">(Z64/(T$74*60*0.0283))*(14/(21-T$75))*1000000</f>
        <v>0.0727718963510145</v>
      </c>
      <c r="AA84" s="58">
        <v>100</v>
      </c>
      <c r="AB84" s="23">
        <f t="shared" si="26"/>
        <v>0.08408487931461778</v>
      </c>
      <c r="AC84" s="50">
        <f t="shared" si="23"/>
        <v>100</v>
      </c>
      <c r="AD84" s="53">
        <f t="shared" si="27"/>
        <v>13.830791659795288</v>
      </c>
      <c r="AE84" s="50">
        <f t="shared" si="23"/>
        <v>100</v>
      </c>
      <c r="AF84" s="53">
        <f t="shared" si="27"/>
        <v>13.93453823129517</v>
      </c>
      <c r="AG84" s="50">
        <f t="shared" si="23"/>
        <v>100.00000000000001</v>
      </c>
      <c r="AH84" s="53">
        <f t="shared" si="27"/>
        <v>14.176698168070674</v>
      </c>
      <c r="AI84" s="50">
        <f t="shared" si="23"/>
        <v>100</v>
      </c>
      <c r="AJ84" s="53">
        <f t="shared" si="24"/>
        <v>13.980676019720377</v>
      </c>
    </row>
    <row r="85" spans="2:36" ht="12.75">
      <c r="B85" s="5" t="s">
        <v>161</v>
      </c>
      <c r="C85" s="5"/>
      <c r="D85" s="5" t="s">
        <v>104</v>
      </c>
      <c r="E85" s="24">
        <v>100</v>
      </c>
      <c r="F85" s="23">
        <f t="shared" si="28"/>
        <v>4.378988114406673</v>
      </c>
      <c r="G85" s="24">
        <v>100</v>
      </c>
      <c r="H85" s="23">
        <f t="shared" si="29"/>
        <v>5.544264208901132</v>
      </c>
      <c r="I85" s="24">
        <v>100</v>
      </c>
      <c r="J85" s="23">
        <f t="shared" si="25"/>
        <v>2.820785254343932</v>
      </c>
      <c r="K85" s="24">
        <v>100</v>
      </c>
      <c r="L85" s="23">
        <f t="shared" si="22"/>
        <v>4.2480125258839125</v>
      </c>
      <c r="M85" s="42"/>
      <c r="N85" s="15"/>
      <c r="O85" s="42"/>
      <c r="P85" s="42"/>
      <c r="Q85" s="42"/>
      <c r="R85" s="42"/>
      <c r="S85" s="42"/>
      <c r="T85" s="42"/>
      <c r="U85" s="58"/>
      <c r="V85" s="23">
        <f t="shared" si="30"/>
        <v>0.2640125813762444</v>
      </c>
      <c r="W85" s="58"/>
      <c r="X85" s="23">
        <f t="shared" si="31"/>
        <v>0.30222699153684984</v>
      </c>
      <c r="Y85" s="58"/>
      <c r="Z85" s="23">
        <f t="shared" si="32"/>
        <v>0.291087585404058</v>
      </c>
      <c r="AA85" s="58"/>
      <c r="AB85" s="23">
        <f t="shared" si="26"/>
        <v>0.2857757194390507</v>
      </c>
      <c r="AC85" s="50">
        <f t="shared" si="23"/>
        <v>94.3137509840126</v>
      </c>
      <c r="AD85" s="53">
        <f t="shared" si="27"/>
        <v>4.643000695782917</v>
      </c>
      <c r="AE85" s="50">
        <f t="shared" si="23"/>
        <v>94.83062607681322</v>
      </c>
      <c r="AF85" s="53">
        <f t="shared" si="27"/>
        <v>5.846491200437982</v>
      </c>
      <c r="AG85" s="50">
        <f t="shared" si="23"/>
        <v>90.64590359586701</v>
      </c>
      <c r="AH85" s="53">
        <f t="shared" si="27"/>
        <v>3.1118728397479902</v>
      </c>
      <c r="AI85" s="50">
        <f t="shared" si="23"/>
        <v>93.69675635526525</v>
      </c>
      <c r="AJ85" s="53">
        <f t="shared" si="24"/>
        <v>4.533788245322963</v>
      </c>
    </row>
    <row r="86" spans="2:36" ht="12.75">
      <c r="B86" s="5" t="s">
        <v>162</v>
      </c>
      <c r="C86" s="5"/>
      <c r="D86" s="5" t="s">
        <v>104</v>
      </c>
      <c r="E86" s="24">
        <v>100</v>
      </c>
      <c r="F86" s="23">
        <f t="shared" si="28"/>
        <v>6.535803155830854</v>
      </c>
      <c r="G86" s="24">
        <v>100</v>
      </c>
      <c r="H86" s="23">
        <f t="shared" si="29"/>
        <v>6.60031453440611</v>
      </c>
      <c r="I86" s="24">
        <v>100</v>
      </c>
      <c r="J86" s="23">
        <f t="shared" si="25"/>
        <v>6.716155367485552</v>
      </c>
      <c r="K86" s="24">
        <v>100</v>
      </c>
      <c r="L86" s="23">
        <f t="shared" si="22"/>
        <v>6.617424352574171</v>
      </c>
      <c r="M86" s="42"/>
      <c r="N86" s="15"/>
      <c r="O86" s="42"/>
      <c r="P86" s="42"/>
      <c r="Q86" s="42"/>
      <c r="R86" s="42"/>
      <c r="S86" s="42"/>
      <c r="T86" s="42"/>
      <c r="U86" s="58">
        <v>100</v>
      </c>
      <c r="V86" s="23">
        <f t="shared" si="30"/>
        <v>0.07260345987846721</v>
      </c>
      <c r="W86" s="58">
        <v>100</v>
      </c>
      <c r="X86" s="23">
        <f t="shared" si="31"/>
        <v>0.07387770904234107</v>
      </c>
      <c r="Y86" s="58">
        <v>100</v>
      </c>
      <c r="Z86" s="23">
        <f t="shared" si="32"/>
        <v>0.0727718963510145</v>
      </c>
      <c r="AA86" s="58">
        <v>100</v>
      </c>
      <c r="AB86" s="23">
        <f t="shared" si="26"/>
        <v>0.0730843550906076</v>
      </c>
      <c r="AC86" s="50">
        <f t="shared" si="23"/>
        <v>100</v>
      </c>
      <c r="AD86" s="53">
        <f t="shared" si="27"/>
        <v>6.60840661570932</v>
      </c>
      <c r="AE86" s="50">
        <f t="shared" si="23"/>
        <v>100</v>
      </c>
      <c r="AF86" s="53">
        <f t="shared" si="27"/>
        <v>6.67419224344845</v>
      </c>
      <c r="AG86" s="50">
        <f t="shared" si="23"/>
        <v>100</v>
      </c>
      <c r="AH86" s="53">
        <f t="shared" si="27"/>
        <v>6.788927263836566</v>
      </c>
      <c r="AI86" s="50">
        <f t="shared" si="23"/>
        <v>100.00000000000001</v>
      </c>
      <c r="AJ86" s="53">
        <f t="shared" si="24"/>
        <v>6.690508707664779</v>
      </c>
    </row>
    <row r="87" spans="2:36" ht="12.75">
      <c r="B87" s="5" t="s">
        <v>166</v>
      </c>
      <c r="C87" s="5"/>
      <c r="D87" s="5" t="s">
        <v>104</v>
      </c>
      <c r="E87" s="24">
        <v>100</v>
      </c>
      <c r="F87" s="23">
        <f t="shared" si="28"/>
        <v>6.731877250505779</v>
      </c>
      <c r="G87" s="24">
        <v>100</v>
      </c>
      <c r="H87" s="23">
        <f t="shared" si="29"/>
        <v>0.9240440348168553</v>
      </c>
      <c r="I87" s="24">
        <v>100</v>
      </c>
      <c r="J87" s="23">
        <f t="shared" si="25"/>
        <v>0.7387770904234107</v>
      </c>
      <c r="K87" s="24">
        <v>100</v>
      </c>
      <c r="L87" s="23">
        <f t="shared" si="22"/>
        <v>2.798232791915348</v>
      </c>
      <c r="M87" s="42"/>
      <c r="N87" s="15"/>
      <c r="O87" s="42"/>
      <c r="P87" s="42"/>
      <c r="Q87" s="42"/>
      <c r="R87" s="42"/>
      <c r="S87" s="42"/>
      <c r="T87" s="42"/>
      <c r="U87" s="58">
        <v>100</v>
      </c>
      <c r="V87" s="23">
        <f t="shared" si="30"/>
        <v>0.04620220174084277</v>
      </c>
      <c r="W87" s="58">
        <v>100</v>
      </c>
      <c r="X87" s="23">
        <f t="shared" si="31"/>
        <v>0.07387770904234107</v>
      </c>
      <c r="Y87" s="58">
        <v>100</v>
      </c>
      <c r="Z87" s="23">
        <f t="shared" si="32"/>
        <v>0.1323125388200264</v>
      </c>
      <c r="AA87" s="58">
        <v>100</v>
      </c>
      <c r="AB87" s="23">
        <f t="shared" si="26"/>
        <v>0.08413081653440341</v>
      </c>
      <c r="AC87" s="50">
        <f t="shared" si="23"/>
        <v>100</v>
      </c>
      <c r="AD87" s="53">
        <f t="shared" si="27"/>
        <v>6.7780794522466215</v>
      </c>
      <c r="AE87" s="50">
        <f t="shared" si="23"/>
        <v>99.99999999999999</v>
      </c>
      <c r="AF87" s="53">
        <f t="shared" si="27"/>
        <v>0.9979217438591963</v>
      </c>
      <c r="AG87" s="50">
        <f t="shared" si="23"/>
        <v>100</v>
      </c>
      <c r="AH87" s="53">
        <f t="shared" si="27"/>
        <v>0.871089629243437</v>
      </c>
      <c r="AI87" s="50">
        <f t="shared" si="23"/>
        <v>100</v>
      </c>
      <c r="AJ87" s="53">
        <f t="shared" si="24"/>
        <v>2.8823636084497513</v>
      </c>
    </row>
    <row r="88" spans="2:44" ht="12.75">
      <c r="B88" s="5" t="s">
        <v>168</v>
      </c>
      <c r="C88" s="5"/>
      <c r="D88" s="5" t="s">
        <v>104</v>
      </c>
      <c r="F88" s="23">
        <f t="shared" si="28"/>
        <v>61.436549664810016</v>
      </c>
      <c r="G88" s="42"/>
      <c r="H88" s="23">
        <f t="shared" si="29"/>
        <v>75.24358569222964</v>
      </c>
      <c r="I88" s="42"/>
      <c r="J88" s="23">
        <f t="shared" si="25"/>
        <v>65.14670706460986</v>
      </c>
      <c r="K88" s="42"/>
      <c r="L88" s="23">
        <f t="shared" si="22"/>
        <v>67.27561414054985</v>
      </c>
      <c r="M88" s="42"/>
      <c r="N88" s="15"/>
      <c r="O88" s="42"/>
      <c r="P88" s="42"/>
      <c r="Q88" s="42"/>
      <c r="R88" s="42"/>
      <c r="S88" s="42"/>
      <c r="T88" s="42"/>
      <c r="U88" s="58"/>
      <c r="V88" s="23">
        <f t="shared" si="30"/>
        <v>0.1386066052225283</v>
      </c>
      <c r="W88" s="58"/>
      <c r="X88" s="23">
        <f t="shared" si="31"/>
        <v>0.2082008163920521</v>
      </c>
      <c r="Y88" s="58"/>
      <c r="Z88" s="23">
        <f t="shared" si="32"/>
        <v>0.19846880823003954</v>
      </c>
      <c r="AA88" s="58"/>
      <c r="AB88" s="23">
        <f t="shared" si="26"/>
        <v>0.18175874328153996</v>
      </c>
      <c r="AC88" s="50">
        <f t="shared" si="23"/>
        <v>0</v>
      </c>
      <c r="AD88" s="53">
        <f t="shared" si="27"/>
        <v>61.575156270032544</v>
      </c>
      <c r="AE88" s="50">
        <f t="shared" si="23"/>
        <v>0</v>
      </c>
      <c r="AF88" s="53">
        <f t="shared" si="27"/>
        <v>75.4517865086217</v>
      </c>
      <c r="AG88" s="50">
        <f t="shared" si="23"/>
        <v>0</v>
      </c>
      <c r="AH88" s="53">
        <f t="shared" si="27"/>
        <v>65.3451758728399</v>
      </c>
      <c r="AI88" s="50">
        <f t="shared" si="23"/>
        <v>0</v>
      </c>
      <c r="AJ88" s="53">
        <f t="shared" si="24"/>
        <v>67.45737288383138</v>
      </c>
      <c r="AR88" s="15"/>
    </row>
    <row r="89" spans="2:36" ht="12.75">
      <c r="B89" s="5" t="s">
        <v>165</v>
      </c>
      <c r="C89" s="5"/>
      <c r="D89" s="5" t="s">
        <v>104</v>
      </c>
      <c r="E89" s="24">
        <v>100</v>
      </c>
      <c r="F89" s="23">
        <f t="shared" si="28"/>
        <v>1.6339507889577134</v>
      </c>
      <c r="G89" s="24">
        <v>100</v>
      </c>
      <c r="H89" s="23">
        <f t="shared" si="29"/>
        <v>2.772132104450566</v>
      </c>
      <c r="I89" s="24">
        <v>100</v>
      </c>
      <c r="J89" s="23">
        <f t="shared" si="25"/>
        <v>2.820785254343932</v>
      </c>
      <c r="K89" s="24">
        <v>100</v>
      </c>
      <c r="L89" s="23">
        <f t="shared" si="22"/>
        <v>2.408956049250737</v>
      </c>
      <c r="M89" s="42"/>
      <c r="N89" s="15"/>
      <c r="O89" s="42"/>
      <c r="P89" s="42"/>
      <c r="Q89" s="42"/>
      <c r="R89" s="42"/>
      <c r="S89" s="42"/>
      <c r="T89" s="42"/>
      <c r="U89" s="58">
        <v>100</v>
      </c>
      <c r="V89" s="23">
        <f t="shared" si="30"/>
        <v>0.05280251627524887</v>
      </c>
      <c r="W89" s="58">
        <v>100</v>
      </c>
      <c r="X89" s="23">
        <f t="shared" si="31"/>
        <v>0.03358077683742776</v>
      </c>
      <c r="Y89" s="58">
        <v>100</v>
      </c>
      <c r="Z89" s="23">
        <f t="shared" si="32"/>
        <v>0.05954064246901187</v>
      </c>
      <c r="AA89" s="58">
        <v>100</v>
      </c>
      <c r="AB89" s="23">
        <f t="shared" si="26"/>
        <v>0.048641311860562836</v>
      </c>
      <c r="AC89" s="50">
        <f t="shared" si="23"/>
        <v>100</v>
      </c>
      <c r="AD89" s="53">
        <f t="shared" si="27"/>
        <v>1.6867533052329622</v>
      </c>
      <c r="AE89" s="50">
        <f t="shared" si="23"/>
        <v>99.99999999999997</v>
      </c>
      <c r="AF89" s="53">
        <f t="shared" si="27"/>
        <v>2.805712881287994</v>
      </c>
      <c r="AG89" s="50">
        <f t="shared" si="23"/>
        <v>100</v>
      </c>
      <c r="AH89" s="53">
        <f t="shared" si="27"/>
        <v>2.880325896812944</v>
      </c>
      <c r="AI89" s="50">
        <f t="shared" si="23"/>
        <v>100.00000000000001</v>
      </c>
      <c r="AJ89" s="53">
        <f t="shared" si="24"/>
        <v>2.4575973611113</v>
      </c>
    </row>
    <row r="90" spans="2:36" ht="12.75">
      <c r="B90" s="5" t="s">
        <v>174</v>
      </c>
      <c r="C90" s="5"/>
      <c r="D90" s="5" t="s">
        <v>104</v>
      </c>
      <c r="F90" s="23">
        <f t="shared" si="28"/>
        <v>3.921481893498512</v>
      </c>
      <c r="G90" s="42"/>
      <c r="H90" s="23">
        <f t="shared" si="29"/>
        <v>3.564169848579299</v>
      </c>
      <c r="I90" s="42"/>
      <c r="J90" s="23">
        <f t="shared" si="25"/>
        <v>4.029693220491331</v>
      </c>
      <c r="K90" s="42"/>
      <c r="L90" s="23">
        <f t="shared" si="22"/>
        <v>3.8384483208563807</v>
      </c>
      <c r="M90" s="42"/>
      <c r="N90" s="15"/>
      <c r="O90" s="42"/>
      <c r="P90" s="42"/>
      <c r="Q90" s="42"/>
      <c r="R90" s="42"/>
      <c r="S90" s="42"/>
      <c r="T90" s="42"/>
      <c r="U90" s="58">
        <v>100</v>
      </c>
      <c r="V90" s="23">
        <f t="shared" si="30"/>
        <v>0.026401258137624437</v>
      </c>
      <c r="W90" s="58">
        <v>100</v>
      </c>
      <c r="X90" s="23">
        <f t="shared" si="31"/>
        <v>0.026864621469942212</v>
      </c>
      <c r="Y90" s="58">
        <v>100</v>
      </c>
      <c r="Z90" s="23">
        <f t="shared" si="32"/>
        <v>0.02646250776400528</v>
      </c>
      <c r="AA90" s="58">
        <v>100</v>
      </c>
      <c r="AB90" s="23">
        <f t="shared" si="26"/>
        <v>0.026576129123857307</v>
      </c>
      <c r="AC90" s="50">
        <f t="shared" si="23"/>
        <v>0.6687446695752092</v>
      </c>
      <c r="AD90" s="53">
        <f t="shared" si="27"/>
        <v>3.9478831516361366</v>
      </c>
      <c r="AE90" s="50">
        <f t="shared" si="23"/>
        <v>0.7481025786303254</v>
      </c>
      <c r="AF90" s="53">
        <f t="shared" si="27"/>
        <v>3.5910344700492414</v>
      </c>
      <c r="AG90" s="50">
        <f t="shared" si="23"/>
        <v>0.6524036436684725</v>
      </c>
      <c r="AH90" s="53">
        <f t="shared" si="27"/>
        <v>4.056155728255336</v>
      </c>
      <c r="AI90" s="50">
        <f t="shared" si="23"/>
        <v>0.6876057180956047</v>
      </c>
      <c r="AJ90" s="53">
        <f t="shared" si="24"/>
        <v>3.865024449980238</v>
      </c>
    </row>
    <row r="91" spans="2:36" ht="12.75">
      <c r="B91" s="5" t="s">
        <v>167</v>
      </c>
      <c r="C91" s="5"/>
      <c r="D91" s="5" t="s">
        <v>104</v>
      </c>
      <c r="E91" s="24">
        <v>100</v>
      </c>
      <c r="F91" s="23">
        <f t="shared" si="28"/>
        <v>6.535803155830854</v>
      </c>
      <c r="G91" s="24">
        <v>100</v>
      </c>
      <c r="H91" s="23">
        <f t="shared" si="29"/>
        <v>6.60031453440611</v>
      </c>
      <c r="I91" s="24">
        <v>100</v>
      </c>
      <c r="J91" s="23">
        <f t="shared" si="25"/>
        <v>6.716155367485552</v>
      </c>
      <c r="K91" s="24">
        <v>100</v>
      </c>
      <c r="L91" s="23">
        <f t="shared" si="22"/>
        <v>6.617424352574171</v>
      </c>
      <c r="M91" s="42"/>
      <c r="N91" s="15"/>
      <c r="O91" s="42"/>
      <c r="P91" s="42"/>
      <c r="Q91" s="42"/>
      <c r="R91" s="42"/>
      <c r="S91" s="42"/>
      <c r="T91" s="42"/>
      <c r="U91" s="58">
        <v>100</v>
      </c>
      <c r="V91" s="23">
        <f t="shared" si="30"/>
        <v>0.07260345987846721</v>
      </c>
      <c r="W91" s="58">
        <v>100</v>
      </c>
      <c r="X91" s="23">
        <f t="shared" si="31"/>
        <v>0.07387770904234107</v>
      </c>
      <c r="Y91" s="58">
        <v>100</v>
      </c>
      <c r="Z91" s="23">
        <f t="shared" si="32"/>
        <v>0.0727718963510145</v>
      </c>
      <c r="AA91" s="58">
        <v>100</v>
      </c>
      <c r="AB91" s="23">
        <f t="shared" si="26"/>
        <v>0.0730843550906076</v>
      </c>
      <c r="AC91" s="50">
        <f t="shared" si="23"/>
        <v>100</v>
      </c>
      <c r="AD91" s="53">
        <f t="shared" si="27"/>
        <v>6.60840661570932</v>
      </c>
      <c r="AE91" s="50">
        <f t="shared" si="23"/>
        <v>100</v>
      </c>
      <c r="AF91" s="53">
        <f t="shared" si="27"/>
        <v>6.67419224344845</v>
      </c>
      <c r="AG91" s="50">
        <f t="shared" si="23"/>
        <v>100</v>
      </c>
      <c r="AH91" s="53">
        <f t="shared" si="27"/>
        <v>6.788927263836566</v>
      </c>
      <c r="AI91" s="50">
        <f t="shared" si="23"/>
        <v>100.00000000000001</v>
      </c>
      <c r="AJ91" s="53">
        <f t="shared" si="24"/>
        <v>6.690508707664779</v>
      </c>
    </row>
    <row r="92" spans="2:36" ht="12.75">
      <c r="B92" s="5" t="s">
        <v>163</v>
      </c>
      <c r="C92" s="5"/>
      <c r="D92" s="5" t="s">
        <v>104</v>
      </c>
      <c r="E92" s="24">
        <v>100</v>
      </c>
      <c r="F92" s="23">
        <f t="shared" si="28"/>
        <v>6.535803155830854</v>
      </c>
      <c r="G92" s="24">
        <v>100</v>
      </c>
      <c r="H92" s="23">
        <f t="shared" si="29"/>
        <v>6.60031453440611</v>
      </c>
      <c r="I92" s="24">
        <v>100</v>
      </c>
      <c r="J92" s="23">
        <f t="shared" si="25"/>
        <v>6.716155367485552</v>
      </c>
      <c r="K92" s="24">
        <v>100</v>
      </c>
      <c r="L92" s="23">
        <f t="shared" si="22"/>
        <v>6.617424352574171</v>
      </c>
      <c r="M92" s="42"/>
      <c r="N92" s="15"/>
      <c r="O92" s="42"/>
      <c r="P92" s="42"/>
      <c r="Q92" s="42"/>
      <c r="R92" s="42"/>
      <c r="S92" s="42"/>
      <c r="T92" s="42"/>
      <c r="U92" s="58">
        <v>100</v>
      </c>
      <c r="V92" s="23">
        <f t="shared" si="30"/>
        <v>0.07260345987846721</v>
      </c>
      <c r="W92" s="58">
        <v>100</v>
      </c>
      <c r="X92" s="23">
        <f t="shared" si="31"/>
        <v>0.07387770904234107</v>
      </c>
      <c r="Y92" s="58">
        <v>100</v>
      </c>
      <c r="Z92" s="23">
        <f t="shared" si="32"/>
        <v>0.0727718963510145</v>
      </c>
      <c r="AA92" s="58">
        <v>100</v>
      </c>
      <c r="AB92" s="23">
        <f t="shared" si="26"/>
        <v>0.0730843550906076</v>
      </c>
      <c r="AC92" s="50">
        <f t="shared" si="23"/>
        <v>100</v>
      </c>
      <c r="AD92" s="53">
        <f t="shared" si="27"/>
        <v>6.60840661570932</v>
      </c>
      <c r="AE92" s="50">
        <f t="shared" si="23"/>
        <v>100</v>
      </c>
      <c r="AF92" s="53">
        <f t="shared" si="27"/>
        <v>6.67419224344845</v>
      </c>
      <c r="AG92" s="50">
        <f t="shared" si="23"/>
        <v>100</v>
      </c>
      <c r="AH92" s="53">
        <f t="shared" si="27"/>
        <v>6.788927263836566</v>
      </c>
      <c r="AI92" s="50">
        <f t="shared" si="23"/>
        <v>100.00000000000001</v>
      </c>
      <c r="AJ92" s="53">
        <f t="shared" si="24"/>
        <v>6.690508707664779</v>
      </c>
    </row>
    <row r="93" spans="2:36" ht="12.75">
      <c r="B93" s="5"/>
      <c r="C93" s="5"/>
      <c r="D93" s="5"/>
      <c r="F93" s="23"/>
      <c r="H93" s="23"/>
      <c r="J93" s="23"/>
      <c r="L93" s="23"/>
      <c r="M93" s="42"/>
      <c r="N93" s="15"/>
      <c r="O93" s="42"/>
      <c r="P93" s="42"/>
      <c r="Q93" s="42"/>
      <c r="R93" s="42"/>
      <c r="S93" s="42"/>
      <c r="T93" s="42"/>
      <c r="U93" s="42"/>
      <c r="V93" s="23"/>
      <c r="W93" s="42"/>
      <c r="X93" s="23"/>
      <c r="Y93" s="42"/>
      <c r="Z93" s="23"/>
      <c r="AA93" s="42"/>
      <c r="AB93" s="57"/>
      <c r="AC93" s="42"/>
      <c r="AD93" s="53"/>
      <c r="AE93" s="53"/>
      <c r="AF93" s="53"/>
      <c r="AG93" s="53"/>
      <c r="AH93" s="53"/>
      <c r="AI93" s="53"/>
      <c r="AJ93" s="53"/>
    </row>
    <row r="94" spans="2:36" ht="12.75">
      <c r="B94" s="5" t="s">
        <v>5</v>
      </c>
      <c r="C94" s="5"/>
      <c r="D94" s="5" t="s">
        <v>104</v>
      </c>
      <c r="E94" s="46">
        <f>(E87*F87+E89*F89)/F94</f>
        <v>100</v>
      </c>
      <c r="F94" s="15">
        <f>(F87+F89)</f>
        <v>8.365828039463493</v>
      </c>
      <c r="G94" s="46">
        <f>(G87*H87+G89*H89)/H94</f>
        <v>100</v>
      </c>
      <c r="H94" s="15">
        <f>(H87+H89)</f>
        <v>3.696176139267421</v>
      </c>
      <c r="I94" s="46">
        <f>(I87*J87+I89*J89)/J94</f>
        <v>100</v>
      </c>
      <c r="J94" s="15">
        <f>(J87+J89)</f>
        <v>3.559562344767343</v>
      </c>
      <c r="K94" s="46">
        <f>(K87*L87+K89*L89)/L94</f>
        <v>99.99999999999999</v>
      </c>
      <c r="L94" s="23">
        <f t="shared" si="22"/>
        <v>5.207188841166086</v>
      </c>
      <c r="M94" s="42"/>
      <c r="N94" s="15"/>
      <c r="O94" s="42"/>
      <c r="P94" s="42"/>
      <c r="Q94" s="42"/>
      <c r="R94" s="42"/>
      <c r="S94" s="42"/>
      <c r="T94" s="42"/>
      <c r="U94" s="46">
        <f>(U87*V87+U89*V89)/V94</f>
        <v>100</v>
      </c>
      <c r="V94" s="15">
        <f>(V87+V89)</f>
        <v>0.09900471801609165</v>
      </c>
      <c r="W94" s="46">
        <f>(W87*X87+W89*X89)/X94</f>
        <v>100</v>
      </c>
      <c r="X94" s="15">
        <f>(X87+X89)</f>
        <v>0.10745848587976883</v>
      </c>
      <c r="Y94" s="46">
        <f>(Y87*Z87+Y89*Z89)/Z94</f>
        <v>100.00000000000001</v>
      </c>
      <c r="Z94" s="15">
        <f>(Z87+Z89)</f>
        <v>0.19185318128903825</v>
      </c>
      <c r="AA94" s="46">
        <f>(AA87*AB87+AA89*AB89)/AB94</f>
        <v>100</v>
      </c>
      <c r="AB94" s="15">
        <f>(AB87+AB89)</f>
        <v>0.13277212839496624</v>
      </c>
      <c r="AC94" s="42"/>
      <c r="AD94" s="53">
        <f>SUM(V94,N94,F94)</f>
        <v>8.464832757479584</v>
      </c>
      <c r="AE94" s="53"/>
      <c r="AF94" s="53">
        <f>SUM(X94,P94,H94)</f>
        <v>3.8036346251471898</v>
      </c>
      <c r="AG94" s="53"/>
      <c r="AH94" s="53">
        <f>SUM(Z94,R94,J94)</f>
        <v>3.751415526056381</v>
      </c>
      <c r="AI94" s="53"/>
      <c r="AJ94" s="53">
        <f t="shared" si="24"/>
        <v>5.3399609695610515</v>
      </c>
    </row>
    <row r="95" spans="2:36" ht="12" customHeight="1">
      <c r="B95" s="5" t="s">
        <v>6</v>
      </c>
      <c r="C95" s="5"/>
      <c r="D95" s="5" t="s">
        <v>104</v>
      </c>
      <c r="E95" s="46">
        <f>(E84*F84+E86*F86+E88*F88)/F95</f>
        <v>24.8</v>
      </c>
      <c r="F95" s="15">
        <f>(F84+F86+F88)</f>
        <v>81.69753944788566</v>
      </c>
      <c r="G95" s="46">
        <f>(G84*H84+G86*H86+G88*H88)/H95</f>
        <v>21.379310344827587</v>
      </c>
      <c r="H95" s="15">
        <f>(H84+H86+H88)</f>
        <v>95.70456074888858</v>
      </c>
      <c r="I95" s="46">
        <f>(I84*J84+I86*J86+I88*J88)/J95</f>
        <v>24.218750000000004</v>
      </c>
      <c r="J95" s="15">
        <f>(J84+J86+J88)</f>
        <v>85.96678870381507</v>
      </c>
      <c r="K95" s="46">
        <f>(K84*L84+K86*L86+K88*L88)/L95</f>
        <v>23.36724232533377</v>
      </c>
      <c r="L95" s="23">
        <f t="shared" si="22"/>
        <v>87.78962963352978</v>
      </c>
      <c r="M95" s="42"/>
      <c r="N95" s="15"/>
      <c r="O95" s="42"/>
      <c r="P95" s="42"/>
      <c r="Q95" s="42"/>
      <c r="R95" s="42"/>
      <c r="S95" s="42"/>
      <c r="T95" s="42"/>
      <c r="U95" s="46">
        <f>(U84*V84+U86*V86+U88*V88)/V95</f>
        <v>56.249999999999986</v>
      </c>
      <c r="V95" s="15">
        <f>(V84+V86+V88)</f>
        <v>0.3168150976514933</v>
      </c>
      <c r="W95" s="46">
        <f>(W84*X84+W86*X86+W88*X88)/X95</f>
        <v>41.509433962264154</v>
      </c>
      <c r="X95" s="15">
        <f>(X84+X86+X88)</f>
        <v>0.35595623447673425</v>
      </c>
      <c r="Y95" s="46">
        <f>(Y84*Z84+Y86*Z86+Y88*Z88)/Z95</f>
        <v>42.30769230769231</v>
      </c>
      <c r="Z95" s="15">
        <f>(Z84+Z86+Z88)</f>
        <v>0.34401260093206854</v>
      </c>
      <c r="AA95" s="46">
        <f>(AA84*AB84+AA86*AB86+AA88*AB88)/AB95</f>
        <v>46.37245808915781</v>
      </c>
      <c r="AB95" s="15">
        <f>(AB84+AB86+AB88)</f>
        <v>0.3389279776867653</v>
      </c>
      <c r="AC95" s="42"/>
      <c r="AD95" s="53">
        <f>SUM(V95,N95,F95)</f>
        <v>82.01435454553716</v>
      </c>
      <c r="AE95" s="53"/>
      <c r="AF95" s="53">
        <f>SUM(X95,P95,H95)</f>
        <v>96.06051698336532</v>
      </c>
      <c r="AG95" s="53"/>
      <c r="AH95" s="53">
        <f>SUM(Z95,R95,J95)</f>
        <v>86.31080130474714</v>
      </c>
      <c r="AI95" s="53"/>
      <c r="AJ95" s="53">
        <f t="shared" si="24"/>
        <v>88.12855761121655</v>
      </c>
    </row>
    <row r="96" ht="12.75">
      <c r="L96" s="8"/>
    </row>
    <row r="97" ht="12.75">
      <c r="L97" s="8"/>
    </row>
    <row r="98" ht="12.75">
      <c r="L98" s="8"/>
    </row>
    <row r="99" ht="12.75">
      <c r="L99" s="8"/>
    </row>
    <row r="100" spans="1:28" ht="12.75">
      <c r="A100" s="8" t="s">
        <v>172</v>
      </c>
      <c r="B100" s="36" t="s">
        <v>171</v>
      </c>
      <c r="C100" s="36" t="s">
        <v>170</v>
      </c>
      <c r="F100" s="24" t="s">
        <v>189</v>
      </c>
      <c r="H100" s="24" t="s">
        <v>190</v>
      </c>
      <c r="J100" s="24" t="s">
        <v>191</v>
      </c>
      <c r="L100" s="8" t="s">
        <v>34</v>
      </c>
      <c r="N100" s="24" t="s">
        <v>189</v>
      </c>
      <c r="P100" s="24" t="s">
        <v>190</v>
      </c>
      <c r="R100" s="24" t="s">
        <v>191</v>
      </c>
      <c r="T100" s="8" t="s">
        <v>34</v>
      </c>
      <c r="V100" s="24" t="s">
        <v>189</v>
      </c>
      <c r="X100" s="24" t="s">
        <v>190</v>
      </c>
      <c r="Z100" s="24" t="s">
        <v>191</v>
      </c>
      <c r="AB100" s="8" t="s">
        <v>34</v>
      </c>
    </row>
    <row r="101" ht="12.75">
      <c r="L101" s="8"/>
    </row>
    <row r="102" spans="2:28" ht="12.75">
      <c r="B102" s="8" t="s">
        <v>211</v>
      </c>
      <c r="F102" s="24" t="s">
        <v>213</v>
      </c>
      <c r="H102" s="24" t="s">
        <v>213</v>
      </c>
      <c r="J102" s="24" t="s">
        <v>213</v>
      </c>
      <c r="L102" s="24" t="s">
        <v>213</v>
      </c>
      <c r="N102" s="8" t="s">
        <v>215</v>
      </c>
      <c r="P102" s="8" t="s">
        <v>215</v>
      </c>
      <c r="R102" s="8" t="s">
        <v>215</v>
      </c>
      <c r="T102" s="8" t="s">
        <v>215</v>
      </c>
      <c r="V102" s="24" t="s">
        <v>217</v>
      </c>
      <c r="X102" s="24" t="s">
        <v>217</v>
      </c>
      <c r="Z102" s="24" t="s">
        <v>217</v>
      </c>
      <c r="AB102" s="24" t="s">
        <v>217</v>
      </c>
    </row>
    <row r="103" spans="2:28" ht="12.75">
      <c r="B103" s="8" t="s">
        <v>212</v>
      </c>
      <c r="F103" s="24" t="s">
        <v>214</v>
      </c>
      <c r="H103" s="24" t="s">
        <v>214</v>
      </c>
      <c r="J103" s="24" t="s">
        <v>214</v>
      </c>
      <c r="L103" s="24" t="s">
        <v>214</v>
      </c>
      <c r="N103" s="8" t="s">
        <v>216</v>
      </c>
      <c r="P103" s="8" t="s">
        <v>216</v>
      </c>
      <c r="R103" s="8" t="s">
        <v>216</v>
      </c>
      <c r="T103" s="8" t="s">
        <v>216</v>
      </c>
      <c r="V103" s="24" t="s">
        <v>80</v>
      </c>
      <c r="X103" s="24" t="s">
        <v>80</v>
      </c>
      <c r="Z103" s="24" t="s">
        <v>80</v>
      </c>
      <c r="AB103" s="24" t="s">
        <v>80</v>
      </c>
    </row>
    <row r="104" spans="2:28" ht="12.75">
      <c r="B104" s="8" t="s">
        <v>220</v>
      </c>
      <c r="F104" s="24" t="s">
        <v>1</v>
      </c>
      <c r="H104" s="24" t="s">
        <v>1</v>
      </c>
      <c r="J104" s="24" t="s">
        <v>1</v>
      </c>
      <c r="L104" s="24" t="s">
        <v>1</v>
      </c>
      <c r="N104" s="8" t="s">
        <v>221</v>
      </c>
      <c r="P104" s="8" t="s">
        <v>221</v>
      </c>
      <c r="R104" s="8" t="s">
        <v>221</v>
      </c>
      <c r="T104" s="8" t="s">
        <v>221</v>
      </c>
      <c r="V104" s="24" t="s">
        <v>80</v>
      </c>
      <c r="X104" s="24" t="s">
        <v>80</v>
      </c>
      <c r="Z104" s="24" t="s">
        <v>80</v>
      </c>
      <c r="AB104" s="24" t="s">
        <v>80</v>
      </c>
    </row>
    <row r="105" spans="2:28" ht="12.75">
      <c r="B105" s="8" t="s">
        <v>175</v>
      </c>
      <c r="F105" s="8" t="s">
        <v>125</v>
      </c>
      <c r="H105" s="8" t="s">
        <v>125</v>
      </c>
      <c r="J105" s="8" t="s">
        <v>125</v>
      </c>
      <c r="L105" s="8" t="s">
        <v>125</v>
      </c>
      <c r="N105" s="8" t="s">
        <v>176</v>
      </c>
      <c r="P105" s="8" t="s">
        <v>176</v>
      </c>
      <c r="R105" s="8" t="s">
        <v>176</v>
      </c>
      <c r="T105" s="8" t="s">
        <v>176</v>
      </c>
      <c r="V105" s="24" t="s">
        <v>80</v>
      </c>
      <c r="X105" s="24" t="s">
        <v>80</v>
      </c>
      <c r="Z105" s="24" t="s">
        <v>80</v>
      </c>
      <c r="AB105" s="24" t="s">
        <v>80</v>
      </c>
    </row>
    <row r="106" spans="2:20" ht="12.75">
      <c r="B106" s="8" t="s">
        <v>70</v>
      </c>
      <c r="D106" s="8" t="s">
        <v>40</v>
      </c>
      <c r="F106" s="8">
        <v>272.6</v>
      </c>
      <c r="H106" s="8">
        <v>383.9</v>
      </c>
      <c r="J106" s="8">
        <v>370.4</v>
      </c>
      <c r="L106" s="8">
        <v>342</v>
      </c>
      <c r="N106" s="8">
        <v>250.5</v>
      </c>
      <c r="P106" s="24">
        <v>335.3</v>
      </c>
      <c r="R106" s="24">
        <v>341.4</v>
      </c>
      <c r="T106" s="8">
        <v>309</v>
      </c>
    </row>
    <row r="107" spans="2:20" ht="12.75">
      <c r="B107" s="8" t="s">
        <v>48</v>
      </c>
      <c r="D107" s="8" t="s">
        <v>57</v>
      </c>
      <c r="F107" s="8">
        <v>0.9894</v>
      </c>
      <c r="H107" s="8">
        <v>0.989</v>
      </c>
      <c r="J107" s="8">
        <v>0.9895</v>
      </c>
      <c r="L107" s="8">
        <v>0.9893</v>
      </c>
      <c r="T107" s="8"/>
    </row>
    <row r="108" spans="2:20" ht="12.75">
      <c r="B108" s="8" t="s">
        <v>39</v>
      </c>
      <c r="D108" s="8" t="s">
        <v>43</v>
      </c>
      <c r="F108" s="8">
        <v>15250</v>
      </c>
      <c r="H108" s="8">
        <v>15297</v>
      </c>
      <c r="J108" s="8">
        <v>15263</v>
      </c>
      <c r="L108" s="8">
        <v>15270</v>
      </c>
      <c r="N108" s="8">
        <v>21214</v>
      </c>
      <c r="P108" s="8">
        <v>21214</v>
      </c>
      <c r="R108" s="8">
        <v>21214</v>
      </c>
      <c r="T108" s="8">
        <v>21214</v>
      </c>
    </row>
    <row r="109" spans="6:20" ht="12.75">
      <c r="F109" s="8"/>
      <c r="H109" s="8"/>
      <c r="J109" s="8"/>
      <c r="L109" s="8"/>
      <c r="T109" s="8"/>
    </row>
    <row r="110" spans="2:20" ht="12.75">
      <c r="B110" s="8" t="s">
        <v>42</v>
      </c>
      <c r="D110" s="8" t="s">
        <v>16</v>
      </c>
      <c r="F110" s="46">
        <f>emiss!G75</f>
        <v>2454</v>
      </c>
      <c r="H110" s="46">
        <f>emiss!I75</f>
        <v>3641</v>
      </c>
      <c r="J110" s="46">
        <f>emiss!K75</f>
        <v>3426</v>
      </c>
      <c r="L110" s="46">
        <f>emiss!O75</f>
        <v>3173.6666666666665</v>
      </c>
      <c r="T110" s="8"/>
    </row>
    <row r="111" spans="2:20" ht="12.75">
      <c r="B111" s="8" t="s">
        <v>10</v>
      </c>
      <c r="D111" s="8" t="s">
        <v>17</v>
      </c>
      <c r="F111" s="8">
        <f>emiss!G76</f>
        <v>7.8</v>
      </c>
      <c r="H111" s="8">
        <f>emiss!I76</f>
        <v>6.6</v>
      </c>
      <c r="J111" s="8">
        <f>emiss!K76</f>
        <v>6.2</v>
      </c>
      <c r="L111" s="8">
        <f>emiss!O76</f>
        <v>6.87</v>
      </c>
      <c r="T111" s="8"/>
    </row>
    <row r="112" spans="6:20" ht="12.75">
      <c r="F112" s="8"/>
      <c r="H112" s="8"/>
      <c r="J112" s="8"/>
      <c r="L112" s="8"/>
      <c r="T112" s="8"/>
    </row>
    <row r="113" spans="2:28" ht="12.75">
      <c r="B113" s="5" t="s">
        <v>173</v>
      </c>
      <c r="C113" s="5"/>
      <c r="D113" s="5" t="s">
        <v>105</v>
      </c>
      <c r="F113" s="23">
        <f>(F106*F108)/1000000</f>
        <v>4.157150000000001</v>
      </c>
      <c r="H113" s="23">
        <f>(H106*H108)/1000000</f>
        <v>5.872518299999999</v>
      </c>
      <c r="J113" s="23">
        <f>(J106*J108)/1000000</f>
        <v>5.6534151999999995</v>
      </c>
      <c r="L113" s="23">
        <f>(L106*L108)/1000000</f>
        <v>5.22234</v>
      </c>
      <c r="N113" s="23">
        <f>(N106*N108)/1000000</f>
        <v>5.314107</v>
      </c>
      <c r="P113" s="23">
        <f>(P106*P108)/1000000</f>
        <v>7.1130542000000005</v>
      </c>
      <c r="R113" s="23">
        <f>(R106*R108)/1000000</f>
        <v>7.242459599999999</v>
      </c>
      <c r="T113" s="23">
        <f>(T106*T108)/1000000</f>
        <v>6.555126</v>
      </c>
      <c r="V113" s="53">
        <f>F113+N113</f>
        <v>9.471257000000001</v>
      </c>
      <c r="W113" s="43"/>
      <c r="X113" s="53">
        <f>H113+P113</f>
        <v>12.9855725</v>
      </c>
      <c r="Y113" s="43"/>
      <c r="Z113" s="53">
        <f>J113+R113</f>
        <v>12.895874799999998</v>
      </c>
      <c r="AA113" s="43"/>
      <c r="AB113" s="53">
        <f>L113+T113</f>
        <v>11.777466</v>
      </c>
    </row>
    <row r="114" spans="2:28" ht="12.75">
      <c r="B114" s="5" t="s">
        <v>222</v>
      </c>
      <c r="C114" s="5"/>
      <c r="D114" s="5" t="s">
        <v>105</v>
      </c>
      <c r="F114" s="8"/>
      <c r="G114" s="8"/>
      <c r="H114" s="8"/>
      <c r="I114" s="8"/>
      <c r="J114" s="8"/>
      <c r="K114" s="8"/>
      <c r="L114" s="8"/>
      <c r="P114" s="8"/>
      <c r="R114" s="8"/>
      <c r="T114" s="8"/>
      <c r="V114" s="23">
        <f>(F110/9000)*((21-F111)/21)*60</f>
        <v>10.283428571428571</v>
      </c>
      <c r="X114" s="23">
        <f>(H110/9000)*((21-H111)/21)*60</f>
        <v>16.644571428571428</v>
      </c>
      <c r="Z114" s="23">
        <f>(J110/9000)*((21-J111)/21)*60</f>
        <v>16.096761904761905</v>
      </c>
      <c r="AB114" s="23">
        <f>(L110/9000)*((21-L111)/21)*60</f>
        <v>14.236161904761904</v>
      </c>
    </row>
    <row r="115" spans="12:20" ht="12.75">
      <c r="L115" s="8"/>
      <c r="P115" s="8"/>
      <c r="R115" s="8"/>
      <c r="T115" s="8"/>
    </row>
    <row r="116" spans="12:20" ht="12.75">
      <c r="L116" s="8"/>
      <c r="P116" s="8"/>
      <c r="R116" s="8"/>
      <c r="T116" s="8"/>
    </row>
    <row r="117" spans="1:20" ht="12.75">
      <c r="A117" s="8" t="s">
        <v>172</v>
      </c>
      <c r="B117" s="36" t="s">
        <v>185</v>
      </c>
      <c r="C117" s="36" t="s">
        <v>170</v>
      </c>
      <c r="F117" s="24" t="s">
        <v>189</v>
      </c>
      <c r="H117" s="24" t="s">
        <v>190</v>
      </c>
      <c r="J117" s="24" t="s">
        <v>191</v>
      </c>
      <c r="L117" s="8" t="s">
        <v>34</v>
      </c>
      <c r="N117" s="24" t="s">
        <v>189</v>
      </c>
      <c r="P117" s="24" t="s">
        <v>190</v>
      </c>
      <c r="R117" s="24" t="s">
        <v>191</v>
      </c>
      <c r="T117" s="8" t="s">
        <v>34</v>
      </c>
    </row>
    <row r="118" spans="12:20" ht="12.75">
      <c r="L118" s="8"/>
      <c r="P118" s="8"/>
      <c r="R118" s="8"/>
      <c r="T118" s="8"/>
    </row>
    <row r="119" spans="2:20" ht="12.75">
      <c r="B119" s="8" t="s">
        <v>211</v>
      </c>
      <c r="F119" s="24" t="s">
        <v>213</v>
      </c>
      <c r="H119" s="24" t="s">
        <v>213</v>
      </c>
      <c r="J119" s="24" t="s">
        <v>213</v>
      </c>
      <c r="L119" s="24" t="s">
        <v>213</v>
      </c>
      <c r="N119" s="8" t="s">
        <v>215</v>
      </c>
      <c r="P119" s="8" t="s">
        <v>215</v>
      </c>
      <c r="R119" s="8" t="s">
        <v>215</v>
      </c>
      <c r="T119" s="8" t="s">
        <v>215</v>
      </c>
    </row>
    <row r="120" spans="2:20" ht="12.75">
      <c r="B120" s="8" t="s">
        <v>212</v>
      </c>
      <c r="F120" s="24" t="s">
        <v>214</v>
      </c>
      <c r="H120" s="24" t="s">
        <v>214</v>
      </c>
      <c r="J120" s="24" t="s">
        <v>214</v>
      </c>
      <c r="L120" s="24" t="s">
        <v>214</v>
      </c>
      <c r="N120" s="8" t="s">
        <v>216</v>
      </c>
      <c r="P120" s="8" t="s">
        <v>216</v>
      </c>
      <c r="R120" s="8" t="s">
        <v>216</v>
      </c>
      <c r="T120" s="8" t="s">
        <v>216</v>
      </c>
    </row>
    <row r="121" spans="2:20" ht="12.75">
      <c r="B121" s="8" t="s">
        <v>220</v>
      </c>
      <c r="F121" s="24" t="s">
        <v>1</v>
      </c>
      <c r="H121" s="24" t="s">
        <v>1</v>
      </c>
      <c r="J121" s="24" t="s">
        <v>1</v>
      </c>
      <c r="L121" s="24" t="s">
        <v>1</v>
      </c>
      <c r="N121" s="8" t="s">
        <v>221</v>
      </c>
      <c r="P121" s="8" t="s">
        <v>221</v>
      </c>
      <c r="R121" s="8" t="s">
        <v>221</v>
      </c>
      <c r="T121" s="8" t="s">
        <v>221</v>
      </c>
    </row>
    <row r="122" spans="2:20" ht="12.75">
      <c r="B122" s="8" t="s">
        <v>175</v>
      </c>
      <c r="F122" s="8" t="s">
        <v>125</v>
      </c>
      <c r="H122" s="8" t="s">
        <v>125</v>
      </c>
      <c r="J122" s="8" t="s">
        <v>125</v>
      </c>
      <c r="L122" s="8" t="s">
        <v>125</v>
      </c>
      <c r="N122" s="8" t="s">
        <v>176</v>
      </c>
      <c r="P122" s="8" t="s">
        <v>176</v>
      </c>
      <c r="R122" s="8" t="s">
        <v>176</v>
      </c>
      <c r="T122" s="8" t="s">
        <v>176</v>
      </c>
    </row>
    <row r="123" spans="2:20" ht="12.75">
      <c r="B123" s="8" t="s">
        <v>70</v>
      </c>
      <c r="D123" s="8" t="s">
        <v>40</v>
      </c>
      <c r="F123" s="8">
        <v>720.9</v>
      </c>
      <c r="H123" s="8">
        <v>720.9</v>
      </c>
      <c r="J123" s="8">
        <v>720.9</v>
      </c>
      <c r="L123" s="8">
        <v>720.9</v>
      </c>
      <c r="N123" s="8">
        <v>274.6</v>
      </c>
      <c r="P123" s="8">
        <v>274.6</v>
      </c>
      <c r="R123" s="8">
        <v>274.6</v>
      </c>
      <c r="T123" s="8">
        <v>274.6</v>
      </c>
    </row>
    <row r="124" ht="12.75">
      <c r="L124" s="8"/>
    </row>
    <row r="125" ht="12.75">
      <c r="L125" s="8"/>
    </row>
    <row r="126" ht="12.75">
      <c r="L126" s="8"/>
    </row>
    <row r="127" ht="12.75">
      <c r="L127" s="8"/>
    </row>
    <row r="128" spans="2:12" ht="12.75">
      <c r="B128" s="36" t="s">
        <v>186</v>
      </c>
      <c r="L128" s="8"/>
    </row>
    <row r="129" ht="12.75">
      <c r="L129" s="8"/>
    </row>
    <row r="130" spans="2:12" ht="12.75">
      <c r="B130" s="8" t="s">
        <v>164</v>
      </c>
      <c r="D130" s="8" t="s">
        <v>47</v>
      </c>
      <c r="L130" s="8">
        <v>344</v>
      </c>
    </row>
    <row r="131" spans="2:12" ht="12.75">
      <c r="B131" s="8" t="s">
        <v>160</v>
      </c>
      <c r="D131" s="8" t="s">
        <v>47</v>
      </c>
      <c r="L131" s="8">
        <v>2.63</v>
      </c>
    </row>
    <row r="132" spans="2:12" ht="12.75">
      <c r="B132" s="8" t="s">
        <v>161</v>
      </c>
      <c r="D132" s="8" t="s">
        <v>47</v>
      </c>
      <c r="L132" s="8">
        <v>57245</v>
      </c>
    </row>
    <row r="133" spans="2:12" ht="12.75">
      <c r="B133" s="8" t="s">
        <v>162</v>
      </c>
      <c r="D133" s="8" t="s">
        <v>47</v>
      </c>
      <c r="L133" s="8">
        <v>4.81</v>
      </c>
    </row>
    <row r="134" spans="2:12" ht="12.75">
      <c r="B134" s="8" t="s">
        <v>166</v>
      </c>
      <c r="D134" s="8" t="s">
        <v>47</v>
      </c>
      <c r="L134" s="8">
        <v>6.41</v>
      </c>
    </row>
    <row r="135" spans="2:12" ht="12.75">
      <c r="B135" s="8" t="s">
        <v>168</v>
      </c>
      <c r="D135" s="8" t="s">
        <v>47</v>
      </c>
      <c r="L135" s="8">
        <v>0.95</v>
      </c>
    </row>
    <row r="136" spans="2:12" ht="12.75">
      <c r="B136" s="8" t="s">
        <v>165</v>
      </c>
      <c r="D136" s="8" t="s">
        <v>47</v>
      </c>
      <c r="L136" s="8">
        <v>103</v>
      </c>
    </row>
    <row r="137" spans="2:12" ht="12.75">
      <c r="B137" s="8" t="s">
        <v>174</v>
      </c>
      <c r="D137" s="8" t="s">
        <v>47</v>
      </c>
      <c r="L137" s="8">
        <v>344</v>
      </c>
    </row>
    <row r="138" spans="2:12" ht="12.75">
      <c r="B138" s="8" t="s">
        <v>167</v>
      </c>
      <c r="D138" s="8" t="s">
        <v>47</v>
      </c>
      <c r="L138" s="8">
        <v>3435</v>
      </c>
    </row>
    <row r="139" spans="2:12" ht="12.75">
      <c r="B139" s="8" t="s">
        <v>163</v>
      </c>
      <c r="D139" s="8" t="s">
        <v>47</v>
      </c>
      <c r="L139" s="8">
        <v>572</v>
      </c>
    </row>
    <row r="140" spans="2:12" ht="12.75">
      <c r="B140" s="8" t="s">
        <v>41</v>
      </c>
      <c r="D140" s="8" t="s">
        <v>47</v>
      </c>
      <c r="L140" s="8">
        <v>5000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27" sqref="B27"/>
    </sheetView>
  </sheetViews>
  <sheetFormatPr defaultColWidth="9.140625" defaultRowHeight="12.75"/>
  <cols>
    <col min="1" max="1" width="28.140625" style="8" customWidth="1"/>
    <col min="2" max="2" width="7.00390625" style="8" customWidth="1"/>
    <col min="3" max="3" width="9.140625" style="8" customWidth="1"/>
    <col min="4" max="4" width="7.421875" style="8" customWidth="1"/>
    <col min="5" max="6" width="7.8515625" style="8" customWidth="1"/>
    <col min="7" max="7" width="8.28125" style="8" customWidth="1"/>
    <col min="8" max="16384" width="11.421875" style="8" customWidth="1"/>
  </cols>
  <sheetData>
    <row r="1" ht="12.75">
      <c r="A1" s="36" t="s">
        <v>44</v>
      </c>
    </row>
    <row r="3" spans="2:7" ht="12.75">
      <c r="B3" s="8" t="s">
        <v>33</v>
      </c>
      <c r="C3" s="24" t="s">
        <v>126</v>
      </c>
      <c r="D3" s="24"/>
      <c r="E3" s="24"/>
      <c r="F3" s="24"/>
      <c r="G3" s="24"/>
    </row>
    <row r="4" spans="3:7" ht="12.75">
      <c r="C4" s="24" t="s">
        <v>45</v>
      </c>
      <c r="D4" s="24"/>
      <c r="E4" s="24"/>
      <c r="F4" s="24"/>
      <c r="G4" s="24"/>
    </row>
    <row r="5" spans="3:7" ht="12.75">
      <c r="C5" s="24"/>
      <c r="D5" s="24"/>
      <c r="E5" s="24"/>
      <c r="F5" s="24"/>
      <c r="G5" s="24"/>
    </row>
    <row r="6" spans="1:7" ht="12.75">
      <c r="A6" s="36" t="s">
        <v>53</v>
      </c>
      <c r="C6" s="24"/>
      <c r="D6" s="24"/>
      <c r="E6" s="24"/>
      <c r="F6" s="24"/>
      <c r="G6" s="24"/>
    </row>
    <row r="7" spans="1:7" ht="12.75">
      <c r="A7" s="36"/>
      <c r="C7" s="24"/>
      <c r="D7" s="24"/>
      <c r="E7" s="24"/>
      <c r="F7" s="24"/>
      <c r="G7" s="24"/>
    </row>
    <row r="8" spans="1:7" ht="12.75">
      <c r="A8" s="8" t="s">
        <v>60</v>
      </c>
      <c r="B8" s="8" t="s">
        <v>18</v>
      </c>
      <c r="C8" s="15">
        <v>1714.43</v>
      </c>
      <c r="G8" s="39"/>
    </row>
    <row r="9" spans="1:7" ht="12.75">
      <c r="A9" s="8" t="s">
        <v>54</v>
      </c>
      <c r="B9" s="8" t="s">
        <v>55</v>
      </c>
      <c r="C9" s="15">
        <v>33.05</v>
      </c>
      <c r="D9" s="39"/>
      <c r="E9" s="39"/>
      <c r="F9" s="39"/>
      <c r="G9" s="39"/>
    </row>
    <row r="10" ht="12.75">
      <c r="G10" s="39"/>
    </row>
    <row r="11" ht="12.75">
      <c r="A11" s="36" t="s">
        <v>56</v>
      </c>
    </row>
    <row r="12" ht="12.75">
      <c r="A12" s="36"/>
    </row>
    <row r="13" spans="1:7" ht="12.75">
      <c r="A13" s="8" t="s">
        <v>60</v>
      </c>
      <c r="B13" s="8" t="s">
        <v>18</v>
      </c>
      <c r="C13" s="8">
        <v>1196.8</v>
      </c>
      <c r="G13" s="46"/>
    </row>
    <row r="14" spans="1:7" ht="12.75">
      <c r="A14" s="8" t="s">
        <v>54</v>
      </c>
      <c r="B14" s="8" t="s">
        <v>55</v>
      </c>
      <c r="C14" s="8">
        <v>8.09</v>
      </c>
      <c r="G14" s="46"/>
    </row>
    <row r="15" ht="12.75">
      <c r="G15" s="39"/>
    </row>
    <row r="16" spans="1:5" ht="12.75">
      <c r="A16" s="36" t="s">
        <v>62</v>
      </c>
      <c r="C16" s="24"/>
      <c r="D16" s="24"/>
      <c r="E16" s="24"/>
    </row>
    <row r="17" spans="1:5" ht="12.75">
      <c r="A17" s="36"/>
      <c r="C17" s="24"/>
      <c r="D17" s="24"/>
      <c r="E17" s="24"/>
    </row>
    <row r="18" spans="1:3" ht="12.75">
      <c r="A18" s="8" t="s">
        <v>64</v>
      </c>
      <c r="B18" s="8" t="s">
        <v>18</v>
      </c>
      <c r="C18" s="8">
        <v>1827.3</v>
      </c>
    </row>
    <row r="19" spans="1:3" ht="12.75">
      <c r="A19" s="8" t="s">
        <v>54</v>
      </c>
      <c r="B19" s="8" t="s">
        <v>55</v>
      </c>
      <c r="C19" s="8">
        <v>31.79</v>
      </c>
    </row>
    <row r="21" spans="1:5" ht="12.75">
      <c r="A21" s="36" t="s">
        <v>63</v>
      </c>
      <c r="C21" s="24"/>
      <c r="D21" s="24"/>
      <c r="E21" s="24"/>
    </row>
    <row r="22" spans="1:5" ht="12.75">
      <c r="A22" s="36"/>
      <c r="C22" s="24"/>
      <c r="D22" s="24"/>
      <c r="E22" s="24"/>
    </row>
    <row r="23" spans="1:3" ht="12.75">
      <c r="A23" s="8" t="s">
        <v>64</v>
      </c>
      <c r="B23" s="8" t="s">
        <v>18</v>
      </c>
      <c r="C23" s="8">
        <v>1419</v>
      </c>
    </row>
    <row r="24" spans="1:3" ht="12.75">
      <c r="A24" s="8" t="s">
        <v>54</v>
      </c>
      <c r="B24" s="8" t="s">
        <v>55</v>
      </c>
      <c r="C24" s="8">
        <v>10.47</v>
      </c>
    </row>
    <row r="26" spans="1:3" ht="12.75">
      <c r="A26" s="36" t="s">
        <v>185</v>
      </c>
      <c r="C26" s="24"/>
    </row>
    <row r="27" spans="1:3" ht="12.75">
      <c r="A27" s="36"/>
      <c r="C27" s="24"/>
    </row>
    <row r="28" spans="1:3" ht="12.75">
      <c r="A28" s="8" t="s">
        <v>64</v>
      </c>
      <c r="B28" s="8" t="s">
        <v>18</v>
      </c>
      <c r="C28" s="8">
        <v>1535.3</v>
      </c>
    </row>
    <row r="29" spans="1:3" ht="12.75">
      <c r="A29" s="8" t="s">
        <v>54</v>
      </c>
      <c r="B29" s="8" t="s">
        <v>55</v>
      </c>
      <c r="C29" s="8">
        <v>13.83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E1">
      <selection activeCell="O1" sqref="O1"/>
    </sheetView>
  </sheetViews>
  <sheetFormatPr defaultColWidth="9.140625" defaultRowHeight="12.75"/>
  <cols>
    <col min="1" max="1" width="1.7109375" style="8" customWidth="1"/>
    <col min="2" max="2" width="17.7109375" style="8" customWidth="1"/>
    <col min="3" max="3" width="6.7109375" style="8" customWidth="1"/>
    <col min="4" max="4" width="4.421875" style="8" customWidth="1"/>
    <col min="5" max="5" width="9.28125" style="8" customWidth="1"/>
    <col min="6" max="6" width="9.00390625" style="8" customWidth="1"/>
    <col min="7" max="7" width="10.421875" style="8" customWidth="1"/>
    <col min="8" max="8" width="9.57421875" style="8" customWidth="1"/>
    <col min="9" max="9" width="3.7109375" style="24" customWidth="1"/>
    <col min="10" max="10" width="8.57421875" style="24" customWidth="1"/>
    <col min="11" max="11" width="9.8515625" style="8" customWidth="1"/>
    <col min="12" max="12" width="9.421875" style="8" customWidth="1"/>
    <col min="13" max="13" width="9.7109375" style="8" customWidth="1"/>
    <col min="14" max="14" width="3.7109375" style="24" customWidth="1"/>
    <col min="15" max="15" width="9.00390625" style="24" customWidth="1"/>
    <col min="16" max="16" width="9.8515625" style="8" customWidth="1"/>
    <col min="17" max="17" width="9.28125" style="8" customWidth="1"/>
    <col min="18" max="18" width="9.7109375" style="8" customWidth="1"/>
    <col min="19" max="19" width="9.28125" style="8" hidden="1" customWidth="1"/>
    <col min="20" max="16384" width="9.140625" style="8" customWidth="1"/>
  </cols>
  <sheetData>
    <row r="1" spans="1:19" ht="12.75">
      <c r="A1" s="1" t="s">
        <v>71</v>
      </c>
      <c r="B1" s="2"/>
      <c r="C1" s="2"/>
      <c r="D1" s="2"/>
      <c r="E1" s="2"/>
      <c r="F1" s="3"/>
      <c r="G1" s="3"/>
      <c r="H1" s="3"/>
      <c r="I1" s="10"/>
      <c r="J1" s="10"/>
      <c r="K1" s="3"/>
      <c r="L1" s="3"/>
      <c r="M1" s="3"/>
      <c r="N1" s="10"/>
      <c r="O1" s="10"/>
      <c r="P1" s="3"/>
      <c r="Q1" s="3"/>
      <c r="R1" s="3"/>
      <c r="S1" s="3"/>
    </row>
    <row r="2" spans="1:19" ht="12.75">
      <c r="A2" s="2" t="s">
        <v>229</v>
      </c>
      <c r="B2" s="2"/>
      <c r="C2" s="2"/>
      <c r="D2" s="2"/>
      <c r="E2" s="2"/>
      <c r="F2" s="3"/>
      <c r="G2" s="3"/>
      <c r="H2" s="3"/>
      <c r="I2" s="10"/>
      <c r="J2" s="10"/>
      <c r="K2" s="3"/>
      <c r="L2" s="3"/>
      <c r="M2" s="3"/>
      <c r="N2" s="10"/>
      <c r="O2" s="10"/>
      <c r="P2" s="3"/>
      <c r="Q2" s="3"/>
      <c r="R2" s="3"/>
      <c r="S2" s="3"/>
    </row>
    <row r="3" spans="1:19" ht="12.75">
      <c r="A3" s="2" t="s">
        <v>72</v>
      </c>
      <c r="B3" s="2"/>
      <c r="C3" s="5" t="s">
        <v>112</v>
      </c>
      <c r="D3" s="5"/>
      <c r="E3" s="5"/>
      <c r="F3" s="3"/>
      <c r="G3" s="3"/>
      <c r="H3" s="3"/>
      <c r="I3" s="10"/>
      <c r="J3" s="10"/>
      <c r="K3" s="3"/>
      <c r="L3" s="3"/>
      <c r="M3" s="3"/>
      <c r="N3" s="10"/>
      <c r="O3" s="10"/>
      <c r="P3" s="3"/>
      <c r="Q3" s="3"/>
      <c r="R3" s="3"/>
      <c r="S3" s="3"/>
    </row>
    <row r="4" spans="1:19" ht="12.75">
      <c r="A4" s="2" t="s">
        <v>73</v>
      </c>
      <c r="B4" s="2"/>
      <c r="C4" s="59" t="s">
        <v>62</v>
      </c>
      <c r="D4" s="5"/>
      <c r="E4" s="5"/>
      <c r="F4" s="6"/>
      <c r="G4" s="6"/>
      <c r="H4" s="6"/>
      <c r="I4" s="10"/>
      <c r="J4" s="10"/>
      <c r="K4" s="6"/>
      <c r="L4" s="6"/>
      <c r="M4" s="6"/>
      <c r="N4" s="10"/>
      <c r="O4" s="10"/>
      <c r="P4" s="6"/>
      <c r="Q4" s="6"/>
      <c r="R4" s="6"/>
      <c r="S4" s="6"/>
    </row>
    <row r="5" spans="1:19" ht="12.75">
      <c r="A5" s="2" t="s">
        <v>74</v>
      </c>
      <c r="B5" s="2"/>
      <c r="C5" s="27" t="s">
        <v>102</v>
      </c>
      <c r="K5" s="3"/>
      <c r="L5" s="3"/>
      <c r="M5" s="3"/>
      <c r="N5" s="10"/>
      <c r="O5" s="10"/>
      <c r="P5" s="3"/>
      <c r="Q5" s="3"/>
      <c r="R5" s="3"/>
      <c r="S5" s="3"/>
    </row>
    <row r="6" spans="1:19" ht="12.75">
      <c r="A6" s="2"/>
      <c r="B6" s="2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3"/>
    </row>
    <row r="7" spans="3:19" s="2" customFormat="1" ht="12.75">
      <c r="C7" s="9" t="s">
        <v>75</v>
      </c>
      <c r="D7" s="9"/>
      <c r="E7" s="60" t="s">
        <v>76</v>
      </c>
      <c r="F7" s="61"/>
      <c r="G7" s="61"/>
      <c r="H7" s="61"/>
      <c r="I7" s="62"/>
      <c r="J7" s="61" t="s">
        <v>77</v>
      </c>
      <c r="K7" s="61"/>
      <c r="L7" s="61"/>
      <c r="M7" s="61"/>
      <c r="N7" s="62"/>
      <c r="O7" s="61" t="s">
        <v>78</v>
      </c>
      <c r="P7" s="61"/>
      <c r="Q7" s="61"/>
      <c r="R7" s="61"/>
      <c r="S7" s="11"/>
    </row>
    <row r="8" spans="3:19" s="2" customFormat="1" ht="12.75">
      <c r="C8" s="9" t="s">
        <v>79</v>
      </c>
      <c r="E8" s="10" t="s">
        <v>80</v>
      </c>
      <c r="F8" s="10" t="s">
        <v>81</v>
      </c>
      <c r="G8" s="10" t="s">
        <v>80</v>
      </c>
      <c r="H8" s="7" t="s">
        <v>225</v>
      </c>
      <c r="I8" s="63"/>
      <c r="J8" s="10" t="s">
        <v>80</v>
      </c>
      <c r="K8" s="10" t="s">
        <v>81</v>
      </c>
      <c r="L8" s="10" t="s">
        <v>80</v>
      </c>
      <c r="M8" s="7" t="s">
        <v>225</v>
      </c>
      <c r="N8" s="63"/>
      <c r="O8" s="10" t="s">
        <v>80</v>
      </c>
      <c r="P8" s="10" t="s">
        <v>81</v>
      </c>
      <c r="Q8" s="10" t="s">
        <v>80</v>
      </c>
      <c r="R8" s="7" t="s">
        <v>225</v>
      </c>
      <c r="S8" s="10"/>
    </row>
    <row r="9" spans="3:19" s="2" customFormat="1" ht="12.75">
      <c r="C9" s="9"/>
      <c r="E9" s="10" t="s">
        <v>226</v>
      </c>
      <c r="F9" s="10" t="s">
        <v>226</v>
      </c>
      <c r="G9" s="10" t="s">
        <v>82</v>
      </c>
      <c r="H9" s="7" t="s">
        <v>82</v>
      </c>
      <c r="I9" s="63"/>
      <c r="J9" s="10" t="s">
        <v>226</v>
      </c>
      <c r="K9" s="10" t="s">
        <v>226</v>
      </c>
      <c r="L9" s="10" t="s">
        <v>82</v>
      </c>
      <c r="M9" s="7" t="s">
        <v>82</v>
      </c>
      <c r="N9" s="63"/>
      <c r="O9" s="10" t="s">
        <v>226</v>
      </c>
      <c r="P9" s="10" t="s">
        <v>226</v>
      </c>
      <c r="Q9" s="10" t="s">
        <v>82</v>
      </c>
      <c r="R9" s="7" t="s">
        <v>82</v>
      </c>
      <c r="S9" s="7"/>
    </row>
    <row r="10" spans="1:19" ht="12.75">
      <c r="A10" s="2" t="s">
        <v>130</v>
      </c>
      <c r="B10" s="2"/>
      <c r="C10" s="2"/>
      <c r="D10" s="2"/>
      <c r="E10" s="2"/>
      <c r="F10" s="3"/>
      <c r="G10" s="3"/>
      <c r="H10" s="3"/>
      <c r="I10" s="10"/>
      <c r="J10" s="10"/>
      <c r="K10" s="3"/>
      <c r="L10" s="3"/>
      <c r="M10" s="3"/>
      <c r="N10" s="10"/>
      <c r="O10" s="10"/>
      <c r="P10" s="12"/>
      <c r="Q10" s="12"/>
      <c r="R10" s="3"/>
      <c r="S10" s="3"/>
    </row>
    <row r="11" spans="1:19" ht="12.75">
      <c r="A11" s="2"/>
      <c r="B11" s="2" t="s">
        <v>83</v>
      </c>
      <c r="C11" s="9">
        <v>1</v>
      </c>
      <c r="D11" s="9" t="s">
        <v>38</v>
      </c>
      <c r="E11" s="10">
        <f aca="true" t="shared" si="0" ref="E11:E27">F11/$C11</f>
        <v>0.00388</v>
      </c>
      <c r="F11" s="3">
        <v>0.00388</v>
      </c>
      <c r="G11" s="10">
        <f aca="true" t="shared" si="1" ref="G11:G27">H11/$C11</f>
        <v>0.00194</v>
      </c>
      <c r="H11" s="3">
        <f aca="true" t="shared" si="2" ref="H11:H27">F11/2</f>
        <v>0.00194</v>
      </c>
      <c r="I11" s="7" t="s">
        <v>38</v>
      </c>
      <c r="J11" s="10">
        <f aca="true" t="shared" si="3" ref="J11:J27">K11/$C11</f>
        <v>0.00425</v>
      </c>
      <c r="K11" s="17">
        <v>0.00425</v>
      </c>
      <c r="L11" s="10">
        <f aca="true" t="shared" si="4" ref="L11:L27">M11/$C11</f>
        <v>0.002125</v>
      </c>
      <c r="M11" s="3">
        <f aca="true" t="shared" si="5" ref="M11:M27">K11/2</f>
        <v>0.002125</v>
      </c>
      <c r="N11" s="7" t="s">
        <v>38</v>
      </c>
      <c r="O11" s="10">
        <f aca="true" t="shared" si="6" ref="O11:O27">P11/$C11</f>
        <v>0.00405</v>
      </c>
      <c r="P11" s="3">
        <v>0.00405</v>
      </c>
      <c r="Q11" s="10">
        <f aca="true" t="shared" si="7" ref="Q11:Q27">R11/$C11</f>
        <v>0.002025</v>
      </c>
      <c r="R11" s="3">
        <f aca="true" t="shared" si="8" ref="R11:R27">P11/2</f>
        <v>0.002025</v>
      </c>
      <c r="S11" s="12"/>
    </row>
    <row r="12" spans="1:19" ht="12.75">
      <c r="A12" s="2"/>
      <c r="B12" s="2" t="s">
        <v>84</v>
      </c>
      <c r="C12" s="9">
        <v>0.5</v>
      </c>
      <c r="D12" s="9" t="s">
        <v>38</v>
      </c>
      <c r="E12" s="10">
        <f t="shared" si="0"/>
        <v>0.00532</v>
      </c>
      <c r="F12" s="3">
        <v>0.00266</v>
      </c>
      <c r="G12" s="10">
        <f t="shared" si="1"/>
        <v>0.00266</v>
      </c>
      <c r="H12" s="3">
        <f t="shared" si="2"/>
        <v>0.00133</v>
      </c>
      <c r="I12" s="7" t="s">
        <v>38</v>
      </c>
      <c r="J12" s="10">
        <f t="shared" si="3"/>
        <v>0.00514</v>
      </c>
      <c r="K12" s="17">
        <v>0.00257</v>
      </c>
      <c r="L12" s="10">
        <f t="shared" si="4"/>
        <v>0.00257</v>
      </c>
      <c r="M12" s="3">
        <f t="shared" si="5"/>
        <v>0.001285</v>
      </c>
      <c r="N12" s="7" t="s">
        <v>38</v>
      </c>
      <c r="O12" s="10">
        <f t="shared" si="6"/>
        <v>0.00558</v>
      </c>
      <c r="P12" s="17">
        <v>0.00279</v>
      </c>
      <c r="Q12" s="10">
        <f t="shared" si="7"/>
        <v>0.00279</v>
      </c>
      <c r="R12" s="3">
        <f t="shared" si="8"/>
        <v>0.001395</v>
      </c>
      <c r="S12" s="12"/>
    </row>
    <row r="13" spans="1:19" ht="12.75">
      <c r="A13" s="2"/>
      <c r="B13" s="2" t="s">
        <v>85</v>
      </c>
      <c r="C13" s="9">
        <v>0.1</v>
      </c>
      <c r="D13" s="9" t="s">
        <v>38</v>
      </c>
      <c r="E13" s="10">
        <f t="shared" si="0"/>
        <v>0.00938</v>
      </c>
      <c r="F13" s="3">
        <v>0.000938</v>
      </c>
      <c r="G13" s="10">
        <f t="shared" si="1"/>
        <v>0.00469</v>
      </c>
      <c r="H13" s="3">
        <f t="shared" si="2"/>
        <v>0.000469</v>
      </c>
      <c r="I13" s="7" t="s">
        <v>38</v>
      </c>
      <c r="J13" s="10">
        <f t="shared" si="3"/>
        <v>0.00882</v>
      </c>
      <c r="K13" s="17">
        <v>0.000882</v>
      </c>
      <c r="L13" s="10">
        <f t="shared" si="4"/>
        <v>0.00441</v>
      </c>
      <c r="M13" s="3">
        <f t="shared" si="5"/>
        <v>0.000441</v>
      </c>
      <c r="N13" s="7" t="s">
        <v>38</v>
      </c>
      <c r="O13" s="10">
        <f t="shared" si="6"/>
        <v>0.007829999999999998</v>
      </c>
      <c r="P13" s="17">
        <v>0.000783</v>
      </c>
      <c r="Q13" s="10">
        <f t="shared" si="7"/>
        <v>0.003914999999999999</v>
      </c>
      <c r="R13" s="3">
        <f t="shared" si="8"/>
        <v>0.0003915</v>
      </c>
      <c r="S13" s="12"/>
    </row>
    <row r="14" spans="1:19" ht="12.75">
      <c r="A14" s="2"/>
      <c r="B14" s="2" t="s">
        <v>86</v>
      </c>
      <c r="C14" s="9">
        <v>0.1</v>
      </c>
      <c r="D14" s="9" t="s">
        <v>38</v>
      </c>
      <c r="E14" s="10">
        <f t="shared" si="0"/>
        <v>0.00887</v>
      </c>
      <c r="F14" s="3">
        <v>0.000887</v>
      </c>
      <c r="G14" s="10">
        <f t="shared" si="1"/>
        <v>0.004435</v>
      </c>
      <c r="H14" s="3">
        <f t="shared" si="2"/>
        <v>0.0004435</v>
      </c>
      <c r="I14" s="7" t="s">
        <v>38</v>
      </c>
      <c r="J14" s="10">
        <f t="shared" si="3"/>
        <v>0.00856</v>
      </c>
      <c r="K14" s="17">
        <v>0.000856</v>
      </c>
      <c r="L14" s="10">
        <f t="shared" si="4"/>
        <v>0.00428</v>
      </c>
      <c r="M14" s="3">
        <f t="shared" si="5"/>
        <v>0.000428</v>
      </c>
      <c r="N14" s="7" t="s">
        <v>38</v>
      </c>
      <c r="O14" s="10">
        <f t="shared" si="6"/>
        <v>0.00756</v>
      </c>
      <c r="P14" s="17">
        <v>0.000756</v>
      </c>
      <c r="Q14" s="10">
        <f t="shared" si="7"/>
        <v>0.00378</v>
      </c>
      <c r="R14" s="3">
        <f t="shared" si="8"/>
        <v>0.000378</v>
      </c>
      <c r="S14" s="12"/>
    </row>
    <row r="15" spans="1:19" ht="12.75">
      <c r="A15" s="2"/>
      <c r="B15" s="2" t="s">
        <v>87</v>
      </c>
      <c r="C15" s="9">
        <v>0.1</v>
      </c>
      <c r="D15" s="9" t="s">
        <v>38</v>
      </c>
      <c r="E15" s="10">
        <f t="shared" si="0"/>
        <v>0.008369999999999999</v>
      </c>
      <c r="F15" s="3">
        <v>0.000837</v>
      </c>
      <c r="G15" s="10">
        <f t="shared" si="1"/>
        <v>0.0041849999999999995</v>
      </c>
      <c r="H15" s="3">
        <f t="shared" si="2"/>
        <v>0.0004185</v>
      </c>
      <c r="I15" s="7" t="s">
        <v>38</v>
      </c>
      <c r="J15" s="10">
        <f t="shared" si="3"/>
        <v>0.00804</v>
      </c>
      <c r="K15" s="17">
        <v>0.000804</v>
      </c>
      <c r="L15" s="10">
        <f t="shared" si="4"/>
        <v>0.00402</v>
      </c>
      <c r="M15" s="3">
        <f t="shared" si="5"/>
        <v>0.000402</v>
      </c>
      <c r="N15" s="7" t="s">
        <v>38</v>
      </c>
      <c r="O15" s="10">
        <f t="shared" si="6"/>
        <v>0.007129999999999999</v>
      </c>
      <c r="P15" s="17">
        <v>0.000713</v>
      </c>
      <c r="Q15" s="10">
        <f t="shared" si="7"/>
        <v>0.0035649999999999996</v>
      </c>
      <c r="R15" s="3">
        <f t="shared" si="8"/>
        <v>0.0003565</v>
      </c>
      <c r="S15" s="12"/>
    </row>
    <row r="16" spans="1:19" ht="12.75">
      <c r="A16" s="2"/>
      <c r="B16" s="2" t="s">
        <v>88</v>
      </c>
      <c r="C16" s="9">
        <v>0.01</v>
      </c>
      <c r="D16" s="9" t="s">
        <v>38</v>
      </c>
      <c r="E16" s="10">
        <f t="shared" si="0"/>
        <v>0.0076100000000000004</v>
      </c>
      <c r="F16" s="3">
        <v>7.61E-05</v>
      </c>
      <c r="G16" s="10">
        <f t="shared" si="1"/>
        <v>0.0038050000000000002</v>
      </c>
      <c r="H16" s="3">
        <f t="shared" si="2"/>
        <v>3.805E-05</v>
      </c>
      <c r="I16" s="7" t="s">
        <v>38</v>
      </c>
      <c r="J16" s="10">
        <f t="shared" si="3"/>
        <v>0.0106</v>
      </c>
      <c r="K16" s="17">
        <v>0.000106</v>
      </c>
      <c r="L16" s="10">
        <f t="shared" si="4"/>
        <v>0.0053</v>
      </c>
      <c r="M16" s="3">
        <f t="shared" si="5"/>
        <v>5.3E-05</v>
      </c>
      <c r="N16" s="7" t="s">
        <v>38</v>
      </c>
      <c r="O16" s="10">
        <f t="shared" si="6"/>
        <v>0.00891</v>
      </c>
      <c r="P16" s="17">
        <v>8.91E-05</v>
      </c>
      <c r="Q16" s="10">
        <f t="shared" si="7"/>
        <v>0.004455</v>
      </c>
      <c r="R16" s="3">
        <f t="shared" si="8"/>
        <v>4.455E-05</v>
      </c>
      <c r="S16" s="12"/>
    </row>
    <row r="17" spans="1:19" ht="12.75">
      <c r="A17" s="2"/>
      <c r="B17" s="2" t="s">
        <v>89</v>
      </c>
      <c r="C17" s="9">
        <v>0.001</v>
      </c>
      <c r="D17" s="9" t="s">
        <v>38</v>
      </c>
      <c r="E17" s="10">
        <f t="shared" si="0"/>
        <v>0.022099999999999998</v>
      </c>
      <c r="F17" s="3">
        <v>2.21E-05</v>
      </c>
      <c r="G17" s="10">
        <f t="shared" si="1"/>
        <v>0.011049999999999999</v>
      </c>
      <c r="H17" s="3">
        <f t="shared" si="2"/>
        <v>1.105E-05</v>
      </c>
      <c r="I17" s="7" t="s">
        <v>38</v>
      </c>
      <c r="J17" s="10">
        <f t="shared" si="3"/>
        <v>0.027</v>
      </c>
      <c r="K17" s="17">
        <v>2.7E-05</v>
      </c>
      <c r="L17" s="10">
        <f t="shared" si="4"/>
        <v>0.0135</v>
      </c>
      <c r="M17" s="3">
        <f t="shared" si="5"/>
        <v>1.35E-05</v>
      </c>
      <c r="N17" s="7" t="s">
        <v>38</v>
      </c>
      <c r="O17" s="10">
        <f t="shared" si="6"/>
        <v>0.015099999999999999</v>
      </c>
      <c r="P17" s="17">
        <v>1.51E-05</v>
      </c>
      <c r="Q17" s="10">
        <f t="shared" si="7"/>
        <v>0.007549999999999999</v>
      </c>
      <c r="R17" s="3">
        <f t="shared" si="8"/>
        <v>7.55E-06</v>
      </c>
      <c r="S17" s="12"/>
    </row>
    <row r="18" spans="1:19" ht="12.75">
      <c r="A18" s="2"/>
      <c r="B18" s="2" t="s">
        <v>90</v>
      </c>
      <c r="C18" s="9">
        <v>0.1</v>
      </c>
      <c r="D18" s="9" t="s">
        <v>38</v>
      </c>
      <c r="E18" s="10">
        <f t="shared" si="0"/>
        <v>0.00378</v>
      </c>
      <c r="F18" s="3">
        <v>0.000378</v>
      </c>
      <c r="G18" s="10">
        <f t="shared" si="1"/>
        <v>0.00189</v>
      </c>
      <c r="H18" s="3">
        <f t="shared" si="2"/>
        <v>0.000189</v>
      </c>
      <c r="I18" s="7" t="s">
        <v>38</v>
      </c>
      <c r="J18" s="10">
        <f t="shared" si="3"/>
        <v>0.0041199999999999995</v>
      </c>
      <c r="K18" s="17">
        <v>0.000412</v>
      </c>
      <c r="L18" s="10">
        <f t="shared" si="4"/>
        <v>0.0020599999999999998</v>
      </c>
      <c r="M18" s="3">
        <f t="shared" si="5"/>
        <v>0.000206</v>
      </c>
      <c r="N18" s="7" t="s">
        <v>38</v>
      </c>
      <c r="O18" s="10">
        <f t="shared" si="6"/>
        <v>0.0049700000000000005</v>
      </c>
      <c r="P18" s="17">
        <v>0.000497</v>
      </c>
      <c r="Q18" s="10">
        <f t="shared" si="7"/>
        <v>0.0024850000000000002</v>
      </c>
      <c r="R18" s="3">
        <f t="shared" si="8"/>
        <v>0.0002485</v>
      </c>
      <c r="S18" s="12"/>
    </row>
    <row r="19" spans="1:19" ht="12.75">
      <c r="A19" s="2"/>
      <c r="B19" s="2" t="s">
        <v>91</v>
      </c>
      <c r="C19" s="9">
        <v>0.05</v>
      </c>
      <c r="D19" s="9" t="s">
        <v>38</v>
      </c>
      <c r="E19" s="10">
        <f t="shared" si="0"/>
        <v>0.01116</v>
      </c>
      <c r="F19" s="3">
        <v>0.000558</v>
      </c>
      <c r="G19" s="10">
        <f t="shared" si="1"/>
        <v>0.00558</v>
      </c>
      <c r="H19" s="3">
        <f t="shared" si="2"/>
        <v>0.000279</v>
      </c>
      <c r="I19" s="7" t="s">
        <v>38</v>
      </c>
      <c r="J19" s="10">
        <f t="shared" si="3"/>
        <v>0.0096</v>
      </c>
      <c r="K19" s="17">
        <v>0.00048</v>
      </c>
      <c r="L19" s="10">
        <f t="shared" si="4"/>
        <v>0.0048</v>
      </c>
      <c r="M19" s="3">
        <f t="shared" si="5"/>
        <v>0.00024</v>
      </c>
      <c r="N19" s="7" t="s">
        <v>38</v>
      </c>
      <c r="O19" s="10">
        <f t="shared" si="6"/>
        <v>0.01026</v>
      </c>
      <c r="P19" s="17">
        <v>0.000513</v>
      </c>
      <c r="Q19" s="10">
        <f t="shared" si="7"/>
        <v>0.00513</v>
      </c>
      <c r="R19" s="3">
        <f t="shared" si="8"/>
        <v>0.0002565</v>
      </c>
      <c r="S19" s="12"/>
    </row>
    <row r="20" spans="1:19" ht="12.75">
      <c r="A20" s="2"/>
      <c r="B20" s="2" t="s">
        <v>92</v>
      </c>
      <c r="C20" s="9">
        <v>0.5</v>
      </c>
      <c r="D20" s="9" t="s">
        <v>38</v>
      </c>
      <c r="E20" s="10">
        <f t="shared" si="0"/>
        <v>0.01166</v>
      </c>
      <c r="F20" s="3">
        <v>0.00583</v>
      </c>
      <c r="G20" s="10">
        <f t="shared" si="1"/>
        <v>0.00583</v>
      </c>
      <c r="H20" s="3">
        <f t="shared" si="2"/>
        <v>0.002915</v>
      </c>
      <c r="I20" s="7" t="s">
        <v>38</v>
      </c>
      <c r="J20" s="10">
        <f t="shared" si="3"/>
        <v>0.00986</v>
      </c>
      <c r="K20" s="17">
        <v>0.00493</v>
      </c>
      <c r="L20" s="10">
        <f t="shared" si="4"/>
        <v>0.00493</v>
      </c>
      <c r="M20" s="3">
        <f t="shared" si="5"/>
        <v>0.002465</v>
      </c>
      <c r="N20" s="7" t="s">
        <v>38</v>
      </c>
      <c r="O20" s="10">
        <f t="shared" si="6"/>
        <v>0.01054</v>
      </c>
      <c r="P20" s="17">
        <v>0.00527</v>
      </c>
      <c r="Q20" s="10">
        <f t="shared" si="7"/>
        <v>0.00527</v>
      </c>
      <c r="R20" s="3">
        <f t="shared" si="8"/>
        <v>0.002635</v>
      </c>
      <c r="S20" s="13"/>
    </row>
    <row r="21" spans="1:19" ht="12.75">
      <c r="A21" s="2"/>
      <c r="B21" s="2" t="s">
        <v>93</v>
      </c>
      <c r="C21" s="9">
        <v>0.1</v>
      </c>
      <c r="D21" s="9" t="s">
        <v>38</v>
      </c>
      <c r="E21" s="10">
        <f t="shared" si="0"/>
        <v>0.00705</v>
      </c>
      <c r="F21" s="3">
        <v>0.000705</v>
      </c>
      <c r="G21" s="10">
        <f t="shared" si="1"/>
        <v>0.003525</v>
      </c>
      <c r="H21" s="3">
        <f t="shared" si="2"/>
        <v>0.0003525</v>
      </c>
      <c r="I21" s="7" t="s">
        <v>38</v>
      </c>
      <c r="J21" s="10">
        <f t="shared" si="3"/>
        <v>0.00599</v>
      </c>
      <c r="K21" s="17">
        <v>0.000599</v>
      </c>
      <c r="L21" s="10">
        <f t="shared" si="4"/>
        <v>0.002995</v>
      </c>
      <c r="M21" s="3">
        <f t="shared" si="5"/>
        <v>0.0002995</v>
      </c>
      <c r="N21" s="7" t="s">
        <v>38</v>
      </c>
      <c r="O21" s="10">
        <f t="shared" si="6"/>
        <v>0.00559</v>
      </c>
      <c r="P21" s="17">
        <v>0.000559</v>
      </c>
      <c r="Q21" s="10">
        <f t="shared" si="7"/>
        <v>0.002795</v>
      </c>
      <c r="R21" s="3">
        <f t="shared" si="8"/>
        <v>0.0002795</v>
      </c>
      <c r="S21" s="13"/>
    </row>
    <row r="22" spans="1:19" ht="12.75">
      <c r="A22" s="2"/>
      <c r="B22" s="2" t="s">
        <v>94</v>
      </c>
      <c r="C22" s="9">
        <v>0.1</v>
      </c>
      <c r="D22" s="9" t="s">
        <v>38</v>
      </c>
      <c r="E22" s="10">
        <f t="shared" si="0"/>
        <v>0.0055</v>
      </c>
      <c r="F22" s="3">
        <v>0.00055</v>
      </c>
      <c r="G22" s="10">
        <f t="shared" si="1"/>
        <v>0.00275</v>
      </c>
      <c r="H22" s="3">
        <f t="shared" si="2"/>
        <v>0.000275</v>
      </c>
      <c r="I22" s="7" t="s">
        <v>38</v>
      </c>
      <c r="J22" s="10">
        <f t="shared" si="3"/>
        <v>0.00477</v>
      </c>
      <c r="K22" s="17">
        <v>0.000477</v>
      </c>
      <c r="L22" s="10">
        <f t="shared" si="4"/>
        <v>0.002385</v>
      </c>
      <c r="M22" s="3">
        <f t="shared" si="5"/>
        <v>0.0002385</v>
      </c>
      <c r="N22" s="7" t="s">
        <v>38</v>
      </c>
      <c r="O22" s="10">
        <f t="shared" si="6"/>
        <v>0.00454</v>
      </c>
      <c r="P22" s="17">
        <v>0.000454</v>
      </c>
      <c r="Q22" s="10">
        <f t="shared" si="7"/>
        <v>0.00227</v>
      </c>
      <c r="R22" s="3">
        <f t="shared" si="8"/>
        <v>0.000227</v>
      </c>
      <c r="S22" s="13"/>
    </row>
    <row r="23" spans="1:19" ht="12.75">
      <c r="A23" s="2"/>
      <c r="B23" s="2" t="s">
        <v>95</v>
      </c>
      <c r="C23" s="9">
        <v>0.1</v>
      </c>
      <c r="D23" s="9" t="s">
        <v>38</v>
      </c>
      <c r="E23" s="10">
        <f t="shared" si="0"/>
        <v>0.00548</v>
      </c>
      <c r="F23" s="3">
        <v>0.000548</v>
      </c>
      <c r="G23" s="10">
        <f t="shared" si="1"/>
        <v>0.00274</v>
      </c>
      <c r="H23" s="3">
        <f t="shared" si="2"/>
        <v>0.000274</v>
      </c>
      <c r="I23" s="7" t="s">
        <v>38</v>
      </c>
      <c r="J23" s="10">
        <f t="shared" si="3"/>
        <v>0.00449</v>
      </c>
      <c r="K23" s="17">
        <v>0.000449</v>
      </c>
      <c r="L23" s="10">
        <f t="shared" si="4"/>
        <v>0.002245</v>
      </c>
      <c r="M23" s="3">
        <f t="shared" si="5"/>
        <v>0.0002245</v>
      </c>
      <c r="N23" s="7" t="s">
        <v>38</v>
      </c>
      <c r="O23" s="10">
        <f t="shared" si="6"/>
        <v>0.0044599999999999996</v>
      </c>
      <c r="P23" s="17">
        <v>0.000446</v>
      </c>
      <c r="Q23" s="10">
        <f t="shared" si="7"/>
        <v>0.0022299999999999998</v>
      </c>
      <c r="R23" s="3">
        <f t="shared" si="8"/>
        <v>0.000223</v>
      </c>
      <c r="S23" s="13"/>
    </row>
    <row r="24" spans="1:19" ht="12.75">
      <c r="A24" s="2"/>
      <c r="B24" s="2" t="s">
        <v>96</v>
      </c>
      <c r="C24" s="9">
        <v>0.1</v>
      </c>
      <c r="D24" s="9" t="s">
        <v>38</v>
      </c>
      <c r="E24" s="10">
        <f t="shared" si="0"/>
        <v>0.007859999999999999</v>
      </c>
      <c r="F24" s="3">
        <v>0.000786</v>
      </c>
      <c r="G24" s="10">
        <f t="shared" si="1"/>
        <v>0.0039299999999999995</v>
      </c>
      <c r="H24" s="3">
        <f t="shared" si="2"/>
        <v>0.000393</v>
      </c>
      <c r="I24" s="7" t="s">
        <v>38</v>
      </c>
      <c r="J24" s="10">
        <f t="shared" si="3"/>
        <v>0.006869999999999999</v>
      </c>
      <c r="K24" s="17">
        <v>0.000687</v>
      </c>
      <c r="L24" s="10">
        <f t="shared" si="4"/>
        <v>0.0034349999999999997</v>
      </c>
      <c r="M24" s="3">
        <f t="shared" si="5"/>
        <v>0.0003435</v>
      </c>
      <c r="N24" s="7" t="s">
        <v>38</v>
      </c>
      <c r="O24" s="10">
        <f t="shared" si="6"/>
        <v>0.00648</v>
      </c>
      <c r="P24" s="17">
        <v>0.000648</v>
      </c>
      <c r="Q24" s="10">
        <f t="shared" si="7"/>
        <v>0.00324</v>
      </c>
      <c r="R24" s="3">
        <f t="shared" si="8"/>
        <v>0.000324</v>
      </c>
      <c r="S24" s="13"/>
    </row>
    <row r="25" spans="1:19" ht="12.75">
      <c r="A25" s="2"/>
      <c r="B25" s="2" t="s">
        <v>97</v>
      </c>
      <c r="C25" s="9">
        <v>0.01</v>
      </c>
      <c r="D25" s="9" t="s">
        <v>38</v>
      </c>
      <c r="E25" s="10">
        <f t="shared" si="0"/>
        <v>0.00913</v>
      </c>
      <c r="F25" s="3">
        <v>9.13E-05</v>
      </c>
      <c r="G25" s="10">
        <f t="shared" si="1"/>
        <v>0.004565</v>
      </c>
      <c r="H25" s="3">
        <f t="shared" si="2"/>
        <v>4.565E-05</v>
      </c>
      <c r="I25" s="7" t="s">
        <v>38</v>
      </c>
      <c r="J25" s="10">
        <f t="shared" si="3"/>
        <v>0.00744</v>
      </c>
      <c r="K25" s="17">
        <v>7.44E-05</v>
      </c>
      <c r="L25" s="10">
        <f t="shared" si="4"/>
        <v>0.00372</v>
      </c>
      <c r="M25" s="3">
        <f t="shared" si="5"/>
        <v>3.72E-05</v>
      </c>
      <c r="N25" s="7" t="s">
        <v>38</v>
      </c>
      <c r="O25" s="10">
        <f t="shared" si="6"/>
        <v>0.004699999999999999</v>
      </c>
      <c r="P25" s="17">
        <v>4.7E-05</v>
      </c>
      <c r="Q25" s="10">
        <f t="shared" si="7"/>
        <v>0.0023499999999999997</v>
      </c>
      <c r="R25" s="3">
        <f t="shared" si="8"/>
        <v>2.35E-05</v>
      </c>
      <c r="S25" s="13"/>
    </row>
    <row r="26" spans="1:19" ht="12.75">
      <c r="A26" s="2"/>
      <c r="B26" s="2" t="s">
        <v>98</v>
      </c>
      <c r="C26" s="9">
        <v>0.01</v>
      </c>
      <c r="D26" s="9" t="s">
        <v>38</v>
      </c>
      <c r="E26" s="10">
        <f t="shared" si="0"/>
        <v>0.0101</v>
      </c>
      <c r="F26" s="3">
        <v>0.000101</v>
      </c>
      <c r="G26" s="10">
        <f t="shared" si="1"/>
        <v>0.00505</v>
      </c>
      <c r="H26" s="3">
        <f t="shared" si="2"/>
        <v>5.05E-05</v>
      </c>
      <c r="I26" s="7" t="s">
        <v>38</v>
      </c>
      <c r="J26" s="10">
        <f t="shared" si="3"/>
        <v>0.00819</v>
      </c>
      <c r="K26" s="17">
        <v>8.19E-05</v>
      </c>
      <c r="L26" s="10">
        <f t="shared" si="4"/>
        <v>0.004095</v>
      </c>
      <c r="M26" s="3">
        <f t="shared" si="5"/>
        <v>4.095E-05</v>
      </c>
      <c r="N26" s="7" t="s">
        <v>38</v>
      </c>
      <c r="O26" s="10">
        <f t="shared" si="6"/>
        <v>0.00513</v>
      </c>
      <c r="P26" s="17">
        <v>5.13E-05</v>
      </c>
      <c r="Q26" s="10">
        <f t="shared" si="7"/>
        <v>0.002565</v>
      </c>
      <c r="R26" s="3">
        <f t="shared" si="8"/>
        <v>2.565E-05</v>
      </c>
      <c r="S26" s="13"/>
    </row>
    <row r="27" spans="1:19" ht="12.75">
      <c r="A27" s="2"/>
      <c r="B27" s="2" t="s">
        <v>99</v>
      </c>
      <c r="C27" s="9">
        <v>0.001</v>
      </c>
      <c r="D27" s="9" t="s">
        <v>38</v>
      </c>
      <c r="E27" s="10">
        <f t="shared" si="0"/>
        <v>0.0165</v>
      </c>
      <c r="F27" s="3">
        <v>1.65E-05</v>
      </c>
      <c r="G27" s="10">
        <f t="shared" si="1"/>
        <v>0.00825</v>
      </c>
      <c r="H27" s="3">
        <f t="shared" si="2"/>
        <v>8.25E-06</v>
      </c>
      <c r="I27" s="7" t="s">
        <v>38</v>
      </c>
      <c r="J27" s="10">
        <f t="shared" si="3"/>
        <v>0.015</v>
      </c>
      <c r="K27" s="17">
        <v>1.5E-05</v>
      </c>
      <c r="L27" s="10">
        <f t="shared" si="4"/>
        <v>0.0075</v>
      </c>
      <c r="M27" s="3">
        <f t="shared" si="5"/>
        <v>7.5E-06</v>
      </c>
      <c r="N27" s="7" t="s">
        <v>38</v>
      </c>
      <c r="O27" s="10">
        <f t="shared" si="6"/>
        <v>0.017</v>
      </c>
      <c r="P27" s="17">
        <v>1.7E-05</v>
      </c>
      <c r="Q27" s="10">
        <f t="shared" si="7"/>
        <v>0.0085</v>
      </c>
      <c r="R27" s="3">
        <f t="shared" si="8"/>
        <v>8.5E-06</v>
      </c>
      <c r="S27" s="13"/>
    </row>
    <row r="28" spans="1:19" ht="12.75">
      <c r="A28" s="2"/>
      <c r="B28" s="2"/>
      <c r="C28" s="9"/>
      <c r="D28" s="9"/>
      <c r="E28" s="10"/>
      <c r="F28" s="3"/>
      <c r="G28" s="3"/>
      <c r="H28" s="3"/>
      <c r="I28" s="7"/>
      <c r="J28" s="7"/>
      <c r="M28" s="3"/>
      <c r="N28" s="7"/>
      <c r="O28" s="7"/>
      <c r="P28" s="17"/>
      <c r="Q28" s="17"/>
      <c r="R28" s="3"/>
      <c r="S28" s="13"/>
    </row>
    <row r="29" spans="1:19" ht="13.5" customHeight="1">
      <c r="A29" s="2"/>
      <c r="B29" s="2" t="s">
        <v>227</v>
      </c>
      <c r="C29" s="63"/>
      <c r="D29" s="13">
        <f>(F29-H29)*2/F29*100</f>
        <v>100</v>
      </c>
      <c r="E29" s="10"/>
      <c r="F29" s="4">
        <f>SUM(F11:F27)</f>
        <v>0.018864</v>
      </c>
      <c r="G29" s="4"/>
      <c r="H29" s="4">
        <f>SUM(H11:H27)</f>
        <v>0.009432</v>
      </c>
      <c r="I29" s="13">
        <f>(K29-M29)*2/K29*100</f>
        <v>100</v>
      </c>
      <c r="J29" s="25"/>
      <c r="K29" s="4">
        <f>SUM(K11:K27)</f>
        <v>0.0177003</v>
      </c>
      <c r="L29" s="4"/>
      <c r="M29" s="4">
        <f>SUM(M11:M27)</f>
        <v>0.00885015</v>
      </c>
      <c r="N29" s="13">
        <f>(P29-R29)*2/P29*100</f>
        <v>100</v>
      </c>
      <c r="O29" s="7"/>
      <c r="P29" s="4">
        <f>SUM(P11:P27)</f>
        <v>0.017698499999999995</v>
      </c>
      <c r="Q29" s="4"/>
      <c r="R29" s="4">
        <f>SUM(R11:R27)</f>
        <v>0.008849249999999998</v>
      </c>
      <c r="S29" s="3"/>
    </row>
    <row r="30" spans="1:19" ht="12.75">
      <c r="A30" s="2"/>
      <c r="B30" s="2"/>
      <c r="C30" s="2"/>
      <c r="D30" s="2"/>
      <c r="E30" s="2"/>
      <c r="F30" s="14"/>
      <c r="G30" s="14"/>
      <c r="H30" s="14"/>
      <c r="I30" s="25"/>
      <c r="J30" s="25"/>
      <c r="K30" s="14"/>
      <c r="L30" s="14"/>
      <c r="M30" s="14"/>
      <c r="N30" s="25"/>
      <c r="O30" s="25"/>
      <c r="P30" s="14"/>
      <c r="Q30" s="14"/>
      <c r="R30" s="14"/>
      <c r="S30" s="14"/>
    </row>
    <row r="31" spans="1:19" ht="12.75">
      <c r="A31" s="2"/>
      <c r="B31" s="2" t="s">
        <v>100</v>
      </c>
      <c r="C31" s="4">
        <f>AVERAGE(H29,M29,R29)</f>
        <v>0.009043799999999998</v>
      </c>
      <c r="D31" s="2"/>
      <c r="E31" s="2"/>
      <c r="F31" s="14"/>
      <c r="G31" s="14"/>
      <c r="H31" s="14"/>
      <c r="I31" s="25"/>
      <c r="J31" s="25"/>
      <c r="K31" s="14"/>
      <c r="L31" s="14"/>
      <c r="M31" s="12"/>
      <c r="N31" s="25"/>
      <c r="O31" s="25"/>
      <c r="P31" s="14"/>
      <c r="Q31" s="14"/>
      <c r="R31" s="14"/>
      <c r="S31" s="14"/>
    </row>
    <row r="32" spans="1:19" ht="13.5" customHeight="1">
      <c r="A32" s="2"/>
      <c r="B32" s="2"/>
      <c r="C32" s="16"/>
      <c r="D32" s="2"/>
      <c r="E32" s="2"/>
      <c r="F32" s="14"/>
      <c r="G32" s="14"/>
      <c r="H32" s="14"/>
      <c r="K32" s="14"/>
      <c r="L32" s="14"/>
      <c r="M32" s="12"/>
      <c r="N32" s="25"/>
      <c r="O32" s="25"/>
      <c r="P32" s="14"/>
      <c r="Q32" s="14"/>
      <c r="R32" s="14"/>
      <c r="S32" s="14"/>
    </row>
    <row r="64" spans="1:18" ht="12.75">
      <c r="A64" s="2"/>
      <c r="B64" s="2"/>
      <c r="C64" s="16"/>
      <c r="D64" s="2"/>
      <c r="E64" s="2"/>
      <c r="F64" s="14"/>
      <c r="G64" s="14"/>
      <c r="H64" s="14"/>
      <c r="K64" s="14"/>
      <c r="L64" s="14"/>
      <c r="M64" s="12"/>
      <c r="N64" s="25"/>
      <c r="O64" s="25"/>
      <c r="P64" s="14"/>
      <c r="Q64" s="14"/>
      <c r="R64" s="1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20.7109375" style="0" customWidth="1"/>
    <col min="3" max="3" width="6.28125" style="0" customWidth="1"/>
    <col min="9" max="9" width="6.140625" style="0" customWidth="1"/>
    <col min="10" max="10" width="8.28125" style="0" customWidth="1"/>
    <col min="14" max="14" width="4.8515625" style="0" customWidth="1"/>
    <col min="15" max="15" width="8.421875" style="0" customWidth="1"/>
  </cols>
  <sheetData>
    <row r="1" spans="1:19" s="8" customFormat="1" ht="13.5" customHeight="1">
      <c r="A1" s="1" t="s">
        <v>71</v>
      </c>
      <c r="B1" s="2"/>
      <c r="C1" s="16"/>
      <c r="D1" s="2"/>
      <c r="E1" s="2"/>
      <c r="F1" s="14"/>
      <c r="G1" s="14"/>
      <c r="H1" s="14"/>
      <c r="I1" s="24"/>
      <c r="J1" s="24"/>
      <c r="K1" s="14"/>
      <c r="L1" s="14"/>
      <c r="M1" s="12"/>
      <c r="N1" s="25"/>
      <c r="O1" s="25"/>
      <c r="P1" s="14"/>
      <c r="Q1" s="14"/>
      <c r="R1" s="14"/>
      <c r="S1" s="14"/>
    </row>
    <row r="2" spans="1:19" s="8" customFormat="1" ht="13.5" customHeight="1">
      <c r="A2" s="2" t="s">
        <v>229</v>
      </c>
      <c r="B2" s="2"/>
      <c r="C2" s="16"/>
      <c r="D2" s="2"/>
      <c r="E2" s="2"/>
      <c r="F2" s="14"/>
      <c r="G2" s="14"/>
      <c r="H2" s="14"/>
      <c r="I2" s="24"/>
      <c r="J2" s="24"/>
      <c r="K2" s="14"/>
      <c r="L2" s="14"/>
      <c r="M2" s="12"/>
      <c r="N2" s="25"/>
      <c r="O2" s="25"/>
      <c r="P2" s="14"/>
      <c r="Q2" s="14"/>
      <c r="R2" s="14"/>
      <c r="S2" s="14"/>
    </row>
    <row r="3" spans="1:19" s="8" customFormat="1" ht="12.75">
      <c r="A3" s="2" t="s">
        <v>72</v>
      </c>
      <c r="B3" s="2"/>
      <c r="C3" s="5" t="s">
        <v>112</v>
      </c>
      <c r="D3" s="5"/>
      <c r="E3" s="5"/>
      <c r="F3" s="3"/>
      <c r="G3" s="3"/>
      <c r="H3" s="3"/>
      <c r="I3" s="10"/>
      <c r="J3" s="10"/>
      <c r="K3" s="3"/>
      <c r="L3" s="3"/>
      <c r="M3" s="3"/>
      <c r="N3" s="10"/>
      <c r="O3" s="10"/>
      <c r="P3" s="3"/>
      <c r="Q3" s="3"/>
      <c r="R3" s="3"/>
      <c r="S3" s="2"/>
    </row>
    <row r="4" spans="1:19" s="8" customFormat="1" ht="12.75">
      <c r="A4" s="2" t="s">
        <v>73</v>
      </c>
      <c r="B4" s="2"/>
      <c r="C4" s="5" t="s">
        <v>63</v>
      </c>
      <c r="D4" s="5"/>
      <c r="E4" s="5"/>
      <c r="F4" s="6"/>
      <c r="G4" s="6"/>
      <c r="H4" s="6"/>
      <c r="I4" s="10"/>
      <c r="J4" s="10"/>
      <c r="K4" s="6"/>
      <c r="L4" s="6"/>
      <c r="M4" s="6"/>
      <c r="N4" s="10"/>
      <c r="O4" s="10"/>
      <c r="P4" s="6"/>
      <c r="Q4" s="6"/>
      <c r="R4" s="6"/>
      <c r="S4" s="2"/>
    </row>
    <row r="5" spans="1:18" s="8" customFormat="1" ht="12.75">
      <c r="A5" s="2" t="s">
        <v>74</v>
      </c>
      <c r="B5" s="2"/>
      <c r="C5" s="27" t="s">
        <v>179</v>
      </c>
      <c r="I5" s="24"/>
      <c r="J5" s="24"/>
      <c r="K5" s="3"/>
      <c r="L5" s="3"/>
      <c r="M5" s="3"/>
      <c r="N5" s="10"/>
      <c r="O5" s="10"/>
      <c r="P5" s="3"/>
      <c r="Q5" s="3"/>
      <c r="R5" s="3"/>
    </row>
    <row r="6" spans="1:18" s="8" customFormat="1" ht="12.75">
      <c r="A6" s="2"/>
      <c r="B6" s="2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3:18" s="2" customFormat="1" ht="12.75">
      <c r="C7" s="9" t="s">
        <v>75</v>
      </c>
      <c r="D7" s="9"/>
      <c r="E7" s="60" t="s">
        <v>76</v>
      </c>
      <c r="F7" s="61"/>
      <c r="G7" s="61"/>
      <c r="H7" s="61"/>
      <c r="I7" s="62"/>
      <c r="J7" s="61" t="s">
        <v>77</v>
      </c>
      <c r="K7" s="61"/>
      <c r="L7" s="61"/>
      <c r="M7" s="61"/>
      <c r="N7" s="62"/>
      <c r="O7" s="61" t="s">
        <v>78</v>
      </c>
      <c r="P7" s="61"/>
      <c r="Q7" s="61"/>
      <c r="R7" s="61"/>
    </row>
    <row r="8" spans="3:18" s="2" customFormat="1" ht="12.75">
      <c r="C8" s="9" t="s">
        <v>79</v>
      </c>
      <c r="E8" s="10" t="s">
        <v>80</v>
      </c>
      <c r="F8" s="10" t="s">
        <v>81</v>
      </c>
      <c r="G8" s="10" t="s">
        <v>80</v>
      </c>
      <c r="H8" s="7" t="s">
        <v>225</v>
      </c>
      <c r="I8" s="63"/>
      <c r="J8" s="10" t="s">
        <v>80</v>
      </c>
      <c r="K8" s="10" t="s">
        <v>81</v>
      </c>
      <c r="L8" s="10" t="s">
        <v>80</v>
      </c>
      <c r="M8" s="7" t="s">
        <v>225</v>
      </c>
      <c r="N8" s="63"/>
      <c r="O8" s="10" t="s">
        <v>80</v>
      </c>
      <c r="P8" s="10" t="s">
        <v>81</v>
      </c>
      <c r="Q8" s="10" t="s">
        <v>80</v>
      </c>
      <c r="R8" s="7" t="s">
        <v>225</v>
      </c>
    </row>
    <row r="9" spans="3:18" s="2" customFormat="1" ht="12.75">
      <c r="C9" s="9"/>
      <c r="E9" s="10" t="s">
        <v>226</v>
      </c>
      <c r="F9" s="10" t="s">
        <v>226</v>
      </c>
      <c r="G9" s="10" t="s">
        <v>82</v>
      </c>
      <c r="H9" s="7" t="s">
        <v>82</v>
      </c>
      <c r="I9" s="63"/>
      <c r="J9" s="10" t="s">
        <v>226</v>
      </c>
      <c r="K9" s="10" t="s">
        <v>226</v>
      </c>
      <c r="L9" s="10" t="s">
        <v>82</v>
      </c>
      <c r="M9" s="7" t="s">
        <v>82</v>
      </c>
      <c r="N9" s="63"/>
      <c r="O9" s="10" t="s">
        <v>226</v>
      </c>
      <c r="P9" s="10" t="s">
        <v>226</v>
      </c>
      <c r="Q9" s="10" t="s">
        <v>82</v>
      </c>
      <c r="R9" s="7" t="s">
        <v>82</v>
      </c>
    </row>
    <row r="10" spans="1:18" s="8" customFormat="1" ht="12.75">
      <c r="A10" s="2" t="s">
        <v>127</v>
      </c>
      <c r="B10" s="2"/>
      <c r="C10" s="2"/>
      <c r="D10" s="2"/>
      <c r="E10" s="2"/>
      <c r="F10" s="3"/>
      <c r="G10" s="3"/>
      <c r="H10" s="3"/>
      <c r="I10" s="10"/>
      <c r="J10" s="10"/>
      <c r="K10" s="3"/>
      <c r="L10" s="3"/>
      <c r="M10" s="3"/>
      <c r="N10" s="10"/>
      <c r="O10" s="10"/>
      <c r="P10" s="12"/>
      <c r="Q10" s="12"/>
      <c r="R10" s="3"/>
    </row>
    <row r="11" spans="1:18" s="8" customFormat="1" ht="12.75">
      <c r="A11" s="2"/>
      <c r="B11" s="2" t="s">
        <v>83</v>
      </c>
      <c r="C11" s="9">
        <v>1</v>
      </c>
      <c r="D11" s="9" t="s">
        <v>38</v>
      </c>
      <c r="E11" s="10">
        <f aca="true" t="shared" si="0" ref="E11:E27">F11/$C11</f>
        <v>0.00175</v>
      </c>
      <c r="F11" s="3">
        <v>0.00175</v>
      </c>
      <c r="G11" s="10">
        <f aca="true" t="shared" si="1" ref="G11:G27">H11/$C11</f>
        <v>0.000875</v>
      </c>
      <c r="H11" s="3">
        <f aca="true" t="shared" si="2" ref="H11:H16">F11/2</f>
        <v>0.000875</v>
      </c>
      <c r="I11" s="7" t="s">
        <v>38</v>
      </c>
      <c r="J11" s="10">
        <f aca="true" t="shared" si="3" ref="J11:J27">K11/$C11</f>
        <v>0.00148</v>
      </c>
      <c r="K11" s="17">
        <v>0.00148</v>
      </c>
      <c r="L11" s="10">
        <f aca="true" t="shared" si="4" ref="L11:L27">M11/$C11</f>
        <v>0.00074</v>
      </c>
      <c r="M11" s="3">
        <f aca="true" t="shared" si="5" ref="M11:M16">K11/2</f>
        <v>0.00074</v>
      </c>
      <c r="N11" s="7" t="s">
        <v>38</v>
      </c>
      <c r="O11" s="10">
        <f aca="true" t="shared" si="6" ref="O11:O27">P11/$C11</f>
        <v>0.00144</v>
      </c>
      <c r="P11" s="3">
        <v>0.00144</v>
      </c>
      <c r="Q11" s="10">
        <f aca="true" t="shared" si="7" ref="Q11:Q27">R11/$C11</f>
        <v>0.00072</v>
      </c>
      <c r="R11" s="3">
        <f aca="true" t="shared" si="8" ref="R11:R17">P11/2</f>
        <v>0.00072</v>
      </c>
    </row>
    <row r="12" spans="1:18" s="8" customFormat="1" ht="12.75">
      <c r="A12" s="2"/>
      <c r="B12" s="2" t="s">
        <v>84</v>
      </c>
      <c r="C12" s="9">
        <v>0.5</v>
      </c>
      <c r="D12" s="9" t="s">
        <v>38</v>
      </c>
      <c r="E12" s="10">
        <f t="shared" si="0"/>
        <v>0.00302</v>
      </c>
      <c r="F12" s="3">
        <v>0.00151</v>
      </c>
      <c r="G12" s="10">
        <f t="shared" si="1"/>
        <v>0.00151</v>
      </c>
      <c r="H12" s="3">
        <f t="shared" si="2"/>
        <v>0.000755</v>
      </c>
      <c r="I12" s="7" t="s">
        <v>38</v>
      </c>
      <c r="J12" s="10">
        <f t="shared" si="3"/>
        <v>0.00121</v>
      </c>
      <c r="K12" s="17">
        <v>0.000605</v>
      </c>
      <c r="L12" s="10">
        <f t="shared" si="4"/>
        <v>0.000605</v>
      </c>
      <c r="M12" s="3">
        <f t="shared" si="5"/>
        <v>0.0003025</v>
      </c>
      <c r="N12" s="7" t="s">
        <v>38</v>
      </c>
      <c r="O12" s="10">
        <f t="shared" si="6"/>
        <v>0.001326</v>
      </c>
      <c r="P12" s="17">
        <v>0.000663</v>
      </c>
      <c r="Q12" s="10">
        <f t="shared" si="7"/>
        <v>0.000663</v>
      </c>
      <c r="R12" s="3">
        <f t="shared" si="8"/>
        <v>0.0003315</v>
      </c>
    </row>
    <row r="13" spans="1:18" s="8" customFormat="1" ht="12.75">
      <c r="A13" s="2"/>
      <c r="B13" s="2" t="s">
        <v>85</v>
      </c>
      <c r="C13" s="9">
        <v>0.1</v>
      </c>
      <c r="D13" s="9" t="s">
        <v>38</v>
      </c>
      <c r="E13" s="10">
        <f t="shared" si="0"/>
        <v>0.00137</v>
      </c>
      <c r="F13" s="3">
        <v>0.000137</v>
      </c>
      <c r="G13" s="10">
        <f t="shared" si="1"/>
        <v>0.000685</v>
      </c>
      <c r="H13" s="3">
        <f t="shared" si="2"/>
        <v>6.85E-05</v>
      </c>
      <c r="I13" s="7" t="s">
        <v>38</v>
      </c>
      <c r="J13" s="10">
        <f t="shared" si="3"/>
        <v>0.000822</v>
      </c>
      <c r="K13" s="17">
        <v>8.22E-05</v>
      </c>
      <c r="L13" s="10">
        <f t="shared" si="4"/>
        <v>0.000411</v>
      </c>
      <c r="M13" s="3">
        <f t="shared" si="5"/>
        <v>4.11E-05</v>
      </c>
      <c r="N13" s="7" t="s">
        <v>38</v>
      </c>
      <c r="O13" s="10">
        <f t="shared" si="6"/>
        <v>0.0017499999999999998</v>
      </c>
      <c r="P13" s="17">
        <v>0.000175</v>
      </c>
      <c r="Q13" s="10">
        <f t="shared" si="7"/>
        <v>0.0008749999999999999</v>
      </c>
      <c r="R13" s="3">
        <f t="shared" si="8"/>
        <v>8.75E-05</v>
      </c>
    </row>
    <row r="14" spans="1:18" s="8" customFormat="1" ht="12.75">
      <c r="A14" s="2"/>
      <c r="B14" s="2" t="s">
        <v>86</v>
      </c>
      <c r="C14" s="9">
        <v>0.1</v>
      </c>
      <c r="D14" s="9" t="s">
        <v>38</v>
      </c>
      <c r="E14" s="10">
        <f t="shared" si="0"/>
        <v>0.0012999999999999997</v>
      </c>
      <c r="F14" s="3">
        <v>0.00013</v>
      </c>
      <c r="G14" s="10">
        <f t="shared" si="1"/>
        <v>0.0006499999999999999</v>
      </c>
      <c r="H14" s="3">
        <f t="shared" si="2"/>
        <v>6.5E-05</v>
      </c>
      <c r="I14" s="7" t="s">
        <v>38</v>
      </c>
      <c r="J14" s="10">
        <f t="shared" si="3"/>
        <v>0.000799</v>
      </c>
      <c r="K14" s="17">
        <v>7.99E-05</v>
      </c>
      <c r="L14" s="10">
        <f t="shared" si="4"/>
        <v>0.0003995</v>
      </c>
      <c r="M14" s="3">
        <f t="shared" si="5"/>
        <v>3.995E-05</v>
      </c>
      <c r="N14" s="7" t="s">
        <v>38</v>
      </c>
      <c r="O14" s="10">
        <f t="shared" si="6"/>
        <v>0.0017000000000000001</v>
      </c>
      <c r="P14" s="17">
        <v>0.00017</v>
      </c>
      <c r="Q14" s="10">
        <f t="shared" si="7"/>
        <v>0.0008500000000000001</v>
      </c>
      <c r="R14" s="3">
        <f t="shared" si="8"/>
        <v>8.5E-05</v>
      </c>
    </row>
    <row r="15" spans="1:18" s="8" customFormat="1" ht="12.75">
      <c r="A15" s="2"/>
      <c r="B15" s="2" t="s">
        <v>87</v>
      </c>
      <c r="C15" s="9">
        <v>0.1</v>
      </c>
      <c r="D15" s="9" t="s">
        <v>38</v>
      </c>
      <c r="E15" s="10">
        <f t="shared" si="0"/>
        <v>0.0012699999999999999</v>
      </c>
      <c r="F15" s="3">
        <v>0.000127</v>
      </c>
      <c r="G15" s="10">
        <f t="shared" si="1"/>
        <v>0.0006349999999999999</v>
      </c>
      <c r="H15" s="3">
        <f t="shared" si="2"/>
        <v>6.35E-05</v>
      </c>
      <c r="I15" s="7" t="s">
        <v>38</v>
      </c>
      <c r="J15" s="10">
        <f t="shared" si="3"/>
        <v>0.000754</v>
      </c>
      <c r="K15" s="17">
        <v>7.54E-05</v>
      </c>
      <c r="L15" s="10">
        <f t="shared" si="4"/>
        <v>0.000377</v>
      </c>
      <c r="M15" s="3">
        <f t="shared" si="5"/>
        <v>3.77E-05</v>
      </c>
      <c r="N15" s="7" t="s">
        <v>38</v>
      </c>
      <c r="O15" s="10">
        <f t="shared" si="6"/>
        <v>0.00161</v>
      </c>
      <c r="P15" s="17">
        <v>0.000161</v>
      </c>
      <c r="Q15" s="10">
        <f t="shared" si="7"/>
        <v>0.000805</v>
      </c>
      <c r="R15" s="3">
        <f t="shared" si="8"/>
        <v>8.05E-05</v>
      </c>
    </row>
    <row r="16" spans="1:18" s="8" customFormat="1" ht="12.75">
      <c r="A16" s="2"/>
      <c r="B16" s="2" t="s">
        <v>88</v>
      </c>
      <c r="C16" s="9">
        <v>0.01</v>
      </c>
      <c r="D16" s="9" t="s">
        <v>38</v>
      </c>
      <c r="E16" s="10">
        <f t="shared" si="0"/>
        <v>0.00369</v>
      </c>
      <c r="F16" s="3">
        <v>3.69E-05</v>
      </c>
      <c r="G16" s="10">
        <f t="shared" si="1"/>
        <v>0.001845</v>
      </c>
      <c r="H16" s="3">
        <f t="shared" si="2"/>
        <v>1.845E-05</v>
      </c>
      <c r="I16" s="7" t="s">
        <v>38</v>
      </c>
      <c r="J16" s="10">
        <f t="shared" si="3"/>
        <v>0.0018</v>
      </c>
      <c r="K16" s="17">
        <v>1.8E-05</v>
      </c>
      <c r="L16" s="10">
        <f t="shared" si="4"/>
        <v>0.0009</v>
      </c>
      <c r="M16" s="3">
        <f t="shared" si="5"/>
        <v>9E-06</v>
      </c>
      <c r="N16" s="7" t="s">
        <v>38</v>
      </c>
      <c r="O16" s="10">
        <f t="shared" si="6"/>
        <v>0.00372</v>
      </c>
      <c r="P16" s="17">
        <v>3.72E-05</v>
      </c>
      <c r="Q16" s="10">
        <f t="shared" si="7"/>
        <v>0.00186</v>
      </c>
      <c r="R16" s="3">
        <f t="shared" si="8"/>
        <v>1.86E-05</v>
      </c>
    </row>
    <row r="17" spans="1:18" s="8" customFormat="1" ht="12.75">
      <c r="A17" s="2"/>
      <c r="B17" s="2" t="s">
        <v>89</v>
      </c>
      <c r="C17" s="9">
        <v>0.001</v>
      </c>
      <c r="D17" s="9"/>
      <c r="E17" s="10">
        <f t="shared" si="0"/>
        <v>0.008579999999999999</v>
      </c>
      <c r="F17" s="3">
        <v>8.58E-06</v>
      </c>
      <c r="G17" s="10">
        <f t="shared" si="1"/>
        <v>0.008579999999999999</v>
      </c>
      <c r="H17" s="3">
        <f>F17</f>
        <v>8.58E-06</v>
      </c>
      <c r="I17" s="7"/>
      <c r="J17" s="10">
        <f t="shared" si="3"/>
        <v>0.006849999999999999</v>
      </c>
      <c r="K17" s="17">
        <v>6.85E-06</v>
      </c>
      <c r="L17" s="10">
        <f t="shared" si="4"/>
        <v>0.006849999999999999</v>
      </c>
      <c r="M17" s="3">
        <f>K17</f>
        <v>6.85E-06</v>
      </c>
      <c r="N17" s="7" t="s">
        <v>38</v>
      </c>
      <c r="O17" s="10">
        <f t="shared" si="6"/>
        <v>0.00861</v>
      </c>
      <c r="P17" s="17">
        <v>8.61E-06</v>
      </c>
      <c r="Q17" s="10">
        <f t="shared" si="7"/>
        <v>0.004305</v>
      </c>
      <c r="R17" s="3">
        <f t="shared" si="8"/>
        <v>4.305E-06</v>
      </c>
    </row>
    <row r="18" spans="1:18" s="8" customFormat="1" ht="12.75">
      <c r="A18" s="2"/>
      <c r="B18" s="2" t="s">
        <v>90</v>
      </c>
      <c r="C18" s="9">
        <v>0.1</v>
      </c>
      <c r="D18" s="9" t="s">
        <v>38</v>
      </c>
      <c r="E18" s="10">
        <f t="shared" si="0"/>
        <v>0.00156</v>
      </c>
      <c r="F18" s="3">
        <v>0.000156</v>
      </c>
      <c r="G18" s="10">
        <f t="shared" si="1"/>
        <v>0.00078</v>
      </c>
      <c r="H18" s="3">
        <f aca="true" t="shared" si="9" ref="H18:H27">F18/2</f>
        <v>7.8E-05</v>
      </c>
      <c r="I18" s="7" t="s">
        <v>38</v>
      </c>
      <c r="J18" s="10">
        <f t="shared" si="3"/>
        <v>0.0006389999999999999</v>
      </c>
      <c r="K18" s="17">
        <v>6.39E-05</v>
      </c>
      <c r="L18" s="10">
        <f t="shared" si="4"/>
        <v>0.00031949999999999996</v>
      </c>
      <c r="M18" s="3">
        <f aca="true" t="shared" si="10" ref="M18:M27">K18/2</f>
        <v>3.195E-05</v>
      </c>
      <c r="N18" s="7" t="s">
        <v>38</v>
      </c>
      <c r="O18" s="10">
        <f t="shared" si="6"/>
        <v>0.000889</v>
      </c>
      <c r="P18" s="17">
        <v>8.89E-05</v>
      </c>
      <c r="Q18" s="10">
        <f t="shared" si="7"/>
        <v>0.000889</v>
      </c>
      <c r="R18" s="3">
        <f>P18</f>
        <v>8.89E-05</v>
      </c>
    </row>
    <row r="19" spans="1:18" s="8" customFormat="1" ht="12.75">
      <c r="A19" s="2"/>
      <c r="B19" s="2" t="s">
        <v>91</v>
      </c>
      <c r="C19" s="9">
        <v>0.05</v>
      </c>
      <c r="D19" s="9" t="s">
        <v>38</v>
      </c>
      <c r="E19" s="10">
        <f t="shared" si="0"/>
        <v>0.0012079999999999999</v>
      </c>
      <c r="F19" s="3">
        <v>6.04E-05</v>
      </c>
      <c r="G19" s="10">
        <f t="shared" si="1"/>
        <v>0.0006039999999999999</v>
      </c>
      <c r="H19" s="3">
        <f t="shared" si="9"/>
        <v>3.02E-05</v>
      </c>
      <c r="I19" s="7" t="s">
        <v>38</v>
      </c>
      <c r="J19" s="10">
        <f t="shared" si="3"/>
        <v>0.000914</v>
      </c>
      <c r="K19" s="17">
        <v>4.57E-05</v>
      </c>
      <c r="L19" s="10">
        <f t="shared" si="4"/>
        <v>0.000457</v>
      </c>
      <c r="M19" s="3">
        <f t="shared" si="10"/>
        <v>2.285E-05</v>
      </c>
      <c r="N19" s="7" t="s">
        <v>38</v>
      </c>
      <c r="O19" s="10">
        <f t="shared" si="6"/>
        <v>0.00107</v>
      </c>
      <c r="P19" s="17">
        <v>5.35E-05</v>
      </c>
      <c r="Q19" s="10">
        <f t="shared" si="7"/>
        <v>0.000535</v>
      </c>
      <c r="R19" s="3">
        <f aca="true" t="shared" si="11" ref="R19:R27">P19/2</f>
        <v>2.675E-05</v>
      </c>
    </row>
    <row r="20" spans="1:18" s="8" customFormat="1" ht="12.75">
      <c r="A20" s="2"/>
      <c r="B20" s="2" t="s">
        <v>92</v>
      </c>
      <c r="C20" s="9">
        <v>0.5</v>
      </c>
      <c r="D20" s="9" t="s">
        <v>38</v>
      </c>
      <c r="E20" s="10">
        <f t="shared" si="0"/>
        <v>0.00124</v>
      </c>
      <c r="F20" s="3">
        <v>0.00062</v>
      </c>
      <c r="G20" s="10">
        <f t="shared" si="1"/>
        <v>0.00062</v>
      </c>
      <c r="H20" s="3">
        <f t="shared" si="9"/>
        <v>0.00031</v>
      </c>
      <c r="I20" s="7" t="s">
        <v>38</v>
      </c>
      <c r="J20" s="10">
        <f t="shared" si="3"/>
        <v>0.000936</v>
      </c>
      <c r="K20" s="17">
        <v>0.000468</v>
      </c>
      <c r="L20" s="10">
        <f t="shared" si="4"/>
        <v>0.000468</v>
      </c>
      <c r="M20" s="3">
        <f t="shared" si="10"/>
        <v>0.000234</v>
      </c>
      <c r="N20" s="7" t="s">
        <v>38</v>
      </c>
      <c r="O20" s="10">
        <f t="shared" si="6"/>
        <v>0.001094</v>
      </c>
      <c r="P20" s="17">
        <v>0.000547</v>
      </c>
      <c r="Q20" s="10">
        <f t="shared" si="7"/>
        <v>0.000547</v>
      </c>
      <c r="R20" s="3">
        <f t="shared" si="11"/>
        <v>0.0002735</v>
      </c>
    </row>
    <row r="21" spans="1:18" s="8" customFormat="1" ht="12.75">
      <c r="A21" s="2"/>
      <c r="B21" s="2" t="s">
        <v>93</v>
      </c>
      <c r="C21" s="9">
        <v>0.1</v>
      </c>
      <c r="D21" s="9" t="s">
        <v>38</v>
      </c>
      <c r="E21" s="10">
        <f t="shared" si="0"/>
        <v>0.0013499999999999999</v>
      </c>
      <c r="F21" s="3">
        <v>0.000135</v>
      </c>
      <c r="G21" s="10">
        <f t="shared" si="1"/>
        <v>0.0006749999999999999</v>
      </c>
      <c r="H21" s="3">
        <f t="shared" si="9"/>
        <v>6.75E-05</v>
      </c>
      <c r="I21" s="7" t="s">
        <v>38</v>
      </c>
      <c r="J21" s="10">
        <f t="shared" si="3"/>
        <v>0.00105</v>
      </c>
      <c r="K21" s="17">
        <v>0.000105</v>
      </c>
      <c r="L21" s="10">
        <f t="shared" si="4"/>
        <v>0.000525</v>
      </c>
      <c r="M21" s="3">
        <f t="shared" si="10"/>
        <v>5.25E-05</v>
      </c>
      <c r="N21" s="7" t="s">
        <v>38</v>
      </c>
      <c r="O21" s="10">
        <f t="shared" si="6"/>
        <v>0.00123</v>
      </c>
      <c r="P21" s="17">
        <v>0.000123</v>
      </c>
      <c r="Q21" s="10">
        <f t="shared" si="7"/>
        <v>0.000615</v>
      </c>
      <c r="R21" s="3">
        <f t="shared" si="11"/>
        <v>6.15E-05</v>
      </c>
    </row>
    <row r="22" spans="1:18" s="8" customFormat="1" ht="12.75">
      <c r="A22" s="2"/>
      <c r="B22" s="2" t="s">
        <v>94</v>
      </c>
      <c r="C22" s="9">
        <v>0.1</v>
      </c>
      <c r="D22" s="9" t="s">
        <v>38</v>
      </c>
      <c r="E22" s="10">
        <f t="shared" si="0"/>
        <v>0.00107</v>
      </c>
      <c r="F22" s="3">
        <v>0.000107</v>
      </c>
      <c r="G22" s="10">
        <f t="shared" si="1"/>
        <v>0.000535</v>
      </c>
      <c r="H22" s="3">
        <f t="shared" si="9"/>
        <v>5.35E-05</v>
      </c>
      <c r="I22" s="7" t="s">
        <v>38</v>
      </c>
      <c r="J22" s="10">
        <f t="shared" si="3"/>
        <v>0.0008500000000000001</v>
      </c>
      <c r="K22" s="17">
        <v>8.5E-05</v>
      </c>
      <c r="L22" s="10">
        <f t="shared" si="4"/>
        <v>0.00042500000000000003</v>
      </c>
      <c r="M22" s="3">
        <f t="shared" si="10"/>
        <v>4.25E-05</v>
      </c>
      <c r="N22" s="7" t="s">
        <v>38</v>
      </c>
      <c r="O22" s="10">
        <f t="shared" si="6"/>
        <v>0.001</v>
      </c>
      <c r="P22" s="17">
        <v>0.0001</v>
      </c>
      <c r="Q22" s="10">
        <f t="shared" si="7"/>
        <v>0.0005</v>
      </c>
      <c r="R22" s="3">
        <f t="shared" si="11"/>
        <v>5E-05</v>
      </c>
    </row>
    <row r="23" spans="1:18" s="8" customFormat="1" ht="12.75">
      <c r="A23" s="2"/>
      <c r="B23" s="2" t="s">
        <v>95</v>
      </c>
      <c r="C23" s="9">
        <v>0.1</v>
      </c>
      <c r="D23" s="9" t="s">
        <v>38</v>
      </c>
      <c r="E23" s="10">
        <f t="shared" si="0"/>
        <v>0.0010299999999999999</v>
      </c>
      <c r="F23" s="3">
        <v>0.000103</v>
      </c>
      <c r="G23" s="10">
        <f t="shared" si="1"/>
        <v>0.0005149999999999999</v>
      </c>
      <c r="H23" s="3">
        <f t="shared" si="9"/>
        <v>5.15E-05</v>
      </c>
      <c r="I23" s="7" t="s">
        <v>38</v>
      </c>
      <c r="J23" s="10">
        <f t="shared" si="3"/>
        <v>0.000822</v>
      </c>
      <c r="K23" s="17">
        <v>8.22E-05</v>
      </c>
      <c r="L23" s="10">
        <f t="shared" si="4"/>
        <v>0.000411</v>
      </c>
      <c r="M23" s="3">
        <f t="shared" si="10"/>
        <v>4.11E-05</v>
      </c>
      <c r="N23" s="7" t="s">
        <v>38</v>
      </c>
      <c r="O23" s="10">
        <f t="shared" si="6"/>
        <v>0.000954</v>
      </c>
      <c r="P23" s="17">
        <v>9.54E-05</v>
      </c>
      <c r="Q23" s="10">
        <f t="shared" si="7"/>
        <v>0.000477</v>
      </c>
      <c r="R23" s="3">
        <f t="shared" si="11"/>
        <v>4.77E-05</v>
      </c>
    </row>
    <row r="24" spans="1:18" s="8" customFormat="1" ht="12.75">
      <c r="A24" s="2"/>
      <c r="B24" s="2" t="s">
        <v>96</v>
      </c>
      <c r="C24" s="9">
        <v>0.1</v>
      </c>
      <c r="D24" s="9" t="s">
        <v>38</v>
      </c>
      <c r="E24" s="10">
        <f t="shared" si="0"/>
        <v>0.00155</v>
      </c>
      <c r="F24" s="3">
        <v>0.000155</v>
      </c>
      <c r="G24" s="10">
        <f t="shared" si="1"/>
        <v>0.000775</v>
      </c>
      <c r="H24" s="3">
        <f t="shared" si="9"/>
        <v>7.75E-05</v>
      </c>
      <c r="I24" s="7" t="s">
        <v>38</v>
      </c>
      <c r="J24" s="10">
        <f t="shared" si="3"/>
        <v>0.00123</v>
      </c>
      <c r="K24" s="17">
        <v>0.000123</v>
      </c>
      <c r="L24" s="10">
        <f t="shared" si="4"/>
        <v>0.000615</v>
      </c>
      <c r="M24" s="3">
        <f t="shared" si="10"/>
        <v>6.15E-05</v>
      </c>
      <c r="N24" s="7" t="s">
        <v>38</v>
      </c>
      <c r="O24" s="10">
        <f t="shared" si="6"/>
        <v>0.00147</v>
      </c>
      <c r="P24" s="17">
        <v>0.000147</v>
      </c>
      <c r="Q24" s="10">
        <f t="shared" si="7"/>
        <v>0.000735</v>
      </c>
      <c r="R24" s="3">
        <f t="shared" si="11"/>
        <v>7.35E-05</v>
      </c>
    </row>
    <row r="25" spans="1:18" s="8" customFormat="1" ht="12.75">
      <c r="A25" s="2"/>
      <c r="B25" s="2" t="s">
        <v>97</v>
      </c>
      <c r="C25" s="9">
        <v>0.01</v>
      </c>
      <c r="D25" s="9" t="s">
        <v>38</v>
      </c>
      <c r="E25" s="10">
        <f t="shared" si="0"/>
        <v>0.0014600000000000001</v>
      </c>
      <c r="F25" s="3">
        <v>1.46E-05</v>
      </c>
      <c r="G25" s="10">
        <f t="shared" si="1"/>
        <v>0.0007300000000000001</v>
      </c>
      <c r="H25" s="3">
        <f t="shared" si="9"/>
        <v>7.3E-06</v>
      </c>
      <c r="I25" s="7" t="s">
        <v>38</v>
      </c>
      <c r="J25" s="10">
        <f t="shared" si="3"/>
        <v>0.0035399999999999997</v>
      </c>
      <c r="K25" s="17">
        <v>3.54E-05</v>
      </c>
      <c r="L25" s="10">
        <f t="shared" si="4"/>
        <v>0.0017699999999999999</v>
      </c>
      <c r="M25" s="3">
        <f t="shared" si="10"/>
        <v>1.77E-05</v>
      </c>
      <c r="N25" s="7" t="s">
        <v>38</v>
      </c>
      <c r="O25" s="10">
        <f t="shared" si="6"/>
        <v>0.00114</v>
      </c>
      <c r="P25" s="17">
        <v>1.14E-05</v>
      </c>
      <c r="Q25" s="10">
        <f t="shared" si="7"/>
        <v>0.00057</v>
      </c>
      <c r="R25" s="3">
        <f t="shared" si="11"/>
        <v>5.7E-06</v>
      </c>
    </row>
    <row r="26" spans="1:18" s="8" customFormat="1" ht="12.75">
      <c r="A26" s="2"/>
      <c r="B26" s="2" t="s">
        <v>98</v>
      </c>
      <c r="C26" s="9">
        <v>0.01</v>
      </c>
      <c r="D26" s="9" t="s">
        <v>38</v>
      </c>
      <c r="E26" s="10">
        <f t="shared" si="0"/>
        <v>0.00165</v>
      </c>
      <c r="F26" s="3">
        <v>1.65E-05</v>
      </c>
      <c r="G26" s="10">
        <f t="shared" si="1"/>
        <v>0.000825</v>
      </c>
      <c r="H26" s="3">
        <f t="shared" si="9"/>
        <v>8.25E-06</v>
      </c>
      <c r="I26" s="7" t="s">
        <v>38</v>
      </c>
      <c r="J26" s="10">
        <f t="shared" si="3"/>
        <v>0.00114</v>
      </c>
      <c r="K26" s="17">
        <v>1.14E-05</v>
      </c>
      <c r="L26" s="10">
        <f t="shared" si="4"/>
        <v>0.00057</v>
      </c>
      <c r="M26" s="3">
        <f t="shared" si="10"/>
        <v>5.7E-06</v>
      </c>
      <c r="N26" s="7" t="s">
        <v>38</v>
      </c>
      <c r="O26" s="10">
        <f t="shared" si="6"/>
        <v>0.00123</v>
      </c>
      <c r="P26" s="17">
        <v>1.23E-05</v>
      </c>
      <c r="Q26" s="10">
        <f t="shared" si="7"/>
        <v>0.000615</v>
      </c>
      <c r="R26" s="3">
        <f t="shared" si="11"/>
        <v>6.15E-06</v>
      </c>
    </row>
    <row r="27" spans="1:18" s="8" customFormat="1" ht="12.75">
      <c r="A27" s="2"/>
      <c r="B27" s="2" t="s">
        <v>99</v>
      </c>
      <c r="C27" s="9">
        <v>0.001</v>
      </c>
      <c r="D27" s="9" t="s">
        <v>38</v>
      </c>
      <c r="E27" s="10">
        <f t="shared" si="0"/>
        <v>0.00327</v>
      </c>
      <c r="F27" s="3">
        <v>3.27E-06</v>
      </c>
      <c r="G27" s="10">
        <f t="shared" si="1"/>
        <v>0.001635</v>
      </c>
      <c r="H27" s="3">
        <f t="shared" si="9"/>
        <v>1.635E-06</v>
      </c>
      <c r="I27" s="7" t="s">
        <v>38</v>
      </c>
      <c r="J27" s="10">
        <f t="shared" si="3"/>
        <v>0.0048</v>
      </c>
      <c r="K27" s="17">
        <v>4.8E-06</v>
      </c>
      <c r="L27" s="10">
        <f t="shared" si="4"/>
        <v>0.0024</v>
      </c>
      <c r="M27" s="3">
        <f t="shared" si="10"/>
        <v>2.4E-06</v>
      </c>
      <c r="N27" s="7" t="s">
        <v>38</v>
      </c>
      <c r="O27" s="10">
        <f t="shared" si="6"/>
        <v>0.00463</v>
      </c>
      <c r="P27" s="17">
        <v>4.63E-06</v>
      </c>
      <c r="Q27" s="10">
        <f t="shared" si="7"/>
        <v>0.002315</v>
      </c>
      <c r="R27" s="3">
        <f t="shared" si="11"/>
        <v>2.315E-06</v>
      </c>
    </row>
    <row r="28" spans="1:18" s="8" customFormat="1" ht="12.75">
      <c r="A28" s="2"/>
      <c r="B28" s="2"/>
      <c r="C28" s="9"/>
      <c r="D28" s="9"/>
      <c r="E28" s="9"/>
      <c r="F28" s="3"/>
      <c r="G28" s="3"/>
      <c r="H28" s="3"/>
      <c r="I28" s="7"/>
      <c r="J28" s="7"/>
      <c r="M28" s="3"/>
      <c r="N28" s="7"/>
      <c r="O28" s="7"/>
      <c r="P28" s="17"/>
      <c r="Q28" s="17"/>
      <c r="R28" s="3"/>
    </row>
    <row r="29" spans="1:18" s="8" customFormat="1" ht="12.75">
      <c r="A29" s="2"/>
      <c r="B29" s="2" t="s">
        <v>227</v>
      </c>
      <c r="C29" s="63"/>
      <c r="D29" s="12">
        <f>(F29-H29)*2/F29*100</f>
        <v>99.83077757507026</v>
      </c>
      <c r="E29" s="2"/>
      <c r="F29" s="4">
        <f>SUM(F11:F27)</f>
        <v>0.005070249999999998</v>
      </c>
      <c r="G29" s="4"/>
      <c r="H29" s="4">
        <f>SUM(H11:H27)</f>
        <v>0.0025394149999999993</v>
      </c>
      <c r="I29" s="12">
        <f>(K29-M29)*2/K29*100</f>
        <v>99.79684140283236</v>
      </c>
      <c r="J29" s="25"/>
      <c r="K29" s="4">
        <f>SUM(K11:K27)</f>
        <v>0.0033717500000000006</v>
      </c>
      <c r="L29" s="4"/>
      <c r="M29" s="4">
        <f>SUM(M11:M27)</f>
        <v>0.0016893000000000003</v>
      </c>
      <c r="N29" s="12">
        <f>(P29-R29)*2/P29*100</f>
        <v>97.68365320979481</v>
      </c>
      <c r="O29" s="7"/>
      <c r="P29" s="4">
        <f>SUM(P11:P27)</f>
        <v>0.0038379399999999985</v>
      </c>
      <c r="Q29" s="4"/>
      <c r="R29" s="4">
        <f>SUM(R11:R27)</f>
        <v>0.0019634199999999996</v>
      </c>
    </row>
    <row r="30" spans="1:18" s="8" customFormat="1" ht="12.75">
      <c r="A30" s="2"/>
      <c r="B30" s="2"/>
      <c r="C30" s="2"/>
      <c r="D30" s="2"/>
      <c r="E30" s="2"/>
      <c r="F30" s="14"/>
      <c r="G30" s="14"/>
      <c r="H30" s="14"/>
      <c r="I30" s="25"/>
      <c r="J30" s="25"/>
      <c r="K30" s="14"/>
      <c r="L30" s="14"/>
      <c r="M30" s="14"/>
      <c r="N30" s="25"/>
      <c r="O30" s="25"/>
      <c r="P30" s="14"/>
      <c r="Q30" s="14"/>
      <c r="R30" s="14"/>
    </row>
    <row r="31" spans="1:18" s="8" customFormat="1" ht="12.75">
      <c r="A31" s="2"/>
      <c r="B31" s="2" t="s">
        <v>100</v>
      </c>
      <c r="C31" s="4">
        <f>AVERAGE(H29,M29,R29)</f>
        <v>0.0020640449999999996</v>
      </c>
      <c r="D31" s="2"/>
      <c r="E31" s="2"/>
      <c r="F31" s="14"/>
      <c r="G31" s="14"/>
      <c r="H31" s="14"/>
      <c r="I31" s="25"/>
      <c r="J31" s="25"/>
      <c r="K31" s="14"/>
      <c r="L31" s="14"/>
      <c r="M31" s="12"/>
      <c r="N31" s="25"/>
      <c r="O31" s="25"/>
      <c r="P31" s="14"/>
      <c r="Q31" s="14"/>
      <c r="R31" s="14"/>
    </row>
  </sheetData>
  <printOptions horizontalCentered="1"/>
  <pageMargins left="0.25" right="0.25" top="0.5" bottom="0.5" header="0.5" footer="0.25"/>
  <pageSetup horizontalDpi="1200" verticalDpi="1200" orientation="landscape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2004-02-25T20:35:07Z</cp:lastPrinted>
  <dcterms:created xsi:type="dcterms:W3CDTF">1999-12-20T09:27:35Z</dcterms:created>
  <dcterms:modified xsi:type="dcterms:W3CDTF">2004-02-25T20:35:10Z</dcterms:modified>
  <cp:category/>
  <cp:version/>
  <cp:contentType/>
  <cp:contentStatus/>
</cp:coreProperties>
</file>