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1970" windowHeight="3255" tabRatio="693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  <sheet name="df c4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<sst xmlns="http://schemas.openxmlformats.org/spreadsheetml/2006/main" count="1528" uniqueCount="243">
  <si>
    <t>Stack Gas Emissions</t>
  </si>
  <si>
    <t>HW</t>
  </si>
  <si>
    <t>PM</t>
  </si>
  <si>
    <t>HCl</t>
  </si>
  <si>
    <t>Cl2</t>
  </si>
  <si>
    <t>SVM</t>
  </si>
  <si>
    <t>LVM</t>
  </si>
  <si>
    <t>CO</t>
  </si>
  <si>
    <t>HC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</si>
  <si>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</si>
  <si>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</si>
  <si>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</si>
  <si>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</si>
  <si>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</si>
  <si>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</si>
  <si>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</si>
  <si>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</si>
  <si>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</si>
  <si>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</si>
  <si>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</si>
  <si>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</si>
  <si>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</si>
  <si>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</si>
  <si>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</si>
  <si>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</si>
  <si>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</si>
  <si>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</si>
  <si>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</si>
  <si>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</si>
  <si>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 xml:space="preserve">     Report Name/Date</t>
  </si>
  <si>
    <t xml:space="preserve">     Testing Firm</t>
  </si>
  <si>
    <t xml:space="preserve">     Testing Dates</t>
  </si>
  <si>
    <t xml:space="preserve">     Cond. Description</t>
  </si>
  <si>
    <t xml:space="preserve">     Content</t>
  </si>
  <si>
    <t>Units</t>
  </si>
  <si>
    <t>Cond Avg</t>
  </si>
  <si>
    <t>y</t>
  </si>
  <si>
    <t xml:space="preserve">   Stack Gas Flowrate</t>
  </si>
  <si>
    <t xml:space="preserve">   Temperature</t>
  </si>
  <si>
    <t>nd</t>
  </si>
  <si>
    <t>Heat Content</t>
  </si>
  <si>
    <t>lb/hr</t>
  </si>
  <si>
    <t>Chlorine</t>
  </si>
  <si>
    <t>Stack Gas Flowrate</t>
  </si>
  <si>
    <t>Btu/lb</t>
  </si>
  <si>
    <t>Process Information</t>
  </si>
  <si>
    <t>Run 1</t>
  </si>
  <si>
    <t xml:space="preserve">     Report Prepare</t>
  </si>
  <si>
    <t>g/hr</t>
  </si>
  <si>
    <t>Density</t>
  </si>
  <si>
    <t>Reilly Industries, Inc.</t>
  </si>
  <si>
    <t>Indianapolis</t>
  </si>
  <si>
    <t>Spectrum Compliance Resources, Inc.</t>
  </si>
  <si>
    <t>Pyridine and pyrindine-derived organic chemical production waste</t>
  </si>
  <si>
    <t>None</t>
  </si>
  <si>
    <t>soot blow</t>
  </si>
  <si>
    <t>g/ml</t>
  </si>
  <si>
    <t>735C1</t>
  </si>
  <si>
    <t>735C2</t>
  </si>
  <si>
    <t>klb/hr</t>
  </si>
  <si>
    <t>Waste Fuel</t>
  </si>
  <si>
    <t>City Gas</t>
  </si>
  <si>
    <t>Spike Streams</t>
  </si>
  <si>
    <t xml:space="preserve"> </t>
  </si>
  <si>
    <t>Chamber Temp</t>
  </si>
  <si>
    <t>Steam Production Rate</t>
  </si>
  <si>
    <t>IN</t>
  </si>
  <si>
    <t>IND000807107</t>
  </si>
  <si>
    <t>NA</t>
  </si>
  <si>
    <t>Permitting Status</t>
  </si>
  <si>
    <t>Adjusted Tier I metals except Cr (+6)</t>
  </si>
  <si>
    <t>Liq</t>
  </si>
  <si>
    <t>Hazardous Wastes</t>
  </si>
  <si>
    <t>Supplemental Fuel</t>
  </si>
  <si>
    <t>Capacity (MMBtu/hr)</t>
  </si>
  <si>
    <t>CoC; min comb chamber temp</t>
  </si>
  <si>
    <t>CoC; max waste feed</t>
  </si>
  <si>
    <t>PM, CO, Cr (+6), HCl/Cl2</t>
  </si>
  <si>
    <t>June 21-22, 1996</t>
  </si>
  <si>
    <t>Spectrum Compliance Resources, Inc., METCO Environmental, B3 Systems, Inc</t>
  </si>
  <si>
    <t>Feedstreams</t>
  </si>
  <si>
    <t>nothing available</t>
  </si>
  <si>
    <t>Feed Rate</t>
  </si>
  <si>
    <t>MMBtu/hr</t>
  </si>
  <si>
    <t>Revised Certification of Compliance Test Report for Boilers 70K, 30K, and 28K, August 21, 1996</t>
  </si>
  <si>
    <t>Boiler 70K</t>
  </si>
  <si>
    <t>Compliance Strategies &amp; Solutions, Inc.</t>
  </si>
  <si>
    <t>METCO Environmental (Stack sampling), B3 Systems, Inc (Feed spiking)</t>
  </si>
  <si>
    <t>October 19-20, 1999</t>
  </si>
  <si>
    <t>735C3</t>
  </si>
  <si>
    <t>735C5</t>
  </si>
  <si>
    <t>Total</t>
  </si>
  <si>
    <t>735C4</t>
  </si>
  <si>
    <t>Natural Gas</t>
  </si>
  <si>
    <t>Trial burn; max waste feedrates</t>
  </si>
  <si>
    <t>Trial burn; min comb temp and DRE</t>
  </si>
  <si>
    <t>Trial burn; DRE test</t>
  </si>
  <si>
    <t>DRE, CO</t>
  </si>
  <si>
    <t>ug/dscm</t>
  </si>
  <si>
    <t>DRE, CO, PCDD/PCDF, organics</t>
  </si>
  <si>
    <t>I-TEF</t>
  </si>
  <si>
    <t>Run 2</t>
  </si>
  <si>
    <t>Run 3</t>
  </si>
  <si>
    <t>Wght Fact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</si>
  <si>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</si>
  <si>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</si>
  <si>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</si>
  <si>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</si>
  <si>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</si>
  <si>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</si>
  <si>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</si>
  <si>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</si>
  <si>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</si>
  <si>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</si>
  <si>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</si>
  <si>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</si>
  <si>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</si>
  <si>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</si>
  <si>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</si>
  <si>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</si>
  <si>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</si>
  <si>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</si>
  <si>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</si>
  <si>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</si>
  <si>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</si>
  <si>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</si>
  <si>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</si>
  <si>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</si>
  <si>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</si>
  <si>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TEQ</t>
  </si>
  <si>
    <t>CondAvg</t>
  </si>
  <si>
    <t>PCDD/PCDF</t>
  </si>
  <si>
    <t>Feedrate MTEC Calculations</t>
  </si>
  <si>
    <t>1/2 ND</t>
  </si>
  <si>
    <t>7% O2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</si>
  <si>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</si>
  <si>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</si>
  <si>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</si>
  <si>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</si>
  <si>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</si>
  <si>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</si>
  <si>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</si>
  <si>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</si>
  <si>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</si>
  <si>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</si>
  <si>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Watertube boiler, manufactured by Murray Iron Works Company, Model No. MCF4-64; thermal input capacity of 91.8 MMBtu/hr; steam production rate of 70000 lb/hr @ 300 psig</t>
  </si>
  <si>
    <t>Source Description</t>
  </si>
  <si>
    <t>Phase II ID No.</t>
  </si>
  <si>
    <t xml:space="preserve">     Cond Description</t>
  </si>
  <si>
    <t xml:space="preserve">    City</t>
  </si>
  <si>
    <t xml:space="preserve">    State</t>
  </si>
  <si>
    <t>Soot Blowing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</si>
  <si>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</si>
  <si>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</si>
  <si>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</si>
  <si>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</si>
  <si>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</si>
  <si>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</si>
  <si>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PM, HCl/Cl2</t>
  </si>
  <si>
    <t>THC</t>
  </si>
  <si>
    <t xml:space="preserve"> Benzene</t>
  </si>
  <si>
    <t>Benzene</t>
  </si>
  <si>
    <t>Toluene</t>
  </si>
  <si>
    <t>POHC Feedrate</t>
  </si>
  <si>
    <t xml:space="preserve">   O2</t>
  </si>
  <si>
    <t xml:space="preserve">   Moisture</t>
  </si>
  <si>
    <t>POHC DRE</t>
  </si>
  <si>
    <t>Feedrate</t>
  </si>
  <si>
    <t>Emissions Rate</t>
  </si>
  <si>
    <t>HC (RA)</t>
  </si>
  <si>
    <t>CO (RA)</t>
  </si>
  <si>
    <t>CO (MHRA)</t>
  </si>
  <si>
    <t>Total Chlorine</t>
  </si>
  <si>
    <t>Sampling Train</t>
  </si>
  <si>
    <t>BIF Feedrate Limits</t>
  </si>
  <si>
    <t>*</t>
  </si>
  <si>
    <t>Thermal Feedrate</t>
  </si>
  <si>
    <t>Feedstream Description</t>
  </si>
  <si>
    <t>October 21-23, 1999</t>
  </si>
  <si>
    <t>PM, CO, HCl/Cl2, PCDD/PCDF emissions; metals/chlorine in feedstreams</t>
  </si>
  <si>
    <t>Trial Burn Report for Boiler 70K, February 3, 2000</t>
  </si>
  <si>
    <t>Mini-burn, max waste feedrate</t>
  </si>
  <si>
    <t>Cr+6, CO</t>
  </si>
  <si>
    <t>Trial burn retest, min comb cham temp, min prod rate</t>
  </si>
  <si>
    <t>mini-burn</t>
  </si>
  <si>
    <t>Cr+6</t>
  </si>
  <si>
    <t>n</t>
  </si>
  <si>
    <t>735C6</t>
  </si>
  <si>
    <t>Waste</t>
  </si>
  <si>
    <t>City gas</t>
  </si>
  <si>
    <t>735C7</t>
  </si>
  <si>
    <t>trial burn retest</t>
  </si>
  <si>
    <t>1,2-dichlorobenzene</t>
  </si>
  <si>
    <t>g/s</t>
  </si>
  <si>
    <t>&gt;</t>
  </si>
  <si>
    <t>Trial Burn Retest Report for Boiler 70K, July 10, 2000</t>
  </si>
  <si>
    <t>Mini Burn Test Report for Boiler 70K, July 10, 2000</t>
  </si>
  <si>
    <t>HWC Burn Status (Date if Terminated)</t>
  </si>
  <si>
    <t>sootblow</t>
  </si>
  <si>
    <t xml:space="preserve">     Cond Dates</t>
  </si>
  <si>
    <t>Liquid-fired boiler</t>
  </si>
  <si>
    <t>Cond Description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</si>
  <si>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</si>
  <si>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</si>
  <si>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</si>
  <si>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</si>
  <si>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</si>
  <si>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</si>
  <si>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Chromium (Hex)</t>
  </si>
  <si>
    <t>R1</t>
  </si>
  <si>
    <t>R2</t>
  </si>
  <si>
    <t>R3</t>
  </si>
  <si>
    <t>E1</t>
  </si>
  <si>
    <t>E2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</si>
  <si>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</si>
  <si>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</si>
  <si>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</si>
  <si>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</si>
  <si>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</si>
  <si>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</si>
  <si>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</si>
  <si>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</si>
  <si>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</si>
  <si>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NG</t>
  </si>
  <si>
    <t>F2</t>
  </si>
  <si>
    <t>F3</t>
  </si>
  <si>
    <t>F4</t>
  </si>
  <si>
    <t>Feed Class 2</t>
  </si>
  <si>
    <t>MF</t>
  </si>
  <si>
    <t>Estimated Firing Rate</t>
  </si>
  <si>
    <t xml:space="preserve">Facility Name and ID:  </t>
  </si>
  <si>
    <t xml:space="preserve">Condition/Test Date:  </t>
  </si>
  <si>
    <t>Reilly Ind.</t>
  </si>
  <si>
    <t>df c3</t>
  </si>
  <si>
    <t>df c4</t>
  </si>
  <si>
    <t>PCDD/PCDF (ng/dscm @ 7% O2)</t>
  </si>
  <si>
    <t>Full ND</t>
  </si>
  <si>
    <t xml:space="preserve"> TEQ</t>
  </si>
  <si>
    <t>TEQ Cond Avg</t>
  </si>
  <si>
    <t>Yes -- 4 times/day, 5 minutes/event (Run 1 in Cond 1)</t>
  </si>
  <si>
    <t>Condition ID:</t>
  </si>
  <si>
    <t>N</t>
  </si>
  <si>
    <t>Stack Gas Concentration (ng/dscm @ 7% O2)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</si>
</sst>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E+00"/>
    <numFmt numFmtId="174" formatCode="0E+00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2" fontId="5" fillId="0" borderId="0" xfId="22" applyNumberFormat="1" applyFont="1" applyFill="1" applyAlignment="1">
      <alignment horizontal="left"/>
      <protection/>
    </xf>
    <xf numFmtId="166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Alignment="1">
      <alignment vertical="top"/>
      <protection/>
    </xf>
    <xf numFmtId="0" fontId="5" fillId="0" borderId="0" xfId="22" applyFont="1" applyAlignment="1">
      <alignment vertical="top" wrapText="1"/>
      <protection/>
    </xf>
    <xf numFmtId="0" fontId="5" fillId="0" borderId="0" xfId="22" applyFont="1" applyAlignment="1">
      <alignment horizontal="left" vertical="top" wrapText="1"/>
      <protection/>
    </xf>
    <xf numFmtId="0" fontId="5" fillId="0" borderId="0" xfId="22" applyFont="1" applyAlignment="1">
      <alignment wrapText="1"/>
      <protection/>
    </xf>
    <xf numFmtId="165" fontId="5" fillId="0" borderId="0" xfId="22" applyNumberFormat="1" applyFont="1" applyAlignment="1">
      <alignment horizontal="left"/>
      <protection/>
    </xf>
    <xf numFmtId="2" fontId="5" fillId="0" borderId="0" xfId="22" applyNumberFormat="1" applyFont="1" applyAlignment="1">
      <alignment horizontal="left"/>
      <protection/>
    </xf>
    <xf numFmtId="0" fontId="6" fillId="0" borderId="0" xfId="22" applyFont="1" applyAlignment="1">
      <alignment vertical="top"/>
      <protection/>
    </xf>
    <xf numFmtId="167" fontId="5" fillId="0" borderId="0" xfId="22" applyNumberFormat="1" applyFont="1" applyAlignment="1">
      <alignment horizontal="left"/>
      <protection/>
    </xf>
    <xf numFmtId="15" fontId="5" fillId="0" borderId="0" xfId="22" applyNumberFormat="1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0" fontId="5" fillId="0" borderId="0" xfId="21" applyFont="1" applyFill="1" applyBorder="1">
      <alignment/>
      <protection/>
    </xf>
    <xf numFmtId="11" fontId="5" fillId="0" borderId="0" xfId="21" applyNumberFormat="1" applyFont="1" applyFill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11" fontId="5" fillId="0" borderId="0" xfId="21" applyNumberFormat="1" applyFont="1" applyFill="1" applyBorder="1" applyAlignment="1">
      <alignment horizontal="left"/>
      <protection/>
    </xf>
    <xf numFmtId="11" fontId="5" fillId="0" borderId="0" xfId="21" applyNumberFormat="1" applyFont="1" applyFill="1" applyBorder="1" applyAlignment="1">
      <alignment horizontal="center"/>
      <protection/>
    </xf>
    <xf numFmtId="2" fontId="5" fillId="0" borderId="0" xfId="21" applyNumberFormat="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4" fontId="5" fillId="0" borderId="0" xfId="21" applyNumberFormat="1" applyFont="1" applyFill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21" applyFont="1" applyFill="1" applyBorder="1">
      <alignment/>
      <protection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1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7" fontId="5" fillId="0" borderId="0" xfId="22" applyNumberFormat="1" applyFont="1" applyAlignment="1">
      <alignment horizontal="left"/>
      <protection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165" fontId="5" fillId="0" borderId="0" xfId="0" applyNumberFormat="1" applyFont="1" applyBorder="1" applyAlignment="1">
      <alignment/>
    </xf>
    <xf numFmtId="0" fontId="5" fillId="0" borderId="0" xfId="21" applyFont="1" applyFill="1" applyBorder="1" applyAlignment="1">
      <alignment horizontal="centerContinuous"/>
      <protection/>
    </xf>
    <xf numFmtId="11" fontId="5" fillId="0" borderId="0" xfId="21" applyNumberFormat="1" applyFont="1" applyFill="1" applyBorder="1" applyAlignment="1">
      <alignment horizontal="centerContinuous"/>
      <protection/>
    </xf>
    <xf numFmtId="11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SF Amines LA (834)" xfId="21"/>
    <cellStyle name="Normal_R-75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218</v>
      </c>
    </row>
    <row r="6" ht="12.75">
      <c r="A6" t="s">
        <v>233</v>
      </c>
    </row>
    <row r="7" ht="12.75">
      <c r="A7" t="s">
        <v>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A2" sqref="A2"/>
    </sheetView>
  </sheetViews>
  <sheetFormatPr defaultColWidth="9.140625" defaultRowHeight="12.75"/>
  <cols>
    <col min="1" max="1" width="9.140625" style="18" hidden="1" customWidth="1"/>
    <col min="2" max="2" width="22.7109375" style="18" customWidth="1"/>
    <col min="3" max="3" width="57.57421875" style="18" customWidth="1"/>
    <col min="4" max="4" width="9.00390625" style="18" customWidth="1"/>
    <col min="5" max="16384" width="11.421875" style="18" customWidth="1"/>
  </cols>
  <sheetData>
    <row r="1" ht="12.75">
      <c r="B1" s="17" t="s">
        <v>146</v>
      </c>
    </row>
    <row r="3" spans="2:3" ht="12.75">
      <c r="B3" s="18" t="s">
        <v>147</v>
      </c>
      <c r="C3" s="19">
        <v>735</v>
      </c>
    </row>
    <row r="4" spans="2:3" ht="12.75">
      <c r="B4" s="18" t="s">
        <v>20</v>
      </c>
      <c r="C4" s="18" t="s">
        <v>67</v>
      </c>
    </row>
    <row r="5" spans="2:3" ht="12.75">
      <c r="B5" s="18" t="s">
        <v>21</v>
      </c>
      <c r="C5" s="18" t="s">
        <v>50</v>
      </c>
    </row>
    <row r="6" ht="12.75">
      <c r="B6" s="18" t="s">
        <v>22</v>
      </c>
    </row>
    <row r="7" spans="2:3" ht="12.75">
      <c r="B7" s="18" t="s">
        <v>149</v>
      </c>
      <c r="C7" s="18" t="s">
        <v>51</v>
      </c>
    </row>
    <row r="8" spans="2:3" ht="12.75">
      <c r="B8" s="18" t="s">
        <v>150</v>
      </c>
      <c r="C8" s="18" t="s">
        <v>66</v>
      </c>
    </row>
    <row r="9" spans="2:3" ht="12.75">
      <c r="B9" s="18" t="s">
        <v>23</v>
      </c>
      <c r="C9" s="18" t="s">
        <v>85</v>
      </c>
    </row>
    <row r="10" spans="2:3" ht="12.75">
      <c r="B10" s="18" t="s">
        <v>24</v>
      </c>
      <c r="C10" s="18" t="s">
        <v>54</v>
      </c>
    </row>
    <row r="11" spans="2:3" ht="12.75">
      <c r="B11" s="18" t="s">
        <v>202</v>
      </c>
      <c r="C11" s="19">
        <v>0</v>
      </c>
    </row>
    <row r="12" spans="2:3" ht="12.75">
      <c r="B12" s="18" t="s">
        <v>206</v>
      </c>
      <c r="C12" s="18" t="s">
        <v>200</v>
      </c>
    </row>
    <row r="13" spans="2:3" ht="12.75">
      <c r="B13" s="18" t="s">
        <v>203</v>
      </c>
      <c r="C13" s="18" t="s">
        <v>207</v>
      </c>
    </row>
    <row r="14" spans="2:3" s="20" customFormat="1" ht="38.25">
      <c r="B14" s="20" t="s">
        <v>25</v>
      </c>
      <c r="C14" s="21" t="s">
        <v>145</v>
      </c>
    </row>
    <row r="15" spans="2:3" s="20" customFormat="1" ht="12.75">
      <c r="B15" s="20" t="s">
        <v>74</v>
      </c>
      <c r="C15" s="22">
        <v>91.8</v>
      </c>
    </row>
    <row r="16" spans="2:3" ht="12.75">
      <c r="B16" s="18" t="s">
        <v>151</v>
      </c>
      <c r="C16" s="23" t="s">
        <v>239</v>
      </c>
    </row>
    <row r="17" spans="2:3" ht="12.75">
      <c r="B17" s="18" t="s">
        <v>204</v>
      </c>
      <c r="C17" s="18" t="s">
        <v>54</v>
      </c>
    </row>
    <row r="18" ht="12.75">
      <c r="B18" s="18" t="s">
        <v>205</v>
      </c>
    </row>
    <row r="19" spans="2:3" ht="12.75">
      <c r="B19" s="18" t="s">
        <v>26</v>
      </c>
      <c r="C19" s="23" t="s">
        <v>68</v>
      </c>
    </row>
    <row r="20" spans="2:3" ht="12.75">
      <c r="B20" s="18" t="s">
        <v>72</v>
      </c>
      <c r="C20" s="23" t="s">
        <v>71</v>
      </c>
    </row>
    <row r="21" spans="2:3" ht="12.75">
      <c r="B21" s="18" t="s">
        <v>152</v>
      </c>
      <c r="C21" s="18" t="s">
        <v>53</v>
      </c>
    </row>
    <row r="22" spans="2:3" ht="12.75">
      <c r="B22" s="18" t="s">
        <v>73</v>
      </c>
      <c r="C22" s="18" t="s">
        <v>27</v>
      </c>
    </row>
    <row r="24" ht="12.75">
      <c r="B24" s="18" t="s">
        <v>28</v>
      </c>
    </row>
    <row r="25" spans="2:3" ht="12.75">
      <c r="B25" s="18" t="s">
        <v>153</v>
      </c>
      <c r="C25" s="24">
        <f>1.22*3.28</f>
        <v>4.0016</v>
      </c>
    </row>
    <row r="26" spans="2:3" ht="12.75">
      <c r="B26" s="18" t="s">
        <v>154</v>
      </c>
      <c r="C26" s="25">
        <f>23.16*3.28</f>
        <v>75.9648</v>
      </c>
    </row>
    <row r="27" spans="2:3" ht="12.75">
      <c r="B27" s="18" t="s">
        <v>155</v>
      </c>
      <c r="C27" s="25">
        <v>44.7</v>
      </c>
    </row>
    <row r="28" spans="2:3" ht="12.75">
      <c r="B28" s="18" t="s">
        <v>156</v>
      </c>
      <c r="C28" s="25">
        <v>615</v>
      </c>
    </row>
    <row r="29" ht="12.75">
      <c r="C29" s="25"/>
    </row>
    <row r="30" spans="2:3" ht="12.75">
      <c r="B30" s="18" t="s">
        <v>69</v>
      </c>
      <c r="C30" s="18" t="s">
        <v>70</v>
      </c>
    </row>
    <row r="31" s="23" customFormat="1" ht="25.5">
      <c r="B31" s="23" t="s">
        <v>197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71"/>
  <sheetViews>
    <sheetView workbookViewId="0" topLeftCell="B1">
      <selection activeCell="A2" sqref="A2"/>
    </sheetView>
  </sheetViews>
  <sheetFormatPr defaultColWidth="9.140625" defaultRowHeight="12.75"/>
  <cols>
    <col min="1" max="1" width="9.140625" style="41" hidden="1" customWidth="1"/>
    <col min="2" max="2" width="21.140625" style="41" customWidth="1"/>
    <col min="3" max="3" width="56.57421875" style="41" customWidth="1"/>
    <col min="4" max="16384" width="9.140625" style="41" customWidth="1"/>
  </cols>
  <sheetData>
    <row r="1" ht="12.75">
      <c r="B1" s="77" t="s">
        <v>201</v>
      </c>
    </row>
    <row r="3" ht="12.75">
      <c r="B3" s="64" t="s">
        <v>57</v>
      </c>
    </row>
    <row r="4" ht="12.75">
      <c r="B4" s="64"/>
    </row>
    <row r="5" spans="2:4" s="20" customFormat="1" ht="25.5">
      <c r="B5" s="20" t="s">
        <v>29</v>
      </c>
      <c r="C5" s="21" t="s">
        <v>84</v>
      </c>
      <c r="D5" s="26"/>
    </row>
    <row r="6" spans="2:3" s="18" customFormat="1" ht="12.75">
      <c r="B6" s="18" t="s">
        <v>47</v>
      </c>
      <c r="C6" s="18" t="s">
        <v>52</v>
      </c>
    </row>
    <row r="7" spans="2:3" s="20" customFormat="1" ht="25.5">
      <c r="B7" s="20" t="s">
        <v>30</v>
      </c>
      <c r="C7" s="21" t="s">
        <v>79</v>
      </c>
    </row>
    <row r="8" spans="2:3" s="18" customFormat="1" ht="12.75">
      <c r="B8" s="18" t="s">
        <v>31</v>
      </c>
      <c r="C8" s="27">
        <v>33775</v>
      </c>
    </row>
    <row r="9" spans="2:3" s="18" customFormat="1" ht="12.75">
      <c r="B9" s="18" t="s">
        <v>199</v>
      </c>
      <c r="C9" s="60">
        <v>33755</v>
      </c>
    </row>
    <row r="10" spans="2:3" s="18" customFormat="1" ht="12.75">
      <c r="B10" s="18" t="s">
        <v>32</v>
      </c>
      <c r="C10" s="18" t="s">
        <v>76</v>
      </c>
    </row>
    <row r="11" spans="2:3" s="18" customFormat="1" ht="12.75">
      <c r="B11" s="18" t="s">
        <v>33</v>
      </c>
      <c r="C11" s="18" t="s">
        <v>77</v>
      </c>
    </row>
    <row r="12" s="18" customFormat="1" ht="12.75"/>
    <row r="13" s="18" customFormat="1" ht="12.75">
      <c r="B13" s="64" t="s">
        <v>58</v>
      </c>
    </row>
    <row r="14" ht="12.75">
      <c r="B14" s="64"/>
    </row>
    <row r="15" spans="2:4" s="20" customFormat="1" ht="25.5">
      <c r="B15" s="20" t="s">
        <v>29</v>
      </c>
      <c r="C15" s="21" t="s">
        <v>84</v>
      </c>
      <c r="D15" s="26"/>
    </row>
    <row r="16" spans="2:3" s="18" customFormat="1" ht="12.75">
      <c r="B16" s="18" t="s">
        <v>47</v>
      </c>
      <c r="C16" s="18" t="s">
        <v>52</v>
      </c>
    </row>
    <row r="17" spans="2:3" s="20" customFormat="1" ht="25.5">
      <c r="B17" s="20" t="s">
        <v>30</v>
      </c>
      <c r="C17" s="21" t="s">
        <v>79</v>
      </c>
    </row>
    <row r="18" spans="2:3" s="18" customFormat="1" ht="12.75">
      <c r="B18" s="18" t="s">
        <v>31</v>
      </c>
      <c r="C18" s="27" t="s">
        <v>78</v>
      </c>
    </row>
    <row r="19" spans="2:3" s="18" customFormat="1" ht="12.75">
      <c r="B19" s="18" t="s">
        <v>199</v>
      </c>
      <c r="C19" s="60">
        <v>33755</v>
      </c>
    </row>
    <row r="20" spans="2:3" s="18" customFormat="1" ht="12.75">
      <c r="B20" s="18" t="s">
        <v>32</v>
      </c>
      <c r="C20" s="18" t="s">
        <v>75</v>
      </c>
    </row>
    <row r="21" spans="2:3" s="18" customFormat="1" ht="12.75">
      <c r="B21" s="18" t="s">
        <v>33</v>
      </c>
      <c r="C21" s="18" t="s">
        <v>7</v>
      </c>
    </row>
    <row r="22" s="18" customFormat="1" ht="12.75"/>
    <row r="23" s="18" customFormat="1" ht="12.75">
      <c r="B23" s="64" t="s">
        <v>89</v>
      </c>
    </row>
    <row r="24" s="18" customFormat="1" ht="12.75">
      <c r="C24" s="28"/>
    </row>
    <row r="25" spans="2:3" s="18" customFormat="1" ht="12.75">
      <c r="B25" s="20" t="s">
        <v>29</v>
      </c>
      <c r="C25" s="21" t="s">
        <v>180</v>
      </c>
    </row>
    <row r="26" spans="2:3" s="18" customFormat="1" ht="12.75">
      <c r="B26" s="18" t="s">
        <v>47</v>
      </c>
      <c r="C26" s="18" t="s">
        <v>86</v>
      </c>
    </row>
    <row r="27" spans="2:3" s="18" customFormat="1" ht="25.5">
      <c r="B27" s="20" t="s">
        <v>30</v>
      </c>
      <c r="C27" s="21" t="s">
        <v>87</v>
      </c>
    </row>
    <row r="28" spans="2:3" s="18" customFormat="1" ht="12.75">
      <c r="B28" s="18" t="s">
        <v>31</v>
      </c>
      <c r="C28" s="27" t="s">
        <v>178</v>
      </c>
    </row>
    <row r="29" spans="2:3" s="18" customFormat="1" ht="12.75">
      <c r="B29" s="18" t="s">
        <v>199</v>
      </c>
      <c r="C29" s="60">
        <v>34972</v>
      </c>
    </row>
    <row r="30" spans="2:3" s="18" customFormat="1" ht="12.75">
      <c r="B30" s="18" t="s">
        <v>148</v>
      </c>
      <c r="C30" s="18" t="s">
        <v>94</v>
      </c>
    </row>
    <row r="31" spans="2:3" s="21" customFormat="1" ht="25.5">
      <c r="B31" s="21" t="s">
        <v>33</v>
      </c>
      <c r="C31" s="21" t="s">
        <v>179</v>
      </c>
    </row>
    <row r="32" s="21" customFormat="1" ht="12.75"/>
    <row r="33" s="18" customFormat="1" ht="12.75">
      <c r="B33" s="64" t="s">
        <v>92</v>
      </c>
    </row>
    <row r="34" s="18" customFormat="1" ht="12.75">
      <c r="C34" s="28"/>
    </row>
    <row r="35" spans="2:3" s="18" customFormat="1" ht="12.75">
      <c r="B35" s="20" t="s">
        <v>29</v>
      </c>
      <c r="C35" s="21" t="s">
        <v>180</v>
      </c>
    </row>
    <row r="36" spans="2:3" s="18" customFormat="1" ht="12.75">
      <c r="B36" s="18" t="s">
        <v>47</v>
      </c>
      <c r="C36" s="18" t="s">
        <v>86</v>
      </c>
    </row>
    <row r="37" spans="2:3" s="18" customFormat="1" ht="25.5">
      <c r="B37" s="20" t="s">
        <v>30</v>
      </c>
      <c r="C37" s="21" t="s">
        <v>87</v>
      </c>
    </row>
    <row r="38" spans="2:3" s="18" customFormat="1" ht="12.75">
      <c r="B38" s="18" t="s">
        <v>31</v>
      </c>
      <c r="C38" s="27" t="s">
        <v>88</v>
      </c>
    </row>
    <row r="39" spans="2:3" s="18" customFormat="1" ht="12.75">
      <c r="B39" s="18" t="s">
        <v>199</v>
      </c>
      <c r="C39" s="60">
        <v>34972</v>
      </c>
    </row>
    <row r="40" spans="2:3" s="18" customFormat="1" ht="12.75">
      <c r="B40" s="18" t="s">
        <v>148</v>
      </c>
      <c r="C40" s="18" t="s">
        <v>95</v>
      </c>
    </row>
    <row r="41" spans="2:3" s="18" customFormat="1" ht="12.75">
      <c r="B41" s="18" t="s">
        <v>33</v>
      </c>
      <c r="C41" s="18" t="s">
        <v>99</v>
      </c>
    </row>
    <row r="42" s="18" customFormat="1" ht="12.75"/>
    <row r="43" s="18" customFormat="1" ht="12.75">
      <c r="B43" s="64" t="s">
        <v>90</v>
      </c>
    </row>
    <row r="44" s="18" customFormat="1" ht="12.75">
      <c r="C44" s="28"/>
    </row>
    <row r="45" spans="2:3" s="18" customFormat="1" ht="12.75">
      <c r="B45" s="20" t="s">
        <v>29</v>
      </c>
      <c r="C45" s="21" t="s">
        <v>180</v>
      </c>
    </row>
    <row r="46" spans="2:3" s="18" customFormat="1" ht="12.75">
      <c r="B46" s="18" t="s">
        <v>47</v>
      </c>
      <c r="C46" s="18" t="s">
        <v>86</v>
      </c>
    </row>
    <row r="47" spans="2:3" s="18" customFormat="1" ht="25.5">
      <c r="B47" s="20" t="s">
        <v>30</v>
      </c>
      <c r="C47" s="21" t="s">
        <v>87</v>
      </c>
    </row>
    <row r="48" spans="2:3" s="18" customFormat="1" ht="12.75">
      <c r="B48" s="18" t="s">
        <v>31</v>
      </c>
      <c r="C48" s="27">
        <v>35006</v>
      </c>
    </row>
    <row r="49" spans="2:3" s="18" customFormat="1" ht="12.75">
      <c r="B49" s="18" t="s">
        <v>199</v>
      </c>
      <c r="C49" s="60">
        <v>35003</v>
      </c>
    </row>
    <row r="50" spans="2:3" s="18" customFormat="1" ht="12.75">
      <c r="B50" s="18" t="s">
        <v>148</v>
      </c>
      <c r="C50" s="18" t="s">
        <v>96</v>
      </c>
    </row>
    <row r="51" spans="2:3" s="18" customFormat="1" ht="12.75">
      <c r="B51" s="18" t="s">
        <v>33</v>
      </c>
      <c r="C51" s="18" t="s">
        <v>97</v>
      </c>
    </row>
    <row r="52" s="18" customFormat="1" ht="12.75"/>
    <row r="53" s="18" customFormat="1" ht="12.75">
      <c r="B53" s="64" t="s">
        <v>187</v>
      </c>
    </row>
    <row r="54" s="18" customFormat="1" ht="12.75">
      <c r="B54" s="64"/>
    </row>
    <row r="55" spans="2:3" s="18" customFormat="1" ht="12.75">
      <c r="B55" s="18" t="s">
        <v>29</v>
      </c>
      <c r="C55" s="18" t="s">
        <v>196</v>
      </c>
    </row>
    <row r="56" spans="2:3" s="18" customFormat="1" ht="12.75">
      <c r="B56" s="18" t="s">
        <v>47</v>
      </c>
      <c r="C56" s="18" t="s">
        <v>86</v>
      </c>
    </row>
    <row r="57" spans="2:3" s="18" customFormat="1" ht="25.5">
      <c r="B57" s="20" t="s">
        <v>30</v>
      </c>
      <c r="C57" s="21" t="s">
        <v>87</v>
      </c>
    </row>
    <row r="58" spans="2:3" s="18" customFormat="1" ht="12.75">
      <c r="B58" s="18" t="s">
        <v>31</v>
      </c>
      <c r="C58" s="27">
        <v>35207</v>
      </c>
    </row>
    <row r="59" spans="2:3" s="18" customFormat="1" ht="12.75">
      <c r="B59" s="18" t="s">
        <v>199</v>
      </c>
      <c r="C59" s="60">
        <v>35185</v>
      </c>
    </row>
    <row r="60" spans="2:3" s="18" customFormat="1" ht="12.75">
      <c r="B60" s="18" t="s">
        <v>148</v>
      </c>
      <c r="C60" s="18" t="s">
        <v>181</v>
      </c>
    </row>
    <row r="61" spans="2:3" s="18" customFormat="1" ht="12.75">
      <c r="B61" s="18" t="s">
        <v>33</v>
      </c>
      <c r="C61" s="18" t="s">
        <v>182</v>
      </c>
    </row>
    <row r="62" s="18" customFormat="1" ht="12.75"/>
    <row r="63" s="18" customFormat="1" ht="12.75">
      <c r="B63" s="64" t="s">
        <v>190</v>
      </c>
    </row>
    <row r="64" s="18" customFormat="1" ht="12.75">
      <c r="B64" s="64"/>
    </row>
    <row r="65" spans="2:3" s="18" customFormat="1" ht="12.75">
      <c r="B65" s="18" t="s">
        <v>29</v>
      </c>
      <c r="C65" s="18" t="s">
        <v>195</v>
      </c>
    </row>
    <row r="66" spans="2:3" s="18" customFormat="1" ht="12.75">
      <c r="B66" s="18" t="s">
        <v>47</v>
      </c>
      <c r="C66" s="18" t="s">
        <v>86</v>
      </c>
    </row>
    <row r="67" spans="2:3" s="18" customFormat="1" ht="25.5">
      <c r="B67" s="20" t="s">
        <v>30</v>
      </c>
      <c r="C67" s="21" t="s">
        <v>87</v>
      </c>
    </row>
    <row r="68" spans="2:3" s="18" customFormat="1" ht="12.75">
      <c r="B68" s="18" t="s">
        <v>31</v>
      </c>
      <c r="C68" s="27">
        <v>35207</v>
      </c>
    </row>
    <row r="69" spans="2:3" s="18" customFormat="1" ht="12.75">
      <c r="B69" s="18" t="s">
        <v>199</v>
      </c>
      <c r="C69" s="60">
        <v>35185</v>
      </c>
    </row>
    <row r="70" spans="2:3" s="18" customFormat="1" ht="12.75">
      <c r="B70" s="18" t="s">
        <v>148</v>
      </c>
      <c r="C70" s="18" t="s">
        <v>183</v>
      </c>
    </row>
    <row r="71" spans="2:3" s="18" customFormat="1" ht="12.75">
      <c r="B71" s="18" t="s">
        <v>33</v>
      </c>
      <c r="C71" s="18" t="s">
        <v>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2"/>
  <sheetViews>
    <sheetView zoomScale="75" zoomScaleNormal="75" workbookViewId="0" topLeftCell="B1">
      <selection activeCell="A2" sqref="A2"/>
    </sheetView>
  </sheetViews>
  <sheetFormatPr defaultColWidth="9.140625" defaultRowHeight="12.75"/>
  <cols>
    <col min="1" max="1" width="9.140625" style="7" hidden="1" customWidth="1"/>
    <col min="2" max="2" width="26.140625" style="7" customWidth="1"/>
    <col min="3" max="3" width="12.8515625" style="7" customWidth="1"/>
    <col min="4" max="4" width="8.421875" style="7" customWidth="1"/>
    <col min="5" max="5" width="5.00390625" style="7" customWidth="1"/>
    <col min="6" max="6" width="2.8515625" style="7" customWidth="1"/>
    <col min="7" max="7" width="9.8515625" style="7" customWidth="1"/>
    <col min="8" max="8" width="3.57421875" style="7" customWidth="1"/>
    <col min="9" max="9" width="10.140625" style="7" customWidth="1"/>
    <col min="10" max="10" width="2.7109375" style="7" customWidth="1"/>
    <col min="11" max="11" width="9.8515625" style="7" customWidth="1"/>
    <col min="12" max="12" width="2.7109375" style="7" customWidth="1"/>
    <col min="13" max="13" width="9.8515625" style="7" customWidth="1"/>
    <col min="14" max="14" width="10.421875" style="7" customWidth="1"/>
    <col min="15" max="15" width="9.8515625" style="7" customWidth="1"/>
    <col min="16" max="16384" width="11.421875" style="7" customWidth="1"/>
  </cols>
  <sheetData>
    <row r="1" spans="2:3" ht="12.75">
      <c r="B1" s="6" t="s">
        <v>0</v>
      </c>
      <c r="C1" s="6"/>
    </row>
    <row r="4" spans="3:15" ht="12.75">
      <c r="C4" s="7" t="s">
        <v>157</v>
      </c>
      <c r="D4" s="7" t="s">
        <v>34</v>
      </c>
      <c r="E4" s="7" t="s">
        <v>134</v>
      </c>
      <c r="G4" s="8"/>
      <c r="H4" s="8"/>
      <c r="I4" s="8"/>
      <c r="J4" s="8"/>
      <c r="K4" s="8"/>
      <c r="L4" s="9"/>
      <c r="O4" s="8"/>
    </row>
    <row r="5" spans="7:12" ht="12.75">
      <c r="G5" s="8" t="s">
        <v>55</v>
      </c>
      <c r="H5" s="8"/>
      <c r="I5" s="8"/>
      <c r="J5" s="8"/>
      <c r="K5" s="8"/>
      <c r="L5" s="8"/>
    </row>
    <row r="6" spans="1:13" ht="12.75">
      <c r="A6" s="7">
        <v>1</v>
      </c>
      <c r="B6" s="6" t="s">
        <v>57</v>
      </c>
      <c r="C6" s="6"/>
      <c r="G6" s="8" t="s">
        <v>209</v>
      </c>
      <c r="H6" s="8"/>
      <c r="I6" s="8" t="s">
        <v>210</v>
      </c>
      <c r="J6" s="8"/>
      <c r="K6" s="8" t="s">
        <v>211</v>
      </c>
      <c r="L6" s="8"/>
      <c r="M6" s="8" t="s">
        <v>35</v>
      </c>
    </row>
    <row r="7" spans="2:12" ht="12.75">
      <c r="B7" s="6"/>
      <c r="C7" s="6"/>
      <c r="G7" s="8"/>
      <c r="H7" s="8"/>
      <c r="I7" s="8"/>
      <c r="J7" s="8"/>
      <c r="K7" s="8"/>
      <c r="L7" s="8"/>
    </row>
    <row r="8" spans="2:13" ht="12.75">
      <c r="B8" s="7" t="s">
        <v>2</v>
      </c>
      <c r="C8" s="7" t="s">
        <v>212</v>
      </c>
      <c r="D8" s="7" t="s">
        <v>12</v>
      </c>
      <c r="E8" s="7" t="s">
        <v>36</v>
      </c>
      <c r="G8" s="10">
        <v>0.0804</v>
      </c>
      <c r="H8" s="10"/>
      <c r="I8" s="10">
        <v>0.0328</v>
      </c>
      <c r="J8" s="10"/>
      <c r="K8" s="10">
        <v>0.0327</v>
      </c>
      <c r="L8" s="10"/>
      <c r="M8" s="10">
        <v>0.0493</v>
      </c>
    </row>
    <row r="9" spans="2:13" ht="12.75">
      <c r="B9" s="7" t="s">
        <v>171</v>
      </c>
      <c r="C9" s="7" t="s">
        <v>212</v>
      </c>
      <c r="D9" s="7" t="s">
        <v>13</v>
      </c>
      <c r="E9" s="7" t="s">
        <v>36</v>
      </c>
      <c r="G9" s="11">
        <v>25.05</v>
      </c>
      <c r="H9" s="10"/>
      <c r="I9" s="10">
        <v>28.86</v>
      </c>
      <c r="J9" s="10"/>
      <c r="K9" s="10">
        <v>54.39</v>
      </c>
      <c r="L9" s="10"/>
      <c r="M9" s="12">
        <f>AVERAGE(K9,I9,G9)</f>
        <v>36.1</v>
      </c>
    </row>
    <row r="10" spans="2:13" ht="12.75">
      <c r="B10" s="7" t="s">
        <v>170</v>
      </c>
      <c r="C10" s="7" t="s">
        <v>212</v>
      </c>
      <c r="D10" s="7" t="s">
        <v>13</v>
      </c>
      <c r="E10" s="7" t="s">
        <v>36</v>
      </c>
      <c r="G10" s="11">
        <v>19.01</v>
      </c>
      <c r="H10" s="10"/>
      <c r="I10" s="10">
        <v>26.85</v>
      </c>
      <c r="J10" s="10"/>
      <c r="K10" s="10">
        <v>49.88</v>
      </c>
      <c r="L10" s="10"/>
      <c r="M10" s="12">
        <f>AVERAGE(K10,I10,G10)</f>
        <v>31.913333333333338</v>
      </c>
    </row>
    <row r="11" spans="2:13" ht="12.75">
      <c r="B11" s="7" t="s">
        <v>208</v>
      </c>
      <c r="D11" s="7" t="s">
        <v>48</v>
      </c>
      <c r="G11" s="10">
        <v>0.4536</v>
      </c>
      <c r="H11" s="10"/>
      <c r="I11" s="10">
        <v>0.4536</v>
      </c>
      <c r="J11" s="10"/>
      <c r="K11" s="10">
        <v>0.4536</v>
      </c>
      <c r="L11" s="10"/>
      <c r="M11" s="10">
        <v>0.4536</v>
      </c>
    </row>
    <row r="12" spans="2:13" ht="12.75">
      <c r="B12" s="7" t="s">
        <v>3</v>
      </c>
      <c r="D12" s="7" t="s">
        <v>48</v>
      </c>
      <c r="G12" s="10">
        <v>3051</v>
      </c>
      <c r="H12" s="10"/>
      <c r="I12" s="10">
        <v>3320</v>
      </c>
      <c r="J12" s="10"/>
      <c r="K12" s="10">
        <v>3437</v>
      </c>
      <c r="L12" s="10"/>
      <c r="M12" s="12">
        <v>3265</v>
      </c>
    </row>
    <row r="13" spans="2:13" ht="12.75">
      <c r="B13" s="7" t="s">
        <v>4</v>
      </c>
      <c r="D13" s="7" t="s">
        <v>48</v>
      </c>
      <c r="G13" s="10">
        <v>0.454</v>
      </c>
      <c r="H13" s="10"/>
      <c r="I13" s="10">
        <v>0.454</v>
      </c>
      <c r="J13" s="10"/>
      <c r="K13" s="10">
        <v>0.454</v>
      </c>
      <c r="L13" s="10"/>
      <c r="M13" s="12">
        <v>0.454</v>
      </c>
    </row>
    <row r="14" ht="12.75">
      <c r="M14" s="11"/>
    </row>
    <row r="15" spans="2:4" ht="12.75">
      <c r="B15" s="7" t="s">
        <v>173</v>
      </c>
      <c r="C15" s="7" t="s">
        <v>158</v>
      </c>
      <c r="D15" s="7" t="s">
        <v>212</v>
      </c>
    </row>
    <row r="16" spans="2:13" ht="12.75">
      <c r="B16" s="7" t="s">
        <v>37</v>
      </c>
      <c r="D16" s="7" t="s">
        <v>17</v>
      </c>
      <c r="G16" s="7">
        <v>12874</v>
      </c>
      <c r="I16" s="7">
        <v>12874</v>
      </c>
      <c r="K16" s="7">
        <v>12874</v>
      </c>
      <c r="M16" s="7">
        <v>12874</v>
      </c>
    </row>
    <row r="17" spans="2:13" ht="12.75">
      <c r="B17" s="7" t="s">
        <v>164</v>
      </c>
      <c r="D17" s="7" t="s">
        <v>18</v>
      </c>
      <c r="G17" s="7">
        <v>2.25</v>
      </c>
      <c r="I17" s="7">
        <v>2.25</v>
      </c>
      <c r="K17" s="7">
        <v>2.25</v>
      </c>
      <c r="M17" s="7">
        <v>2.25</v>
      </c>
    </row>
    <row r="18" spans="2:13" ht="12.75">
      <c r="B18" s="7" t="s">
        <v>165</v>
      </c>
      <c r="D18" s="7" t="s">
        <v>18</v>
      </c>
      <c r="G18" s="12"/>
      <c r="H18" s="12"/>
      <c r="I18" s="12"/>
      <c r="J18" s="12"/>
      <c r="K18" s="12"/>
      <c r="L18" s="12"/>
      <c r="M18" s="11"/>
    </row>
    <row r="19" spans="2:13" ht="12.75">
      <c r="B19" s="7" t="s">
        <v>38</v>
      </c>
      <c r="D19" s="7" t="s">
        <v>19</v>
      </c>
      <c r="M19" s="13"/>
    </row>
    <row r="20" ht="12.75">
      <c r="M20" s="13"/>
    </row>
    <row r="21" spans="2:13" ht="12.75">
      <c r="B21" s="7" t="s">
        <v>208</v>
      </c>
      <c r="C21" s="3" t="s">
        <v>212</v>
      </c>
      <c r="D21" s="3" t="s">
        <v>14</v>
      </c>
      <c r="G21" s="57">
        <f>G11/G$16/0.0283/60*(21-7)/(21-G$17)*1000000</f>
        <v>15.49346726165153</v>
      </c>
      <c r="I21" s="57">
        <f>I11/I$16/0.0283/60*(21-7)/(21-I$17)*1000000</f>
        <v>15.49346726165153</v>
      </c>
      <c r="K21" s="57">
        <f>K11/K$16/0.0283/60*(21-7)/(21-K$17)*1000000</f>
        <v>15.49346726165153</v>
      </c>
      <c r="M21" s="57">
        <f>M11/M$16/0.0283/60*(21-7)/(21-M$17)*1000000</f>
        <v>15.49346726165153</v>
      </c>
    </row>
    <row r="22" spans="2:13" ht="12.75">
      <c r="B22" s="3"/>
      <c r="C22" s="3"/>
      <c r="D22" s="3"/>
      <c r="G22" s="57"/>
      <c r="M22" s="13"/>
    </row>
    <row r="23" spans="2:13" ht="12.75">
      <c r="B23" s="7" t="s">
        <v>3</v>
      </c>
      <c r="C23" s="3" t="s">
        <v>212</v>
      </c>
      <c r="D23" s="3" t="s">
        <v>13</v>
      </c>
      <c r="E23" s="7" t="s">
        <v>36</v>
      </c>
      <c r="G23" s="57">
        <f>G12*1000000/60/0.0283/G16*(21-7)/(21-G17)/1450</f>
        <v>71.8703530610272</v>
      </c>
      <c r="I23" s="57">
        <f>I12*1000000/60/0.0283/I16*(21-7)/(21-I17)/1450</f>
        <v>78.20700496971823</v>
      </c>
      <c r="K23" s="57">
        <f>K12*1000000/60/0.0283/K16*(21-7)/(21-K17)/1450</f>
        <v>80.96309520509688</v>
      </c>
      <c r="M23" s="12">
        <f>AVERAGE(K23,I23,G23)</f>
        <v>77.01348441194743</v>
      </c>
    </row>
    <row r="24" spans="2:13" ht="12.75">
      <c r="B24" s="7" t="s">
        <v>4</v>
      </c>
      <c r="C24" s="3" t="s">
        <v>212</v>
      </c>
      <c r="D24" s="3" t="s">
        <v>13</v>
      </c>
      <c r="E24" s="7" t="s">
        <v>36</v>
      </c>
      <c r="G24" s="59">
        <f>G13*1000000/60/0.0283/G16*(21-7)/(21-G17)/700</f>
        <v>0.022153042758849186</v>
      </c>
      <c r="I24" s="59">
        <f>I13*1000000/60/0.0283/I16*(21-7)/(21-I17)/700</f>
        <v>0.022153042758849186</v>
      </c>
      <c r="K24" s="59">
        <f>K13*1000000/60/0.0283/K16*(21-7)/(21-K17)/700</f>
        <v>0.022153042758849186</v>
      </c>
      <c r="M24" s="59">
        <f>M13*1000000/60/0.0283/M16*(21-7)/(21-M17)/700</f>
        <v>0.022153042758849186</v>
      </c>
    </row>
    <row r="25" spans="2:13" ht="12.75">
      <c r="B25" s="3" t="s">
        <v>172</v>
      </c>
      <c r="C25" s="3" t="s">
        <v>212</v>
      </c>
      <c r="D25" s="3" t="s">
        <v>13</v>
      </c>
      <c r="E25" s="7" t="s">
        <v>36</v>
      </c>
      <c r="G25" s="57">
        <f>G23+2*G24</f>
        <v>71.9146591465449</v>
      </c>
      <c r="I25" s="57">
        <f>I23+2*I24</f>
        <v>78.25131105523593</v>
      </c>
      <c r="K25" s="57">
        <f>K23+2*K24</f>
        <v>81.00740129061458</v>
      </c>
      <c r="M25" s="57">
        <f>M23+2*M24</f>
        <v>77.05779049746513</v>
      </c>
    </row>
    <row r="26" ht="12.75">
      <c r="M26" s="13"/>
    </row>
    <row r="27" ht="12.75">
      <c r="M27" s="13"/>
    </row>
    <row r="28" spans="1:13" ht="12.75">
      <c r="A28" s="7">
        <v>2</v>
      </c>
      <c r="B28" s="6" t="s">
        <v>58</v>
      </c>
      <c r="C28" s="6"/>
      <c r="G28" s="8" t="s">
        <v>209</v>
      </c>
      <c r="H28" s="8"/>
      <c r="I28" s="8" t="s">
        <v>210</v>
      </c>
      <c r="J28" s="8"/>
      <c r="K28" s="8" t="s">
        <v>211</v>
      </c>
      <c r="L28" s="8"/>
      <c r="M28" s="8" t="s">
        <v>35</v>
      </c>
    </row>
    <row r="29" spans="7:11" ht="12.75">
      <c r="G29" s="8"/>
      <c r="H29" s="8"/>
      <c r="I29" s="8"/>
      <c r="J29" s="8"/>
      <c r="K29" s="8"/>
    </row>
    <row r="30" spans="2:13" ht="12.75">
      <c r="B30" s="7" t="s">
        <v>170</v>
      </c>
      <c r="C30" s="7" t="s">
        <v>212</v>
      </c>
      <c r="D30" s="7" t="s">
        <v>13</v>
      </c>
      <c r="E30" s="7" t="s">
        <v>36</v>
      </c>
      <c r="G30" s="7">
        <v>2.51</v>
      </c>
      <c r="M30" s="12"/>
    </row>
    <row r="31" ht="12.75">
      <c r="M31" s="12"/>
    </row>
    <row r="32" spans="2:4" ht="12.75">
      <c r="B32" s="7" t="s">
        <v>173</v>
      </c>
      <c r="C32" s="7" t="s">
        <v>7</v>
      </c>
      <c r="D32" s="7" t="s">
        <v>212</v>
      </c>
    </row>
    <row r="33" spans="2:4" ht="12.75">
      <c r="B33" s="7" t="s">
        <v>37</v>
      </c>
      <c r="D33" s="7" t="s">
        <v>17</v>
      </c>
    </row>
    <row r="34" spans="2:13" ht="12.75">
      <c r="B34" s="7" t="s">
        <v>164</v>
      </c>
      <c r="D34" s="7" t="s">
        <v>18</v>
      </c>
      <c r="G34" s="11">
        <v>8.3</v>
      </c>
      <c r="M34" s="12"/>
    </row>
    <row r="35" spans="2:13" ht="12.75">
      <c r="B35" s="7" t="s">
        <v>165</v>
      </c>
      <c r="D35" s="7" t="s">
        <v>18</v>
      </c>
      <c r="G35" s="11"/>
      <c r="M35" s="12"/>
    </row>
    <row r="36" spans="2:4" ht="12.75">
      <c r="B36" s="7" t="s">
        <v>38</v>
      </c>
      <c r="D36" s="7" t="s">
        <v>19</v>
      </c>
    </row>
    <row r="38" spans="1:13" ht="12.75">
      <c r="A38" s="7">
        <v>3</v>
      </c>
      <c r="B38" s="6" t="s">
        <v>89</v>
      </c>
      <c r="C38" s="6"/>
      <c r="G38" s="8" t="s">
        <v>209</v>
      </c>
      <c r="H38" s="8"/>
      <c r="I38" s="8" t="s">
        <v>210</v>
      </c>
      <c r="J38" s="8"/>
      <c r="K38" s="8" t="s">
        <v>211</v>
      </c>
      <c r="L38" s="8"/>
      <c r="M38" s="8" t="s">
        <v>35</v>
      </c>
    </row>
    <row r="39" ht="12.75">
      <c r="K39" s="7" t="s">
        <v>198</v>
      </c>
    </row>
    <row r="40" spans="2:13" ht="12.75">
      <c r="B40" s="7" t="s">
        <v>2</v>
      </c>
      <c r="C40" s="7" t="s">
        <v>212</v>
      </c>
      <c r="D40" s="7" t="s">
        <v>12</v>
      </c>
      <c r="E40" s="7" t="s">
        <v>36</v>
      </c>
      <c r="G40" s="10">
        <v>0.0378</v>
      </c>
      <c r="H40" s="10"/>
      <c r="I40" s="10">
        <v>0.0282</v>
      </c>
      <c r="J40" s="10"/>
      <c r="K40" s="10">
        <v>0.0559</v>
      </c>
      <c r="L40" s="10"/>
      <c r="M40" s="14">
        <v>0.0375</v>
      </c>
    </row>
    <row r="41" spans="2:13" ht="12.75">
      <c r="B41" s="7" t="s">
        <v>171</v>
      </c>
      <c r="C41" s="7" t="s">
        <v>212</v>
      </c>
      <c r="D41" s="7" t="s">
        <v>13</v>
      </c>
      <c r="E41" s="7" t="s">
        <v>36</v>
      </c>
      <c r="G41" s="7">
        <v>9.88</v>
      </c>
      <c r="I41" s="7">
        <v>21.46</v>
      </c>
      <c r="K41" s="7">
        <v>20.81</v>
      </c>
      <c r="M41" s="11">
        <f>AVERAGE(G41,I41,K41)</f>
        <v>17.383333333333336</v>
      </c>
    </row>
    <row r="42" spans="2:13" ht="12.75">
      <c r="B42" s="7" t="s">
        <v>3</v>
      </c>
      <c r="D42" s="7" t="s">
        <v>41</v>
      </c>
      <c r="F42" s="7" t="s">
        <v>39</v>
      </c>
      <c r="G42" s="10">
        <v>0.03</v>
      </c>
      <c r="H42" s="10" t="s">
        <v>39</v>
      </c>
      <c r="I42" s="10">
        <v>0.03</v>
      </c>
      <c r="J42" s="10" t="s">
        <v>39</v>
      </c>
      <c r="K42" s="10">
        <v>0.04</v>
      </c>
      <c r="L42" s="10" t="s">
        <v>39</v>
      </c>
      <c r="M42" s="11">
        <f>AVERAGE(K42,I42,G42)</f>
        <v>0.03333333333333333</v>
      </c>
    </row>
    <row r="43" spans="2:13" ht="12.75">
      <c r="B43" s="7" t="s">
        <v>4</v>
      </c>
      <c r="D43" s="7" t="s">
        <v>41</v>
      </c>
      <c r="F43" s="7" t="s">
        <v>39</v>
      </c>
      <c r="G43" s="10">
        <v>0.03</v>
      </c>
      <c r="H43" s="10" t="s">
        <v>39</v>
      </c>
      <c r="I43" s="10">
        <v>0.03</v>
      </c>
      <c r="J43" s="7" t="s">
        <v>39</v>
      </c>
      <c r="K43" s="10">
        <v>0.03</v>
      </c>
      <c r="L43" s="10" t="s">
        <v>39</v>
      </c>
      <c r="M43" s="11">
        <f>AVERAGE(K43,I43,G43)</f>
        <v>0.03</v>
      </c>
    </row>
    <row r="44" spans="2:13" ht="12.75">
      <c r="B44" s="7" t="s">
        <v>169</v>
      </c>
      <c r="C44" s="7" t="s">
        <v>213</v>
      </c>
      <c r="D44" s="7" t="s">
        <v>13</v>
      </c>
      <c r="F44" s="7" t="s">
        <v>39</v>
      </c>
      <c r="G44" s="10">
        <v>0.1</v>
      </c>
      <c r="H44" s="10" t="s">
        <v>39</v>
      </c>
      <c r="I44" s="10">
        <v>0.1</v>
      </c>
      <c r="K44" s="10">
        <v>0.3</v>
      </c>
      <c r="M44" s="11">
        <f>AVERAGE(K44,I44,G44)</f>
        <v>0.16666666666666666</v>
      </c>
    </row>
    <row r="45" spans="7:13" ht="12.75">
      <c r="G45" s="10"/>
      <c r="H45" s="10"/>
      <c r="I45" s="10"/>
      <c r="K45" s="10"/>
      <c r="M45" s="11"/>
    </row>
    <row r="46" spans="2:13" ht="12.75">
      <c r="B46" s="3" t="s">
        <v>3</v>
      </c>
      <c r="C46" s="3" t="s">
        <v>212</v>
      </c>
      <c r="D46" s="3" t="s">
        <v>13</v>
      </c>
      <c r="E46" s="3" t="s">
        <v>36</v>
      </c>
      <c r="F46" s="4" t="s">
        <v>39</v>
      </c>
      <c r="G46" s="5">
        <f>G42*454*(1/G59/60)*(1/0.0283)*(14/(21-G54))*667.8</f>
        <v>0.3220409846357532</v>
      </c>
      <c r="H46" s="10" t="s">
        <v>39</v>
      </c>
      <c r="I46" s="5">
        <f>I42*454*(1/I59/60)*(1/0.0283)*(14/(21-I54))*667.8</f>
        <v>0.30817457017044725</v>
      </c>
      <c r="J46" s="10" t="s">
        <v>39</v>
      </c>
      <c r="K46" s="5">
        <f>K42*454*(1/K59/60)*(1/0.0283)*(14/(21-K54))*667.8</f>
        <v>0.4088128754915392</v>
      </c>
      <c r="L46" s="5"/>
      <c r="M46" s="5">
        <f>M42*454*(1/M59/60)*(1/0.0283)*(14/(21-M54))*667.8</f>
        <v>0.34683653454182956</v>
      </c>
    </row>
    <row r="47" spans="2:13" ht="12.75">
      <c r="B47" s="3" t="s">
        <v>4</v>
      </c>
      <c r="C47" s="3" t="s">
        <v>212</v>
      </c>
      <c r="D47" s="3" t="s">
        <v>13</v>
      </c>
      <c r="E47" s="3" t="s">
        <v>36</v>
      </c>
      <c r="F47" s="4" t="s">
        <v>39</v>
      </c>
      <c r="G47" s="2">
        <f>G43*454*(1/G59/60)*(1/0.0283)*(14/(21-G54))*343.4</f>
        <v>0.16560178814602824</v>
      </c>
      <c r="H47" s="10" t="s">
        <v>39</v>
      </c>
      <c r="I47" s="2">
        <f>I43*454*(1/I59/60)*(1/0.0283)*(14/(21-I54))*343.4</f>
        <v>0.1584713198510506</v>
      </c>
      <c r="J47" s="7" t="s">
        <v>39</v>
      </c>
      <c r="K47" s="2">
        <f>K43*454*(1/K59/60)*(1/0.0283)*(14/(21-K54))*343.4</f>
        <v>0.15766660090273424</v>
      </c>
      <c r="L47" s="2"/>
      <c r="M47" s="2">
        <f>M43*454*(1/M59/60)*(1/0.0283)*(14/(21-M54))*343.4</f>
        <v>0.16051707002919713</v>
      </c>
    </row>
    <row r="48" spans="2:13" ht="12.75">
      <c r="B48" s="3" t="s">
        <v>172</v>
      </c>
      <c r="C48" s="3" t="s">
        <v>212</v>
      </c>
      <c r="D48" s="3" t="s">
        <v>13</v>
      </c>
      <c r="E48" s="3" t="s">
        <v>36</v>
      </c>
      <c r="F48" s="4" t="s">
        <v>39</v>
      </c>
      <c r="G48" s="5">
        <f>2*G47+G46</f>
        <v>0.6532445609278097</v>
      </c>
      <c r="H48" s="5"/>
      <c r="I48" s="5">
        <f>2*I47+I46</f>
        <v>0.6251172098725484</v>
      </c>
      <c r="J48" s="5"/>
      <c r="K48" s="5">
        <f>2*K47+K46</f>
        <v>0.7241460772970076</v>
      </c>
      <c r="L48" s="5"/>
      <c r="M48" s="5">
        <f>2*M47+M46</f>
        <v>0.6678706746002239</v>
      </c>
    </row>
    <row r="49" spans="2:13" ht="12.75">
      <c r="B49" s="3" t="s">
        <v>169</v>
      </c>
      <c r="C49" s="3" t="s">
        <v>212</v>
      </c>
      <c r="D49" s="3" t="s">
        <v>13</v>
      </c>
      <c r="E49" s="3" t="s">
        <v>36</v>
      </c>
      <c r="F49" s="4" t="s">
        <v>39</v>
      </c>
      <c r="G49" s="5">
        <f>G44*(14/(21-G54))</f>
        <v>0.08045977011494254</v>
      </c>
      <c r="H49" s="5"/>
      <c r="I49" s="5">
        <f>I44*(14/(21-I54))</f>
        <v>0.07777777777777778</v>
      </c>
      <c r="J49" s="5"/>
      <c r="K49" s="5">
        <f>K44*(14/(21-K54))</f>
        <v>0.23333333333333334</v>
      </c>
      <c r="L49" s="5"/>
      <c r="M49" s="5">
        <f>M44*(14/(21-M54))</f>
        <v>0.13108614232209737</v>
      </c>
    </row>
    <row r="50" spans="7:13" ht="12.75">
      <c r="G50" s="10"/>
      <c r="H50" s="10"/>
      <c r="I50" s="10"/>
      <c r="K50" s="10"/>
      <c r="M50" s="11"/>
    </row>
    <row r="51" ht="12.75">
      <c r="M51" s="11"/>
    </row>
    <row r="52" spans="2:4" ht="12.75">
      <c r="B52" s="7" t="s">
        <v>173</v>
      </c>
      <c r="C52" s="7" t="s">
        <v>158</v>
      </c>
      <c r="D52" s="7" t="s">
        <v>212</v>
      </c>
    </row>
    <row r="53" spans="2:13" ht="12.75">
      <c r="B53" s="7" t="s">
        <v>37</v>
      </c>
      <c r="D53" s="7" t="s">
        <v>17</v>
      </c>
      <c r="G53" s="7">
        <v>13834</v>
      </c>
      <c r="I53" s="7">
        <v>14036</v>
      </c>
      <c r="K53" s="7">
        <v>14035</v>
      </c>
      <c r="M53" s="7">
        <f>AVERAGE(G53,I53,K53)</f>
        <v>13968.333333333334</v>
      </c>
    </row>
    <row r="54" spans="2:13" ht="12.75">
      <c r="B54" s="7" t="s">
        <v>164</v>
      </c>
      <c r="D54" s="7" t="s">
        <v>18</v>
      </c>
      <c r="G54" s="7">
        <v>3.6</v>
      </c>
      <c r="I54" s="7">
        <v>3</v>
      </c>
      <c r="K54" s="7">
        <v>3</v>
      </c>
      <c r="M54" s="7">
        <f>AVERAGE(G54,I54,K54)</f>
        <v>3.1999999999999997</v>
      </c>
    </row>
    <row r="55" spans="2:12" ht="12.75">
      <c r="B55" s="7" t="s">
        <v>165</v>
      </c>
      <c r="D55" s="7" t="s">
        <v>18</v>
      </c>
      <c r="G55" s="12"/>
      <c r="H55" s="12"/>
      <c r="I55" s="12"/>
      <c r="J55" s="12"/>
      <c r="K55" s="12"/>
      <c r="L55" s="12"/>
    </row>
    <row r="56" spans="2:13" ht="12.75">
      <c r="B56" s="7" t="s">
        <v>38</v>
      </c>
      <c r="D56" s="7" t="s">
        <v>19</v>
      </c>
      <c r="G56" s="7">
        <v>622</v>
      </c>
      <c r="I56" s="7">
        <v>634</v>
      </c>
      <c r="K56" s="7">
        <v>632</v>
      </c>
      <c r="M56" s="7">
        <f>AVERAGE(G56,I56,K56)</f>
        <v>629.3333333333334</v>
      </c>
    </row>
    <row r="57" ht="12.75">
      <c r="M57" s="11"/>
    </row>
    <row r="58" spans="2:13" ht="12.75">
      <c r="B58" s="7" t="s">
        <v>173</v>
      </c>
      <c r="C58" s="7" t="s">
        <v>8</v>
      </c>
      <c r="D58" s="7" t="s">
        <v>213</v>
      </c>
      <c r="M58" s="11"/>
    </row>
    <row r="59" spans="2:13" ht="12.75">
      <c r="B59" s="7" t="s">
        <v>37</v>
      </c>
      <c r="D59" s="7" t="s">
        <v>17</v>
      </c>
      <c r="G59" s="7">
        <v>13383</v>
      </c>
      <c r="I59" s="7">
        <v>13519</v>
      </c>
      <c r="K59" s="7">
        <v>13588</v>
      </c>
      <c r="M59" s="12">
        <f>AVERAGE(K59,I59,G59)</f>
        <v>13496.666666666666</v>
      </c>
    </row>
    <row r="60" spans="2:13" ht="12.75">
      <c r="B60" s="7" t="s">
        <v>164</v>
      </c>
      <c r="D60" s="7" t="s">
        <v>18</v>
      </c>
      <c r="M60" s="11"/>
    </row>
    <row r="61" spans="2:4" ht="12.75">
      <c r="B61" s="7" t="s">
        <v>165</v>
      </c>
      <c r="D61" s="7" t="s">
        <v>18</v>
      </c>
    </row>
    <row r="62" spans="2:4" ht="12.75">
      <c r="B62" s="7" t="s">
        <v>38</v>
      </c>
      <c r="D62" s="7" t="s">
        <v>19</v>
      </c>
    </row>
    <row r="65" spans="1:13" ht="12.75">
      <c r="A65" s="7">
        <v>4</v>
      </c>
      <c r="B65" s="6" t="s">
        <v>92</v>
      </c>
      <c r="C65" s="6"/>
      <c r="G65" s="8" t="s">
        <v>209</v>
      </c>
      <c r="H65" s="8"/>
      <c r="I65" s="8" t="s">
        <v>210</v>
      </c>
      <c r="J65" s="8"/>
      <c r="K65" s="8" t="s">
        <v>211</v>
      </c>
      <c r="L65" s="8"/>
      <c r="M65" s="8" t="s">
        <v>35</v>
      </c>
    </row>
    <row r="67" spans="2:13" ht="12.75">
      <c r="B67" s="7" t="s">
        <v>171</v>
      </c>
      <c r="C67" s="7" t="s">
        <v>212</v>
      </c>
      <c r="D67" s="7" t="s">
        <v>13</v>
      </c>
      <c r="E67" s="7" t="s">
        <v>36</v>
      </c>
      <c r="G67" s="7">
        <v>0.0006</v>
      </c>
      <c r="I67" s="7">
        <v>0.0435</v>
      </c>
      <c r="K67" s="7">
        <v>0</v>
      </c>
      <c r="M67" s="11">
        <f>AVERAGE(G67,I67,K67)</f>
        <v>0.0147</v>
      </c>
    </row>
    <row r="68" spans="2:13" ht="12.75">
      <c r="B68" s="7" t="s">
        <v>169</v>
      </c>
      <c r="D68" s="7" t="s">
        <v>13</v>
      </c>
      <c r="F68" s="7" t="s">
        <v>39</v>
      </c>
      <c r="G68" s="10">
        <v>0.1</v>
      </c>
      <c r="H68" s="10"/>
      <c r="I68" s="10">
        <v>0.3</v>
      </c>
      <c r="K68" s="10">
        <v>0.6</v>
      </c>
      <c r="M68" s="11">
        <f>AVERAGE(K68,I68,G68)</f>
        <v>0.3333333333333333</v>
      </c>
    </row>
    <row r="69" ht="12.75">
      <c r="M69" s="11"/>
    </row>
    <row r="70" spans="2:13" ht="12.75">
      <c r="B70" s="7" t="s">
        <v>169</v>
      </c>
      <c r="C70" s="7" t="s">
        <v>213</v>
      </c>
      <c r="D70" s="7" t="s">
        <v>13</v>
      </c>
      <c r="E70" s="7" t="s">
        <v>36</v>
      </c>
      <c r="F70" s="7" t="s">
        <v>39</v>
      </c>
      <c r="G70" s="2">
        <f>G68*(14/(21-G79))</f>
        <v>0.11111111111111112</v>
      </c>
      <c r="H70" s="2"/>
      <c r="I70" s="5">
        <f>I68*(14/(21-I79))</f>
        <v>0.30656934306569344</v>
      </c>
      <c r="J70" s="2"/>
      <c r="K70" s="2">
        <f>K68*(14/(21-K79))</f>
        <v>0.608695652173913</v>
      </c>
      <c r="L70" s="2"/>
      <c r="M70" s="5">
        <f>M68*(14/(21-M79))</f>
        <v>0.3491271820448878</v>
      </c>
    </row>
    <row r="71" spans="7:13" ht="12.75">
      <c r="G71" s="2"/>
      <c r="H71" s="2"/>
      <c r="I71" s="5"/>
      <c r="J71" s="2"/>
      <c r="K71" s="2"/>
      <c r="L71" s="2"/>
      <c r="M71" s="5"/>
    </row>
    <row r="72" spans="2:3" ht="12.75">
      <c r="B72" s="7" t="s">
        <v>166</v>
      </c>
      <c r="C72" s="7" t="s">
        <v>160</v>
      </c>
    </row>
    <row r="73" spans="2:13" ht="12.75">
      <c r="B73" s="7" t="s">
        <v>163</v>
      </c>
      <c r="D73" s="7" t="s">
        <v>48</v>
      </c>
      <c r="G73" s="16">
        <f>0.8857296*3600</f>
        <v>3188.62656</v>
      </c>
      <c r="H73" s="16"/>
      <c r="I73" s="16">
        <f>0.965601*3600</f>
        <v>3476.1636000000003</v>
      </c>
      <c r="J73" s="16"/>
      <c r="K73" s="16">
        <f>0.9040248*3600</f>
        <v>3254.48928</v>
      </c>
      <c r="L73" s="16"/>
      <c r="M73" s="16">
        <f>AVERAGE(G73,I73,K73)</f>
        <v>3306.42648</v>
      </c>
    </row>
    <row r="74" spans="2:13" ht="12.75">
      <c r="B74" s="7" t="s">
        <v>168</v>
      </c>
      <c r="G74" s="16"/>
      <c r="H74" s="16"/>
      <c r="I74" s="16"/>
      <c r="J74" s="16"/>
      <c r="K74" s="16"/>
      <c r="L74" s="16"/>
      <c r="M74" s="16"/>
    </row>
    <row r="75" spans="2:13" ht="12.75">
      <c r="B75" s="7" t="s">
        <v>9</v>
      </c>
      <c r="D75" s="7" t="s">
        <v>18</v>
      </c>
      <c r="G75" s="15">
        <v>99.959356</v>
      </c>
      <c r="H75" s="15"/>
      <c r="I75" s="15">
        <v>99.9615783</v>
      </c>
      <c r="J75" s="15"/>
      <c r="K75" s="15">
        <v>99.9968806</v>
      </c>
      <c r="L75" s="15"/>
      <c r="M75" s="15"/>
    </row>
    <row r="76" ht="12.75">
      <c r="M76" s="11"/>
    </row>
    <row r="77" spans="2:4" ht="12.75">
      <c r="B77" s="7" t="s">
        <v>173</v>
      </c>
      <c r="C77" s="7" t="s">
        <v>9</v>
      </c>
      <c r="D77" s="7" t="s">
        <v>212</v>
      </c>
    </row>
    <row r="78" spans="2:4" ht="12.75">
      <c r="B78" s="7" t="s">
        <v>37</v>
      </c>
      <c r="D78" s="7" t="s">
        <v>17</v>
      </c>
    </row>
    <row r="79" spans="2:13" ht="12.75">
      <c r="B79" s="7" t="s">
        <v>164</v>
      </c>
      <c r="D79" s="7" t="s">
        <v>18</v>
      </c>
      <c r="G79" s="7">
        <v>8.4</v>
      </c>
      <c r="I79" s="7">
        <v>7.3</v>
      </c>
      <c r="K79" s="7">
        <v>7.2</v>
      </c>
      <c r="M79" s="12">
        <f>AVERAGE(G79,I79,K79)</f>
        <v>7.633333333333333</v>
      </c>
    </row>
    <row r="80" spans="2:12" ht="12.75">
      <c r="B80" s="7" t="s">
        <v>165</v>
      </c>
      <c r="D80" s="7" t="s">
        <v>18</v>
      </c>
      <c r="G80" s="12"/>
      <c r="H80" s="12"/>
      <c r="I80" s="12"/>
      <c r="J80" s="12"/>
      <c r="K80" s="12"/>
      <c r="L80" s="12"/>
    </row>
    <row r="81" spans="2:13" ht="12.75">
      <c r="B81" s="7" t="s">
        <v>38</v>
      </c>
      <c r="D81" s="7" t="s">
        <v>19</v>
      </c>
      <c r="G81" s="7">
        <v>385</v>
      </c>
      <c r="I81" s="7">
        <v>393</v>
      </c>
      <c r="K81" s="7">
        <v>392</v>
      </c>
      <c r="M81" s="7">
        <f>AVERAGE(G81,I81,K81)</f>
        <v>390</v>
      </c>
    </row>
    <row r="83" spans="2:4" ht="12.75">
      <c r="B83" s="7" t="s">
        <v>173</v>
      </c>
      <c r="C83" s="7" t="s">
        <v>159</v>
      </c>
      <c r="D83" s="7" t="s">
        <v>213</v>
      </c>
    </row>
    <row r="84" spans="2:13" ht="12.75">
      <c r="B84" s="7" t="s">
        <v>37</v>
      </c>
      <c r="D84" s="7" t="s">
        <v>17</v>
      </c>
      <c r="G84" s="7">
        <v>5226</v>
      </c>
      <c r="I84" s="7">
        <v>5603</v>
      </c>
      <c r="K84" s="7">
        <v>5358</v>
      </c>
      <c r="M84" s="12">
        <f>AVERAGE(G84,I84,K84)</f>
        <v>5395.666666666667</v>
      </c>
    </row>
    <row r="85" spans="2:4" ht="12.75">
      <c r="B85" s="7" t="s">
        <v>164</v>
      </c>
      <c r="D85" s="7" t="s">
        <v>18</v>
      </c>
    </row>
    <row r="86" spans="2:4" ht="12.75">
      <c r="B86" s="7" t="s">
        <v>165</v>
      </c>
      <c r="D86" s="7" t="s">
        <v>18</v>
      </c>
    </row>
    <row r="87" spans="2:4" ht="12.75">
      <c r="B87" s="7" t="s">
        <v>38</v>
      </c>
      <c r="D87" s="7" t="s">
        <v>19</v>
      </c>
    </row>
    <row r="90" spans="1:13" ht="12.75">
      <c r="A90" s="7">
        <v>5</v>
      </c>
      <c r="B90" s="6" t="s">
        <v>90</v>
      </c>
      <c r="C90" s="6"/>
      <c r="G90" s="8" t="s">
        <v>209</v>
      </c>
      <c r="H90" s="8"/>
      <c r="I90" s="8" t="s">
        <v>210</v>
      </c>
      <c r="J90" s="8"/>
      <c r="K90" s="8" t="s">
        <v>211</v>
      </c>
      <c r="L90" s="8"/>
      <c r="M90" s="8" t="s">
        <v>35</v>
      </c>
    </row>
    <row r="92" spans="2:13" ht="12.75">
      <c r="B92" s="7" t="s">
        <v>171</v>
      </c>
      <c r="C92" s="7" t="s">
        <v>212</v>
      </c>
      <c r="D92" s="7" t="s">
        <v>13</v>
      </c>
      <c r="E92" s="7" t="s">
        <v>36</v>
      </c>
      <c r="G92" s="7">
        <v>0.264</v>
      </c>
      <c r="I92" s="7">
        <v>0</v>
      </c>
      <c r="K92" s="7">
        <v>0.001</v>
      </c>
      <c r="M92" s="11">
        <f>AVERAGE(G92,I92,K92)</f>
        <v>0.08833333333333333</v>
      </c>
    </row>
    <row r="93" spans="7:13" ht="12.75">
      <c r="G93" s="10"/>
      <c r="H93" s="10"/>
      <c r="I93" s="10"/>
      <c r="J93" s="10"/>
      <c r="K93" s="10"/>
      <c r="L93" s="10"/>
      <c r="M93" s="15"/>
    </row>
    <row r="94" spans="2:3" ht="12.75">
      <c r="B94" s="7" t="s">
        <v>166</v>
      </c>
      <c r="C94" s="7" t="s">
        <v>161</v>
      </c>
    </row>
    <row r="95" spans="2:13" ht="12.75">
      <c r="B95" s="7" t="s">
        <v>167</v>
      </c>
      <c r="D95" s="7" t="s">
        <v>48</v>
      </c>
      <c r="G95" s="16">
        <f>1.0952172*3600</f>
        <v>3942.78192</v>
      </c>
      <c r="H95" s="16"/>
      <c r="I95" s="16">
        <f>0.985824*3600</f>
        <v>3548.9664000000002</v>
      </c>
      <c r="J95" s="16"/>
      <c r="K95" s="16">
        <f>1.0848222*3600</f>
        <v>3905.3599200000003</v>
      </c>
      <c r="L95" s="16"/>
      <c r="M95" s="16"/>
    </row>
    <row r="96" spans="2:13" ht="12.75">
      <c r="B96" s="7" t="s">
        <v>168</v>
      </c>
      <c r="C96" s="7" t="s">
        <v>212</v>
      </c>
      <c r="D96" s="7" t="s">
        <v>41</v>
      </c>
      <c r="M96" s="11"/>
    </row>
    <row r="97" spans="2:13" ht="12.75">
      <c r="B97" s="7" t="s">
        <v>9</v>
      </c>
      <c r="C97" s="7" t="s">
        <v>212</v>
      </c>
      <c r="D97" s="7" t="s">
        <v>18</v>
      </c>
      <c r="G97" s="15">
        <v>99.147</v>
      </c>
      <c r="H97" s="15"/>
      <c r="I97" s="15">
        <v>99.337</v>
      </c>
      <c r="J97" s="15"/>
      <c r="K97" s="15">
        <v>99.465</v>
      </c>
      <c r="L97" s="15"/>
      <c r="M97" s="15"/>
    </row>
    <row r="99" spans="2:3" ht="12.75">
      <c r="B99" s="7" t="s">
        <v>166</v>
      </c>
      <c r="C99" s="7" t="s">
        <v>162</v>
      </c>
    </row>
    <row r="100" spans="2:13" ht="12.75">
      <c r="B100" s="7" t="s">
        <v>167</v>
      </c>
      <c r="D100" s="7" t="s">
        <v>48</v>
      </c>
      <c r="G100" s="16">
        <f>8.0647812*3600</f>
        <v>29033.212320000002</v>
      </c>
      <c r="H100" s="16"/>
      <c r="I100" s="16">
        <f>7.5908448*3600</f>
        <v>27327.04128</v>
      </c>
      <c r="J100" s="16"/>
      <c r="K100" s="16">
        <f>7.9882362*3600</f>
        <v>28757.65032</v>
      </c>
      <c r="L100" s="16"/>
      <c r="M100" s="16"/>
    </row>
    <row r="101" spans="2:13" ht="12.75">
      <c r="B101" s="7" t="s">
        <v>168</v>
      </c>
      <c r="C101" s="7" t="s">
        <v>212</v>
      </c>
      <c r="D101" s="7" t="s">
        <v>41</v>
      </c>
      <c r="M101" s="12"/>
    </row>
    <row r="102" spans="2:13" ht="12.75">
      <c r="B102" s="7" t="s">
        <v>9</v>
      </c>
      <c r="C102" s="7" t="s">
        <v>212</v>
      </c>
      <c r="D102" s="7" t="s">
        <v>18</v>
      </c>
      <c r="G102" s="15">
        <v>99.9874</v>
      </c>
      <c r="H102" s="15"/>
      <c r="I102" s="15">
        <v>99.9938</v>
      </c>
      <c r="J102" s="15"/>
      <c r="K102" s="15">
        <v>99.9946</v>
      </c>
      <c r="L102" s="15"/>
      <c r="M102" s="15"/>
    </row>
    <row r="103" spans="7:13" ht="12.75">
      <c r="G103" s="15"/>
      <c r="H103" s="15"/>
      <c r="I103" s="15"/>
      <c r="J103" s="15"/>
      <c r="K103" s="15"/>
      <c r="L103" s="15"/>
      <c r="M103" s="15"/>
    </row>
    <row r="104" spans="2:13" ht="12.75">
      <c r="B104" s="7" t="s">
        <v>173</v>
      </c>
      <c r="C104" s="7" t="s">
        <v>9</v>
      </c>
      <c r="D104" s="7" t="s">
        <v>212</v>
      </c>
      <c r="G104" s="10"/>
      <c r="H104" s="10"/>
      <c r="I104" s="10"/>
      <c r="J104" s="10"/>
      <c r="K104" s="10"/>
      <c r="L104" s="10"/>
      <c r="M104" s="15"/>
    </row>
    <row r="105" spans="2:13" ht="12.75">
      <c r="B105" s="7" t="s">
        <v>37</v>
      </c>
      <c r="D105" s="7" t="s">
        <v>17</v>
      </c>
      <c r="G105" s="7">
        <v>6166</v>
      </c>
      <c r="I105" s="7">
        <v>6321</v>
      </c>
      <c r="K105" s="7">
        <v>6304</v>
      </c>
      <c r="M105" s="12">
        <f>AVERAGE(G105,I105,K105)</f>
        <v>6263.666666666667</v>
      </c>
    </row>
    <row r="106" spans="2:13" ht="12.75">
      <c r="B106" s="7" t="s">
        <v>164</v>
      </c>
      <c r="D106" s="7" t="s">
        <v>18</v>
      </c>
      <c r="G106" s="7">
        <v>5.7</v>
      </c>
      <c r="I106" s="7">
        <v>8.2</v>
      </c>
      <c r="K106" s="7">
        <v>6</v>
      </c>
      <c r="M106" s="12">
        <f>AVERAGE(G106,I106,K106)</f>
        <v>6.633333333333333</v>
      </c>
    </row>
    <row r="107" spans="2:12" ht="12.75">
      <c r="B107" s="7" t="s">
        <v>165</v>
      </c>
      <c r="D107" s="7" t="s">
        <v>18</v>
      </c>
      <c r="G107" s="12"/>
      <c r="H107" s="12"/>
      <c r="I107" s="12"/>
      <c r="J107" s="12"/>
      <c r="K107" s="12"/>
      <c r="L107" s="12"/>
    </row>
    <row r="108" spans="2:13" ht="12.75">
      <c r="B108" s="7" t="s">
        <v>38</v>
      </c>
      <c r="D108" s="7" t="s">
        <v>19</v>
      </c>
      <c r="G108" s="7">
        <v>420</v>
      </c>
      <c r="I108" s="7">
        <v>426</v>
      </c>
      <c r="K108" s="7">
        <v>430</v>
      </c>
      <c r="M108" s="12">
        <f>AVERAGE(G108,I108,K108)</f>
        <v>425.3333333333333</v>
      </c>
    </row>
    <row r="109" ht="12.75">
      <c r="M109" s="11"/>
    </row>
    <row r="110" spans="11:13" ht="12.75">
      <c r="K110" s="7" t="s">
        <v>55</v>
      </c>
      <c r="M110" s="11"/>
    </row>
    <row r="111" spans="1:13" ht="12.75">
      <c r="A111" s="7">
        <v>6</v>
      </c>
      <c r="B111" s="6" t="s">
        <v>187</v>
      </c>
      <c r="C111" s="7" t="s">
        <v>184</v>
      </c>
      <c r="G111" s="8" t="s">
        <v>209</v>
      </c>
      <c r="H111" s="8"/>
      <c r="I111" s="8" t="s">
        <v>210</v>
      </c>
      <c r="J111" s="8"/>
      <c r="K111" s="8" t="s">
        <v>211</v>
      </c>
      <c r="L111" s="8"/>
      <c r="M111" s="8" t="s">
        <v>35</v>
      </c>
    </row>
    <row r="113" spans="2:13" ht="12.75">
      <c r="B113" s="7" t="s">
        <v>170</v>
      </c>
      <c r="C113" s="7" t="s">
        <v>212</v>
      </c>
      <c r="D113" s="7" t="s">
        <v>13</v>
      </c>
      <c r="E113" s="7" t="s">
        <v>36</v>
      </c>
      <c r="G113" s="7">
        <v>22.86</v>
      </c>
      <c r="K113" s="7">
        <v>13.22</v>
      </c>
      <c r="M113" s="12">
        <f>AVERAGE(G113,K113,I113)</f>
        <v>18.04</v>
      </c>
    </row>
    <row r="114" spans="2:13" ht="12.75">
      <c r="B114" s="7" t="s">
        <v>171</v>
      </c>
      <c r="C114" s="7" t="s">
        <v>212</v>
      </c>
      <c r="D114" s="7" t="s">
        <v>13</v>
      </c>
      <c r="E114" s="7" t="s">
        <v>36</v>
      </c>
      <c r="G114" s="7">
        <v>28.78</v>
      </c>
      <c r="K114" s="7">
        <v>20.84</v>
      </c>
      <c r="M114" s="12">
        <f>AVERAGE(G114,K114,I114)</f>
        <v>24.810000000000002</v>
      </c>
    </row>
    <row r="116" spans="2:13" ht="12.75">
      <c r="B116" s="7" t="s">
        <v>208</v>
      </c>
      <c r="D116" s="7" t="s">
        <v>98</v>
      </c>
      <c r="E116" s="7" t="s">
        <v>186</v>
      </c>
      <c r="G116" s="7">
        <v>80.324</v>
      </c>
      <c r="K116" s="7">
        <v>124.735</v>
      </c>
      <c r="M116" s="7">
        <v>87.61</v>
      </c>
    </row>
    <row r="118" spans="2:4" ht="12.75">
      <c r="B118" s="7" t="s">
        <v>173</v>
      </c>
      <c r="C118" s="7" t="s">
        <v>185</v>
      </c>
      <c r="D118" s="7" t="s">
        <v>212</v>
      </c>
    </row>
    <row r="119" spans="2:13" ht="12.75">
      <c r="B119" s="7" t="s">
        <v>37</v>
      </c>
      <c r="D119" s="7" t="s">
        <v>17</v>
      </c>
      <c r="G119" s="7">
        <v>15621</v>
      </c>
      <c r="I119" s="7">
        <v>15521</v>
      </c>
      <c r="M119" s="12">
        <f>AVERAGE(G119,I119,K119)</f>
        <v>15571</v>
      </c>
    </row>
    <row r="120" spans="2:13" ht="12.75">
      <c r="B120" s="7" t="s">
        <v>164</v>
      </c>
      <c r="D120" s="7" t="s">
        <v>18</v>
      </c>
      <c r="G120" s="7">
        <v>2.1</v>
      </c>
      <c r="I120" s="7">
        <v>2.8</v>
      </c>
      <c r="M120" s="12">
        <f>AVERAGE(G120,I120,K120)</f>
        <v>2.45</v>
      </c>
    </row>
    <row r="121" spans="2:13" ht="12.75">
      <c r="B121" s="7" t="s">
        <v>165</v>
      </c>
      <c r="D121" s="7" t="s">
        <v>18</v>
      </c>
      <c r="G121" s="7">
        <v>10.58</v>
      </c>
      <c r="I121" s="7">
        <v>9.8</v>
      </c>
      <c r="M121" s="12">
        <f>AVERAGE(G121,I121,K121)</f>
        <v>10.190000000000001</v>
      </c>
    </row>
    <row r="122" spans="2:13" ht="12.75">
      <c r="B122" s="7" t="s">
        <v>38</v>
      </c>
      <c r="D122" s="7" t="s">
        <v>19</v>
      </c>
      <c r="G122" s="7">
        <v>603</v>
      </c>
      <c r="I122" s="7">
        <v>624</v>
      </c>
      <c r="M122" s="12">
        <f>AVERAGE(G122,I122,K122)</f>
        <v>613.5</v>
      </c>
    </row>
    <row r="124" spans="2:13" ht="12.75">
      <c r="B124" s="7" t="s">
        <v>208</v>
      </c>
      <c r="C124" s="7" t="s">
        <v>212</v>
      </c>
      <c r="D124" s="7" t="s">
        <v>98</v>
      </c>
      <c r="E124" s="7" t="s">
        <v>36</v>
      </c>
      <c r="G124" s="11">
        <f>G116*(21-7)/(21-G120)</f>
        <v>59.49925925925927</v>
      </c>
      <c r="K124" s="11">
        <f>K116*(21-7)/(21-K120)</f>
        <v>83.15666666666667</v>
      </c>
      <c r="M124" s="11">
        <f>M116*(21-7)/(21-M120)</f>
        <v>66.12075471698112</v>
      </c>
    </row>
    <row r="127" spans="1:13" ht="12.75">
      <c r="A127" s="7">
        <v>7</v>
      </c>
      <c r="B127" s="6" t="s">
        <v>190</v>
      </c>
      <c r="C127" s="7" t="s">
        <v>191</v>
      </c>
      <c r="G127" s="8" t="s">
        <v>209</v>
      </c>
      <c r="H127" s="8"/>
      <c r="I127" s="8" t="s">
        <v>210</v>
      </c>
      <c r="J127" s="8"/>
      <c r="K127" s="8" t="s">
        <v>211</v>
      </c>
      <c r="L127" s="8"/>
      <c r="M127" s="8" t="s">
        <v>35</v>
      </c>
    </row>
    <row r="128" ht="12.75">
      <c r="B128" s="6"/>
    </row>
    <row r="129" spans="2:13" ht="12.75">
      <c r="B129" s="7" t="s">
        <v>170</v>
      </c>
      <c r="C129" s="7" t="s">
        <v>212</v>
      </c>
      <c r="D129" s="7" t="s">
        <v>13</v>
      </c>
      <c r="E129" s="7" t="s">
        <v>36</v>
      </c>
      <c r="G129" s="7">
        <v>0</v>
      </c>
      <c r="I129" s="7">
        <v>0</v>
      </c>
      <c r="K129" s="7">
        <v>0</v>
      </c>
      <c r="M129" s="7">
        <v>0</v>
      </c>
    </row>
    <row r="130" spans="2:11" ht="12.75">
      <c r="B130" s="7" t="s">
        <v>161</v>
      </c>
      <c r="D130" s="7" t="s">
        <v>193</v>
      </c>
      <c r="G130" s="56">
        <v>0.0148</v>
      </c>
      <c r="I130" s="56">
        <v>0.00845</v>
      </c>
      <c r="K130" s="56">
        <v>0.00974</v>
      </c>
    </row>
    <row r="131" spans="2:11" ht="12.75">
      <c r="B131" s="7" t="s">
        <v>162</v>
      </c>
      <c r="D131" s="7" t="s">
        <v>193</v>
      </c>
      <c r="F131" s="7" t="s">
        <v>39</v>
      </c>
      <c r="G131" s="56">
        <v>0.00103</v>
      </c>
      <c r="H131" s="7" t="s">
        <v>39</v>
      </c>
      <c r="I131" s="56">
        <v>0.000567</v>
      </c>
      <c r="J131" s="7" t="s">
        <v>39</v>
      </c>
      <c r="K131" s="56">
        <v>0.000666</v>
      </c>
    </row>
    <row r="133" spans="2:3" ht="12.75">
      <c r="B133" s="7" t="s">
        <v>166</v>
      </c>
      <c r="C133" s="7" t="s">
        <v>192</v>
      </c>
    </row>
    <row r="134" spans="2:11" ht="12.75">
      <c r="B134" s="7" t="s">
        <v>167</v>
      </c>
      <c r="D134" s="7" t="s">
        <v>48</v>
      </c>
      <c r="G134" s="7">
        <v>20412</v>
      </c>
      <c r="I134" s="7">
        <v>20399</v>
      </c>
      <c r="K134" s="7">
        <v>20399</v>
      </c>
    </row>
    <row r="135" spans="2:11" ht="12.75">
      <c r="B135" s="7" t="s">
        <v>168</v>
      </c>
      <c r="C135" s="7" t="s">
        <v>212</v>
      </c>
      <c r="D135" s="7" t="s">
        <v>193</v>
      </c>
      <c r="F135" s="7" t="s">
        <v>39</v>
      </c>
      <c r="G135" s="56">
        <v>5.06E-05</v>
      </c>
      <c r="H135" s="7" t="s">
        <v>39</v>
      </c>
      <c r="I135" s="56">
        <v>5.12E-05</v>
      </c>
      <c r="J135" s="7" t="s">
        <v>39</v>
      </c>
      <c r="K135" s="56">
        <v>5E-05</v>
      </c>
    </row>
    <row r="136" spans="2:11" ht="12.75">
      <c r="B136" s="7" t="s">
        <v>9</v>
      </c>
      <c r="C136" s="7" t="s">
        <v>212</v>
      </c>
      <c r="D136" s="7" t="s">
        <v>18</v>
      </c>
      <c r="F136" s="7" t="s">
        <v>194</v>
      </c>
      <c r="G136" s="7">
        <v>99.99911</v>
      </c>
      <c r="H136" s="7" t="s">
        <v>194</v>
      </c>
      <c r="I136" s="7">
        <v>99.9991</v>
      </c>
      <c r="J136" s="7" t="s">
        <v>194</v>
      </c>
      <c r="K136" s="7">
        <v>99.99912</v>
      </c>
    </row>
    <row r="138" spans="2:4" ht="12.75">
      <c r="B138" s="7" t="s">
        <v>173</v>
      </c>
      <c r="C138" s="7" t="s">
        <v>9</v>
      </c>
      <c r="D138" s="7" t="s">
        <v>212</v>
      </c>
    </row>
    <row r="139" spans="2:13" ht="12.75">
      <c r="B139" s="7" t="s">
        <v>37</v>
      </c>
      <c r="D139" s="7" t="s">
        <v>17</v>
      </c>
      <c r="G139" s="7">
        <v>12218</v>
      </c>
      <c r="I139" s="7">
        <v>11747</v>
      </c>
      <c r="K139" s="7">
        <v>11972</v>
      </c>
      <c r="M139" s="12">
        <f>AVERAGE(G139,I139,K139)</f>
        <v>11979</v>
      </c>
    </row>
    <row r="140" spans="2:13" ht="12.75">
      <c r="B140" s="7" t="s">
        <v>164</v>
      </c>
      <c r="D140" s="7" t="s">
        <v>18</v>
      </c>
      <c r="G140" s="7">
        <v>6.8</v>
      </c>
      <c r="I140" s="7">
        <v>6.9</v>
      </c>
      <c r="K140" s="7">
        <v>6.8</v>
      </c>
      <c r="M140" s="12">
        <f>AVERAGE(G140,I140,K140)</f>
        <v>6.833333333333333</v>
      </c>
    </row>
    <row r="141" spans="2:13" ht="12.75">
      <c r="B141" s="7" t="s">
        <v>165</v>
      </c>
      <c r="D141" s="7" t="s">
        <v>18</v>
      </c>
      <c r="G141" s="7">
        <v>12.37</v>
      </c>
      <c r="I141" s="7">
        <v>11.37</v>
      </c>
      <c r="K141" s="7">
        <v>12.48</v>
      </c>
      <c r="M141" s="12">
        <f>AVERAGE(G141,I141,K141)</f>
        <v>12.073333333333332</v>
      </c>
    </row>
    <row r="142" spans="2:13" ht="12.75">
      <c r="B142" s="7" t="s">
        <v>38</v>
      </c>
      <c r="D142" s="7" t="s">
        <v>19</v>
      </c>
      <c r="G142" s="7">
        <v>501</v>
      </c>
      <c r="I142" s="7">
        <v>513</v>
      </c>
      <c r="K142" s="7">
        <v>529</v>
      </c>
      <c r="M142" s="12">
        <f>AVERAGE(G142,I142,K142)</f>
        <v>514.3333333333334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249"/>
  <sheetViews>
    <sheetView zoomScale="75" zoomScaleNormal="75" workbookViewId="0" topLeftCell="AJ1">
      <selection activeCell="A2" sqref="A2"/>
    </sheetView>
  </sheetViews>
  <sheetFormatPr defaultColWidth="9.140625" defaultRowHeight="12.75"/>
  <cols>
    <col min="1" max="1" width="9.140625" style="7" hidden="1" customWidth="1"/>
    <col min="2" max="2" width="25.57421875" style="7" customWidth="1"/>
    <col min="3" max="3" width="10.8515625" style="7" customWidth="1"/>
    <col min="4" max="4" width="9.28125" style="7" customWidth="1"/>
    <col min="5" max="5" width="5.00390625" style="8" customWidth="1"/>
    <col min="6" max="6" width="10.8515625" style="8" customWidth="1"/>
    <col min="7" max="7" width="4.140625" style="8" customWidth="1"/>
    <col min="8" max="8" width="9.57421875" style="8" customWidth="1"/>
    <col min="9" max="9" width="4.140625" style="8" customWidth="1"/>
    <col min="10" max="10" width="8.57421875" style="8" customWidth="1"/>
    <col min="11" max="11" width="4.140625" style="8" customWidth="1"/>
    <col min="12" max="12" width="11.421875" style="7" customWidth="1"/>
    <col min="13" max="13" width="4.7109375" style="8" customWidth="1"/>
    <col min="14" max="14" width="8.8515625" style="8" customWidth="1"/>
    <col min="15" max="15" width="4.28125" style="8" customWidth="1"/>
    <col min="16" max="16" width="12.421875" style="8" customWidth="1"/>
    <col min="17" max="17" width="4.140625" style="8" customWidth="1"/>
    <col min="18" max="18" width="9.57421875" style="8" customWidth="1"/>
    <col min="19" max="19" width="6.140625" style="8" customWidth="1"/>
    <col min="20" max="20" width="10.421875" style="7" customWidth="1"/>
    <col min="21" max="21" width="4.00390625" style="8" customWidth="1"/>
    <col min="22" max="22" width="9.7109375" style="8" customWidth="1"/>
    <col min="23" max="23" width="4.00390625" style="8" customWidth="1"/>
    <col min="24" max="24" width="9.28125" style="8" customWidth="1"/>
    <col min="25" max="25" width="4.421875" style="8" customWidth="1"/>
    <col min="26" max="26" width="10.140625" style="8" customWidth="1"/>
    <col min="27" max="27" width="4.00390625" style="8" customWidth="1"/>
    <col min="28" max="28" width="12.28125" style="7" customWidth="1"/>
    <col min="29" max="29" width="4.00390625" style="7" customWidth="1"/>
    <col min="30" max="30" width="10.140625" style="7" customWidth="1"/>
    <col min="31" max="31" width="4.57421875" style="7" customWidth="1"/>
    <col min="32" max="32" width="12.8515625" style="7" customWidth="1"/>
    <col min="33" max="33" width="4.421875" style="7" customWidth="1"/>
    <col min="34" max="34" width="12.00390625" style="7" customWidth="1"/>
    <col min="35" max="35" width="4.00390625" style="7" customWidth="1"/>
    <col min="36" max="36" width="13.28125" style="30" customWidth="1"/>
    <col min="37" max="37" width="12.57421875" style="7" customWidth="1"/>
    <col min="38" max="38" width="9.7109375" style="7" customWidth="1"/>
    <col min="39" max="39" width="15.8515625" style="7" customWidth="1"/>
    <col min="40" max="40" width="12.7109375" style="7" customWidth="1"/>
    <col min="41" max="41" width="13.8515625" style="7" customWidth="1"/>
    <col min="42" max="42" width="12.57421875" style="7" customWidth="1"/>
    <col min="43" max="43" width="13.00390625" style="7" customWidth="1"/>
    <col min="44" max="44" width="12.57421875" style="7" customWidth="1"/>
    <col min="45" max="45" width="8.00390625" style="7" customWidth="1"/>
    <col min="46" max="46" width="9.28125" style="7" customWidth="1"/>
    <col min="47" max="47" width="12.8515625" style="0" customWidth="1"/>
    <col min="48" max="57" width="11.421875" style="0" customWidth="1"/>
    <col min="58" max="16384" width="11.421875" style="7" customWidth="1"/>
  </cols>
  <sheetData>
    <row r="1" spans="2:3" ht="12.75">
      <c r="B1" s="6" t="s">
        <v>80</v>
      </c>
      <c r="C1" s="6"/>
    </row>
    <row r="2" ht="12.75" customHeight="1"/>
    <row r="4" spans="1:36" ht="12.75">
      <c r="A4" s="7" t="s">
        <v>175</v>
      </c>
      <c r="B4" s="6" t="s">
        <v>57</v>
      </c>
      <c r="C4" s="6"/>
      <c r="F4" s="8" t="s">
        <v>209</v>
      </c>
      <c r="G4" s="29"/>
      <c r="H4" s="8" t="s">
        <v>210</v>
      </c>
      <c r="I4" s="29"/>
      <c r="J4" s="8" t="s">
        <v>211</v>
      </c>
      <c r="L4" s="7" t="s">
        <v>35</v>
      </c>
      <c r="N4" s="8" t="s">
        <v>209</v>
      </c>
      <c r="O4" s="29"/>
      <c r="P4" s="8" t="s">
        <v>210</v>
      </c>
      <c r="Q4" s="29"/>
      <c r="R4" s="8" t="s">
        <v>211</v>
      </c>
      <c r="T4" s="7" t="s">
        <v>35</v>
      </c>
      <c r="V4" s="8" t="s">
        <v>209</v>
      </c>
      <c r="W4" s="29"/>
      <c r="X4" s="8" t="s">
        <v>210</v>
      </c>
      <c r="Y4" s="29"/>
      <c r="Z4" s="8" t="s">
        <v>211</v>
      </c>
      <c r="AB4" s="7" t="s">
        <v>35</v>
      </c>
      <c r="AD4" s="8" t="s">
        <v>209</v>
      </c>
      <c r="AE4" s="29"/>
      <c r="AF4" s="8" t="s">
        <v>210</v>
      </c>
      <c r="AG4" s="29"/>
      <c r="AH4" s="8" t="s">
        <v>211</v>
      </c>
      <c r="AI4" s="8"/>
      <c r="AJ4" s="7" t="s">
        <v>35</v>
      </c>
    </row>
    <row r="5" spans="13:57" s="29" customFormat="1" ht="12.75"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30"/>
      <c r="AU5"/>
      <c r="AV5"/>
      <c r="AW5"/>
      <c r="AX5"/>
      <c r="AY5"/>
      <c r="AZ5"/>
      <c r="BA5"/>
      <c r="BB5"/>
      <c r="BC5"/>
      <c r="BD5"/>
      <c r="BE5"/>
    </row>
    <row r="6" spans="2:57" s="29" customFormat="1" ht="12.75">
      <c r="B6" s="29" t="s">
        <v>219</v>
      </c>
      <c r="F6" s="8" t="s">
        <v>221</v>
      </c>
      <c r="H6" s="8" t="s">
        <v>221</v>
      </c>
      <c r="J6" s="8" t="s">
        <v>221</v>
      </c>
      <c r="L6" s="8" t="s">
        <v>221</v>
      </c>
      <c r="M6" s="8"/>
      <c r="N6" s="8" t="s">
        <v>224</v>
      </c>
      <c r="O6" s="8"/>
      <c r="P6" s="8" t="s">
        <v>224</v>
      </c>
      <c r="Q6" s="8"/>
      <c r="R6" s="8" t="s">
        <v>224</v>
      </c>
      <c r="S6" s="8"/>
      <c r="T6" s="8" t="s">
        <v>224</v>
      </c>
      <c r="U6" s="8"/>
      <c r="V6" s="8" t="s">
        <v>225</v>
      </c>
      <c r="W6" s="8"/>
      <c r="X6" s="8" t="s">
        <v>225</v>
      </c>
      <c r="Y6" s="8"/>
      <c r="Z6" s="8" t="s">
        <v>225</v>
      </c>
      <c r="AA6" s="8"/>
      <c r="AB6" s="8" t="s">
        <v>225</v>
      </c>
      <c r="AC6" s="8"/>
      <c r="AD6" s="8" t="s">
        <v>226</v>
      </c>
      <c r="AE6" s="8"/>
      <c r="AF6" s="8" t="s">
        <v>226</v>
      </c>
      <c r="AG6" s="8"/>
      <c r="AH6" s="8" t="s">
        <v>226</v>
      </c>
      <c r="AI6" s="8"/>
      <c r="AJ6" s="8" t="s">
        <v>226</v>
      </c>
      <c r="AU6"/>
      <c r="AV6"/>
      <c r="AW6"/>
      <c r="AX6"/>
      <c r="AY6"/>
      <c r="AZ6"/>
      <c r="BA6"/>
      <c r="BB6"/>
      <c r="BC6"/>
      <c r="BD6"/>
      <c r="BE6"/>
    </row>
    <row r="7" spans="2:57" s="29" customFormat="1" ht="12.75">
      <c r="B7" s="29" t="s">
        <v>220</v>
      </c>
      <c r="F7" s="8" t="s">
        <v>222</v>
      </c>
      <c r="H7" s="8" t="s">
        <v>222</v>
      </c>
      <c r="J7" s="8" t="s">
        <v>222</v>
      </c>
      <c r="L7" s="8" t="s">
        <v>222</v>
      </c>
      <c r="M7" s="8"/>
      <c r="N7" s="8" t="s">
        <v>223</v>
      </c>
      <c r="O7" s="8"/>
      <c r="P7" s="8" t="s">
        <v>223</v>
      </c>
      <c r="Q7" s="8"/>
      <c r="R7" s="8" t="s">
        <v>223</v>
      </c>
      <c r="S7" s="8"/>
      <c r="T7" s="8" t="s">
        <v>223</v>
      </c>
      <c r="U7" s="8"/>
      <c r="V7" s="65" t="s">
        <v>15</v>
      </c>
      <c r="W7" s="8"/>
      <c r="X7" s="65" t="s">
        <v>15</v>
      </c>
      <c r="Y7" s="8"/>
      <c r="Z7" s="65" t="s">
        <v>15</v>
      </c>
      <c r="AA7" s="8"/>
      <c r="AB7" s="65" t="s">
        <v>15</v>
      </c>
      <c r="AC7" s="8"/>
      <c r="AD7" s="8" t="s">
        <v>91</v>
      </c>
      <c r="AE7" s="8"/>
      <c r="AF7" s="8" t="s">
        <v>91</v>
      </c>
      <c r="AG7" s="8"/>
      <c r="AH7" s="8" t="s">
        <v>91</v>
      </c>
      <c r="AI7" s="8"/>
      <c r="AJ7" s="8" t="s">
        <v>91</v>
      </c>
      <c r="AU7"/>
      <c r="AV7"/>
      <c r="AW7"/>
      <c r="AX7"/>
      <c r="AY7"/>
      <c r="AZ7"/>
      <c r="BA7"/>
      <c r="BB7"/>
      <c r="BC7"/>
      <c r="BD7"/>
      <c r="BE7"/>
    </row>
    <row r="8" spans="2:57" s="29" customFormat="1" ht="12.75">
      <c r="B8" s="29" t="s">
        <v>227</v>
      </c>
      <c r="F8" s="8" t="s">
        <v>1</v>
      </c>
      <c r="H8" s="8" t="s">
        <v>1</v>
      </c>
      <c r="J8" s="8" t="s">
        <v>1</v>
      </c>
      <c r="L8" s="8" t="s">
        <v>1</v>
      </c>
      <c r="M8" s="8"/>
      <c r="N8" s="8" t="s">
        <v>228</v>
      </c>
      <c r="O8" s="8"/>
      <c r="P8" s="8" t="s">
        <v>228</v>
      </c>
      <c r="Q8" s="8"/>
      <c r="R8" s="8" t="s">
        <v>228</v>
      </c>
      <c r="S8" s="8"/>
      <c r="T8" s="8" t="s">
        <v>228</v>
      </c>
      <c r="U8" s="8"/>
      <c r="V8" s="65" t="s">
        <v>15</v>
      </c>
      <c r="W8" s="8"/>
      <c r="X8" s="65" t="s">
        <v>15</v>
      </c>
      <c r="Y8" s="8"/>
      <c r="Z8" s="65" t="s">
        <v>15</v>
      </c>
      <c r="AA8" s="8"/>
      <c r="AB8" s="65" t="s">
        <v>15</v>
      </c>
      <c r="AC8" s="8"/>
      <c r="AD8" s="8" t="s">
        <v>91</v>
      </c>
      <c r="AE8" s="8"/>
      <c r="AF8" s="8" t="s">
        <v>91</v>
      </c>
      <c r="AG8" s="8"/>
      <c r="AH8" s="8" t="s">
        <v>91</v>
      </c>
      <c r="AI8" s="8"/>
      <c r="AJ8" s="8" t="s">
        <v>91</v>
      </c>
      <c r="AU8"/>
      <c r="AV8"/>
      <c r="AW8"/>
      <c r="AX8"/>
      <c r="AY8"/>
      <c r="AZ8"/>
      <c r="BA8"/>
      <c r="BB8"/>
      <c r="BC8"/>
      <c r="BD8"/>
      <c r="BE8"/>
    </row>
    <row r="9" spans="2:36" ht="12.75">
      <c r="B9" s="7" t="s">
        <v>177</v>
      </c>
      <c r="E9" s="7"/>
      <c r="F9" s="7" t="s">
        <v>60</v>
      </c>
      <c r="G9" s="7"/>
      <c r="H9" s="7" t="s">
        <v>60</v>
      </c>
      <c r="I9" s="7"/>
      <c r="J9" s="7" t="s">
        <v>60</v>
      </c>
      <c r="L9" s="30" t="s">
        <v>60</v>
      </c>
      <c r="M9" s="7"/>
      <c r="N9" s="7" t="s">
        <v>61</v>
      </c>
      <c r="O9" s="7"/>
      <c r="P9" s="7" t="s">
        <v>61</v>
      </c>
      <c r="Q9" s="7"/>
      <c r="R9" s="7" t="s">
        <v>61</v>
      </c>
      <c r="T9" s="30" t="s">
        <v>61</v>
      </c>
      <c r="U9" s="7"/>
      <c r="V9" s="7" t="s">
        <v>62</v>
      </c>
      <c r="W9" s="7"/>
      <c r="X9" s="7" t="s">
        <v>62</v>
      </c>
      <c r="Y9" s="7"/>
      <c r="Z9" s="7" t="s">
        <v>62</v>
      </c>
      <c r="AB9" s="7" t="s">
        <v>62</v>
      </c>
      <c r="AC9" s="30"/>
      <c r="AD9" s="30" t="s">
        <v>91</v>
      </c>
      <c r="AE9" s="30"/>
      <c r="AF9" s="30" t="s">
        <v>91</v>
      </c>
      <c r="AG9" s="30"/>
      <c r="AH9" s="30" t="s">
        <v>91</v>
      </c>
      <c r="AI9" s="30"/>
      <c r="AJ9" s="30" t="s">
        <v>91</v>
      </c>
    </row>
    <row r="10" spans="2:26" ht="12.75">
      <c r="B10" s="7" t="s">
        <v>82</v>
      </c>
      <c r="D10" s="7" t="s">
        <v>41</v>
      </c>
      <c r="E10" s="7"/>
      <c r="F10" s="7">
        <v>3741</v>
      </c>
      <c r="G10" s="7"/>
      <c r="H10" s="7">
        <v>3742</v>
      </c>
      <c r="I10" s="7"/>
      <c r="J10" s="7">
        <v>3747</v>
      </c>
      <c r="L10" s="16">
        <f aca="true" t="shared" si="0" ref="L10:L24">AVERAGE(F10,H10,J10)</f>
        <v>3743.3333333333335</v>
      </c>
      <c r="M10" s="7"/>
      <c r="N10" s="7" t="s">
        <v>63</v>
      </c>
      <c r="O10" s="7"/>
      <c r="P10" s="7"/>
      <c r="Q10" s="7"/>
      <c r="R10" s="7"/>
      <c r="T10" s="7">
        <v>1344</v>
      </c>
      <c r="U10" s="7"/>
      <c r="V10" s="7"/>
      <c r="W10" s="7"/>
      <c r="X10" s="7"/>
      <c r="Y10" s="7"/>
      <c r="Z10" s="7"/>
    </row>
    <row r="11" spans="2:26" ht="12.75">
      <c r="B11" s="7" t="s">
        <v>49</v>
      </c>
      <c r="D11" s="7" t="s">
        <v>56</v>
      </c>
      <c r="E11" s="7"/>
      <c r="F11" s="7">
        <v>0.962</v>
      </c>
      <c r="G11" s="7"/>
      <c r="H11" s="7">
        <v>0.963</v>
      </c>
      <c r="I11" s="7"/>
      <c r="J11" s="7">
        <v>0.963</v>
      </c>
      <c r="L11" s="15">
        <f t="shared" si="0"/>
        <v>0.9626666666666667</v>
      </c>
      <c r="M11" s="7"/>
      <c r="N11" s="7"/>
      <c r="O11" s="7"/>
      <c r="P11" s="7"/>
      <c r="Q11" s="7"/>
      <c r="R11" s="7"/>
      <c r="T11" s="16"/>
      <c r="U11" s="7"/>
      <c r="V11" s="7"/>
      <c r="W11" s="7"/>
      <c r="X11" s="7"/>
      <c r="Y11" s="7"/>
      <c r="Z11" s="7"/>
    </row>
    <row r="12" spans="2:26" ht="12.75">
      <c r="B12" s="7" t="s">
        <v>40</v>
      </c>
      <c r="D12" s="7" t="s">
        <v>44</v>
      </c>
      <c r="E12" s="7"/>
      <c r="F12" s="7">
        <v>14771</v>
      </c>
      <c r="G12" s="7"/>
      <c r="H12" s="7">
        <v>14788</v>
      </c>
      <c r="I12" s="7"/>
      <c r="J12" s="7">
        <v>14761</v>
      </c>
      <c r="L12" s="16">
        <f t="shared" si="0"/>
        <v>14773.333333333334</v>
      </c>
      <c r="M12" s="7"/>
      <c r="N12" s="7"/>
      <c r="O12" s="7"/>
      <c r="P12" s="7"/>
      <c r="Q12" s="7"/>
      <c r="R12" s="7"/>
      <c r="T12" s="16">
        <v>21214</v>
      </c>
      <c r="U12" s="7"/>
      <c r="V12" s="7"/>
      <c r="W12" s="7"/>
      <c r="X12" s="7"/>
      <c r="Y12" s="7"/>
      <c r="Z12" s="7"/>
    </row>
    <row r="13" spans="2:35" ht="12.75">
      <c r="B13" s="7" t="s">
        <v>10</v>
      </c>
      <c r="D13" s="7" t="s">
        <v>48</v>
      </c>
      <c r="E13" s="7"/>
      <c r="F13" s="7">
        <v>2002.4</v>
      </c>
      <c r="G13" s="7"/>
      <c r="H13" s="7">
        <v>2172.6</v>
      </c>
      <c r="I13" s="7"/>
      <c r="J13" s="7">
        <v>2481.5</v>
      </c>
      <c r="L13" s="16">
        <f t="shared" si="0"/>
        <v>2218.8333333333335</v>
      </c>
      <c r="M13" s="7"/>
      <c r="N13" s="7"/>
      <c r="O13" s="7"/>
      <c r="P13" s="7"/>
      <c r="Q13" s="7"/>
      <c r="R13" s="7"/>
      <c r="T13" s="16"/>
      <c r="U13" s="7"/>
      <c r="V13" s="7">
        <f>2085.3+10.6+4</f>
        <v>2099.9</v>
      </c>
      <c r="W13" s="7"/>
      <c r="X13" s="7">
        <f>1699+12.1+3.6</f>
        <v>1714.6999999999998</v>
      </c>
      <c r="Y13" s="7"/>
      <c r="Z13" s="7">
        <f>2085.3+13.3+3.6</f>
        <v>2102.2000000000003</v>
      </c>
      <c r="AB13" s="12">
        <f aca="true" t="shared" si="1" ref="AB13:AB19">AVERAGE(V13,X13,Z13)</f>
        <v>1972.2666666666667</v>
      </c>
      <c r="AC13" s="12"/>
      <c r="AD13" s="12"/>
      <c r="AE13" s="12"/>
      <c r="AF13" s="12"/>
      <c r="AG13" s="12"/>
      <c r="AH13" s="12"/>
      <c r="AI13" s="12"/>
    </row>
    <row r="14" spans="2:35" ht="12.75">
      <c r="B14" s="7" t="s">
        <v>42</v>
      </c>
      <c r="D14" s="7" t="s">
        <v>48</v>
      </c>
      <c r="E14" s="7"/>
      <c r="F14" s="7">
        <v>729.67</v>
      </c>
      <c r="G14" s="7"/>
      <c r="H14" s="7">
        <v>1120.26</v>
      </c>
      <c r="I14" s="7"/>
      <c r="J14" s="7">
        <v>679.86</v>
      </c>
      <c r="L14" s="16">
        <f t="shared" si="0"/>
        <v>843.2633333333333</v>
      </c>
      <c r="M14" s="7" t="s">
        <v>39</v>
      </c>
      <c r="N14" s="7">
        <v>0.61</v>
      </c>
      <c r="O14" s="7" t="s">
        <v>39</v>
      </c>
      <c r="P14" s="7">
        <v>0.61</v>
      </c>
      <c r="Q14" s="7" t="s">
        <v>39</v>
      </c>
      <c r="R14" s="7">
        <v>0.64</v>
      </c>
      <c r="T14" s="15">
        <f aca="true" t="shared" si="2" ref="T14:T24">AVERAGE(N14,P14,R14)</f>
        <v>0.62</v>
      </c>
      <c r="U14" s="7"/>
      <c r="V14" s="7">
        <f>5.35+14.61+5166.31</f>
        <v>5186.27</v>
      </c>
      <c r="W14" s="7"/>
      <c r="X14" s="7">
        <f>9+8.61+4540.59</f>
        <v>4558.2</v>
      </c>
      <c r="Y14" s="7"/>
      <c r="Z14" s="7">
        <f>6.7+7.13+4541.73</f>
        <v>4555.5599999999995</v>
      </c>
      <c r="AB14" s="12">
        <f t="shared" si="1"/>
        <v>4766.676666666667</v>
      </c>
      <c r="AC14" s="12"/>
      <c r="AD14" s="12"/>
      <c r="AE14" s="12"/>
      <c r="AF14" s="12"/>
      <c r="AG14" s="12"/>
      <c r="AH14" s="12"/>
      <c r="AI14" s="12"/>
    </row>
    <row r="15" spans="2:35" ht="12.75">
      <c r="B15" s="7" t="s">
        <v>135</v>
      </c>
      <c r="D15" s="7" t="s">
        <v>48</v>
      </c>
      <c r="E15" s="7" t="s">
        <v>39</v>
      </c>
      <c r="F15" s="7">
        <v>0.4073</v>
      </c>
      <c r="G15" s="7" t="s">
        <v>39</v>
      </c>
      <c r="H15" s="7">
        <v>0.4074</v>
      </c>
      <c r="I15" s="7" t="s">
        <v>39</v>
      </c>
      <c r="J15" s="7">
        <v>0.4249</v>
      </c>
      <c r="L15" s="15">
        <f t="shared" si="0"/>
        <v>0.4132</v>
      </c>
      <c r="M15" s="7" t="s">
        <v>39</v>
      </c>
      <c r="N15" s="7">
        <v>0.0029</v>
      </c>
      <c r="O15" s="7" t="s">
        <v>39</v>
      </c>
      <c r="P15" s="7">
        <v>0.0029</v>
      </c>
      <c r="Q15" s="7" t="s">
        <v>39</v>
      </c>
      <c r="R15" s="7">
        <v>0.0031</v>
      </c>
      <c r="T15" s="15">
        <f t="shared" si="2"/>
        <v>0.0029666666666666665</v>
      </c>
      <c r="U15" s="7" t="s">
        <v>39</v>
      </c>
      <c r="V15" s="7">
        <v>0.194</v>
      </c>
      <c r="W15" s="7" t="s">
        <v>39</v>
      </c>
      <c r="X15" s="7">
        <v>0.0178</v>
      </c>
      <c r="Y15" s="7" t="s">
        <v>39</v>
      </c>
      <c r="Z15" s="7">
        <v>0.0174</v>
      </c>
      <c r="AB15" s="15">
        <f t="shared" si="1"/>
        <v>0.07640000000000001</v>
      </c>
      <c r="AC15" s="15"/>
      <c r="AD15" s="15"/>
      <c r="AE15" s="15"/>
      <c r="AF15" s="15"/>
      <c r="AG15" s="15"/>
      <c r="AH15" s="15"/>
      <c r="AI15" s="15"/>
    </row>
    <row r="16" spans="2:35" ht="12.75">
      <c r="B16" s="7" t="s">
        <v>136</v>
      </c>
      <c r="D16" s="7" t="s">
        <v>48</v>
      </c>
      <c r="E16" s="7" t="s">
        <v>39</v>
      </c>
      <c r="F16" s="7">
        <v>0.1188</v>
      </c>
      <c r="G16" s="7" t="s">
        <v>39</v>
      </c>
      <c r="H16" s="7">
        <v>0.1188</v>
      </c>
      <c r="I16" s="7" t="s">
        <v>39</v>
      </c>
      <c r="J16" s="7">
        <v>0.136</v>
      </c>
      <c r="L16" s="15">
        <f t="shared" si="0"/>
        <v>0.12453333333333334</v>
      </c>
      <c r="M16" s="7"/>
      <c r="N16" s="7">
        <v>0.0019</v>
      </c>
      <c r="O16" s="7"/>
      <c r="P16" s="7">
        <v>0.0019</v>
      </c>
      <c r="Q16" s="7"/>
      <c r="R16" s="7">
        <v>0.002</v>
      </c>
      <c r="T16" s="15">
        <f t="shared" si="2"/>
        <v>0.0019333333333333331</v>
      </c>
      <c r="U16" s="7" t="s">
        <v>39</v>
      </c>
      <c r="V16" s="7">
        <v>0.0314</v>
      </c>
      <c r="W16" s="7" t="s">
        <v>39</v>
      </c>
      <c r="X16" s="7">
        <v>0.0279</v>
      </c>
      <c r="Y16" s="7" t="s">
        <v>39</v>
      </c>
      <c r="Z16" s="7">
        <v>0.0181</v>
      </c>
      <c r="AB16" s="15">
        <f t="shared" si="1"/>
        <v>0.0258</v>
      </c>
      <c r="AC16" s="15"/>
      <c r="AD16" s="15"/>
      <c r="AE16" s="15"/>
      <c r="AF16" s="15"/>
      <c r="AG16" s="15"/>
      <c r="AH16" s="15"/>
      <c r="AI16" s="15"/>
    </row>
    <row r="17" spans="2:35" ht="12.75">
      <c r="B17" s="7" t="s">
        <v>137</v>
      </c>
      <c r="D17" s="7" t="s">
        <v>48</v>
      </c>
      <c r="E17" s="7" t="s">
        <v>39</v>
      </c>
      <c r="F17" s="7">
        <v>0.1697</v>
      </c>
      <c r="G17" s="7" t="s">
        <v>39</v>
      </c>
      <c r="H17" s="7">
        <v>0.1697</v>
      </c>
      <c r="I17" s="7" t="s">
        <v>39</v>
      </c>
      <c r="J17" s="7">
        <v>0.17</v>
      </c>
      <c r="L17" s="15">
        <f t="shared" si="0"/>
        <v>0.16979999999999998</v>
      </c>
      <c r="M17" s="7" t="s">
        <v>39</v>
      </c>
      <c r="N17" s="7">
        <v>0.112</v>
      </c>
      <c r="O17" s="7" t="s">
        <v>39</v>
      </c>
      <c r="P17" s="7">
        <v>0.1122</v>
      </c>
      <c r="Q17" s="7" t="s">
        <v>39</v>
      </c>
      <c r="R17" s="7">
        <v>0.1176</v>
      </c>
      <c r="T17" s="15">
        <f t="shared" si="2"/>
        <v>0.11393333333333333</v>
      </c>
      <c r="U17" s="7" t="s">
        <v>39</v>
      </c>
      <c r="V17" s="7">
        <v>0.0113</v>
      </c>
      <c r="W17" s="7" t="s">
        <v>39</v>
      </c>
      <c r="X17" s="7">
        <v>0.0073</v>
      </c>
      <c r="Y17" s="7" t="s">
        <v>39</v>
      </c>
      <c r="Z17" s="7">
        <v>0.0074</v>
      </c>
      <c r="AB17" s="15">
        <f t="shared" si="1"/>
        <v>0.008666666666666666</v>
      </c>
      <c r="AC17" s="15"/>
      <c r="AD17" s="15"/>
      <c r="AE17" s="15"/>
      <c r="AF17" s="15"/>
      <c r="AG17" s="15"/>
      <c r="AH17" s="15"/>
      <c r="AI17" s="15"/>
    </row>
    <row r="18" spans="2:35" ht="12.75">
      <c r="B18" s="7" t="s">
        <v>138</v>
      </c>
      <c r="D18" s="7" t="s">
        <v>48</v>
      </c>
      <c r="E18" s="7" t="s">
        <v>39</v>
      </c>
      <c r="F18" s="7">
        <v>0.0339</v>
      </c>
      <c r="G18" s="7" t="s">
        <v>39</v>
      </c>
      <c r="H18" s="7">
        <v>0.0339</v>
      </c>
      <c r="I18" s="7" t="s">
        <v>39</v>
      </c>
      <c r="J18" s="14">
        <v>0.034</v>
      </c>
      <c r="L18" s="15">
        <f t="shared" si="0"/>
        <v>0.033933333333333336</v>
      </c>
      <c r="M18" s="7" t="s">
        <v>39</v>
      </c>
      <c r="N18" s="7">
        <v>0.0003</v>
      </c>
      <c r="O18" s="7" t="s">
        <v>39</v>
      </c>
      <c r="P18" s="7">
        <v>0.0003</v>
      </c>
      <c r="Q18" s="7" t="s">
        <v>39</v>
      </c>
      <c r="R18" s="14">
        <v>0.0003</v>
      </c>
      <c r="T18" s="15">
        <f t="shared" si="2"/>
        <v>0.0003</v>
      </c>
      <c r="U18" s="7" t="s">
        <v>39</v>
      </c>
      <c r="V18" s="7">
        <v>0.0016</v>
      </c>
      <c r="W18" s="7" t="s">
        <v>39</v>
      </c>
      <c r="X18" s="7">
        <v>0.0015</v>
      </c>
      <c r="Y18" s="7" t="s">
        <v>39</v>
      </c>
      <c r="Z18" s="14">
        <v>0.0015</v>
      </c>
      <c r="AB18" s="15">
        <f t="shared" si="1"/>
        <v>0.0015333333333333334</v>
      </c>
      <c r="AC18" s="15"/>
      <c r="AD18" s="15"/>
      <c r="AE18" s="15"/>
      <c r="AF18" s="15"/>
      <c r="AG18" s="15"/>
      <c r="AH18" s="15"/>
      <c r="AI18" s="15"/>
    </row>
    <row r="19" spans="2:35" ht="12.75">
      <c r="B19" s="7" t="s">
        <v>139</v>
      </c>
      <c r="D19" s="7" t="s">
        <v>48</v>
      </c>
      <c r="E19" s="7" t="s">
        <v>39</v>
      </c>
      <c r="F19" s="7">
        <v>0.0848</v>
      </c>
      <c r="G19" s="7"/>
      <c r="H19" s="7">
        <v>0.0849</v>
      </c>
      <c r="I19" s="7" t="s">
        <v>39</v>
      </c>
      <c r="J19" s="7">
        <v>0.085</v>
      </c>
      <c r="L19" s="15">
        <f t="shared" si="0"/>
        <v>0.08490000000000002</v>
      </c>
      <c r="M19" s="7" t="s">
        <v>39</v>
      </c>
      <c r="N19" s="7">
        <v>0.0016</v>
      </c>
      <c r="O19" s="7" t="s">
        <v>39</v>
      </c>
      <c r="P19" s="7">
        <v>0.0016</v>
      </c>
      <c r="Q19" s="7" t="s">
        <v>39</v>
      </c>
      <c r="R19" s="7">
        <v>0.0017</v>
      </c>
      <c r="T19" s="15">
        <f t="shared" si="2"/>
        <v>0.0016333333333333332</v>
      </c>
      <c r="U19" s="7" t="s">
        <v>39</v>
      </c>
      <c r="V19" s="7">
        <v>0.0373</v>
      </c>
      <c r="W19" s="7" t="s">
        <v>39</v>
      </c>
      <c r="X19" s="7">
        <v>0.0327</v>
      </c>
      <c r="Y19" s="7" t="s">
        <v>39</v>
      </c>
      <c r="Z19" s="7">
        <v>0.0147</v>
      </c>
      <c r="AB19" s="15">
        <f t="shared" si="1"/>
        <v>0.028233333333333336</v>
      </c>
      <c r="AC19" s="15"/>
      <c r="AD19" s="15"/>
      <c r="AE19" s="15"/>
      <c r="AF19" s="15"/>
      <c r="AG19" s="15"/>
      <c r="AH19" s="15"/>
      <c r="AI19" s="15"/>
    </row>
    <row r="20" spans="2:35" ht="12.75">
      <c r="B20" s="7" t="s">
        <v>140</v>
      </c>
      <c r="D20" s="7" t="s">
        <v>48</v>
      </c>
      <c r="E20" s="7"/>
      <c r="F20" s="7">
        <v>0.50908</v>
      </c>
      <c r="G20" s="7"/>
      <c r="H20" s="7">
        <v>0.54316</v>
      </c>
      <c r="I20" s="7"/>
      <c r="J20" s="7">
        <v>0.52689</v>
      </c>
      <c r="L20" s="15">
        <f t="shared" si="0"/>
        <v>0.5263766666666666</v>
      </c>
      <c r="M20" s="7" t="s">
        <v>39</v>
      </c>
      <c r="N20" s="7">
        <v>0.00259</v>
      </c>
      <c r="O20" s="7" t="s">
        <v>39</v>
      </c>
      <c r="P20" s="7">
        <v>0.0026</v>
      </c>
      <c r="Q20" s="7" t="s">
        <v>39</v>
      </c>
      <c r="R20" s="7">
        <v>0.00272</v>
      </c>
      <c r="T20" s="15">
        <f t="shared" si="2"/>
        <v>0.002636666666666667</v>
      </c>
      <c r="U20" s="7"/>
      <c r="V20" s="7">
        <f>0.00488+2.62339+0.00162</f>
        <v>2.62989</v>
      </c>
      <c r="W20" s="7"/>
      <c r="X20" s="7">
        <f>0.003+2.30935+0.0018</f>
        <v>2.3141499999999997</v>
      </c>
      <c r="Y20" s="7"/>
      <c r="Z20" s="7">
        <f>0.00577+2.32539+0.00126</f>
        <v>2.33242</v>
      </c>
      <c r="AB20" s="15">
        <v>2.425</v>
      </c>
      <c r="AC20" s="15"/>
      <c r="AD20" s="15"/>
      <c r="AE20" s="15"/>
      <c r="AF20" s="15"/>
      <c r="AG20" s="15"/>
      <c r="AH20" s="15"/>
      <c r="AI20" s="15"/>
    </row>
    <row r="21" spans="2:35" ht="12.75">
      <c r="B21" s="7" t="s">
        <v>141</v>
      </c>
      <c r="D21" s="7" t="s">
        <v>48</v>
      </c>
      <c r="E21" s="7" t="s">
        <v>39</v>
      </c>
      <c r="F21" s="7">
        <v>0.1188</v>
      </c>
      <c r="G21" s="7" t="s">
        <v>39</v>
      </c>
      <c r="H21" s="7">
        <v>0.1188</v>
      </c>
      <c r="I21" s="7" t="s">
        <v>39</v>
      </c>
      <c r="J21" s="7">
        <v>0.119</v>
      </c>
      <c r="L21" s="15">
        <f t="shared" si="0"/>
        <v>0.11886666666666668</v>
      </c>
      <c r="M21" s="7" t="s">
        <v>39</v>
      </c>
      <c r="N21" s="7">
        <v>0.0005</v>
      </c>
      <c r="O21" s="7" t="s">
        <v>39</v>
      </c>
      <c r="P21" s="7">
        <v>0.0005</v>
      </c>
      <c r="Q21" s="7" t="s">
        <v>39</v>
      </c>
      <c r="R21" s="7">
        <v>0.0006</v>
      </c>
      <c r="T21" s="15">
        <f t="shared" si="2"/>
        <v>0.0005333333333333333</v>
      </c>
      <c r="U21" s="7" t="s">
        <v>39</v>
      </c>
      <c r="V21" s="7">
        <v>0.015</v>
      </c>
      <c r="W21" s="7" t="s">
        <v>39</v>
      </c>
      <c r="X21" s="7">
        <v>0.0124</v>
      </c>
      <c r="Y21" s="7" t="s">
        <v>39</v>
      </c>
      <c r="Z21" s="7">
        <v>0.0254</v>
      </c>
      <c r="AB21" s="15">
        <f>AVERAGE(V21,X21,Z21)</f>
        <v>0.0176</v>
      </c>
      <c r="AC21" s="15"/>
      <c r="AD21" s="15"/>
      <c r="AE21" s="15"/>
      <c r="AF21" s="15"/>
      <c r="AG21" s="15"/>
      <c r="AH21" s="15"/>
      <c r="AI21" s="15"/>
    </row>
    <row r="22" spans="2:35" ht="12.75">
      <c r="B22" s="7" t="s">
        <v>142</v>
      </c>
      <c r="D22" s="7" t="s">
        <v>48</v>
      </c>
      <c r="E22" s="7" t="s">
        <v>39</v>
      </c>
      <c r="F22" s="7">
        <v>0.0407</v>
      </c>
      <c r="G22" s="7" t="s">
        <v>39</v>
      </c>
      <c r="H22" s="7">
        <v>0.0407</v>
      </c>
      <c r="I22" s="7"/>
      <c r="J22" s="7">
        <v>0.051</v>
      </c>
      <c r="L22" s="15">
        <f t="shared" si="0"/>
        <v>0.04413333333333333</v>
      </c>
      <c r="M22" s="7" t="s">
        <v>39</v>
      </c>
      <c r="N22" s="7">
        <v>0.0006</v>
      </c>
      <c r="O22" s="7" t="s">
        <v>39</v>
      </c>
      <c r="P22" s="7">
        <v>0.0006</v>
      </c>
      <c r="Q22" s="7" t="s">
        <v>39</v>
      </c>
      <c r="R22" s="7">
        <v>0.0006</v>
      </c>
      <c r="T22" s="15">
        <f t="shared" si="2"/>
        <v>0.0006</v>
      </c>
      <c r="U22" s="7" t="s">
        <v>39</v>
      </c>
      <c r="V22" s="7">
        <v>0.0016</v>
      </c>
      <c r="W22" s="7" t="s">
        <v>39</v>
      </c>
      <c r="X22" s="7">
        <v>0.0017</v>
      </c>
      <c r="Y22" s="7" t="s">
        <v>39</v>
      </c>
      <c r="Z22" s="7">
        <v>0.0015</v>
      </c>
      <c r="AB22" s="15">
        <f>AVERAGE(V22,X22,Z22)</f>
        <v>0.0016</v>
      </c>
      <c r="AC22" s="15"/>
      <c r="AD22" s="15"/>
      <c r="AE22" s="15"/>
      <c r="AF22" s="15"/>
      <c r="AG22" s="15"/>
      <c r="AH22" s="15"/>
      <c r="AI22" s="15"/>
    </row>
    <row r="23" spans="2:35" ht="12.75">
      <c r="B23" s="7" t="s">
        <v>143</v>
      </c>
      <c r="D23" s="7" t="s">
        <v>48</v>
      </c>
      <c r="E23" s="7" t="s">
        <v>39</v>
      </c>
      <c r="F23" s="7">
        <v>0.4751</v>
      </c>
      <c r="G23" s="7"/>
      <c r="H23" s="14">
        <v>0.628</v>
      </c>
      <c r="I23" s="7" t="s">
        <v>39</v>
      </c>
      <c r="J23" s="7">
        <v>0.4589</v>
      </c>
      <c r="L23" s="15">
        <f t="shared" si="0"/>
        <v>0.5206666666666666</v>
      </c>
      <c r="M23" s="7" t="s">
        <v>39</v>
      </c>
      <c r="N23" s="7">
        <v>0.0016</v>
      </c>
      <c r="O23" s="7" t="s">
        <v>39</v>
      </c>
      <c r="P23" s="14">
        <v>0.0016</v>
      </c>
      <c r="Q23" s="7" t="s">
        <v>39</v>
      </c>
      <c r="R23" s="7">
        <v>0.0016</v>
      </c>
      <c r="T23" s="15">
        <f t="shared" si="2"/>
        <v>0.0016</v>
      </c>
      <c r="U23" s="7" t="s">
        <v>39</v>
      </c>
      <c r="V23" s="7">
        <v>0.0224</v>
      </c>
      <c r="W23" s="7" t="s">
        <v>39</v>
      </c>
      <c r="X23" s="14">
        <v>0.0207</v>
      </c>
      <c r="Y23" s="7" t="s">
        <v>39</v>
      </c>
      <c r="Z23" s="7">
        <v>0.0219</v>
      </c>
      <c r="AB23" s="15">
        <f>AVERAGE(V23,X23,Z23)</f>
        <v>0.021666666666666667</v>
      </c>
      <c r="AC23" s="15"/>
      <c r="AD23" s="15"/>
      <c r="AE23" s="15"/>
      <c r="AF23" s="15"/>
      <c r="AG23" s="15"/>
      <c r="AH23" s="15"/>
      <c r="AI23" s="15"/>
    </row>
    <row r="24" spans="2:35" ht="12.75">
      <c r="B24" s="7" t="s">
        <v>144</v>
      </c>
      <c r="D24" s="7" t="s">
        <v>48</v>
      </c>
      <c r="E24" s="7" t="s">
        <v>39</v>
      </c>
      <c r="F24" s="7">
        <v>0.4073</v>
      </c>
      <c r="G24" s="7" t="s">
        <v>39</v>
      </c>
      <c r="H24" s="7">
        <v>0.4074</v>
      </c>
      <c r="I24" s="7" t="s">
        <v>39</v>
      </c>
      <c r="J24" s="7">
        <v>0.4249</v>
      </c>
      <c r="L24" s="15">
        <f t="shared" si="0"/>
        <v>0.4132</v>
      </c>
      <c r="M24" s="7" t="s">
        <v>39</v>
      </c>
      <c r="N24" s="7">
        <v>0.0005</v>
      </c>
      <c r="O24" s="7" t="s">
        <v>39</v>
      </c>
      <c r="P24" s="7">
        <v>0.0005</v>
      </c>
      <c r="Q24" s="7" t="s">
        <v>39</v>
      </c>
      <c r="R24" s="7">
        <v>0.0005</v>
      </c>
      <c r="T24" s="15">
        <f t="shared" si="2"/>
        <v>0.0005</v>
      </c>
      <c r="U24" s="7" t="s">
        <v>39</v>
      </c>
      <c r="V24" s="7">
        <v>0.0194</v>
      </c>
      <c r="W24" s="7" t="s">
        <v>39</v>
      </c>
      <c r="X24" s="7">
        <v>0.0178</v>
      </c>
      <c r="Y24" s="7" t="s">
        <v>39</v>
      </c>
      <c r="Z24" s="7">
        <v>0.0179</v>
      </c>
      <c r="AB24" s="15">
        <f>AVERAGE(V24,X24,Z24)</f>
        <v>0.018366666666666667</v>
      </c>
      <c r="AC24" s="15"/>
      <c r="AD24" s="15"/>
      <c r="AE24" s="15"/>
      <c r="AF24" s="15"/>
      <c r="AG24" s="15"/>
      <c r="AH24" s="15"/>
      <c r="AI24" s="15"/>
    </row>
    <row r="25" ht="12.75">
      <c r="L25" s="31"/>
    </row>
    <row r="26" spans="2:28" ht="12.75">
      <c r="B26" s="7" t="s">
        <v>43</v>
      </c>
      <c r="D26" s="7" t="s">
        <v>17</v>
      </c>
      <c r="F26" s="30">
        <f>emiss!$G$16</f>
        <v>12874</v>
      </c>
      <c r="H26" s="30">
        <f>emiss!$I$16</f>
        <v>12874</v>
      </c>
      <c r="J26" s="30">
        <f>emiss!$K$16</f>
        <v>12874</v>
      </c>
      <c r="L26" s="30">
        <f>emiss!$M$16</f>
        <v>12874</v>
      </c>
      <c r="N26" s="30">
        <f>emiss!$G$16</f>
        <v>12874</v>
      </c>
      <c r="P26" s="30">
        <f>emiss!$I$16</f>
        <v>12874</v>
      </c>
      <c r="R26" s="30">
        <f>emiss!$K$16</f>
        <v>12874</v>
      </c>
      <c r="T26" s="30">
        <f>emiss!$M$16</f>
        <v>12874</v>
      </c>
      <c r="V26" s="30">
        <f>emiss!$G$16</f>
        <v>12874</v>
      </c>
      <c r="X26" s="30">
        <f>emiss!$I$16</f>
        <v>12874</v>
      </c>
      <c r="Z26" s="30">
        <f>emiss!$K$16</f>
        <v>12874</v>
      </c>
      <c r="AB26" s="30">
        <f>emiss!$M$16</f>
        <v>12874</v>
      </c>
    </row>
    <row r="27" spans="2:28" ht="12.75">
      <c r="B27" s="7" t="s">
        <v>11</v>
      </c>
      <c r="D27" s="7" t="s">
        <v>18</v>
      </c>
      <c r="F27" s="30">
        <f>emiss!$G$17</f>
        <v>2.25</v>
      </c>
      <c r="H27" s="30">
        <f>emiss!$I$17</f>
        <v>2.25</v>
      </c>
      <c r="J27" s="30">
        <f>emiss!$K$17</f>
        <v>2.25</v>
      </c>
      <c r="L27" s="30">
        <f>emiss!$M$17</f>
        <v>2.25</v>
      </c>
      <c r="N27" s="30">
        <f>emiss!$G$17</f>
        <v>2.25</v>
      </c>
      <c r="P27" s="30">
        <f>emiss!$I$17</f>
        <v>2.25</v>
      </c>
      <c r="R27" s="30">
        <f>emiss!$K$17</f>
        <v>2.25</v>
      </c>
      <c r="T27" s="30">
        <f>emiss!$M$17</f>
        <v>2.25</v>
      </c>
      <c r="V27" s="30">
        <f>emiss!$G$17</f>
        <v>2.25</v>
      </c>
      <c r="X27" s="30">
        <f>emiss!$I$17</f>
        <v>2.25</v>
      </c>
      <c r="Z27" s="30">
        <f>emiss!$K$17</f>
        <v>2.25</v>
      </c>
      <c r="AB27" s="30">
        <f>emiss!$M$17</f>
        <v>2.25</v>
      </c>
    </row>
    <row r="28" ht="12.75">
      <c r="L28" s="11"/>
    </row>
    <row r="29" spans="2:36" ht="12.75">
      <c r="B29" s="7" t="s">
        <v>176</v>
      </c>
      <c r="D29" s="7" t="s">
        <v>83</v>
      </c>
      <c r="F29" s="12">
        <f>F10*F12/1000000</f>
        <v>55.258311</v>
      </c>
      <c r="H29" s="12">
        <f>H10*H12/1000000</f>
        <v>55.336696</v>
      </c>
      <c r="J29" s="12">
        <f>J10*J12/1000000</f>
        <v>55.309467</v>
      </c>
      <c r="L29" s="12">
        <f>L10*L12/1000000</f>
        <v>55.30151111111111</v>
      </c>
      <c r="T29" s="12">
        <f>T10*T12/1000000</f>
        <v>28.511616</v>
      </c>
      <c r="AD29" s="12">
        <f>F29+$T29</f>
        <v>83.769927</v>
      </c>
      <c r="AF29" s="12">
        <f>H29+$T29</f>
        <v>83.848312</v>
      </c>
      <c r="AH29" s="12">
        <f>J29+$T29</f>
        <v>83.821083</v>
      </c>
      <c r="AJ29" s="52">
        <f>SUM(L29:T29)</f>
        <v>83.81312711111111</v>
      </c>
    </row>
    <row r="30" spans="2:57" s="41" customFormat="1" ht="12.75">
      <c r="B30" s="7" t="s">
        <v>229</v>
      </c>
      <c r="C30" s="46"/>
      <c r="D30" s="46" t="s">
        <v>83</v>
      </c>
      <c r="E30" s="51"/>
      <c r="F30" s="48"/>
      <c r="G30" s="51"/>
      <c r="H30" s="51"/>
      <c r="I30" s="51"/>
      <c r="J30" s="51"/>
      <c r="K30" s="51"/>
      <c r="L30" s="48"/>
      <c r="M30" s="42"/>
      <c r="N30" s="42"/>
      <c r="O30" s="42"/>
      <c r="P30" s="42"/>
      <c r="Q30" s="42"/>
      <c r="R30" s="42"/>
      <c r="S30" s="42"/>
      <c r="U30" s="42"/>
      <c r="V30" s="42"/>
      <c r="W30" s="42"/>
      <c r="X30" s="42"/>
      <c r="Y30" s="42"/>
      <c r="Z30" s="42"/>
      <c r="AA30" s="42"/>
      <c r="AJ30" s="47">
        <f>(L26/9000)*((21-L27)/21)*60</f>
        <v>76.6309523809524</v>
      </c>
      <c r="AU30"/>
      <c r="AV30"/>
      <c r="AW30"/>
      <c r="AX30"/>
      <c r="AY30"/>
      <c r="AZ30"/>
      <c r="BA30"/>
      <c r="BB30"/>
      <c r="BC30"/>
      <c r="BD30"/>
      <c r="BE30"/>
    </row>
    <row r="31" spans="2:57" s="41" customFormat="1" ht="12.75">
      <c r="B31" s="46"/>
      <c r="C31" s="46"/>
      <c r="D31" s="46"/>
      <c r="E31" s="51"/>
      <c r="F31" s="48"/>
      <c r="G31" s="51"/>
      <c r="H31" s="51"/>
      <c r="I31" s="51"/>
      <c r="J31" s="51"/>
      <c r="K31" s="51"/>
      <c r="L31" s="48"/>
      <c r="M31" s="42"/>
      <c r="N31" s="42"/>
      <c r="O31" s="42"/>
      <c r="P31" s="42"/>
      <c r="Q31" s="42"/>
      <c r="R31" s="42"/>
      <c r="S31" s="42"/>
      <c r="U31" s="42"/>
      <c r="V31" s="42"/>
      <c r="W31" s="42"/>
      <c r="X31" s="42"/>
      <c r="Y31" s="42"/>
      <c r="Z31" s="42"/>
      <c r="AA31" s="42"/>
      <c r="AJ31" s="47"/>
      <c r="AU31"/>
      <c r="AV31"/>
      <c r="AW31"/>
      <c r="AX31"/>
      <c r="AY31"/>
      <c r="AZ31"/>
      <c r="BA31"/>
      <c r="BB31"/>
      <c r="BC31"/>
      <c r="BD31"/>
      <c r="BE31"/>
    </row>
    <row r="32" spans="2:57" s="41" customFormat="1" ht="12.75">
      <c r="B32" s="49" t="s">
        <v>132</v>
      </c>
      <c r="C32" s="49"/>
      <c r="D32" s="46"/>
      <c r="E32" s="51"/>
      <c r="F32" s="48"/>
      <c r="G32" s="51"/>
      <c r="H32" s="51"/>
      <c r="I32" s="51"/>
      <c r="J32" s="51"/>
      <c r="K32" s="51"/>
      <c r="L32" s="48"/>
      <c r="M32" s="42"/>
      <c r="N32" s="42"/>
      <c r="O32" s="42"/>
      <c r="P32" s="42"/>
      <c r="Q32" s="42"/>
      <c r="R32" s="42"/>
      <c r="S32" s="42"/>
      <c r="U32" s="42"/>
      <c r="V32" s="42"/>
      <c r="W32" s="42"/>
      <c r="X32" s="42"/>
      <c r="Y32" s="42"/>
      <c r="Z32" s="42"/>
      <c r="AA32" s="42"/>
      <c r="AJ32" s="47"/>
      <c r="AU32"/>
      <c r="AV32"/>
      <c r="AW32"/>
      <c r="AX32"/>
      <c r="AY32"/>
      <c r="AZ32"/>
      <c r="BA32"/>
      <c r="BB32"/>
      <c r="BC32"/>
      <c r="BD32"/>
      <c r="BE32"/>
    </row>
    <row r="33" spans="2:57" s="41" customFormat="1" ht="12.75">
      <c r="B33" s="46" t="s">
        <v>10</v>
      </c>
      <c r="C33" s="46"/>
      <c r="D33" s="46" t="s">
        <v>16</v>
      </c>
      <c r="E33" s="51"/>
      <c r="F33" s="47">
        <f>(F13/(F26*60*0.0283))*(14/(21-F27))*1000</f>
        <v>68.39532373177033</v>
      </c>
      <c r="G33" s="61"/>
      <c r="H33" s="47">
        <f>(H13/(H26*60*0.0283))*(14/(21-H27))*1000</f>
        <v>74.20878962227536</v>
      </c>
      <c r="I33" s="61"/>
      <c r="J33" s="47">
        <f>(J13/(J26*60*0.0283))*(14/(21-J27))*1000</f>
        <v>84.7597861767819</v>
      </c>
      <c r="K33" s="67">
        <f aca="true" t="shared" si="3" ref="K33:K44">AVERAGE(E33*F33,G33*H33,I33*J33)/L33</f>
        <v>0</v>
      </c>
      <c r="L33" s="47">
        <f>AVERAGE(F33,H33,J33)</f>
        <v>75.78796651027587</v>
      </c>
      <c r="M33" s="62"/>
      <c r="N33" s="47"/>
      <c r="O33" s="62"/>
      <c r="P33" s="47"/>
      <c r="Q33" s="62"/>
      <c r="R33" s="47"/>
      <c r="S33" s="67"/>
      <c r="T33" s="66"/>
      <c r="U33" s="62"/>
      <c r="V33" s="47">
        <f>(V13/(F26*60*0.0283))*(14/(21-F27))*1000</f>
        <v>71.72559943285283</v>
      </c>
      <c r="W33" s="62"/>
      <c r="X33" s="47">
        <f>(X13/(H26*60*0.0283))*(14/(21-H27))*1000</f>
        <v>58.568448663037636</v>
      </c>
      <c r="Y33" s="62"/>
      <c r="Z33" s="47">
        <f>(Z13/(J26*60*0.0283))*(14/(21-J27))*1000</f>
        <v>71.80415978272453</v>
      </c>
      <c r="AA33" s="67">
        <f>AVERAGE(U33*V33,W33*X33,Y33*Z33)/AB33</f>
        <v>0</v>
      </c>
      <c r="AB33" s="47">
        <f>AVERAGE(V33,X33,Z33)</f>
        <v>67.36606929287167</v>
      </c>
      <c r="AC33" s="69">
        <f aca="true" t="shared" si="4" ref="AC33:AC44">SUM(U33*V33,M33*N33,E33*F33)/AD33</f>
        <v>0</v>
      </c>
      <c r="AD33" s="47">
        <f>SUM(V33,N33,F33)</f>
        <v>140.12092316462315</v>
      </c>
      <c r="AE33" s="69">
        <f aca="true" t="shared" si="5" ref="AE33:AE44">SUM(W33*X33,O33*P33,G33*H33)/AF33</f>
        <v>0</v>
      </c>
      <c r="AF33" s="47">
        <f>SUM(X33,P33,H33)</f>
        <v>132.777238285313</v>
      </c>
      <c r="AG33" s="69">
        <f aca="true" t="shared" si="6" ref="AG33:AG44">SUM(Y33*Z33,Q33*R33,I33*J33)/AH33</f>
        <v>0</v>
      </c>
      <c r="AH33" s="47">
        <f>SUM(Z33,R33,J33)</f>
        <v>156.56394595950644</v>
      </c>
      <c r="AI33" s="69">
        <f aca="true" t="shared" si="7" ref="AI33:AI44">SUM(AA33*AB33,S33*T33,K33*L33)/AJ33</f>
        <v>0</v>
      </c>
      <c r="AJ33" s="47">
        <f>SUM(AB33,T33,L33)</f>
        <v>143.15403580314754</v>
      </c>
      <c r="AU33"/>
      <c r="AV33"/>
      <c r="AW33"/>
      <c r="AX33"/>
      <c r="AY33"/>
      <c r="AZ33"/>
      <c r="BA33"/>
      <c r="BB33"/>
      <c r="BC33"/>
      <c r="BD33"/>
      <c r="BE33"/>
    </row>
    <row r="34" spans="2:57" s="41" customFormat="1" ht="12.75">
      <c r="B34" s="46" t="s">
        <v>42</v>
      </c>
      <c r="C34" s="46"/>
      <c r="D34" s="46" t="s">
        <v>98</v>
      </c>
      <c r="E34" s="51"/>
      <c r="F34" s="47">
        <f>(F14/(F$26*60*0.0283))*(14/(21-F$27))*1000000</f>
        <v>24923.100213424317</v>
      </c>
      <c r="G34" s="61"/>
      <c r="H34" s="47">
        <f>(H14/(H$26*60*0.0283))*(14/(21-H$27))*1000000</f>
        <v>38264.35545533012</v>
      </c>
      <c r="I34" s="61"/>
      <c r="J34" s="47">
        <f aca="true" t="shared" si="8" ref="J34:J44">(J14/(J$26*60*0.0283))*(14/(21-J$27))*1000000</f>
        <v>23221.756288594377</v>
      </c>
      <c r="K34" s="67">
        <f t="shared" si="3"/>
        <v>0</v>
      </c>
      <c r="L34" s="47">
        <f aca="true" t="shared" si="9" ref="L34:L44">AVERAGE(F34,H34,J34)</f>
        <v>28803.070652449605</v>
      </c>
      <c r="M34" s="68">
        <v>100</v>
      </c>
      <c r="N34" s="47">
        <f>(N14/(N$26*60*0.0283))*(14/(21-N$27))*1000000</f>
        <v>20.83557105292644</v>
      </c>
      <c r="O34" s="68">
        <v>100</v>
      </c>
      <c r="P34" s="47">
        <f>(P14/(P$26*60*0.0283))*(14/(21-P$27))*1000000</f>
        <v>20.83557105292644</v>
      </c>
      <c r="Q34" s="68">
        <v>100</v>
      </c>
      <c r="R34" s="47">
        <f aca="true" t="shared" si="10" ref="R34:R44">(R14/(R$26*60*0.0283))*(14/(21-R$27))*1000000</f>
        <v>21.860271268644134</v>
      </c>
      <c r="S34" s="67">
        <f aca="true" t="shared" si="11" ref="S34:S44">AVERAGE(M34*N34,O34*P34,Q34*R34)/T34</f>
        <v>100</v>
      </c>
      <c r="T34" s="47">
        <f>AVERAGE(N34,P34,R34)</f>
        <v>21.177137791499003</v>
      </c>
      <c r="U34" s="62"/>
      <c r="V34" s="47">
        <f>(V14/(V$26*60*0.0283))*(14/(21-V$27))*1000000</f>
        <v>177145.73292567345</v>
      </c>
      <c r="W34" s="62"/>
      <c r="X34" s="47">
        <f>(X14/(X$26*60*0.0283))*(14/(21-X$27))*1000000</f>
        <v>155692.9507761464</v>
      </c>
      <c r="Y34" s="62"/>
      <c r="Z34" s="47">
        <f aca="true" t="shared" si="12" ref="Z34:Z44">(Z14/(Z$26*60*0.0283))*(14/(21-Z$27))*1000000</f>
        <v>155602.7771571632</v>
      </c>
      <c r="AA34" s="67">
        <f>AVERAGE(U34*V34,W34*X34,Y34*Z34)/AB34</f>
        <v>0</v>
      </c>
      <c r="AB34" s="47">
        <f aca="true" t="shared" si="13" ref="AB34:AB44">AVERAGE(V34,X34,Z34)</f>
        <v>162813.82028632768</v>
      </c>
      <c r="AC34" s="69">
        <f t="shared" si="4"/>
        <v>0.010310062451935671</v>
      </c>
      <c r="AD34" s="47">
        <f aca="true" t="shared" si="14" ref="AD34:AD44">SUM(V34,N34,F34)</f>
        <v>202089.6687101507</v>
      </c>
      <c r="AE34" s="69">
        <f t="shared" si="5"/>
        <v>0.010741195301343352</v>
      </c>
      <c r="AF34" s="47">
        <f aca="true" t="shared" si="15" ref="AF34:AF44">SUM(X34,P34,H34)</f>
        <v>193978.14180252946</v>
      </c>
      <c r="AG34" s="69">
        <f t="shared" si="6"/>
        <v>0.012222930982456276</v>
      </c>
      <c r="AH34" s="47">
        <f aca="true" t="shared" si="16" ref="AH34:AH44">SUM(Z34,R34,J34)</f>
        <v>178846.39371702622</v>
      </c>
      <c r="AI34" s="69">
        <f t="shared" si="7"/>
        <v>0.011050590315405237</v>
      </c>
      <c r="AJ34" s="47">
        <f aca="true" t="shared" si="17" ref="AJ34:AJ47">SUM(AB34,T34,L34)</f>
        <v>191638.06807656877</v>
      </c>
      <c r="AU34"/>
      <c r="AV34"/>
      <c r="AW34"/>
      <c r="AX34"/>
      <c r="AY34"/>
      <c r="AZ34"/>
      <c r="BA34"/>
      <c r="BB34"/>
      <c r="BC34"/>
      <c r="BD34"/>
      <c r="BE34"/>
    </row>
    <row r="35" spans="2:57" s="41" customFormat="1" ht="12.75">
      <c r="B35" s="46" t="s">
        <v>135</v>
      </c>
      <c r="C35" s="46"/>
      <c r="D35" s="46" t="s">
        <v>98</v>
      </c>
      <c r="E35" s="7">
        <v>100</v>
      </c>
      <c r="F35" s="47">
        <f>(F15/(F$26*60*0.0283))*(14/(21-F$27))*1000000</f>
        <v>13.912013262060555</v>
      </c>
      <c r="G35" s="7">
        <v>100</v>
      </c>
      <c r="H35" s="47">
        <f>(H15/(H$26*60*0.0283))*(14/(21-H$27))*1000000</f>
        <v>13.91542892944628</v>
      </c>
      <c r="I35" s="7">
        <v>100</v>
      </c>
      <c r="J35" s="47">
        <f t="shared" si="8"/>
        <v>14.513170721948269</v>
      </c>
      <c r="K35" s="67">
        <f t="shared" si="3"/>
        <v>99.99999999999999</v>
      </c>
      <c r="L35" s="47">
        <f t="shared" si="9"/>
        <v>14.113537637818368</v>
      </c>
      <c r="M35" s="68">
        <v>100</v>
      </c>
      <c r="N35" s="47">
        <f>(N15/(N$26*60*0.0283))*(14/(21-N$27))*1000000</f>
        <v>0.09905435418604372</v>
      </c>
      <c r="O35" s="68">
        <v>100</v>
      </c>
      <c r="P35" s="47">
        <f>(P15/(P$26*60*0.0283))*(14/(21-P$27))*1000000</f>
        <v>0.09905435418604372</v>
      </c>
      <c r="Q35" s="68">
        <v>100</v>
      </c>
      <c r="R35" s="47">
        <f t="shared" si="10"/>
        <v>0.10588568895749499</v>
      </c>
      <c r="S35" s="67">
        <f t="shared" si="11"/>
        <v>99.99999999999999</v>
      </c>
      <c r="T35" s="47">
        <f aca="true" t="shared" si="18" ref="T35:T44">AVERAGE(N35,P35,R35)</f>
        <v>0.10133146577652748</v>
      </c>
      <c r="U35" s="68">
        <v>100</v>
      </c>
      <c r="V35" s="47">
        <f>(V15/(V$26*60*0.0283))*(14/(21-V$27))*1000000</f>
        <v>6.626394728307752</v>
      </c>
      <c r="W35" s="68">
        <v>100</v>
      </c>
      <c r="X35" s="47">
        <f>(X15/(X$26*60*0.0283))*(14/(21-X$27))*1000000</f>
        <v>0.6079887946591649</v>
      </c>
      <c r="Y35" s="68">
        <v>100</v>
      </c>
      <c r="Z35" s="47">
        <f t="shared" si="12"/>
        <v>0.5943261251162623</v>
      </c>
      <c r="AA35" s="67">
        <f aca="true" t="shared" si="19" ref="AA35:AA44">AVERAGE(U35*V35,W35*X35,Y35*Z35)/AB35</f>
        <v>100</v>
      </c>
      <c r="AB35" s="47">
        <f t="shared" si="13"/>
        <v>2.609569882694393</v>
      </c>
      <c r="AC35" s="69">
        <f t="shared" si="4"/>
        <v>100</v>
      </c>
      <c r="AD35" s="47">
        <f t="shared" si="14"/>
        <v>20.63746234455435</v>
      </c>
      <c r="AE35" s="69">
        <f t="shared" si="5"/>
        <v>100</v>
      </c>
      <c r="AF35" s="47">
        <f t="shared" si="15"/>
        <v>14.622472078291489</v>
      </c>
      <c r="AG35" s="69">
        <f t="shared" si="6"/>
        <v>99.99999999999999</v>
      </c>
      <c r="AH35" s="47">
        <f t="shared" si="16"/>
        <v>15.213382536022026</v>
      </c>
      <c r="AI35" s="69">
        <f t="shared" si="7"/>
        <v>99.99999999999999</v>
      </c>
      <c r="AJ35" s="47">
        <f t="shared" si="17"/>
        <v>16.824438986289287</v>
      </c>
      <c r="AU35"/>
      <c r="AV35"/>
      <c r="AW35"/>
      <c r="AX35"/>
      <c r="AY35"/>
      <c r="AZ35"/>
      <c r="BA35"/>
      <c r="BB35"/>
      <c r="BC35"/>
      <c r="BD35"/>
      <c r="BE35"/>
    </row>
    <row r="36" spans="2:57" s="41" customFormat="1" ht="12.75">
      <c r="B36" s="46" t="s">
        <v>136</v>
      </c>
      <c r="C36" s="46"/>
      <c r="D36" s="46" t="s">
        <v>98</v>
      </c>
      <c r="E36" s="7">
        <v>100</v>
      </c>
      <c r="F36" s="47">
        <f aca="true" t="shared" si="20" ref="F36:H44">(F16/(F$26*60*0.0283))*(14/(21-F$27))*1000000</f>
        <v>4.0578128542420675</v>
      </c>
      <c r="G36" s="7">
        <v>100</v>
      </c>
      <c r="H36" s="47">
        <f t="shared" si="20"/>
        <v>4.0578128542420675</v>
      </c>
      <c r="I36" s="7">
        <v>100</v>
      </c>
      <c r="J36" s="47">
        <f t="shared" si="8"/>
        <v>4.645307644586879</v>
      </c>
      <c r="K36" s="67">
        <f t="shared" si="3"/>
        <v>100</v>
      </c>
      <c r="L36" s="47">
        <f t="shared" si="9"/>
        <v>4.253644451023671</v>
      </c>
      <c r="M36" s="62"/>
      <c r="N36" s="47">
        <f>(N16/(N$26*60*0.0283))*(14/(21-N$27))*1000000</f>
        <v>0.06489768032878726</v>
      </c>
      <c r="O36" s="62"/>
      <c r="P36" s="47">
        <f>(P16/(P$26*60*0.0283))*(14/(21-P$27))*1000000</f>
        <v>0.06489768032878726</v>
      </c>
      <c r="Q36" s="62"/>
      <c r="R36" s="47">
        <f t="shared" si="10"/>
        <v>0.06831334771451292</v>
      </c>
      <c r="S36" s="67">
        <f t="shared" si="11"/>
        <v>0</v>
      </c>
      <c r="T36" s="47">
        <f t="shared" si="18"/>
        <v>0.06603623612402915</v>
      </c>
      <c r="U36" s="68">
        <v>100</v>
      </c>
      <c r="V36" s="47">
        <f aca="true" t="shared" si="21" ref="V36:X44">(V16/(V$26*60*0.0283))*(14/(21-V$27))*1000000</f>
        <v>1.0725195591178527</v>
      </c>
      <c r="W36" s="68">
        <v>100</v>
      </c>
      <c r="X36" s="47">
        <f t="shared" si="21"/>
        <v>0.9529712006174552</v>
      </c>
      <c r="Y36" s="68">
        <v>100</v>
      </c>
      <c r="Z36" s="47">
        <f t="shared" si="12"/>
        <v>0.6182357968163419</v>
      </c>
      <c r="AA36" s="67">
        <f t="shared" si="19"/>
        <v>99.99999999999999</v>
      </c>
      <c r="AB36" s="47">
        <f t="shared" si="13"/>
        <v>0.8812421855172167</v>
      </c>
      <c r="AC36" s="69">
        <f t="shared" si="4"/>
        <v>98.7508218277449</v>
      </c>
      <c r="AD36" s="47">
        <f t="shared" si="14"/>
        <v>5.195230093688707</v>
      </c>
      <c r="AE36" s="69">
        <f t="shared" si="5"/>
        <v>98.721399730821</v>
      </c>
      <c r="AF36" s="47">
        <f t="shared" si="15"/>
        <v>5.07568173518831</v>
      </c>
      <c r="AG36" s="69">
        <f t="shared" si="6"/>
        <v>98.71877001921844</v>
      </c>
      <c r="AH36" s="47">
        <f t="shared" si="16"/>
        <v>5.331856789117734</v>
      </c>
      <c r="AI36" s="69">
        <f t="shared" si="7"/>
        <v>98.73029772329248</v>
      </c>
      <c r="AJ36" s="47">
        <f t="shared" si="17"/>
        <v>5.200922872664917</v>
      </c>
      <c r="AU36"/>
      <c r="AV36"/>
      <c r="AW36"/>
      <c r="AX36"/>
      <c r="AY36"/>
      <c r="AZ36"/>
      <c r="BA36"/>
      <c r="BB36"/>
      <c r="BC36"/>
      <c r="BD36"/>
      <c r="BE36"/>
    </row>
    <row r="37" spans="2:57" s="41" customFormat="1" ht="12.75">
      <c r="B37" s="46" t="s">
        <v>137</v>
      </c>
      <c r="C37" s="46"/>
      <c r="D37" s="46" t="s">
        <v>98</v>
      </c>
      <c r="E37" s="7">
        <v>100</v>
      </c>
      <c r="F37" s="47">
        <f t="shared" si="20"/>
        <v>5.79638755357642</v>
      </c>
      <c r="G37" s="7">
        <v>100</v>
      </c>
      <c r="H37" s="47">
        <f t="shared" si="20"/>
        <v>5.79638755357642</v>
      </c>
      <c r="I37" s="7">
        <v>100</v>
      </c>
      <c r="J37" s="47">
        <f t="shared" si="8"/>
        <v>5.806634555733598</v>
      </c>
      <c r="K37" s="67">
        <f t="shared" si="3"/>
        <v>99.99999999999999</v>
      </c>
      <c r="L37" s="47">
        <f t="shared" si="9"/>
        <v>5.799803220962146</v>
      </c>
      <c r="M37" s="68">
        <v>100</v>
      </c>
      <c r="N37" s="47">
        <f aca="true" t="shared" si="22" ref="N37:P44">(N17/(N$26*60*0.0283))*(14/(21-N$27))*1000000</f>
        <v>3.8255474720127234</v>
      </c>
      <c r="O37" s="68">
        <v>100</v>
      </c>
      <c r="P37" s="47">
        <f t="shared" si="22"/>
        <v>3.832378806784174</v>
      </c>
      <c r="Q37" s="68">
        <v>100</v>
      </c>
      <c r="R37" s="47">
        <f t="shared" si="10"/>
        <v>4.016824845613359</v>
      </c>
      <c r="S37" s="67">
        <f t="shared" si="11"/>
        <v>99.99999999999999</v>
      </c>
      <c r="T37" s="47">
        <f t="shared" si="18"/>
        <v>3.891583708136752</v>
      </c>
      <c r="U37" s="68">
        <v>100</v>
      </c>
      <c r="V37" s="47">
        <f t="shared" si="21"/>
        <v>0.38597041458699793</v>
      </c>
      <c r="W37" s="68">
        <v>100</v>
      </c>
      <c r="X37" s="47">
        <f t="shared" si="21"/>
        <v>0.24934371915797215</v>
      </c>
      <c r="Y37" s="68">
        <v>100</v>
      </c>
      <c r="Z37" s="47">
        <f t="shared" si="12"/>
        <v>0.2527593865436978</v>
      </c>
      <c r="AA37" s="67">
        <f t="shared" si="19"/>
        <v>99.99999999999999</v>
      </c>
      <c r="AB37" s="47">
        <f t="shared" si="13"/>
        <v>0.29602450676288933</v>
      </c>
      <c r="AC37" s="69">
        <f t="shared" si="4"/>
        <v>100</v>
      </c>
      <c r="AD37" s="47">
        <f t="shared" si="14"/>
        <v>10.007905440176142</v>
      </c>
      <c r="AE37" s="69">
        <f t="shared" si="5"/>
        <v>100</v>
      </c>
      <c r="AF37" s="47">
        <f t="shared" si="15"/>
        <v>9.878110079518567</v>
      </c>
      <c r="AG37" s="69">
        <f t="shared" si="6"/>
        <v>100.00000000000001</v>
      </c>
      <c r="AH37" s="47">
        <f t="shared" si="16"/>
        <v>10.076218787890653</v>
      </c>
      <c r="AI37" s="69">
        <f t="shared" si="7"/>
        <v>99.99999999999999</v>
      </c>
      <c r="AJ37" s="47">
        <f t="shared" si="17"/>
        <v>9.987411435861787</v>
      </c>
      <c r="AU37"/>
      <c r="AV37"/>
      <c r="AW37"/>
      <c r="AX37"/>
      <c r="AY37"/>
      <c r="AZ37"/>
      <c r="BA37"/>
      <c r="BB37"/>
      <c r="BC37"/>
      <c r="BD37"/>
      <c r="BE37"/>
    </row>
    <row r="38" spans="2:57" s="41" customFormat="1" ht="12.75">
      <c r="B38" s="46" t="s">
        <v>138</v>
      </c>
      <c r="C38" s="46"/>
      <c r="D38" s="46" t="s">
        <v>98</v>
      </c>
      <c r="E38" s="7">
        <v>100</v>
      </c>
      <c r="F38" s="47">
        <f t="shared" si="20"/>
        <v>1.157911243760994</v>
      </c>
      <c r="G38" s="7">
        <v>100</v>
      </c>
      <c r="H38" s="47">
        <f t="shared" si="20"/>
        <v>1.157911243760994</v>
      </c>
      <c r="I38" s="7">
        <v>100</v>
      </c>
      <c r="J38" s="47">
        <f t="shared" si="8"/>
        <v>1.1613269111467197</v>
      </c>
      <c r="K38" s="67">
        <f t="shared" si="3"/>
        <v>99.99999999999999</v>
      </c>
      <c r="L38" s="47">
        <f t="shared" si="9"/>
        <v>1.1590497995562359</v>
      </c>
      <c r="M38" s="68">
        <v>100</v>
      </c>
      <c r="N38" s="47">
        <f t="shared" si="22"/>
        <v>0.010247002157176936</v>
      </c>
      <c r="O38" s="68">
        <v>100</v>
      </c>
      <c r="P38" s="47">
        <f t="shared" si="22"/>
        <v>0.010247002157176936</v>
      </c>
      <c r="Q38" s="68">
        <v>100</v>
      </c>
      <c r="R38" s="47">
        <f t="shared" si="10"/>
        <v>0.010247002157176936</v>
      </c>
      <c r="S38" s="67">
        <f t="shared" si="11"/>
        <v>100</v>
      </c>
      <c r="T38" s="47">
        <f t="shared" si="18"/>
        <v>0.010247002157176936</v>
      </c>
      <c r="U38" s="68">
        <v>100</v>
      </c>
      <c r="V38" s="47">
        <f t="shared" si="21"/>
        <v>0.05465067817161033</v>
      </c>
      <c r="W38" s="68">
        <v>100</v>
      </c>
      <c r="X38" s="47">
        <f t="shared" si="21"/>
        <v>0.05123501078588469</v>
      </c>
      <c r="Y38" s="68">
        <v>100</v>
      </c>
      <c r="Z38" s="47">
        <f t="shared" si="12"/>
        <v>0.05123501078588469</v>
      </c>
      <c r="AA38" s="67">
        <f t="shared" si="19"/>
        <v>99.99999999999999</v>
      </c>
      <c r="AB38" s="47">
        <f t="shared" si="13"/>
        <v>0.052373566581126574</v>
      </c>
      <c r="AC38" s="69">
        <f t="shared" si="4"/>
        <v>100</v>
      </c>
      <c r="AD38" s="47">
        <f t="shared" si="14"/>
        <v>1.2228089240897813</v>
      </c>
      <c r="AE38" s="69">
        <f t="shared" si="5"/>
        <v>100</v>
      </c>
      <c r="AF38" s="47">
        <f t="shared" si="15"/>
        <v>1.2193932567040555</v>
      </c>
      <c r="AG38" s="69">
        <f t="shared" si="6"/>
        <v>100</v>
      </c>
      <c r="AH38" s="47">
        <f t="shared" si="16"/>
        <v>1.2228089240897813</v>
      </c>
      <c r="AI38" s="69">
        <f t="shared" si="7"/>
        <v>99.99999999999999</v>
      </c>
      <c r="AJ38" s="47">
        <f t="shared" si="17"/>
        <v>1.2216703682945393</v>
      </c>
      <c r="AU38"/>
      <c r="AV38"/>
      <c r="AW38"/>
      <c r="AX38"/>
      <c r="AY38"/>
      <c r="AZ38"/>
      <c r="BA38"/>
      <c r="BB38"/>
      <c r="BC38"/>
      <c r="BD38"/>
      <c r="BE38"/>
    </row>
    <row r="39" spans="2:57" s="41" customFormat="1" ht="12.75">
      <c r="B39" s="46" t="s">
        <v>139</v>
      </c>
      <c r="C39" s="46"/>
      <c r="D39" s="46" t="s">
        <v>98</v>
      </c>
      <c r="E39" s="7">
        <v>100</v>
      </c>
      <c r="F39" s="47">
        <f t="shared" si="20"/>
        <v>2.8964859430953473</v>
      </c>
      <c r="G39" s="12"/>
      <c r="H39" s="47">
        <f t="shared" si="20"/>
        <v>2.8999016104810735</v>
      </c>
      <c r="I39" s="7">
        <v>100</v>
      </c>
      <c r="J39" s="47">
        <f t="shared" si="8"/>
        <v>2.903317277866799</v>
      </c>
      <c r="K39" s="67">
        <f t="shared" si="3"/>
        <v>66.66666666666666</v>
      </c>
      <c r="L39" s="47">
        <f t="shared" si="9"/>
        <v>2.8999016104810735</v>
      </c>
      <c r="M39" s="68">
        <v>100</v>
      </c>
      <c r="N39" s="47">
        <f t="shared" si="22"/>
        <v>0.05465067817161033</v>
      </c>
      <c r="O39" s="68">
        <v>100</v>
      </c>
      <c r="P39" s="47">
        <f t="shared" si="22"/>
        <v>0.05465067817161033</v>
      </c>
      <c r="Q39" s="68">
        <v>100</v>
      </c>
      <c r="R39" s="47">
        <f t="shared" si="10"/>
        <v>0.058066345557335974</v>
      </c>
      <c r="S39" s="67">
        <f t="shared" si="11"/>
        <v>100.00000000000001</v>
      </c>
      <c r="T39" s="47">
        <f t="shared" si="18"/>
        <v>0.05578923396685221</v>
      </c>
      <c r="U39" s="68">
        <v>100</v>
      </c>
      <c r="V39" s="47">
        <f t="shared" si="21"/>
        <v>1.2740439348756658</v>
      </c>
      <c r="W39" s="68">
        <v>100</v>
      </c>
      <c r="X39" s="47">
        <f t="shared" si="21"/>
        <v>1.1169232351322862</v>
      </c>
      <c r="Y39" s="68">
        <v>100</v>
      </c>
      <c r="Z39" s="47">
        <f t="shared" si="12"/>
        <v>0.5021031057016698</v>
      </c>
      <c r="AA39" s="67">
        <f t="shared" si="19"/>
        <v>100</v>
      </c>
      <c r="AB39" s="47">
        <f t="shared" si="13"/>
        <v>0.964356758569874</v>
      </c>
      <c r="AC39" s="69">
        <f t="shared" si="4"/>
        <v>100.00000000000001</v>
      </c>
      <c r="AD39" s="47">
        <f t="shared" si="14"/>
        <v>4.2251805561426234</v>
      </c>
      <c r="AE39" s="69">
        <f t="shared" si="5"/>
        <v>28.775167785234892</v>
      </c>
      <c r="AF39" s="47">
        <f t="shared" si="15"/>
        <v>4.0714755237849705</v>
      </c>
      <c r="AG39" s="69">
        <f t="shared" si="6"/>
        <v>100</v>
      </c>
      <c r="AH39" s="47">
        <f t="shared" si="16"/>
        <v>3.4634867291258047</v>
      </c>
      <c r="AI39" s="69">
        <f t="shared" si="7"/>
        <v>75.34127214638397</v>
      </c>
      <c r="AJ39" s="47">
        <f t="shared" si="17"/>
        <v>3.9200476030177995</v>
      </c>
      <c r="AU39"/>
      <c r="AV39"/>
      <c r="AW39"/>
      <c r="AX39"/>
      <c r="AY39"/>
      <c r="AZ39"/>
      <c r="BA39"/>
      <c r="BB39"/>
      <c r="BC39"/>
      <c r="BD39"/>
      <c r="BE39"/>
    </row>
    <row r="40" spans="2:57" s="41" customFormat="1" ht="12.75">
      <c r="B40" s="46" t="s">
        <v>140</v>
      </c>
      <c r="C40" s="46"/>
      <c r="D40" s="46" t="s">
        <v>98</v>
      </c>
      <c r="E40" s="7"/>
      <c r="F40" s="47">
        <f t="shared" si="20"/>
        <v>17.388479527252116</v>
      </c>
      <c r="G40" s="12"/>
      <c r="H40" s="47">
        <f t="shared" si="20"/>
        <v>18.552538972307417</v>
      </c>
      <c r="I40" s="12"/>
      <c r="J40" s="47">
        <f t="shared" si="8"/>
        <v>17.996809888649853</v>
      </c>
      <c r="K40" s="67">
        <f t="shared" si="3"/>
        <v>0</v>
      </c>
      <c r="L40" s="47">
        <f t="shared" si="9"/>
        <v>17.97927612940313</v>
      </c>
      <c r="M40" s="68">
        <v>100</v>
      </c>
      <c r="N40" s="47">
        <f t="shared" si="22"/>
        <v>0.08846578529029421</v>
      </c>
      <c r="O40" s="68">
        <v>100</v>
      </c>
      <c r="P40" s="47">
        <f t="shared" si="22"/>
        <v>0.08880735202886678</v>
      </c>
      <c r="Q40" s="68">
        <v>100</v>
      </c>
      <c r="R40" s="47">
        <f t="shared" si="10"/>
        <v>0.09290615289173756</v>
      </c>
      <c r="S40" s="67">
        <f t="shared" si="11"/>
        <v>99.99999999999999</v>
      </c>
      <c r="T40" s="47">
        <f t="shared" si="18"/>
        <v>0.09005976340363286</v>
      </c>
      <c r="U40" s="68"/>
      <c r="V40" s="47">
        <f t="shared" si="21"/>
        <v>89.82829501046018</v>
      </c>
      <c r="W40" s="68"/>
      <c r="X40" s="47">
        <f t="shared" si="21"/>
        <v>79.04366680677002</v>
      </c>
      <c r="Y40" s="68"/>
      <c r="Z40" s="47">
        <f t="shared" si="12"/>
        <v>79.6677092381421</v>
      </c>
      <c r="AA40" s="67">
        <f t="shared" si="19"/>
        <v>0</v>
      </c>
      <c r="AB40" s="47">
        <f t="shared" si="13"/>
        <v>82.84655701845743</v>
      </c>
      <c r="AC40" s="69">
        <f t="shared" si="4"/>
        <v>0.08244311743210378</v>
      </c>
      <c r="AD40" s="47">
        <f t="shared" si="14"/>
        <v>107.3052403230026</v>
      </c>
      <c r="AE40" s="69">
        <f t="shared" si="5"/>
        <v>0.09091195177470619</v>
      </c>
      <c r="AF40" s="47">
        <f>SUM(X40,P40,H40)</f>
        <v>97.6850131311063</v>
      </c>
      <c r="AG40" s="69">
        <f t="shared" si="6"/>
        <v>0.0950374384615116</v>
      </c>
      <c r="AH40" s="47">
        <f t="shared" si="16"/>
        <v>97.75742527968369</v>
      </c>
      <c r="AI40" s="69">
        <f t="shared" si="7"/>
        <v>0.08924239860100411</v>
      </c>
      <c r="AJ40" s="47">
        <f t="shared" si="17"/>
        <v>100.9158929112642</v>
      </c>
      <c r="AU40"/>
      <c r="AV40"/>
      <c r="AW40"/>
      <c r="AX40"/>
      <c r="AY40"/>
      <c r="AZ40"/>
      <c r="BA40"/>
      <c r="BB40"/>
      <c r="BC40"/>
      <c r="BD40"/>
      <c r="BE40"/>
    </row>
    <row r="41" spans="2:57" s="41" customFormat="1" ht="12.75">
      <c r="B41" s="46" t="s">
        <v>141</v>
      </c>
      <c r="C41" s="46"/>
      <c r="D41" s="46" t="s">
        <v>98</v>
      </c>
      <c r="E41" s="7">
        <v>100</v>
      </c>
      <c r="F41" s="47">
        <f t="shared" si="20"/>
        <v>4.0578128542420675</v>
      </c>
      <c r="G41" s="7">
        <v>100</v>
      </c>
      <c r="H41" s="47">
        <f t="shared" si="20"/>
        <v>4.0578128542420675</v>
      </c>
      <c r="I41" s="7">
        <v>100</v>
      </c>
      <c r="J41" s="47">
        <f t="shared" si="8"/>
        <v>4.064644189013519</v>
      </c>
      <c r="K41" s="67">
        <f t="shared" si="3"/>
        <v>100.00000000000001</v>
      </c>
      <c r="L41" s="47">
        <f t="shared" si="9"/>
        <v>4.060089965832551</v>
      </c>
      <c r="M41" s="68">
        <v>100</v>
      </c>
      <c r="N41" s="47">
        <f t="shared" si="22"/>
        <v>0.01707833692862823</v>
      </c>
      <c r="O41" s="68">
        <v>100</v>
      </c>
      <c r="P41" s="47">
        <f t="shared" si="22"/>
        <v>0.01707833692862823</v>
      </c>
      <c r="Q41" s="68">
        <v>100</v>
      </c>
      <c r="R41" s="47">
        <f t="shared" si="10"/>
        <v>0.020494004314353872</v>
      </c>
      <c r="S41" s="67">
        <f t="shared" si="11"/>
        <v>100</v>
      </c>
      <c r="T41" s="47">
        <f t="shared" si="18"/>
        <v>0.01821689272387011</v>
      </c>
      <c r="U41" s="68">
        <v>100</v>
      </c>
      <c r="V41" s="47">
        <f t="shared" si="21"/>
        <v>0.5123501078588468</v>
      </c>
      <c r="W41" s="68">
        <v>100</v>
      </c>
      <c r="X41" s="47">
        <f t="shared" si="21"/>
        <v>0.42354275582997997</v>
      </c>
      <c r="Y41" s="68">
        <v>100</v>
      </c>
      <c r="Z41" s="47">
        <f t="shared" si="12"/>
        <v>0.867579515974314</v>
      </c>
      <c r="AA41" s="67">
        <f t="shared" si="19"/>
        <v>99.99999999999999</v>
      </c>
      <c r="AB41" s="47">
        <f t="shared" si="13"/>
        <v>0.6011574598877136</v>
      </c>
      <c r="AC41" s="69">
        <f t="shared" si="4"/>
        <v>99.99999999999999</v>
      </c>
      <c r="AD41" s="47">
        <f t="shared" si="14"/>
        <v>4.587241299029543</v>
      </c>
      <c r="AE41" s="69">
        <f t="shared" si="5"/>
        <v>100.00000000000001</v>
      </c>
      <c r="AF41" s="47">
        <f t="shared" si="15"/>
        <v>4.498433947000676</v>
      </c>
      <c r="AG41" s="69">
        <f t="shared" si="6"/>
        <v>100</v>
      </c>
      <c r="AH41" s="47">
        <f t="shared" si="16"/>
        <v>4.952717709302187</v>
      </c>
      <c r="AI41" s="69">
        <f t="shared" si="7"/>
        <v>100</v>
      </c>
      <c r="AJ41" s="47">
        <f t="shared" si="17"/>
        <v>4.679464318444135</v>
      </c>
      <c r="AU41"/>
      <c r="AV41"/>
      <c r="AW41"/>
      <c r="AX41"/>
      <c r="AY41"/>
      <c r="AZ41"/>
      <c r="BA41"/>
      <c r="BB41"/>
      <c r="BC41"/>
      <c r="BD41"/>
      <c r="BE41"/>
    </row>
    <row r="42" spans="2:57" s="41" customFormat="1" ht="12.75">
      <c r="B42" s="46" t="s">
        <v>142</v>
      </c>
      <c r="C42" s="46"/>
      <c r="D42" s="46" t="s">
        <v>98</v>
      </c>
      <c r="E42" s="7">
        <v>100</v>
      </c>
      <c r="F42" s="47">
        <f t="shared" si="20"/>
        <v>1.3901766259903379</v>
      </c>
      <c r="G42" s="7">
        <v>100</v>
      </c>
      <c r="H42" s="47">
        <f t="shared" si="20"/>
        <v>1.3901766259903379</v>
      </c>
      <c r="I42" s="12"/>
      <c r="J42" s="47">
        <f t="shared" si="8"/>
        <v>1.7419903667200791</v>
      </c>
      <c r="K42" s="67">
        <f t="shared" si="3"/>
        <v>61.48036253776436</v>
      </c>
      <c r="L42" s="47">
        <f t="shared" si="9"/>
        <v>1.5074478729002516</v>
      </c>
      <c r="M42" s="68">
        <v>100</v>
      </c>
      <c r="N42" s="47">
        <f t="shared" si="22"/>
        <v>0.020494004314353872</v>
      </c>
      <c r="O42" s="68">
        <v>100</v>
      </c>
      <c r="P42" s="47">
        <f t="shared" si="22"/>
        <v>0.020494004314353872</v>
      </c>
      <c r="Q42" s="68">
        <v>100</v>
      </c>
      <c r="R42" s="47">
        <f t="shared" si="10"/>
        <v>0.020494004314353872</v>
      </c>
      <c r="S42" s="67">
        <f t="shared" si="11"/>
        <v>100</v>
      </c>
      <c r="T42" s="47">
        <f t="shared" si="18"/>
        <v>0.020494004314353872</v>
      </c>
      <c r="U42" s="68">
        <v>100</v>
      </c>
      <c r="V42" s="47">
        <f t="shared" si="21"/>
        <v>0.05465067817161033</v>
      </c>
      <c r="W42" s="68">
        <v>100</v>
      </c>
      <c r="X42" s="47">
        <f t="shared" si="21"/>
        <v>0.058066345557335974</v>
      </c>
      <c r="Y42" s="68">
        <v>100</v>
      </c>
      <c r="Z42" s="47">
        <f t="shared" si="12"/>
        <v>0.05123501078588469</v>
      </c>
      <c r="AA42" s="67">
        <f t="shared" si="19"/>
        <v>100</v>
      </c>
      <c r="AB42" s="47">
        <f t="shared" si="13"/>
        <v>0.054650678171610324</v>
      </c>
      <c r="AC42" s="69">
        <f t="shared" si="4"/>
        <v>100</v>
      </c>
      <c r="AD42" s="47">
        <f t="shared" si="14"/>
        <v>1.4653213084763022</v>
      </c>
      <c r="AE42" s="69">
        <f t="shared" si="5"/>
        <v>100.00000000000001</v>
      </c>
      <c r="AF42" s="47">
        <f t="shared" si="15"/>
        <v>1.4687369758620277</v>
      </c>
      <c r="AG42" s="69">
        <f t="shared" si="6"/>
        <v>3.9548022598870065</v>
      </c>
      <c r="AH42" s="47">
        <f t="shared" si="16"/>
        <v>1.8137193818203177</v>
      </c>
      <c r="AI42" s="69">
        <f t="shared" si="7"/>
        <v>63.30935251798561</v>
      </c>
      <c r="AJ42" s="66">
        <f t="shared" si="17"/>
        <v>1.582592555386216</v>
      </c>
      <c r="AU42"/>
      <c r="AV42"/>
      <c r="AW42"/>
      <c r="AX42"/>
      <c r="AY42"/>
      <c r="AZ42"/>
      <c r="BA42"/>
      <c r="BB42"/>
      <c r="BC42"/>
      <c r="BD42"/>
      <c r="BE42"/>
    </row>
    <row r="43" spans="2:57" s="41" customFormat="1" ht="12.75">
      <c r="B43" s="46" t="s">
        <v>143</v>
      </c>
      <c r="C43" s="46"/>
      <c r="D43" s="46" t="s">
        <v>98</v>
      </c>
      <c r="E43" s="7">
        <v>100</v>
      </c>
      <c r="F43" s="47">
        <f t="shared" si="20"/>
        <v>16.227835749582542</v>
      </c>
      <c r="G43" s="12"/>
      <c r="H43" s="47">
        <f t="shared" si="20"/>
        <v>21.450391182357055</v>
      </c>
      <c r="I43" s="7">
        <v>100</v>
      </c>
      <c r="J43" s="47">
        <f t="shared" si="8"/>
        <v>15.674497633094989</v>
      </c>
      <c r="K43" s="67">
        <f t="shared" si="3"/>
        <v>59.79513444302178</v>
      </c>
      <c r="L43" s="47">
        <f t="shared" si="9"/>
        <v>17.784241521678194</v>
      </c>
      <c r="M43" s="68">
        <v>100</v>
      </c>
      <c r="N43" s="47">
        <f t="shared" si="22"/>
        <v>0.05465067817161033</v>
      </c>
      <c r="O43" s="68">
        <v>100</v>
      </c>
      <c r="P43" s="47">
        <f t="shared" si="22"/>
        <v>0.05465067817161033</v>
      </c>
      <c r="Q43" s="68">
        <v>100</v>
      </c>
      <c r="R43" s="47">
        <f t="shared" si="10"/>
        <v>0.05465067817161033</v>
      </c>
      <c r="S43" s="67">
        <f t="shared" si="11"/>
        <v>100</v>
      </c>
      <c r="T43" s="47">
        <f t="shared" si="18"/>
        <v>0.054650678171610324</v>
      </c>
      <c r="U43" s="68">
        <v>100</v>
      </c>
      <c r="V43" s="47">
        <f t="shared" si="21"/>
        <v>0.7651094944025447</v>
      </c>
      <c r="W43" s="68">
        <v>100</v>
      </c>
      <c r="X43" s="47">
        <f t="shared" si="21"/>
        <v>0.7070431488452087</v>
      </c>
      <c r="Y43" s="68">
        <v>100</v>
      </c>
      <c r="Z43" s="47">
        <f t="shared" si="12"/>
        <v>0.7480311574739164</v>
      </c>
      <c r="AA43" s="67">
        <f t="shared" si="19"/>
        <v>100</v>
      </c>
      <c r="AB43" s="47">
        <f t="shared" si="13"/>
        <v>0.7400612669072233</v>
      </c>
      <c r="AC43" s="69">
        <f t="shared" si="4"/>
        <v>100</v>
      </c>
      <c r="AD43" s="47">
        <f t="shared" si="14"/>
        <v>17.0475959221567</v>
      </c>
      <c r="AE43" s="69">
        <f t="shared" si="5"/>
        <v>3.4291865292941717</v>
      </c>
      <c r="AF43" s="47">
        <f t="shared" si="15"/>
        <v>22.212085009373876</v>
      </c>
      <c r="AG43" s="69">
        <f t="shared" si="6"/>
        <v>99.99999999999999</v>
      </c>
      <c r="AH43" s="47">
        <f t="shared" si="16"/>
        <v>16.477179468740516</v>
      </c>
      <c r="AI43" s="69">
        <f t="shared" si="7"/>
        <v>61.51489153082487</v>
      </c>
      <c r="AJ43" s="47">
        <f t="shared" si="17"/>
        <v>18.578953466757028</v>
      </c>
      <c r="AU43"/>
      <c r="AV43"/>
      <c r="AW43"/>
      <c r="AX43"/>
      <c r="AY43"/>
      <c r="AZ43"/>
      <c r="BA43"/>
      <c r="BB43"/>
      <c r="BC43"/>
      <c r="BD43"/>
      <c r="BE43"/>
    </row>
    <row r="44" spans="2:57" s="41" customFormat="1" ht="12.75">
      <c r="B44" s="46" t="s">
        <v>144</v>
      </c>
      <c r="C44" s="46"/>
      <c r="D44" s="46" t="s">
        <v>98</v>
      </c>
      <c r="E44" s="7">
        <v>100</v>
      </c>
      <c r="F44" s="47">
        <f t="shared" si="20"/>
        <v>13.912013262060555</v>
      </c>
      <c r="G44" s="7">
        <v>100</v>
      </c>
      <c r="H44" s="47">
        <f t="shared" si="20"/>
        <v>13.91542892944628</v>
      </c>
      <c r="I44" s="7">
        <v>100</v>
      </c>
      <c r="J44" s="47">
        <f t="shared" si="8"/>
        <v>14.513170721948269</v>
      </c>
      <c r="K44" s="67">
        <f t="shared" si="3"/>
        <v>99.99999999999999</v>
      </c>
      <c r="L44" s="47">
        <f t="shared" si="9"/>
        <v>14.113537637818368</v>
      </c>
      <c r="M44" s="68">
        <v>100</v>
      </c>
      <c r="N44" s="47">
        <f t="shared" si="22"/>
        <v>0.01707833692862823</v>
      </c>
      <c r="O44" s="68">
        <v>100</v>
      </c>
      <c r="P44" s="47">
        <f t="shared" si="22"/>
        <v>0.01707833692862823</v>
      </c>
      <c r="Q44" s="68">
        <v>100</v>
      </c>
      <c r="R44" s="47">
        <f t="shared" si="10"/>
        <v>0.01707833692862823</v>
      </c>
      <c r="S44" s="67">
        <f t="shared" si="11"/>
        <v>100</v>
      </c>
      <c r="T44" s="47">
        <f t="shared" si="18"/>
        <v>0.01707833692862823</v>
      </c>
      <c r="U44" s="68">
        <v>100</v>
      </c>
      <c r="V44" s="47">
        <f t="shared" si="21"/>
        <v>0.6626394728307753</v>
      </c>
      <c r="W44" s="68">
        <v>100</v>
      </c>
      <c r="X44" s="47">
        <f t="shared" si="21"/>
        <v>0.6079887946591649</v>
      </c>
      <c r="Y44" s="68">
        <v>100</v>
      </c>
      <c r="Z44" s="47">
        <f t="shared" si="12"/>
        <v>0.6114044620448905</v>
      </c>
      <c r="AA44" s="67">
        <f t="shared" si="19"/>
        <v>99.99999999999999</v>
      </c>
      <c r="AB44" s="47">
        <f t="shared" si="13"/>
        <v>0.627344243178277</v>
      </c>
      <c r="AC44" s="69">
        <f t="shared" si="4"/>
        <v>100.00000000000001</v>
      </c>
      <c r="AD44" s="47">
        <f t="shared" si="14"/>
        <v>14.591731071819957</v>
      </c>
      <c r="AE44" s="69">
        <f t="shared" si="5"/>
        <v>100</v>
      </c>
      <c r="AF44" s="47">
        <f t="shared" si="15"/>
        <v>14.540496061034073</v>
      </c>
      <c r="AG44" s="69">
        <f t="shared" si="6"/>
        <v>100</v>
      </c>
      <c r="AH44" s="47">
        <f t="shared" si="16"/>
        <v>15.141653520921787</v>
      </c>
      <c r="AI44" s="69">
        <f t="shared" si="7"/>
        <v>99.99999999999997</v>
      </c>
      <c r="AJ44" s="47">
        <f t="shared" si="17"/>
        <v>14.757960217925273</v>
      </c>
      <c r="AU44"/>
      <c r="AV44"/>
      <c r="AW44"/>
      <c r="AX44"/>
      <c r="AY44"/>
      <c r="AZ44"/>
      <c r="BA44"/>
      <c r="BB44"/>
      <c r="BC44"/>
      <c r="BD44"/>
      <c r="BE44"/>
    </row>
    <row r="45" spans="2:57" s="41" customFormat="1" ht="12.75">
      <c r="B45" s="46"/>
      <c r="C45" s="46"/>
      <c r="D45" s="46"/>
      <c r="E45" s="7"/>
      <c r="F45" s="47"/>
      <c r="G45" s="7"/>
      <c r="H45" s="47"/>
      <c r="I45" s="7"/>
      <c r="J45" s="47"/>
      <c r="K45" s="61"/>
      <c r="L45" s="47"/>
      <c r="M45" s="62"/>
      <c r="N45" s="47"/>
      <c r="O45" s="62"/>
      <c r="P45" s="47"/>
      <c r="Q45" s="62"/>
      <c r="R45" s="47"/>
      <c r="S45" s="62"/>
      <c r="T45" s="66"/>
      <c r="U45" s="62"/>
      <c r="V45" s="47"/>
      <c r="W45" s="62"/>
      <c r="X45" s="47"/>
      <c r="Y45" s="62"/>
      <c r="Z45" s="47"/>
      <c r="AA45" s="62"/>
      <c r="AB45" s="47"/>
      <c r="AC45" s="47"/>
      <c r="AD45" s="47"/>
      <c r="AE45" s="47"/>
      <c r="AF45" s="47"/>
      <c r="AG45" s="47"/>
      <c r="AH45" s="47"/>
      <c r="AI45" s="47"/>
      <c r="AJ45" s="47"/>
      <c r="AU45"/>
      <c r="AV45"/>
      <c r="AW45"/>
      <c r="AX45"/>
      <c r="AY45"/>
      <c r="AZ45"/>
      <c r="BA45"/>
      <c r="BB45"/>
      <c r="BC45"/>
      <c r="BD45"/>
      <c r="BE45"/>
    </row>
    <row r="46" spans="2:57" s="41" customFormat="1" ht="12.75">
      <c r="B46" s="46" t="s">
        <v>5</v>
      </c>
      <c r="C46" s="46"/>
      <c r="D46" s="46" t="s">
        <v>98</v>
      </c>
      <c r="E46" s="44">
        <f>(E39*F39+E41*F41)/F46</f>
        <v>99.99999999999999</v>
      </c>
      <c r="F46" s="43">
        <f>(F39+F41)</f>
        <v>6.954298797337415</v>
      </c>
      <c r="G46" s="44">
        <f>(G39*H39+G41*H41)/H46</f>
        <v>58.32106038291606</v>
      </c>
      <c r="H46" s="43">
        <f>(H39+H41)</f>
        <v>6.957714464723141</v>
      </c>
      <c r="I46" s="44">
        <f>(I39*J39+I41*J41)/J46</f>
        <v>99.99999999999999</v>
      </c>
      <c r="J46" s="43">
        <f>(J39+J41)</f>
        <v>6.967961466880318</v>
      </c>
      <c r="K46" s="44">
        <f>(K39*L39+K41*L41)/L46</f>
        <v>86.11156551611322</v>
      </c>
      <c r="L46" s="47">
        <f>AVERAGE(F46,H46,J46)</f>
        <v>6.959991576313624</v>
      </c>
      <c r="M46" s="44">
        <f>(M39*N39+M41*N41)/N46</f>
        <v>100</v>
      </c>
      <c r="N46" s="43">
        <f>(N39+N41)</f>
        <v>0.07172901510023856</v>
      </c>
      <c r="O46" s="44">
        <f>(O39*P39+O41*P41)/P46</f>
        <v>100</v>
      </c>
      <c r="P46" s="43">
        <f>(P39+P41)</f>
        <v>0.07172901510023856</v>
      </c>
      <c r="Q46" s="44">
        <f>(Q39*R39+Q41*R41)/R46</f>
        <v>100</v>
      </c>
      <c r="R46" s="43">
        <f>(R39+R41)</f>
        <v>0.07856034987168985</v>
      </c>
      <c r="S46" s="44">
        <f>(S39*T39+S41*T41)/T46</f>
        <v>100.00000000000001</v>
      </c>
      <c r="T46" s="66">
        <f>AVERAGE(N46,P46,R46)</f>
        <v>0.07400612669072232</v>
      </c>
      <c r="U46" s="44">
        <f>(U39*V39+U41*V41)/V46</f>
        <v>99.99999999999999</v>
      </c>
      <c r="V46" s="43">
        <f>(V39+V41)</f>
        <v>1.7863940427345126</v>
      </c>
      <c r="W46" s="44">
        <f>(W39*X39+W41*X41)/X46</f>
        <v>99.99999999999999</v>
      </c>
      <c r="X46" s="43">
        <f>(X39+X41)</f>
        <v>1.5404659909622662</v>
      </c>
      <c r="Y46" s="44">
        <f>(Y39*Z39+Y41*Z41)/Z46</f>
        <v>99.99999999999999</v>
      </c>
      <c r="Z46" s="43">
        <f>(Z39+Z41)</f>
        <v>1.3696826216759839</v>
      </c>
      <c r="AA46" s="44">
        <f>(AA39*AB39+AA41*AB41)/AB46</f>
        <v>100</v>
      </c>
      <c r="AB46" s="47">
        <f>AVERAGE(V46,X46,Z46)</f>
        <v>1.5655142184575874</v>
      </c>
      <c r="AC46" s="44">
        <f>(AC39*AD39+AC41*AD41)/AD46</f>
        <v>100</v>
      </c>
      <c r="AD46" s="47">
        <f>SUM(V46,N46,F46)</f>
        <v>8.812421855172166</v>
      </c>
      <c r="AE46" s="44">
        <f>(AE39*AF39+AE41*AF41)/AF46</f>
        <v>66.16181745715424</v>
      </c>
      <c r="AF46" s="47">
        <f>SUM(X46,P46,H46)</f>
        <v>8.569909470785646</v>
      </c>
      <c r="AG46" s="44">
        <f>(AG39*AH39+AG41*AH41)/AH46</f>
        <v>100.00000000000001</v>
      </c>
      <c r="AH46" s="47">
        <f>SUM(Z46,R46,J46)</f>
        <v>8.416204438427991</v>
      </c>
      <c r="AI46" s="44">
        <f>(AI39*AJ39+AI41*AJ41)/AJ46</f>
        <v>88.7594333377466</v>
      </c>
      <c r="AJ46" s="47">
        <f t="shared" si="17"/>
        <v>8.599511921461934</v>
      </c>
      <c r="AU46"/>
      <c r="AV46"/>
      <c r="AW46"/>
      <c r="AX46"/>
      <c r="AY46"/>
      <c r="AZ46"/>
      <c r="BA46"/>
      <c r="BB46"/>
      <c r="BC46"/>
      <c r="BD46"/>
      <c r="BE46"/>
    </row>
    <row r="47" spans="2:57" s="41" customFormat="1" ht="12.75">
      <c r="B47" s="46" t="s">
        <v>6</v>
      </c>
      <c r="C47" s="46"/>
      <c r="D47" s="46" t="s">
        <v>98</v>
      </c>
      <c r="E47" s="44">
        <f>(E36*F36+E38*F38+E40*F40)/F47</f>
        <v>23.07413339780592</v>
      </c>
      <c r="F47" s="43">
        <f>(F36+F38+F40)</f>
        <v>22.604203625255177</v>
      </c>
      <c r="G47" s="44">
        <f>(G36*H36+G38*H38+G40*H40)/H47</f>
        <v>21.944069209323715</v>
      </c>
      <c r="H47" s="43">
        <f>(H36+H38+H40)</f>
        <v>23.76826307031048</v>
      </c>
      <c r="I47" s="44">
        <f>(I36*J36+I38*J38+I40*J40)/J47</f>
        <v>24.394093759416844</v>
      </c>
      <c r="J47" s="43">
        <f>(J36+J38+J40)</f>
        <v>23.80344444438345</v>
      </c>
      <c r="K47" s="44">
        <f>(K36*L36+K38*L38+K40*L40)/L47</f>
        <v>23.13911210836542</v>
      </c>
      <c r="L47" s="47">
        <f>AVERAGE(F47,H47,J47)</f>
        <v>23.391970379983036</v>
      </c>
      <c r="M47" s="44">
        <f>(M36*N36+M38*N38+M40*N40)/N47</f>
        <v>60.3340292275574</v>
      </c>
      <c r="N47" s="43">
        <f>(N36+N38+N40)</f>
        <v>0.16361046777625843</v>
      </c>
      <c r="O47" s="44">
        <f>(O36*P36+O38*P38+O40*P40)/P47</f>
        <v>60.416666666666664</v>
      </c>
      <c r="P47" s="43">
        <f>(P36+P38+P40)</f>
        <v>0.16395203451483098</v>
      </c>
      <c r="Q47" s="44">
        <f>(Q36*R36+Q38*R38+Q40*R40)/R47</f>
        <v>60.15936254980079</v>
      </c>
      <c r="R47" s="43">
        <f>(R36+R38+R40)</f>
        <v>0.17146650276342743</v>
      </c>
      <c r="S47" s="44">
        <f>(S36*T36+S38*T38+S40*T40)/T47</f>
        <v>60.30116358658452</v>
      </c>
      <c r="T47" s="66">
        <f>AVERAGE(N47,P47,R47)</f>
        <v>0.16634300168483895</v>
      </c>
      <c r="U47" s="44">
        <f>(U36*V36+U38*V38+U40*V40)/V47</f>
        <v>1.2392550950283339</v>
      </c>
      <c r="V47" s="43">
        <f>(V36+V38+V40)</f>
        <v>90.95546524774964</v>
      </c>
      <c r="W47" s="44">
        <f>(W36*X36+W38*X38+W40*X40)/X47</f>
        <v>1.2545070512683751</v>
      </c>
      <c r="X47" s="43">
        <f>(X36+X38+X40)</f>
        <v>80.04787301817336</v>
      </c>
      <c r="Y47" s="44">
        <f>(Y36*Z36+Y38*Z38+Y40*Z40)/Z47</f>
        <v>0.8333262472257891</v>
      </c>
      <c r="Z47" s="43">
        <f>(Z36+Z38+Z40)</f>
        <v>80.33718004574432</v>
      </c>
      <c r="AA47" s="44">
        <f>(AA36*AB36+AA38*AB38+AA40*AB40)/AB47</f>
        <v>1.1143636032539417</v>
      </c>
      <c r="AB47" s="47">
        <f>AVERAGE(V47,X47,Z47)</f>
        <v>83.78017277055578</v>
      </c>
      <c r="AC47" s="44">
        <f>(AC36*AD36+AC38*AD38+AC40*AD40)/AD47</f>
        <v>5.664281895562644</v>
      </c>
      <c r="AD47" s="47">
        <f>SUM(V47,N47,F47)</f>
        <v>113.72327934078108</v>
      </c>
      <c r="AE47" s="44">
        <f>(AE36*AF36+AE38*AF38+AE40*AF40)/AF47</f>
        <v>6.07711031761935</v>
      </c>
      <c r="AF47" s="47">
        <f>SUM(X47,P47,H47)</f>
        <v>103.98008812299868</v>
      </c>
      <c r="AG47" s="44">
        <f>(AG36*AH36+AG38*AH38+AG40*AH40)/AH47</f>
        <v>6.307282747148757</v>
      </c>
      <c r="AH47" s="47">
        <f>SUM(Z47,R47,J47)</f>
        <v>104.3120909928912</v>
      </c>
      <c r="AI47" s="44">
        <f>(AI36*AJ36+AI38*AJ38+AI40*AJ40)/AJ47</f>
        <v>6.005876363019221</v>
      </c>
      <c r="AJ47" s="47">
        <f t="shared" si="17"/>
        <v>107.33848615222365</v>
      </c>
      <c r="AU47"/>
      <c r="AV47"/>
      <c r="AW47"/>
      <c r="AX47"/>
      <c r="AY47"/>
      <c r="AZ47"/>
      <c r="BA47"/>
      <c r="BB47"/>
      <c r="BC47"/>
      <c r="BD47"/>
      <c r="BE47"/>
    </row>
    <row r="51" spans="1:3" ht="13.5" customHeight="1">
      <c r="A51" s="7" t="s">
        <v>175</v>
      </c>
      <c r="B51" s="6" t="s">
        <v>58</v>
      </c>
      <c r="C51" s="6"/>
    </row>
    <row r="53" ht="12.75">
      <c r="B53" s="7" t="s">
        <v>81</v>
      </c>
    </row>
    <row r="57" spans="1:36" ht="12.75">
      <c r="A57" s="7" t="s">
        <v>175</v>
      </c>
      <c r="B57" s="6" t="s">
        <v>89</v>
      </c>
      <c r="C57" s="6"/>
      <c r="F57" s="8" t="s">
        <v>209</v>
      </c>
      <c r="G57" s="29"/>
      <c r="H57" s="8" t="s">
        <v>210</v>
      </c>
      <c r="I57" s="29"/>
      <c r="J57" s="8" t="s">
        <v>211</v>
      </c>
      <c r="L57" s="7" t="s">
        <v>35</v>
      </c>
      <c r="N57" s="8" t="s">
        <v>209</v>
      </c>
      <c r="O57" s="29"/>
      <c r="P57" s="8" t="s">
        <v>210</v>
      </c>
      <c r="Q57" s="29"/>
      <c r="R57" s="8" t="s">
        <v>211</v>
      </c>
      <c r="T57" s="7" t="s">
        <v>35</v>
      </c>
      <c r="V57" s="8" t="s">
        <v>209</v>
      </c>
      <c r="W57" s="29"/>
      <c r="X57" s="8" t="s">
        <v>210</v>
      </c>
      <c r="Y57" s="29"/>
      <c r="Z57" s="8" t="s">
        <v>211</v>
      </c>
      <c r="AB57" s="7" t="s">
        <v>35</v>
      </c>
      <c r="AD57" s="8" t="s">
        <v>209</v>
      </c>
      <c r="AE57" s="29"/>
      <c r="AF57" s="8" t="s">
        <v>210</v>
      </c>
      <c r="AG57" s="29"/>
      <c r="AH57" s="8" t="s">
        <v>211</v>
      </c>
      <c r="AI57" s="8"/>
      <c r="AJ57" s="7" t="s">
        <v>35</v>
      </c>
    </row>
    <row r="58" spans="2:46" ht="12.75">
      <c r="B58" s="29"/>
      <c r="C58" s="29"/>
      <c r="D58" s="29"/>
      <c r="L58" s="8"/>
      <c r="T58" s="8"/>
      <c r="AB58" s="8"/>
      <c r="AC58" s="8"/>
      <c r="AD58" s="8"/>
      <c r="AE58" s="8"/>
      <c r="AF58" s="8"/>
      <c r="AG58" s="8"/>
      <c r="AH58" s="8"/>
      <c r="AI58" s="8"/>
      <c r="AK58"/>
      <c r="AL58"/>
      <c r="AM58"/>
      <c r="AN58"/>
      <c r="AO58"/>
      <c r="AP58"/>
      <c r="AQ58"/>
      <c r="AR58"/>
      <c r="AS58"/>
      <c r="AT58"/>
    </row>
    <row r="59" spans="2:46" ht="12.75">
      <c r="B59" s="29" t="s">
        <v>219</v>
      </c>
      <c r="C59" s="29"/>
      <c r="D59" s="29"/>
      <c r="E59" s="29"/>
      <c r="F59" s="8" t="s">
        <v>221</v>
      </c>
      <c r="G59" s="29"/>
      <c r="H59" s="8" t="s">
        <v>221</v>
      </c>
      <c r="I59" s="29"/>
      <c r="J59" s="8" t="s">
        <v>221</v>
      </c>
      <c r="K59" s="29"/>
      <c r="L59" s="8" t="s">
        <v>221</v>
      </c>
      <c r="N59" s="8" t="s">
        <v>224</v>
      </c>
      <c r="P59" s="8" t="s">
        <v>224</v>
      </c>
      <c r="R59" s="8" t="s">
        <v>224</v>
      </c>
      <c r="T59" s="8" t="s">
        <v>224</v>
      </c>
      <c r="V59" s="8" t="s">
        <v>225</v>
      </c>
      <c r="X59" s="8" t="s">
        <v>225</v>
      </c>
      <c r="Z59" s="8" t="s">
        <v>225</v>
      </c>
      <c r="AB59" s="8" t="s">
        <v>225</v>
      </c>
      <c r="AC59" s="8"/>
      <c r="AD59" s="8" t="s">
        <v>226</v>
      </c>
      <c r="AE59" s="8"/>
      <c r="AF59" s="8" t="s">
        <v>226</v>
      </c>
      <c r="AG59" s="8"/>
      <c r="AH59" s="8" t="s">
        <v>226</v>
      </c>
      <c r="AI59" s="8"/>
      <c r="AJ59" s="8" t="s">
        <v>226</v>
      </c>
      <c r="AK59"/>
      <c r="AL59"/>
      <c r="AM59"/>
      <c r="AN59"/>
      <c r="AO59"/>
      <c r="AP59"/>
      <c r="AQ59"/>
      <c r="AR59"/>
      <c r="AS59"/>
      <c r="AT59"/>
    </row>
    <row r="60" spans="2:46" ht="12.75">
      <c r="B60" s="29" t="s">
        <v>220</v>
      </c>
      <c r="C60" s="29"/>
      <c r="D60" s="29"/>
      <c r="E60" s="29"/>
      <c r="F60" s="8" t="s">
        <v>222</v>
      </c>
      <c r="G60" s="29"/>
      <c r="H60" s="8" t="s">
        <v>222</v>
      </c>
      <c r="I60" s="29"/>
      <c r="J60" s="8" t="s">
        <v>222</v>
      </c>
      <c r="K60" s="29"/>
      <c r="L60" s="8" t="s">
        <v>222</v>
      </c>
      <c r="N60" s="8" t="s">
        <v>223</v>
      </c>
      <c r="P60" s="8" t="s">
        <v>223</v>
      </c>
      <c r="R60" s="8" t="s">
        <v>223</v>
      </c>
      <c r="T60" s="8" t="s">
        <v>223</v>
      </c>
      <c r="V60" s="65" t="s">
        <v>15</v>
      </c>
      <c r="X60" s="65" t="s">
        <v>15</v>
      </c>
      <c r="Z60" s="65" t="s">
        <v>15</v>
      </c>
      <c r="AB60" s="65" t="s">
        <v>15</v>
      </c>
      <c r="AC60" s="8"/>
      <c r="AD60" s="8" t="s">
        <v>91</v>
      </c>
      <c r="AE60" s="8"/>
      <c r="AF60" s="8" t="s">
        <v>91</v>
      </c>
      <c r="AG60" s="8"/>
      <c r="AH60" s="8" t="s">
        <v>91</v>
      </c>
      <c r="AI60" s="8"/>
      <c r="AJ60" s="8" t="s">
        <v>91</v>
      </c>
      <c r="AK60"/>
      <c r="AL60"/>
      <c r="AM60"/>
      <c r="AN60"/>
      <c r="AO60"/>
      <c r="AP60"/>
      <c r="AQ60"/>
      <c r="AR60"/>
      <c r="AS60"/>
      <c r="AT60"/>
    </row>
    <row r="61" spans="2:46" ht="12.75">
      <c r="B61" s="29" t="s">
        <v>227</v>
      </c>
      <c r="C61" s="29"/>
      <c r="D61" s="29"/>
      <c r="E61" s="29"/>
      <c r="F61" s="8" t="s">
        <v>1</v>
      </c>
      <c r="G61" s="29"/>
      <c r="H61" s="8" t="s">
        <v>1</v>
      </c>
      <c r="I61" s="29"/>
      <c r="J61" s="8" t="s">
        <v>1</v>
      </c>
      <c r="K61" s="29"/>
      <c r="L61" s="8" t="s">
        <v>1</v>
      </c>
      <c r="N61" s="8" t="s">
        <v>228</v>
      </c>
      <c r="P61" s="8" t="s">
        <v>228</v>
      </c>
      <c r="R61" s="8" t="s">
        <v>228</v>
      </c>
      <c r="T61" s="8" t="s">
        <v>228</v>
      </c>
      <c r="V61" s="65" t="s">
        <v>15</v>
      </c>
      <c r="X61" s="65" t="s">
        <v>15</v>
      </c>
      <c r="Z61" s="65" t="s">
        <v>15</v>
      </c>
      <c r="AB61" s="65" t="s">
        <v>15</v>
      </c>
      <c r="AC61" s="8"/>
      <c r="AD61" s="8" t="s">
        <v>91</v>
      </c>
      <c r="AE61" s="8"/>
      <c r="AF61" s="8" t="s">
        <v>91</v>
      </c>
      <c r="AG61" s="8"/>
      <c r="AH61" s="8" t="s">
        <v>91</v>
      </c>
      <c r="AI61" s="8"/>
      <c r="AJ61" s="8" t="s">
        <v>91</v>
      </c>
      <c r="AK61"/>
      <c r="AL61"/>
      <c r="AM61"/>
      <c r="AN61"/>
      <c r="AO61"/>
      <c r="AP61"/>
      <c r="AQ61"/>
      <c r="AR61"/>
      <c r="AS61"/>
      <c r="AT61"/>
    </row>
    <row r="62" spans="2:46" ht="12.75">
      <c r="B62" s="7" t="s">
        <v>177</v>
      </c>
      <c r="F62" s="30" t="s">
        <v>60</v>
      </c>
      <c r="H62" s="30" t="s">
        <v>60</v>
      </c>
      <c r="J62" s="30" t="s">
        <v>60</v>
      </c>
      <c r="L62" s="30" t="s">
        <v>60</v>
      </c>
      <c r="N62" s="30" t="s">
        <v>61</v>
      </c>
      <c r="P62" s="30" t="s">
        <v>61</v>
      </c>
      <c r="R62" s="30" t="s">
        <v>61</v>
      </c>
      <c r="T62" s="30" t="s">
        <v>61</v>
      </c>
      <c r="V62" s="30" t="s">
        <v>15</v>
      </c>
      <c r="X62" s="30" t="s">
        <v>15</v>
      </c>
      <c r="Z62" s="30" t="s">
        <v>15</v>
      </c>
      <c r="AB62" s="30" t="s">
        <v>15</v>
      </c>
      <c r="AC62" s="30"/>
      <c r="AD62" s="30" t="s">
        <v>91</v>
      </c>
      <c r="AE62" s="30"/>
      <c r="AF62" s="30" t="s">
        <v>91</v>
      </c>
      <c r="AG62" s="30"/>
      <c r="AH62" s="30" t="s">
        <v>91</v>
      </c>
      <c r="AI62" s="30"/>
      <c r="AJ62" s="30" t="s">
        <v>91</v>
      </c>
      <c r="AK62"/>
      <c r="AL62"/>
      <c r="AM62"/>
      <c r="AN62"/>
      <c r="AO62"/>
      <c r="AP62"/>
      <c r="AQ62"/>
      <c r="AR62"/>
      <c r="AS62"/>
      <c r="AT62"/>
    </row>
    <row r="63" spans="2:46" ht="12.75">
      <c r="B63" s="7" t="s">
        <v>82</v>
      </c>
      <c r="D63" s="7" t="s">
        <v>41</v>
      </c>
      <c r="F63" s="8">
        <v>3694.8</v>
      </c>
      <c r="H63" s="8">
        <v>3716.7</v>
      </c>
      <c r="J63" s="8">
        <v>3689.2</v>
      </c>
      <c r="L63" s="16">
        <v>3700.2</v>
      </c>
      <c r="N63" s="16">
        <v>1043.4</v>
      </c>
      <c r="P63" s="16">
        <v>1043.4</v>
      </c>
      <c r="R63" s="16">
        <v>1043.4</v>
      </c>
      <c r="T63" s="16">
        <v>1043.4</v>
      </c>
      <c r="AB63" s="7">
        <v>37.1</v>
      </c>
      <c r="AK63"/>
      <c r="AL63"/>
      <c r="AM63"/>
      <c r="AN63"/>
      <c r="AO63"/>
      <c r="AP63"/>
      <c r="AQ63"/>
      <c r="AR63"/>
      <c r="AS63"/>
      <c r="AT63"/>
    </row>
    <row r="64" spans="2:46" ht="12.75">
      <c r="B64" s="7" t="s">
        <v>49</v>
      </c>
      <c r="D64" s="7" t="s">
        <v>56</v>
      </c>
      <c r="F64" s="15">
        <v>0.9898</v>
      </c>
      <c r="H64" s="15">
        <v>0.9898</v>
      </c>
      <c r="J64" s="15">
        <v>0.9898</v>
      </c>
      <c r="L64" s="15">
        <v>0.9898</v>
      </c>
      <c r="N64" s="16"/>
      <c r="P64" s="16"/>
      <c r="R64" s="16"/>
      <c r="T64" s="16"/>
      <c r="AK64"/>
      <c r="AL64"/>
      <c r="AM64"/>
      <c r="AN64"/>
      <c r="AO64"/>
      <c r="AP64"/>
      <c r="AQ64"/>
      <c r="AR64"/>
      <c r="AS64"/>
      <c r="AT64"/>
    </row>
    <row r="65" spans="2:46" ht="12.75">
      <c r="B65" s="7" t="s">
        <v>40</v>
      </c>
      <c r="D65" s="7" t="s">
        <v>44</v>
      </c>
      <c r="F65" s="16">
        <v>15381</v>
      </c>
      <c r="H65" s="16">
        <v>15381</v>
      </c>
      <c r="J65" s="16">
        <v>15381</v>
      </c>
      <c r="L65" s="16">
        <v>15381</v>
      </c>
      <c r="N65" s="16">
        <v>23350.386229841322</v>
      </c>
      <c r="P65" s="16">
        <v>21214</v>
      </c>
      <c r="R65" s="16">
        <v>21214</v>
      </c>
      <c r="T65" s="16">
        <v>21214</v>
      </c>
      <c r="AJ65" s="53"/>
      <c r="AK65"/>
      <c r="AL65"/>
      <c r="AM65"/>
      <c r="AN65"/>
      <c r="AO65"/>
      <c r="AP65"/>
      <c r="AQ65"/>
      <c r="AR65"/>
      <c r="AS65"/>
      <c r="AT65"/>
    </row>
    <row r="66" spans="2:46" ht="12.75">
      <c r="B66" s="7" t="s">
        <v>10</v>
      </c>
      <c r="D66" s="7" t="s">
        <v>48</v>
      </c>
      <c r="E66" s="8" t="s">
        <v>39</v>
      </c>
      <c r="F66" s="30">
        <v>1681.04</v>
      </c>
      <c r="G66" s="30" t="s">
        <v>39</v>
      </c>
      <c r="H66" s="30">
        <v>1699.14</v>
      </c>
      <c r="I66" s="30" t="s">
        <v>39</v>
      </c>
      <c r="J66" s="30">
        <v>1680.86</v>
      </c>
      <c r="L66" s="12">
        <f>AVERAGE(1681,1699,1680)</f>
        <v>1686.6666666666667</v>
      </c>
      <c r="T66" s="16"/>
      <c r="V66" s="30">
        <v>3319.95</v>
      </c>
      <c r="W66" s="30"/>
      <c r="X66" s="30">
        <v>3203.25</v>
      </c>
      <c r="Y66" s="30"/>
      <c r="Z66" s="30">
        <v>3192.55</v>
      </c>
      <c r="AB66" s="12">
        <f>AVERAGE(3320,3203,3193)</f>
        <v>3238.6666666666665</v>
      </c>
      <c r="AC66" s="12"/>
      <c r="AD66" s="12"/>
      <c r="AE66" s="12"/>
      <c r="AF66" s="12"/>
      <c r="AG66" s="12"/>
      <c r="AH66" s="12"/>
      <c r="AI66" s="12"/>
      <c r="AJ66" s="52"/>
      <c r="AK66"/>
      <c r="AL66"/>
      <c r="AM66"/>
      <c r="AN66"/>
      <c r="AO66"/>
      <c r="AP66"/>
      <c r="AQ66"/>
      <c r="AR66"/>
      <c r="AS66"/>
      <c r="AT66"/>
    </row>
    <row r="67" spans="2:46" ht="12.75">
      <c r="B67" s="7" t="s">
        <v>42</v>
      </c>
      <c r="D67" s="7" t="s">
        <v>48</v>
      </c>
      <c r="E67" s="8" t="s">
        <v>39</v>
      </c>
      <c r="F67" s="30">
        <v>156.34</v>
      </c>
      <c r="G67" s="30" t="s">
        <v>39</v>
      </c>
      <c r="H67" s="30">
        <v>141.03</v>
      </c>
      <c r="I67" s="30" t="s">
        <v>39</v>
      </c>
      <c r="J67" s="30">
        <v>156.32</v>
      </c>
      <c r="L67" s="12">
        <f>AVERAGE(156,141,156)</f>
        <v>151</v>
      </c>
      <c r="T67" s="15"/>
      <c r="U67" s="8" t="s">
        <v>39</v>
      </c>
      <c r="V67" s="30">
        <v>1.53</v>
      </c>
      <c r="W67" s="30" t="s">
        <v>39</v>
      </c>
      <c r="X67" s="30">
        <v>1.53</v>
      </c>
      <c r="Y67" s="30" t="s">
        <v>39</v>
      </c>
      <c r="Z67" s="30">
        <v>1.52</v>
      </c>
      <c r="AB67" s="7">
        <v>1.56</v>
      </c>
      <c r="AJ67" s="52"/>
      <c r="AK67"/>
      <c r="AL67"/>
      <c r="AM67"/>
      <c r="AN67"/>
      <c r="AO67"/>
      <c r="AP67"/>
      <c r="AQ67"/>
      <c r="AR67"/>
      <c r="AS67"/>
      <c r="AT67"/>
    </row>
    <row r="68" spans="2:46" ht="12.75">
      <c r="B68" s="7" t="s">
        <v>135</v>
      </c>
      <c r="D68" s="7" t="s">
        <v>48</v>
      </c>
      <c r="E68" s="8" t="s">
        <v>39</v>
      </c>
      <c r="F68" s="30">
        <v>0.34</v>
      </c>
      <c r="G68" s="30" t="s">
        <v>39</v>
      </c>
      <c r="H68" s="30">
        <v>0.34</v>
      </c>
      <c r="I68" s="30" t="s">
        <v>39</v>
      </c>
      <c r="J68" s="30">
        <v>0.34</v>
      </c>
      <c r="L68" s="11">
        <v>0.34</v>
      </c>
      <c r="T68" s="15"/>
      <c r="U68" s="8" t="s">
        <v>39</v>
      </c>
      <c r="V68" s="30">
        <v>0.001</v>
      </c>
      <c r="W68" s="30" t="s">
        <v>39</v>
      </c>
      <c r="X68" s="30">
        <v>0.001</v>
      </c>
      <c r="Y68" s="30" t="s">
        <v>39</v>
      </c>
      <c r="Z68" s="30">
        <v>0.004</v>
      </c>
      <c r="AB68" s="15">
        <v>0.001</v>
      </c>
      <c r="AC68" s="15"/>
      <c r="AD68" s="15"/>
      <c r="AE68" s="15"/>
      <c r="AF68" s="15"/>
      <c r="AG68" s="15"/>
      <c r="AH68" s="15"/>
      <c r="AI68" s="15"/>
      <c r="AJ68" s="54"/>
      <c r="AK68"/>
      <c r="AL68"/>
      <c r="AM68"/>
      <c r="AN68"/>
      <c r="AO68"/>
      <c r="AP68"/>
      <c r="AQ68"/>
      <c r="AR68"/>
      <c r="AS68"/>
      <c r="AT68"/>
    </row>
    <row r="69" spans="2:46" ht="12.75">
      <c r="B69" s="7" t="s">
        <v>136</v>
      </c>
      <c r="D69" s="7" t="s">
        <v>48</v>
      </c>
      <c r="E69" s="8" t="s">
        <v>39</v>
      </c>
      <c r="F69" s="30">
        <v>0.34</v>
      </c>
      <c r="G69" s="30" t="s">
        <v>39</v>
      </c>
      <c r="H69" s="30">
        <v>0.34</v>
      </c>
      <c r="I69" s="30" t="s">
        <v>39</v>
      </c>
      <c r="J69" s="30">
        <v>0.34</v>
      </c>
      <c r="L69" s="11">
        <v>0.34</v>
      </c>
      <c r="T69" s="15"/>
      <c r="U69" s="8" t="s">
        <v>39</v>
      </c>
      <c r="V69" s="30">
        <v>0.002</v>
      </c>
      <c r="W69" s="30" t="s">
        <v>39</v>
      </c>
      <c r="X69" s="30">
        <v>0.002</v>
      </c>
      <c r="Y69" s="30" t="s">
        <v>39</v>
      </c>
      <c r="Z69" s="30">
        <v>0.002</v>
      </c>
      <c r="AB69" s="15">
        <v>0.002</v>
      </c>
      <c r="AC69" s="15"/>
      <c r="AD69" s="15"/>
      <c r="AE69" s="15"/>
      <c r="AF69" s="15"/>
      <c r="AG69" s="15"/>
      <c r="AH69" s="15"/>
      <c r="AI69" s="15"/>
      <c r="AJ69" s="54"/>
      <c r="AK69"/>
      <c r="AL69"/>
      <c r="AM69"/>
      <c r="AN69"/>
      <c r="AO69"/>
      <c r="AP69"/>
      <c r="AQ69"/>
      <c r="AR69"/>
      <c r="AS69"/>
      <c r="AT69"/>
    </row>
    <row r="70" spans="2:46" ht="12.75">
      <c r="B70" s="7" t="s">
        <v>137</v>
      </c>
      <c r="D70" s="7" t="s">
        <v>48</v>
      </c>
      <c r="E70" s="8" t="s">
        <v>39</v>
      </c>
      <c r="F70" s="30">
        <v>0.1</v>
      </c>
      <c r="G70" s="30" t="s">
        <v>39</v>
      </c>
      <c r="H70" s="30">
        <v>0.11</v>
      </c>
      <c r="I70" s="30" t="s">
        <v>39</v>
      </c>
      <c r="J70" s="30">
        <v>0.1</v>
      </c>
      <c r="L70" s="11">
        <v>0.1</v>
      </c>
      <c r="T70" s="15"/>
      <c r="V70" s="30">
        <v>0.006</v>
      </c>
      <c r="W70" s="30"/>
      <c r="X70" s="30">
        <v>0.007</v>
      </c>
      <c r="Y70" s="30"/>
      <c r="Z70" s="30">
        <v>0.007</v>
      </c>
      <c r="AB70" s="15">
        <v>0.006</v>
      </c>
      <c r="AC70" s="15"/>
      <c r="AD70" s="15"/>
      <c r="AE70" s="15"/>
      <c r="AF70" s="15"/>
      <c r="AG70" s="15"/>
      <c r="AH70" s="15"/>
      <c r="AI70" s="15"/>
      <c r="AJ70" s="54"/>
      <c r="AK70"/>
      <c r="AL70"/>
      <c r="AM70"/>
      <c r="AN70"/>
      <c r="AO70"/>
      <c r="AP70"/>
      <c r="AQ70"/>
      <c r="AR70"/>
      <c r="AS70"/>
      <c r="AT70"/>
    </row>
    <row r="71" spans="2:46" ht="12.75">
      <c r="B71" s="7" t="s">
        <v>138</v>
      </c>
      <c r="D71" s="7" t="s">
        <v>48</v>
      </c>
      <c r="E71" s="8" t="s">
        <v>39</v>
      </c>
      <c r="F71" s="30">
        <v>0.17</v>
      </c>
      <c r="G71" s="30" t="s">
        <v>39</v>
      </c>
      <c r="H71" s="30">
        <v>0.17</v>
      </c>
      <c r="I71" s="30" t="s">
        <v>39</v>
      </c>
      <c r="J71" s="30">
        <v>0.17</v>
      </c>
      <c r="L71" s="11">
        <v>0.17</v>
      </c>
      <c r="T71" s="15"/>
      <c r="U71" s="8" t="s">
        <v>39</v>
      </c>
      <c r="V71" s="30">
        <v>0.002</v>
      </c>
      <c r="W71" s="30" t="s">
        <v>39</v>
      </c>
      <c r="X71" s="30">
        <v>0.002</v>
      </c>
      <c r="Y71" s="30" t="s">
        <v>39</v>
      </c>
      <c r="Z71" s="30">
        <v>0.0002</v>
      </c>
      <c r="AB71" s="15">
        <v>0.002</v>
      </c>
      <c r="AC71" s="15"/>
      <c r="AD71" s="15"/>
      <c r="AE71" s="15"/>
      <c r="AF71" s="15"/>
      <c r="AG71" s="15"/>
      <c r="AH71" s="15"/>
      <c r="AI71" s="15"/>
      <c r="AJ71" s="54"/>
      <c r="AK71"/>
      <c r="AL71"/>
      <c r="AM71"/>
      <c r="AN71"/>
      <c r="AO71"/>
      <c r="AP71"/>
      <c r="AQ71"/>
      <c r="AR71"/>
      <c r="AS71"/>
      <c r="AT71"/>
    </row>
    <row r="72" spans="2:46" ht="12.75">
      <c r="B72" s="7" t="s">
        <v>139</v>
      </c>
      <c r="D72" s="7" t="s">
        <v>48</v>
      </c>
      <c r="E72" s="8" t="s">
        <v>39</v>
      </c>
      <c r="F72" s="30">
        <v>0.17</v>
      </c>
      <c r="G72" s="30" t="s">
        <v>39</v>
      </c>
      <c r="H72" s="30">
        <v>0.17</v>
      </c>
      <c r="I72" s="30" t="s">
        <v>39</v>
      </c>
      <c r="J72" s="30">
        <v>0.17</v>
      </c>
      <c r="L72" s="11">
        <v>0.17</v>
      </c>
      <c r="T72" s="15"/>
      <c r="V72" s="30">
        <v>0.003</v>
      </c>
      <c r="W72" s="30"/>
      <c r="X72" s="30">
        <v>0.003</v>
      </c>
      <c r="Y72" s="30"/>
      <c r="Z72" s="30">
        <v>0.002</v>
      </c>
      <c r="AB72" s="15">
        <v>0.0027</v>
      </c>
      <c r="AC72" s="15"/>
      <c r="AD72" s="15"/>
      <c r="AE72" s="15"/>
      <c r="AF72" s="15"/>
      <c r="AG72" s="15"/>
      <c r="AH72" s="15"/>
      <c r="AI72" s="15"/>
      <c r="AJ72" s="54"/>
      <c r="AK72"/>
      <c r="AL72"/>
      <c r="AM72"/>
      <c r="AN72"/>
      <c r="AO72"/>
      <c r="AP72"/>
      <c r="AQ72"/>
      <c r="AR72"/>
      <c r="AS72"/>
      <c r="AT72"/>
    </row>
    <row r="73" spans="2:46" ht="12.75">
      <c r="B73" s="7" t="s">
        <v>140</v>
      </c>
      <c r="D73" s="7" t="s">
        <v>48</v>
      </c>
      <c r="F73" s="30">
        <v>2.02</v>
      </c>
      <c r="G73" s="30"/>
      <c r="H73" s="30">
        <v>1.39</v>
      </c>
      <c r="I73" s="30"/>
      <c r="J73" s="30">
        <v>1.51</v>
      </c>
      <c r="L73" s="11">
        <v>1.64</v>
      </c>
      <c r="T73" s="15"/>
      <c r="V73" s="30">
        <v>0.005</v>
      </c>
      <c r="W73" s="30"/>
      <c r="X73" s="30">
        <v>0.005</v>
      </c>
      <c r="Y73" s="30"/>
      <c r="Z73" s="30">
        <v>0.006</v>
      </c>
      <c r="AB73" s="15">
        <v>0.0053</v>
      </c>
      <c r="AC73" s="15"/>
      <c r="AD73" s="15"/>
      <c r="AE73" s="15"/>
      <c r="AF73" s="15"/>
      <c r="AG73" s="15"/>
      <c r="AH73" s="15"/>
      <c r="AI73" s="15"/>
      <c r="AJ73" s="54"/>
      <c r="AK73"/>
      <c r="AL73"/>
      <c r="AM73"/>
      <c r="AN73"/>
      <c r="AO73"/>
      <c r="AP73"/>
      <c r="AQ73"/>
      <c r="AR73"/>
      <c r="AS73"/>
      <c r="AT73"/>
    </row>
    <row r="74" spans="2:46" ht="12.75">
      <c r="B74" s="7" t="s">
        <v>141</v>
      </c>
      <c r="D74" s="7" t="s">
        <v>48</v>
      </c>
      <c r="E74" s="8" t="s">
        <v>39</v>
      </c>
      <c r="F74" s="30">
        <v>0.05</v>
      </c>
      <c r="G74" s="30" t="s">
        <v>39</v>
      </c>
      <c r="H74" s="30">
        <v>0.04</v>
      </c>
      <c r="I74" s="30" t="s">
        <v>39</v>
      </c>
      <c r="J74" s="30">
        <v>0.05</v>
      </c>
      <c r="L74" s="11">
        <v>0.05</v>
      </c>
      <c r="T74" s="15"/>
      <c r="V74" s="30">
        <v>0.003</v>
      </c>
      <c r="W74" s="30"/>
      <c r="X74" s="30">
        <v>0.003</v>
      </c>
      <c r="Y74" s="30"/>
      <c r="Z74" s="30">
        <v>0.002</v>
      </c>
      <c r="AB74" s="15">
        <v>0.0027</v>
      </c>
      <c r="AC74" s="15"/>
      <c r="AD74" s="15"/>
      <c r="AE74" s="15"/>
      <c r="AF74" s="15"/>
      <c r="AG74" s="15"/>
      <c r="AH74" s="15"/>
      <c r="AI74" s="15"/>
      <c r="AJ74" s="54"/>
      <c r="AK74"/>
      <c r="AL74"/>
      <c r="AM74"/>
      <c r="AN74"/>
      <c r="AO74"/>
      <c r="AP74"/>
      <c r="AQ74"/>
      <c r="AR74"/>
      <c r="AS74"/>
      <c r="AT74"/>
    </row>
    <row r="75" spans="2:46" ht="12.75">
      <c r="B75" s="7" t="s">
        <v>142</v>
      </c>
      <c r="D75" s="7" t="s">
        <v>48</v>
      </c>
      <c r="F75" s="30">
        <v>0.08</v>
      </c>
      <c r="G75" s="30" t="s">
        <v>39</v>
      </c>
      <c r="H75" s="30">
        <v>0.07</v>
      </c>
      <c r="I75" s="30" t="s">
        <v>39</v>
      </c>
      <c r="J75" s="30">
        <v>0.07</v>
      </c>
      <c r="L75" s="11">
        <f>AVERAGE(0.08,0.07,0.035)</f>
        <v>0.061666666666666675</v>
      </c>
      <c r="T75" s="15"/>
      <c r="U75" s="8" t="s">
        <v>39</v>
      </c>
      <c r="V75" s="30">
        <v>0.0007</v>
      </c>
      <c r="W75" s="30" t="s">
        <v>39</v>
      </c>
      <c r="X75" s="30">
        <v>0.0001</v>
      </c>
      <c r="Y75" s="30" t="s">
        <v>39</v>
      </c>
      <c r="Z75" s="30">
        <v>0.0001</v>
      </c>
      <c r="AB75" s="14">
        <v>0.0007</v>
      </c>
      <c r="AC75" s="14"/>
      <c r="AD75" s="14"/>
      <c r="AE75" s="14"/>
      <c r="AF75" s="14"/>
      <c r="AG75" s="14"/>
      <c r="AH75" s="14"/>
      <c r="AI75" s="14"/>
      <c r="AJ75" s="54"/>
      <c r="AK75"/>
      <c r="AL75"/>
      <c r="AM75"/>
      <c r="AN75"/>
      <c r="AO75"/>
      <c r="AP75"/>
      <c r="AQ75"/>
      <c r="AR75"/>
      <c r="AS75"/>
      <c r="AT75"/>
    </row>
    <row r="76" spans="2:46" ht="12.75">
      <c r="B76" s="7" t="s">
        <v>143</v>
      </c>
      <c r="D76" s="7" t="s">
        <v>48</v>
      </c>
      <c r="E76" s="8" t="s">
        <v>39</v>
      </c>
      <c r="F76" s="30">
        <v>0.17</v>
      </c>
      <c r="G76" s="30" t="s">
        <v>39</v>
      </c>
      <c r="H76" s="30">
        <v>0.17</v>
      </c>
      <c r="I76" s="30" t="s">
        <v>39</v>
      </c>
      <c r="J76" s="30">
        <v>0.17</v>
      </c>
      <c r="L76" s="11">
        <v>0.17</v>
      </c>
      <c r="T76" s="15"/>
      <c r="U76" s="8" t="s">
        <v>39</v>
      </c>
      <c r="V76" s="30">
        <v>0.002</v>
      </c>
      <c r="W76" s="30" t="s">
        <v>39</v>
      </c>
      <c r="X76" s="30">
        <v>0.002</v>
      </c>
      <c r="Y76" s="30" t="s">
        <v>39</v>
      </c>
      <c r="Z76" s="30">
        <v>0.002</v>
      </c>
      <c r="AB76" s="15">
        <v>0.002</v>
      </c>
      <c r="AC76" s="15"/>
      <c r="AD76" s="15"/>
      <c r="AE76" s="15"/>
      <c r="AF76" s="15"/>
      <c r="AG76" s="15"/>
      <c r="AH76" s="15"/>
      <c r="AI76" s="15"/>
      <c r="AJ76" s="54"/>
      <c r="AK76"/>
      <c r="AL76"/>
      <c r="AM76"/>
      <c r="AN76"/>
      <c r="AO76"/>
      <c r="AP76"/>
      <c r="AQ76"/>
      <c r="AR76"/>
      <c r="AS76"/>
      <c r="AT76"/>
    </row>
    <row r="77" spans="2:46" ht="12.75">
      <c r="B77" s="7" t="s">
        <v>144</v>
      </c>
      <c r="D77" s="7" t="s">
        <v>48</v>
      </c>
      <c r="E77" s="8" t="s">
        <v>39</v>
      </c>
      <c r="F77" s="30">
        <v>0.17</v>
      </c>
      <c r="G77" s="30" t="s">
        <v>39</v>
      </c>
      <c r="H77" s="30">
        <v>0.17</v>
      </c>
      <c r="I77" s="30" t="s">
        <v>39</v>
      </c>
      <c r="J77" s="30">
        <v>0.17</v>
      </c>
      <c r="L77" s="11">
        <v>0.17</v>
      </c>
      <c r="T77" s="15"/>
      <c r="U77" s="8" t="s">
        <v>39</v>
      </c>
      <c r="V77" s="30">
        <v>0.002</v>
      </c>
      <c r="W77" s="30" t="s">
        <v>39</v>
      </c>
      <c r="X77" s="30">
        <v>0.002</v>
      </c>
      <c r="Y77" s="30" t="s">
        <v>39</v>
      </c>
      <c r="Z77" s="30">
        <v>0.002</v>
      </c>
      <c r="AB77" s="15">
        <v>0.002</v>
      </c>
      <c r="AC77" s="15"/>
      <c r="AD77" s="15"/>
      <c r="AE77" s="15"/>
      <c r="AF77" s="15"/>
      <c r="AG77" s="15"/>
      <c r="AH77" s="15"/>
      <c r="AI77" s="15"/>
      <c r="AJ77" s="54"/>
      <c r="AK77"/>
      <c r="AL77"/>
      <c r="AM77"/>
      <c r="AN77"/>
      <c r="AO77"/>
      <c r="AP77"/>
      <c r="AQ77"/>
      <c r="AR77"/>
      <c r="AS77"/>
      <c r="AT77"/>
    </row>
    <row r="78" ht="12.75">
      <c r="L78" s="31"/>
    </row>
    <row r="79" spans="2:36" ht="12.75">
      <c r="B79" s="7" t="s">
        <v>43</v>
      </c>
      <c r="D79" s="7" t="s">
        <v>17</v>
      </c>
      <c r="F79" s="12">
        <f>emiss!$G$53</f>
        <v>13834</v>
      </c>
      <c r="H79" s="12">
        <f>emiss!$I$53</f>
        <v>14036</v>
      </c>
      <c r="J79" s="12">
        <f>emiss!$K$53</f>
        <v>14035</v>
      </c>
      <c r="L79" s="12">
        <f>emiss!$M$53</f>
        <v>13968.333333333334</v>
      </c>
      <c r="N79" s="12">
        <f>emiss!$G$53</f>
        <v>13834</v>
      </c>
      <c r="P79" s="12">
        <f>emiss!$I$53</f>
        <v>14036</v>
      </c>
      <c r="R79" s="12">
        <f>emiss!$K$53</f>
        <v>14035</v>
      </c>
      <c r="T79" s="12">
        <f>emiss!$M$53</f>
        <v>13968.333333333334</v>
      </c>
      <c r="V79" s="12">
        <f>emiss!$G$53</f>
        <v>13834</v>
      </c>
      <c r="X79" s="12">
        <f>emiss!$I$53</f>
        <v>14036</v>
      </c>
      <c r="Z79" s="12">
        <f>emiss!$K$53</f>
        <v>14035</v>
      </c>
      <c r="AB79" s="12">
        <f>emiss!$M$53</f>
        <v>13968.333333333334</v>
      </c>
      <c r="AC79" s="11"/>
      <c r="AD79" s="11"/>
      <c r="AE79" s="11"/>
      <c r="AF79" s="11"/>
      <c r="AG79" s="11"/>
      <c r="AH79" s="11"/>
      <c r="AI79" s="11"/>
      <c r="AJ79" s="54"/>
    </row>
    <row r="80" spans="2:36" ht="12.75">
      <c r="B80" s="7" t="s">
        <v>11</v>
      </c>
      <c r="D80" s="7" t="s">
        <v>18</v>
      </c>
      <c r="F80" s="11">
        <f>emiss!$G$54</f>
        <v>3.6</v>
      </c>
      <c r="H80" s="11">
        <f>emiss!$I$54</f>
        <v>3</v>
      </c>
      <c r="J80" s="11">
        <f>emiss!$K$54</f>
        <v>3</v>
      </c>
      <c r="L80" s="11">
        <f>emiss!$M$54</f>
        <v>3.1999999999999997</v>
      </c>
      <c r="N80" s="11">
        <f>emiss!$G$54</f>
        <v>3.6</v>
      </c>
      <c r="P80" s="11">
        <f>emiss!$I$54</f>
        <v>3</v>
      </c>
      <c r="R80" s="11">
        <f>emiss!$K$54</f>
        <v>3</v>
      </c>
      <c r="T80" s="11">
        <f>emiss!$M$54</f>
        <v>3.1999999999999997</v>
      </c>
      <c r="V80" s="11">
        <f>emiss!$G$54</f>
        <v>3.6</v>
      </c>
      <c r="X80" s="11">
        <f>emiss!$I$54</f>
        <v>3</v>
      </c>
      <c r="Z80" s="11">
        <f>emiss!$K$54</f>
        <v>3</v>
      </c>
      <c r="AB80" s="11">
        <f>emiss!$M$54</f>
        <v>3.1999999999999997</v>
      </c>
      <c r="AC80" s="11"/>
      <c r="AD80" s="11"/>
      <c r="AE80" s="11"/>
      <c r="AF80" s="11"/>
      <c r="AG80" s="11"/>
      <c r="AH80" s="11"/>
      <c r="AI80" s="11"/>
      <c r="AJ80" s="54"/>
    </row>
    <row r="81" spans="6:12" ht="12.75">
      <c r="F81" s="11"/>
      <c r="H81" s="11"/>
      <c r="J81" s="11"/>
      <c r="L81" s="11"/>
    </row>
    <row r="82" spans="2:36" ht="12.75">
      <c r="B82" s="7" t="s">
        <v>176</v>
      </c>
      <c r="D82" s="7" t="s">
        <v>83</v>
      </c>
      <c r="F82" s="12">
        <f>F63*F65/1000000</f>
        <v>56.8297188</v>
      </c>
      <c r="H82" s="12">
        <f>H63*H65/1000000</f>
        <v>57.16656269999999</v>
      </c>
      <c r="J82" s="12">
        <f>J63*J65/1000000</f>
        <v>56.7435852</v>
      </c>
      <c r="L82" s="12">
        <f>L63*L65/1000000</f>
        <v>56.912776199999996</v>
      </c>
      <c r="T82" s="12">
        <f>T63*T65/1000000</f>
        <v>22.134687600000003</v>
      </c>
      <c r="AB82" s="12"/>
      <c r="AC82" s="12"/>
      <c r="AD82" s="12">
        <f>F82+$T82</f>
        <v>78.9644064</v>
      </c>
      <c r="AE82" s="12"/>
      <c r="AF82" s="12">
        <f>H82+$T82</f>
        <v>79.30125029999999</v>
      </c>
      <c r="AG82" s="12"/>
      <c r="AH82" s="12">
        <f>J82+$T82</f>
        <v>78.8782728</v>
      </c>
      <c r="AI82" s="12"/>
      <c r="AJ82" s="52">
        <f>T82+L82</f>
        <v>79.0474638</v>
      </c>
    </row>
    <row r="83" spans="2:36" ht="12.75">
      <c r="B83" s="7" t="s">
        <v>229</v>
      </c>
      <c r="D83" s="7" t="s">
        <v>83</v>
      </c>
      <c r="F83" s="12"/>
      <c r="H83" s="12"/>
      <c r="J83" s="12"/>
      <c r="T83" s="12"/>
      <c r="AB83" s="12"/>
      <c r="AC83" s="12"/>
      <c r="AD83" s="12"/>
      <c r="AE83" s="12"/>
      <c r="AF83" s="12"/>
      <c r="AG83" s="12"/>
      <c r="AH83" s="12"/>
      <c r="AI83" s="12"/>
      <c r="AJ83" s="12">
        <f>L79*60/9000*(21-L80)/21</f>
        <v>78.93216931216932</v>
      </c>
    </row>
    <row r="84" spans="6:36" ht="12.75">
      <c r="F84" s="12"/>
      <c r="H84" s="12"/>
      <c r="J84" s="12"/>
      <c r="L84" s="12"/>
      <c r="T84" s="12"/>
      <c r="AB84" s="12"/>
      <c r="AC84" s="12"/>
      <c r="AD84" s="12"/>
      <c r="AE84" s="12"/>
      <c r="AF84" s="12"/>
      <c r="AG84" s="12"/>
      <c r="AH84" s="12"/>
      <c r="AI84" s="12"/>
      <c r="AJ84" s="52"/>
    </row>
    <row r="85" spans="6:35" ht="12.75">
      <c r="F85" s="11"/>
      <c r="H85" s="11"/>
      <c r="J85" s="11"/>
      <c r="L85" s="11"/>
      <c r="AB85" s="11"/>
      <c r="AC85" s="11"/>
      <c r="AD85" s="11"/>
      <c r="AE85" s="11"/>
      <c r="AF85" s="11"/>
      <c r="AG85" s="11"/>
      <c r="AH85" s="11"/>
      <c r="AI85" s="11"/>
    </row>
    <row r="86" spans="2:35" ht="12.75">
      <c r="B86" s="50" t="s">
        <v>132</v>
      </c>
      <c r="C86" s="50"/>
      <c r="F86" s="11"/>
      <c r="H86" s="11"/>
      <c r="J86" s="11"/>
      <c r="L86" s="11"/>
      <c r="AB86" s="11"/>
      <c r="AC86" s="11"/>
      <c r="AD86" s="11"/>
      <c r="AE86" s="11"/>
      <c r="AF86" s="11"/>
      <c r="AG86" s="11"/>
      <c r="AH86" s="11"/>
      <c r="AI86" s="11"/>
    </row>
    <row r="87" spans="2:36" ht="12.75">
      <c r="B87" s="7" t="s">
        <v>10</v>
      </c>
      <c r="D87" s="7" t="s">
        <v>16</v>
      </c>
      <c r="E87" s="8">
        <v>100</v>
      </c>
      <c r="F87" s="12">
        <f>F66/F79/60/0.0283*1000*(21-7)/(21-F80)</f>
        <v>57.57996249404773</v>
      </c>
      <c r="G87" s="8">
        <v>100</v>
      </c>
      <c r="H87" s="12">
        <f>H66/H79/60/0.0283*1000*(21-7)/(21-H80)</f>
        <v>55.450267935175496</v>
      </c>
      <c r="I87" s="8">
        <v>100</v>
      </c>
      <c r="J87" s="12">
        <f>J66/J79/60/0.0283*1000*(21-7)/(21-J80)</f>
        <v>54.85762103052799</v>
      </c>
      <c r="K87" s="16">
        <f>AVERAGE(E87*F87,G87*H87,I87*J87)/L87</f>
        <v>100.00000000000001</v>
      </c>
      <c r="L87" s="12">
        <f>AVERAGE(F87,H87,J87)</f>
        <v>55.9626171532504</v>
      </c>
      <c r="M87" s="32"/>
      <c r="N87" s="32"/>
      <c r="O87" s="32"/>
      <c r="P87" s="32"/>
      <c r="Q87" s="32"/>
      <c r="R87" s="32"/>
      <c r="S87" s="32"/>
      <c r="T87" s="12"/>
      <c r="U87" s="32"/>
      <c r="V87" s="12">
        <f>V66/V79/60/0.0283*1000*(21-7)/(21-V80)</f>
        <v>113.7168636570895</v>
      </c>
      <c r="W87" s="32"/>
      <c r="X87" s="12">
        <f>X66/X79/60/0.0283*1000*(21-7)/(21-X80)</f>
        <v>104.53586565165372</v>
      </c>
      <c r="Y87" s="32"/>
      <c r="Z87" s="12">
        <f>Z66/Z79/60/0.0283*1000*(21-7)/(21-Z80)</f>
        <v>104.19410184132656</v>
      </c>
      <c r="AA87" s="16">
        <f>AVERAGE(U87*V87,W87*X87,Y87*Z87)/AB87</f>
        <v>0</v>
      </c>
      <c r="AB87" s="12">
        <f>AVERAGE(V87,X87,Z87)</f>
        <v>107.48227705002326</v>
      </c>
      <c r="AC87" s="69">
        <f aca="true" t="shared" si="23" ref="AC87:AC98">SUM(U87*V87,M87*N87,E87*F87)/AD87</f>
        <v>33.61414439940892</v>
      </c>
      <c r="AD87" s="12">
        <f aca="true" t="shared" si="24" ref="AD87:AD98">SUM(V87,N87,F87)</f>
        <v>171.29682615113722</v>
      </c>
      <c r="AE87" s="69">
        <f aca="true" t="shared" si="25" ref="AE87:AE98">SUM(W87*X87,O87*P87,G87*H87)/AF87</f>
        <v>34.659421221077885</v>
      </c>
      <c r="AF87" s="12">
        <f aca="true" t="shared" si="26" ref="AF87:AF98">SUM(X87,P87,H87)</f>
        <v>159.98613358682923</v>
      </c>
      <c r="AG87" s="69">
        <f aca="true" t="shared" si="27" ref="AG87:AG98">SUM(Y87*Z87,Q87*R87,I87*J87)/AH87</f>
        <v>34.49042867314673</v>
      </c>
      <c r="AH87" s="12">
        <f aca="true" t="shared" si="28" ref="AH87:AH98">SUM(Z87,R87,J87)</f>
        <v>159.05172287185454</v>
      </c>
      <c r="AI87" s="69">
        <f aca="true" t="shared" si="29" ref="AI87:AI98">SUM(AA87*AB87,S87*T87,K87*L87)/AJ87</f>
        <v>34.23944040959189</v>
      </c>
      <c r="AJ87" s="12">
        <f>SUM(AB87,T87,L87)</f>
        <v>163.44489420327366</v>
      </c>
    </row>
    <row r="88" spans="2:36" ht="12.75">
      <c r="B88" s="7" t="s">
        <v>42</v>
      </c>
      <c r="D88" s="7" t="s">
        <v>98</v>
      </c>
      <c r="E88" s="8">
        <v>100</v>
      </c>
      <c r="F88" s="12">
        <f>F67/F$79/60/0.0283*1000000*(21-7)/(21-F$80)</f>
        <v>5355.048860419395</v>
      </c>
      <c r="G88" s="8">
        <v>100</v>
      </c>
      <c r="H88" s="12">
        <f>H67/H$79/60/0.0283*1000000*(21-7)/(21-H$80)</f>
        <v>4602.417273972597</v>
      </c>
      <c r="I88" s="8">
        <v>100</v>
      </c>
      <c r="J88" s="12">
        <f aca="true" t="shared" si="30" ref="J88:J98">J67/J$79/60/0.0283*1000000*(21-7)/(21-J$80)</f>
        <v>5101.759408571882</v>
      </c>
      <c r="K88" s="16">
        <f aca="true" t="shared" si="31" ref="K88:K98">AVERAGE(E88*F88,G88*H88,I88*J88)/L88</f>
        <v>99.99999999999999</v>
      </c>
      <c r="L88" s="12">
        <f aca="true" t="shared" si="32" ref="L88:L98">AVERAGE(F88,H88,J88)</f>
        <v>5019.741847654625</v>
      </c>
      <c r="M88" s="32"/>
      <c r="N88" s="32"/>
      <c r="O88" s="32"/>
      <c r="P88" s="32"/>
      <c r="Q88" s="32"/>
      <c r="R88" s="32"/>
      <c r="S88" s="32"/>
      <c r="T88" s="12"/>
      <c r="U88" s="70">
        <v>100</v>
      </c>
      <c r="V88" s="12">
        <f>V67/V$79/60/0.0283*1000000*(21-7)/(21-V$80)</f>
        <v>52.4064523246877</v>
      </c>
      <c r="W88" s="70">
        <v>100</v>
      </c>
      <c r="X88" s="12">
        <f>X67/X$79/60/0.0283*1000000*(21-7)/(21-X$80)</f>
        <v>49.930500100532335</v>
      </c>
      <c r="Y88" s="70">
        <v>100</v>
      </c>
      <c r="Z88" s="12">
        <f aca="true" t="shared" si="33" ref="Z88:Z98">Z67/Z$79/60/0.0283*1000000*(21-7)/(21-Z$80)</f>
        <v>49.607691280893434</v>
      </c>
      <c r="AA88" s="16">
        <f aca="true" t="shared" si="34" ref="AA88:AA98">AVERAGE(U88*V88,W88*X88,Y88*Z88)/AB88</f>
        <v>99.99999999999999</v>
      </c>
      <c r="AB88" s="11">
        <f aca="true" t="shared" si="35" ref="AB88:AB98">AVERAGE(V88,X88,Z88)</f>
        <v>50.648214568704496</v>
      </c>
      <c r="AC88" s="69">
        <f t="shared" si="23"/>
        <v>99.99999999999999</v>
      </c>
      <c r="AD88" s="12">
        <f t="shared" si="24"/>
        <v>5407.455312744083</v>
      </c>
      <c r="AE88" s="69">
        <f t="shared" si="25"/>
        <v>100</v>
      </c>
      <c r="AF88" s="12">
        <f t="shared" si="26"/>
        <v>4652.34777407313</v>
      </c>
      <c r="AG88" s="69">
        <f t="shared" si="27"/>
        <v>100.00000000000001</v>
      </c>
      <c r="AH88" s="12">
        <f t="shared" si="28"/>
        <v>5151.367099852775</v>
      </c>
      <c r="AI88" s="69">
        <f t="shared" si="29"/>
        <v>100</v>
      </c>
      <c r="AJ88" s="12">
        <f aca="true" t="shared" si="36" ref="AJ88:AJ100">SUM(AB88,T88,L88)</f>
        <v>5070.39006222333</v>
      </c>
    </row>
    <row r="89" spans="2:36" ht="12.75">
      <c r="B89" s="7" t="s">
        <v>135</v>
      </c>
      <c r="D89" s="7" t="s">
        <v>98</v>
      </c>
      <c r="E89" s="8">
        <v>100</v>
      </c>
      <c r="F89" s="12">
        <f>F68/F$79/60/0.0283*1000000*(21-7)/(21-F$80)</f>
        <v>11.645878294375043</v>
      </c>
      <c r="G89" s="8">
        <v>100</v>
      </c>
      <c r="H89" s="12">
        <f>H68/H$79/60/0.0283*1000000*(21-7)/(21-H$80)</f>
        <v>11.095666689007187</v>
      </c>
      <c r="I89" s="8">
        <v>100</v>
      </c>
      <c r="J89" s="12">
        <f t="shared" si="30"/>
        <v>11.096457260199848</v>
      </c>
      <c r="K89" s="16">
        <f t="shared" si="31"/>
        <v>99.99999999999999</v>
      </c>
      <c r="L89" s="12">
        <f t="shared" si="32"/>
        <v>11.279334081194028</v>
      </c>
      <c r="M89" s="32"/>
      <c r="N89" s="32"/>
      <c r="O89" s="32"/>
      <c r="P89" s="32"/>
      <c r="Q89" s="32"/>
      <c r="R89" s="32"/>
      <c r="S89" s="32"/>
      <c r="T89" s="12"/>
      <c r="U89" s="70">
        <v>100</v>
      </c>
      <c r="V89" s="11">
        <f>V68/V$79/60/0.0283*1000000*(21-7)/(21-V$80)</f>
        <v>0.034252583218750125</v>
      </c>
      <c r="W89" s="70">
        <v>100</v>
      </c>
      <c r="X89" s="11">
        <f>X68/X$79/60/0.0283*1000000*(21-7)/(21-X$80)</f>
        <v>0.032634313791197606</v>
      </c>
      <c r="Y89" s="70">
        <v>100</v>
      </c>
      <c r="Z89" s="11">
        <f t="shared" si="33"/>
        <v>0.13054655600235113</v>
      </c>
      <c r="AA89" s="16">
        <f t="shared" si="34"/>
        <v>100</v>
      </c>
      <c r="AB89" s="11">
        <f>AVERAGE(V89,X89,Z89)</f>
        <v>0.06581115100409962</v>
      </c>
      <c r="AC89" s="69">
        <f t="shared" si="23"/>
        <v>99.99999999999999</v>
      </c>
      <c r="AD89" s="12">
        <f t="shared" si="24"/>
        <v>11.680130877593793</v>
      </c>
      <c r="AE89" s="69">
        <f t="shared" si="25"/>
        <v>100</v>
      </c>
      <c r="AF89" s="12">
        <f t="shared" si="26"/>
        <v>11.128301002798384</v>
      </c>
      <c r="AG89" s="69">
        <f t="shared" si="27"/>
        <v>99.99999999999999</v>
      </c>
      <c r="AH89" s="12">
        <f t="shared" si="28"/>
        <v>11.227003816202199</v>
      </c>
      <c r="AI89" s="69">
        <f t="shared" si="29"/>
        <v>99.99999999999999</v>
      </c>
      <c r="AJ89" s="12">
        <f t="shared" si="36"/>
        <v>11.345145232198128</v>
      </c>
    </row>
    <row r="90" spans="2:36" ht="12.75">
      <c r="B90" s="7" t="s">
        <v>136</v>
      </c>
      <c r="D90" s="7" t="s">
        <v>98</v>
      </c>
      <c r="E90" s="8">
        <v>100</v>
      </c>
      <c r="F90" s="12">
        <f aca="true" t="shared" si="37" ref="F90:F98">F69/F$79/60/0.0283*1000000*(21-7)/(21-F$80)</f>
        <v>11.645878294375043</v>
      </c>
      <c r="G90" s="8">
        <v>100</v>
      </c>
      <c r="H90" s="12">
        <f aca="true" t="shared" si="38" ref="H90:H98">H69/H$79/60/0.0283*1000000*(21-7)/(21-H$80)</f>
        <v>11.095666689007187</v>
      </c>
      <c r="I90" s="8">
        <v>100</v>
      </c>
      <c r="J90" s="12">
        <f t="shared" si="30"/>
        <v>11.096457260199848</v>
      </c>
      <c r="K90" s="16">
        <f t="shared" si="31"/>
        <v>99.99999999999999</v>
      </c>
      <c r="L90" s="12">
        <f t="shared" si="32"/>
        <v>11.279334081194028</v>
      </c>
      <c r="M90" s="32"/>
      <c r="N90" s="32"/>
      <c r="O90" s="32"/>
      <c r="P90" s="32"/>
      <c r="Q90" s="32"/>
      <c r="R90" s="32"/>
      <c r="S90" s="32"/>
      <c r="T90" s="12"/>
      <c r="U90" s="70">
        <v>100</v>
      </c>
      <c r="V90" s="11">
        <f aca="true" t="shared" si="39" ref="V90:X98">V69/V$79/60/0.0283*1000000*(21-7)/(21-V$80)</f>
        <v>0.06850516643750025</v>
      </c>
      <c r="W90" s="70">
        <v>100</v>
      </c>
      <c r="X90" s="11">
        <f t="shared" si="39"/>
        <v>0.06526862758239521</v>
      </c>
      <c r="Y90" s="70">
        <v>100</v>
      </c>
      <c r="Z90" s="11">
        <f t="shared" si="33"/>
        <v>0.06527327800117556</v>
      </c>
      <c r="AA90" s="16">
        <f t="shared" si="34"/>
        <v>100.00000000000001</v>
      </c>
      <c r="AB90" s="11">
        <f t="shared" si="35"/>
        <v>0.06634902400702368</v>
      </c>
      <c r="AC90" s="69">
        <f t="shared" si="23"/>
        <v>100</v>
      </c>
      <c r="AD90" s="12">
        <f t="shared" si="24"/>
        <v>11.714383460812543</v>
      </c>
      <c r="AE90" s="69">
        <f t="shared" si="25"/>
        <v>100</v>
      </c>
      <c r="AF90" s="12">
        <f t="shared" si="26"/>
        <v>11.160935316589581</v>
      </c>
      <c r="AG90" s="69">
        <f t="shared" si="27"/>
        <v>99.99999999999999</v>
      </c>
      <c r="AH90" s="12">
        <f t="shared" si="28"/>
        <v>11.161730538201024</v>
      </c>
      <c r="AI90" s="69">
        <f t="shared" si="29"/>
        <v>100</v>
      </c>
      <c r="AJ90" s="12">
        <f t="shared" si="36"/>
        <v>11.34568310520105</v>
      </c>
    </row>
    <row r="91" spans="2:36" ht="12.75">
      <c r="B91" s="7" t="s">
        <v>137</v>
      </c>
      <c r="D91" s="7" t="s">
        <v>98</v>
      </c>
      <c r="E91" s="8">
        <v>100</v>
      </c>
      <c r="F91" s="12">
        <f t="shared" si="37"/>
        <v>3.4252583218750132</v>
      </c>
      <c r="G91" s="8">
        <v>100</v>
      </c>
      <c r="H91" s="12">
        <f t="shared" si="38"/>
        <v>3.589774517031737</v>
      </c>
      <c r="I91" s="8">
        <v>100</v>
      </c>
      <c r="J91" s="12">
        <f t="shared" si="30"/>
        <v>3.263663900058779</v>
      </c>
      <c r="K91" s="16">
        <f t="shared" si="31"/>
        <v>99.99999999999999</v>
      </c>
      <c r="L91" s="12">
        <f t="shared" si="32"/>
        <v>3.426232246321843</v>
      </c>
      <c r="M91" s="32"/>
      <c r="N91" s="32"/>
      <c r="O91" s="32"/>
      <c r="P91" s="32"/>
      <c r="Q91" s="32"/>
      <c r="R91" s="32"/>
      <c r="S91" s="32"/>
      <c r="T91" s="12"/>
      <c r="U91" s="70"/>
      <c r="V91" s="11">
        <f t="shared" si="39"/>
        <v>0.2055154993125008</v>
      </c>
      <c r="W91" s="70"/>
      <c r="X91" s="11">
        <f t="shared" si="39"/>
        <v>0.22844019653838327</v>
      </c>
      <c r="Y91" s="70"/>
      <c r="Z91" s="11">
        <f t="shared" si="33"/>
        <v>0.22845647300411454</v>
      </c>
      <c r="AA91" s="16">
        <f t="shared" si="34"/>
        <v>0</v>
      </c>
      <c r="AB91" s="11">
        <f t="shared" si="35"/>
        <v>0.22080405628499955</v>
      </c>
      <c r="AC91" s="69">
        <f t="shared" si="23"/>
        <v>94.33962264150944</v>
      </c>
      <c r="AD91" s="12">
        <f t="shared" si="24"/>
        <v>3.630773821187514</v>
      </c>
      <c r="AE91" s="69">
        <f t="shared" si="25"/>
        <v>94.01709401709402</v>
      </c>
      <c r="AF91" s="12">
        <f t="shared" si="26"/>
        <v>3.81821471357012</v>
      </c>
      <c r="AG91" s="69">
        <f t="shared" si="27"/>
        <v>93.45794392523364</v>
      </c>
      <c r="AH91" s="12">
        <f t="shared" si="28"/>
        <v>3.4921203730628934</v>
      </c>
      <c r="AI91" s="69">
        <f t="shared" si="29"/>
        <v>93.94565784477733</v>
      </c>
      <c r="AJ91" s="12">
        <f t="shared" si="36"/>
        <v>3.6470363026068426</v>
      </c>
    </row>
    <row r="92" spans="2:36" ht="12.75">
      <c r="B92" s="7" t="s">
        <v>138</v>
      </c>
      <c r="D92" s="7" t="s">
        <v>98</v>
      </c>
      <c r="E92" s="8">
        <v>100</v>
      </c>
      <c r="F92" s="12">
        <f t="shared" si="37"/>
        <v>5.822939147187522</v>
      </c>
      <c r="G92" s="8">
        <v>100</v>
      </c>
      <c r="H92" s="12">
        <f t="shared" si="38"/>
        <v>5.5478333445035934</v>
      </c>
      <c r="I92" s="8">
        <v>100</v>
      </c>
      <c r="J92" s="12">
        <f t="shared" si="30"/>
        <v>5.548228630099924</v>
      </c>
      <c r="K92" s="16">
        <f t="shared" si="31"/>
        <v>99.99999999999999</v>
      </c>
      <c r="L92" s="12">
        <f t="shared" si="32"/>
        <v>5.639667040597014</v>
      </c>
      <c r="M92" s="32"/>
      <c r="N92" s="32"/>
      <c r="O92" s="32"/>
      <c r="P92" s="32"/>
      <c r="Q92" s="32"/>
      <c r="R92" s="32"/>
      <c r="S92" s="32"/>
      <c r="T92" s="12"/>
      <c r="U92" s="70">
        <v>100</v>
      </c>
      <c r="V92" s="11">
        <f t="shared" si="39"/>
        <v>0.06850516643750025</v>
      </c>
      <c r="W92" s="70">
        <v>100</v>
      </c>
      <c r="X92" s="11">
        <f t="shared" si="39"/>
        <v>0.06526862758239521</v>
      </c>
      <c r="Y92" s="70">
        <v>100</v>
      </c>
      <c r="Z92" s="11">
        <f t="shared" si="33"/>
        <v>0.006527327800117558</v>
      </c>
      <c r="AA92" s="16">
        <f t="shared" si="34"/>
        <v>100</v>
      </c>
      <c r="AB92" s="11">
        <f t="shared" si="35"/>
        <v>0.04676704060667101</v>
      </c>
      <c r="AC92" s="69">
        <f t="shared" si="23"/>
        <v>99.99999999999999</v>
      </c>
      <c r="AD92" s="12">
        <f t="shared" si="24"/>
        <v>5.891444313625022</v>
      </c>
      <c r="AE92" s="69">
        <f t="shared" si="25"/>
        <v>100</v>
      </c>
      <c r="AF92" s="12">
        <f t="shared" si="26"/>
        <v>5.613101972085989</v>
      </c>
      <c r="AG92" s="69">
        <f t="shared" si="27"/>
        <v>99.99999999999999</v>
      </c>
      <c r="AH92" s="12">
        <f t="shared" si="28"/>
        <v>5.554755957900042</v>
      </c>
      <c r="AI92" s="69">
        <f t="shared" si="29"/>
        <v>100</v>
      </c>
      <c r="AJ92" s="12">
        <f t="shared" si="36"/>
        <v>5.686434081203685</v>
      </c>
    </row>
    <row r="93" spans="2:36" ht="12.75">
      <c r="B93" s="7" t="s">
        <v>139</v>
      </c>
      <c r="D93" s="7" t="s">
        <v>98</v>
      </c>
      <c r="E93" s="8">
        <v>100</v>
      </c>
      <c r="F93" s="12">
        <f t="shared" si="37"/>
        <v>5.822939147187522</v>
      </c>
      <c r="G93" s="8">
        <v>100</v>
      </c>
      <c r="H93" s="12">
        <f t="shared" si="38"/>
        <v>5.5478333445035934</v>
      </c>
      <c r="I93" s="8">
        <v>100</v>
      </c>
      <c r="J93" s="12">
        <f t="shared" si="30"/>
        <v>5.548228630099924</v>
      </c>
      <c r="K93" s="16">
        <f t="shared" si="31"/>
        <v>99.99999999999999</v>
      </c>
      <c r="L93" s="12">
        <f t="shared" si="32"/>
        <v>5.639667040597014</v>
      </c>
      <c r="M93" s="32"/>
      <c r="N93" s="32"/>
      <c r="O93" s="32"/>
      <c r="P93" s="32"/>
      <c r="Q93" s="32"/>
      <c r="R93" s="32"/>
      <c r="S93" s="32"/>
      <c r="T93" s="12"/>
      <c r="U93" s="70"/>
      <c r="V93" s="11">
        <f t="shared" si="39"/>
        <v>0.1027577496562504</v>
      </c>
      <c r="W93" s="70"/>
      <c r="X93" s="11">
        <f t="shared" si="39"/>
        <v>0.09790294137359282</v>
      </c>
      <c r="Y93" s="70"/>
      <c r="Z93" s="11">
        <f t="shared" si="33"/>
        <v>0.06527327800117556</v>
      </c>
      <c r="AA93" s="16">
        <f t="shared" si="34"/>
        <v>0</v>
      </c>
      <c r="AB93" s="11">
        <f t="shared" si="35"/>
        <v>0.08864465634367293</v>
      </c>
      <c r="AC93" s="69">
        <f t="shared" si="23"/>
        <v>98.26589595375722</v>
      </c>
      <c r="AD93" s="12">
        <f t="shared" si="24"/>
        <v>5.925696896843772</v>
      </c>
      <c r="AE93" s="69">
        <f t="shared" si="25"/>
        <v>98.26589595375722</v>
      </c>
      <c r="AF93" s="12">
        <f t="shared" si="26"/>
        <v>5.645736285877186</v>
      </c>
      <c r="AG93" s="69">
        <f t="shared" si="27"/>
        <v>98.83720930232558</v>
      </c>
      <c r="AH93" s="12">
        <f t="shared" si="28"/>
        <v>5.6135019081010995</v>
      </c>
      <c r="AI93" s="69">
        <f t="shared" si="29"/>
        <v>98.45251688397096</v>
      </c>
      <c r="AJ93" s="12">
        <f t="shared" si="36"/>
        <v>5.728311696940687</v>
      </c>
    </row>
    <row r="94" spans="2:36" ht="12.75">
      <c r="B94" s="7" t="s">
        <v>140</v>
      </c>
      <c r="D94" s="7" t="s">
        <v>98</v>
      </c>
      <c r="F94" s="12">
        <f t="shared" si="37"/>
        <v>69.19021810187525</v>
      </c>
      <c r="G94" s="32"/>
      <c r="H94" s="12">
        <f t="shared" si="38"/>
        <v>45.36169616976467</v>
      </c>
      <c r="I94" s="32"/>
      <c r="J94" s="12">
        <f t="shared" si="30"/>
        <v>49.281324890887554</v>
      </c>
      <c r="K94" s="16">
        <f t="shared" si="31"/>
        <v>0</v>
      </c>
      <c r="L94" s="12">
        <f t="shared" si="32"/>
        <v>54.61107972084249</v>
      </c>
      <c r="M94" s="32"/>
      <c r="N94" s="32"/>
      <c r="O94" s="32"/>
      <c r="P94" s="32"/>
      <c r="Q94" s="32"/>
      <c r="R94" s="32"/>
      <c r="S94" s="32"/>
      <c r="T94" s="12"/>
      <c r="U94" s="70"/>
      <c r="V94" s="11">
        <f t="shared" si="39"/>
        <v>0.17126291609375066</v>
      </c>
      <c r="W94" s="70"/>
      <c r="X94" s="11">
        <f t="shared" si="39"/>
        <v>0.16317156895598806</v>
      </c>
      <c r="Y94" s="70"/>
      <c r="Z94" s="11">
        <f t="shared" si="33"/>
        <v>0.19581983400352673</v>
      </c>
      <c r="AA94" s="16">
        <f t="shared" si="34"/>
        <v>0</v>
      </c>
      <c r="AB94" s="11">
        <f t="shared" si="35"/>
        <v>0.17675143968442183</v>
      </c>
      <c r="AC94" s="69">
        <f t="shared" si="23"/>
        <v>0</v>
      </c>
      <c r="AD94" s="12">
        <f t="shared" si="24"/>
        <v>69.361481017969</v>
      </c>
      <c r="AE94" s="69">
        <f t="shared" si="25"/>
        <v>0</v>
      </c>
      <c r="AF94" s="12">
        <f t="shared" si="26"/>
        <v>45.52486773872066</v>
      </c>
      <c r="AG94" s="69">
        <f t="shared" si="27"/>
        <v>0</v>
      </c>
      <c r="AH94" s="12">
        <f t="shared" si="28"/>
        <v>49.47714472489108</v>
      </c>
      <c r="AI94" s="69">
        <f t="shared" si="29"/>
        <v>0</v>
      </c>
      <c r="AJ94" s="12">
        <f t="shared" si="36"/>
        <v>54.78783116052691</v>
      </c>
    </row>
    <row r="95" spans="2:36" ht="12.75">
      <c r="B95" s="7" t="s">
        <v>141</v>
      </c>
      <c r="D95" s="7" t="s">
        <v>98</v>
      </c>
      <c r="E95" s="8">
        <v>100</v>
      </c>
      <c r="F95" s="12">
        <f t="shared" si="37"/>
        <v>1.7126291609375066</v>
      </c>
      <c r="G95" s="8">
        <v>100</v>
      </c>
      <c r="H95" s="12">
        <f t="shared" si="38"/>
        <v>1.3053725516479044</v>
      </c>
      <c r="I95" s="8">
        <v>100</v>
      </c>
      <c r="J95" s="12">
        <f t="shared" si="30"/>
        <v>1.6318319500293894</v>
      </c>
      <c r="K95" s="16">
        <f t="shared" si="31"/>
        <v>100</v>
      </c>
      <c r="L95" s="12">
        <f t="shared" si="32"/>
        <v>1.5499445542049335</v>
      </c>
      <c r="M95" s="32"/>
      <c r="N95" s="32"/>
      <c r="O95" s="32"/>
      <c r="P95" s="32"/>
      <c r="Q95" s="32"/>
      <c r="R95" s="32"/>
      <c r="S95" s="32"/>
      <c r="T95" s="12"/>
      <c r="U95" s="70"/>
      <c r="V95" s="11">
        <f t="shared" si="39"/>
        <v>0.1027577496562504</v>
      </c>
      <c r="W95" s="70"/>
      <c r="X95" s="11">
        <f t="shared" si="39"/>
        <v>0.09790294137359282</v>
      </c>
      <c r="Y95" s="70"/>
      <c r="Z95" s="11">
        <f t="shared" si="33"/>
        <v>0.06527327800117556</v>
      </c>
      <c r="AA95" s="16">
        <f t="shared" si="34"/>
        <v>0</v>
      </c>
      <c r="AB95" s="11">
        <f t="shared" si="35"/>
        <v>0.08864465634367293</v>
      </c>
      <c r="AC95" s="69">
        <f t="shared" si="23"/>
        <v>94.33962264150944</v>
      </c>
      <c r="AD95" s="12">
        <f t="shared" si="24"/>
        <v>1.815386910593757</v>
      </c>
      <c r="AE95" s="69">
        <f t="shared" si="25"/>
        <v>93.0232558139535</v>
      </c>
      <c r="AF95" s="12">
        <f t="shared" si="26"/>
        <v>1.4032754930214972</v>
      </c>
      <c r="AG95" s="69">
        <f t="shared" si="27"/>
        <v>96.15384615384615</v>
      </c>
      <c r="AH95" s="12">
        <f t="shared" si="28"/>
        <v>1.697105228030565</v>
      </c>
      <c r="AI95" s="69">
        <f t="shared" si="29"/>
        <v>94.59018430165335</v>
      </c>
      <c r="AJ95" s="12">
        <f t="shared" si="36"/>
        <v>1.6385892105486064</v>
      </c>
    </row>
    <row r="96" spans="2:36" ht="12.75">
      <c r="B96" s="7" t="s">
        <v>142</v>
      </c>
      <c r="D96" s="7" t="s">
        <v>98</v>
      </c>
      <c r="F96" s="12">
        <f t="shared" si="37"/>
        <v>2.7402066575000106</v>
      </c>
      <c r="G96" s="8">
        <v>100</v>
      </c>
      <c r="H96" s="12">
        <f t="shared" si="38"/>
        <v>2.2844019653838328</v>
      </c>
      <c r="I96" s="8">
        <v>100</v>
      </c>
      <c r="J96" s="12">
        <f t="shared" si="30"/>
        <v>2.2845647300411454</v>
      </c>
      <c r="K96" s="16">
        <f t="shared" si="31"/>
        <v>62.51003328025553</v>
      </c>
      <c r="L96" s="12">
        <f t="shared" si="32"/>
        <v>2.4363911176416626</v>
      </c>
      <c r="M96" s="32"/>
      <c r="N96" s="32"/>
      <c r="O96" s="32"/>
      <c r="P96" s="32"/>
      <c r="Q96" s="32"/>
      <c r="R96" s="32"/>
      <c r="S96" s="32"/>
      <c r="T96" s="12"/>
      <c r="U96" s="70">
        <v>100</v>
      </c>
      <c r="V96" s="11">
        <f t="shared" si="39"/>
        <v>0.02397680825312509</v>
      </c>
      <c r="W96" s="70">
        <v>100</v>
      </c>
      <c r="X96" s="11">
        <f t="shared" si="39"/>
        <v>0.0032634313791197606</v>
      </c>
      <c r="Y96" s="70">
        <v>100</v>
      </c>
      <c r="Z96" s="11">
        <f t="shared" si="33"/>
        <v>0.003263663900058779</v>
      </c>
      <c r="AA96" s="16">
        <f t="shared" si="34"/>
        <v>100</v>
      </c>
      <c r="AB96" s="11">
        <f t="shared" si="35"/>
        <v>0.010167967844101209</v>
      </c>
      <c r="AC96" s="69">
        <f t="shared" si="23"/>
        <v>0.8674101610904583</v>
      </c>
      <c r="AD96" s="12">
        <f t="shared" si="24"/>
        <v>2.7641834657531357</v>
      </c>
      <c r="AE96" s="69">
        <f t="shared" si="25"/>
        <v>100.00000000000001</v>
      </c>
      <c r="AF96" s="12">
        <f t="shared" si="26"/>
        <v>2.2876653967629523</v>
      </c>
      <c r="AG96" s="69">
        <f t="shared" si="27"/>
        <v>100</v>
      </c>
      <c r="AH96" s="12">
        <f t="shared" si="28"/>
        <v>2.2878283939412043</v>
      </c>
      <c r="AI96" s="69">
        <f t="shared" si="29"/>
        <v>62.66584262830857</v>
      </c>
      <c r="AJ96" s="12">
        <f t="shared" si="36"/>
        <v>2.446559085485764</v>
      </c>
    </row>
    <row r="97" spans="2:36" ht="12.75">
      <c r="B97" s="7" t="s">
        <v>143</v>
      </c>
      <c r="D97" s="7" t="s">
        <v>98</v>
      </c>
      <c r="E97" s="8">
        <v>100</v>
      </c>
      <c r="F97" s="12">
        <f t="shared" si="37"/>
        <v>5.822939147187522</v>
      </c>
      <c r="G97" s="8">
        <v>100</v>
      </c>
      <c r="H97" s="12">
        <f t="shared" si="38"/>
        <v>5.5478333445035934</v>
      </c>
      <c r="I97" s="8">
        <v>100</v>
      </c>
      <c r="J97" s="12">
        <f t="shared" si="30"/>
        <v>5.548228630099924</v>
      </c>
      <c r="K97" s="16">
        <f t="shared" si="31"/>
        <v>99.99999999999999</v>
      </c>
      <c r="L97" s="12">
        <f t="shared" si="32"/>
        <v>5.639667040597014</v>
      </c>
      <c r="M97" s="32"/>
      <c r="N97" s="32"/>
      <c r="O97" s="32"/>
      <c r="P97" s="32"/>
      <c r="Q97" s="32"/>
      <c r="R97" s="32"/>
      <c r="S97" s="32"/>
      <c r="T97" s="12"/>
      <c r="U97" s="70">
        <v>100</v>
      </c>
      <c r="V97" s="11">
        <f t="shared" si="39"/>
        <v>0.06850516643750025</v>
      </c>
      <c r="W97" s="70">
        <v>100</v>
      </c>
      <c r="X97" s="11">
        <f t="shared" si="39"/>
        <v>0.06526862758239521</v>
      </c>
      <c r="Y97" s="70">
        <v>100</v>
      </c>
      <c r="Z97" s="11">
        <f t="shared" si="33"/>
        <v>0.06527327800117556</v>
      </c>
      <c r="AA97" s="16">
        <f t="shared" si="34"/>
        <v>100.00000000000001</v>
      </c>
      <c r="AB97" s="11">
        <f t="shared" si="35"/>
        <v>0.06634902400702368</v>
      </c>
      <c r="AC97" s="69">
        <f t="shared" si="23"/>
        <v>99.99999999999999</v>
      </c>
      <c r="AD97" s="12">
        <f t="shared" si="24"/>
        <v>5.891444313625022</v>
      </c>
      <c r="AE97" s="69">
        <f t="shared" si="25"/>
        <v>100</v>
      </c>
      <c r="AF97" s="12">
        <f t="shared" si="26"/>
        <v>5.613101972085989</v>
      </c>
      <c r="AG97" s="69">
        <f t="shared" si="27"/>
        <v>99.99999999999999</v>
      </c>
      <c r="AH97" s="12">
        <f t="shared" si="28"/>
        <v>5.6135019081010995</v>
      </c>
      <c r="AI97" s="69">
        <f t="shared" si="29"/>
        <v>99.99999999999999</v>
      </c>
      <c r="AJ97" s="12">
        <f t="shared" si="36"/>
        <v>5.706016064604038</v>
      </c>
    </row>
    <row r="98" spans="2:36" ht="12.75">
      <c r="B98" s="7" t="s">
        <v>144</v>
      </c>
      <c r="D98" s="7" t="s">
        <v>98</v>
      </c>
      <c r="E98" s="8">
        <v>100</v>
      </c>
      <c r="F98" s="12">
        <f t="shared" si="37"/>
        <v>5.822939147187522</v>
      </c>
      <c r="G98" s="8">
        <v>100</v>
      </c>
      <c r="H98" s="12">
        <f t="shared" si="38"/>
        <v>5.5478333445035934</v>
      </c>
      <c r="I98" s="8">
        <v>100</v>
      </c>
      <c r="J98" s="12">
        <f t="shared" si="30"/>
        <v>5.548228630099924</v>
      </c>
      <c r="K98" s="16">
        <f t="shared" si="31"/>
        <v>99.99999999999999</v>
      </c>
      <c r="L98" s="12">
        <f t="shared" si="32"/>
        <v>5.639667040597014</v>
      </c>
      <c r="M98" s="32"/>
      <c r="N98" s="32"/>
      <c r="O98" s="32"/>
      <c r="P98" s="32"/>
      <c r="Q98" s="32"/>
      <c r="R98" s="32"/>
      <c r="S98" s="32"/>
      <c r="T98" s="12"/>
      <c r="U98" s="70">
        <v>100</v>
      </c>
      <c r="V98" s="11">
        <f t="shared" si="39"/>
        <v>0.06850516643750025</v>
      </c>
      <c r="W98" s="70">
        <v>100</v>
      </c>
      <c r="X98" s="11">
        <f t="shared" si="39"/>
        <v>0.06526862758239521</v>
      </c>
      <c r="Y98" s="70">
        <v>100</v>
      </c>
      <c r="Z98" s="11">
        <f t="shared" si="33"/>
        <v>0.06527327800117556</v>
      </c>
      <c r="AA98" s="16">
        <f t="shared" si="34"/>
        <v>100.00000000000001</v>
      </c>
      <c r="AB98" s="11">
        <f t="shared" si="35"/>
        <v>0.06634902400702368</v>
      </c>
      <c r="AC98" s="69">
        <f t="shared" si="23"/>
        <v>99.99999999999999</v>
      </c>
      <c r="AD98" s="12">
        <f t="shared" si="24"/>
        <v>5.891444313625022</v>
      </c>
      <c r="AE98" s="69">
        <f t="shared" si="25"/>
        <v>100</v>
      </c>
      <c r="AF98" s="12">
        <f t="shared" si="26"/>
        <v>5.613101972085989</v>
      </c>
      <c r="AG98" s="69">
        <f t="shared" si="27"/>
        <v>99.99999999999999</v>
      </c>
      <c r="AH98" s="12">
        <f t="shared" si="28"/>
        <v>5.6135019081010995</v>
      </c>
      <c r="AI98" s="69">
        <f t="shared" si="29"/>
        <v>99.99999999999999</v>
      </c>
      <c r="AJ98" s="12">
        <f t="shared" si="36"/>
        <v>5.706016064604038</v>
      </c>
    </row>
    <row r="99" spans="6:36" ht="12.75">
      <c r="F99" s="12"/>
      <c r="G99" s="32"/>
      <c r="H99" s="12"/>
      <c r="I99" s="32"/>
      <c r="J99" s="12"/>
      <c r="K99" s="32"/>
      <c r="L99" s="12"/>
      <c r="M99" s="32"/>
      <c r="N99" s="32"/>
      <c r="O99" s="32"/>
      <c r="P99" s="32"/>
      <c r="Q99" s="32"/>
      <c r="R99" s="32"/>
      <c r="S99" s="32"/>
      <c r="T99" s="12"/>
      <c r="U99" s="32"/>
      <c r="V99" s="12"/>
      <c r="W99" s="32"/>
      <c r="X99" s="12"/>
      <c r="Y99" s="32"/>
      <c r="Z99" s="12"/>
      <c r="AA99" s="32"/>
      <c r="AB99" s="12"/>
      <c r="AC99" s="69"/>
      <c r="AD99" s="12"/>
      <c r="AE99" s="12"/>
      <c r="AF99" s="12"/>
      <c r="AG99" s="12"/>
      <c r="AH99" s="12"/>
      <c r="AI99" s="12"/>
      <c r="AJ99" s="12"/>
    </row>
    <row r="100" spans="2:36" ht="12.75">
      <c r="B100" s="7" t="s">
        <v>5</v>
      </c>
      <c r="D100" s="7" t="s">
        <v>98</v>
      </c>
      <c r="E100" s="44">
        <f>(E93*F93+E95*F95)/F100</f>
        <v>100</v>
      </c>
      <c r="F100" s="12">
        <f>(F95+F93)</f>
        <v>7.535568308125028</v>
      </c>
      <c r="G100" s="44">
        <f>(G93*H93+G95*H95)/H100</f>
        <v>100.00000000000001</v>
      </c>
      <c r="H100" s="12">
        <f>(H95+H93)</f>
        <v>6.853205896151498</v>
      </c>
      <c r="I100" s="44">
        <f>(I93*J93+I95*J95)/J100</f>
        <v>100</v>
      </c>
      <c r="J100" s="12">
        <f>(J95+J93)</f>
        <v>7.180060580129314</v>
      </c>
      <c r="K100" s="44">
        <f>(K93*L93+K95*L95)/L100</f>
        <v>100.00000000000001</v>
      </c>
      <c r="L100" s="12">
        <f>AVERAGE(F100,H100,J100)</f>
        <v>7.189611594801947</v>
      </c>
      <c r="M100" s="32"/>
      <c r="N100" s="32"/>
      <c r="O100" s="32"/>
      <c r="P100" s="32"/>
      <c r="Q100" s="32"/>
      <c r="R100" s="32"/>
      <c r="S100" s="32"/>
      <c r="T100" s="12"/>
      <c r="U100" s="44">
        <f>(U93*V93+U95*V95)/V100</f>
        <v>0</v>
      </c>
      <c r="V100" s="12">
        <f>(V95+V93)</f>
        <v>0.2055154993125008</v>
      </c>
      <c r="W100" s="44">
        <f>(W93*X93+W95*X95)/X100</f>
        <v>0</v>
      </c>
      <c r="X100" s="12">
        <f>(X95+X93)</f>
        <v>0.19580588274718563</v>
      </c>
      <c r="Y100" s="44">
        <f>(Y93*Z93+Y95*Z95)/Z100</f>
        <v>0</v>
      </c>
      <c r="Z100" s="12">
        <f>(Z95+Z93)</f>
        <v>0.13054655600235113</v>
      </c>
      <c r="AA100" s="44">
        <f>(AA93*AB93+AA95*AB95)/AB100</f>
        <v>0</v>
      </c>
      <c r="AB100" s="12">
        <f>(AB95+AB93)</f>
        <v>0.17728931268734585</v>
      </c>
      <c r="AC100" s="44">
        <f>(AC93*AD93+AC95*AD95)/AD100</f>
        <v>97.34513274336283</v>
      </c>
      <c r="AD100" s="12">
        <f>SUM(V100,N100,F100)</f>
        <v>7.741083807437529</v>
      </c>
      <c r="AE100" s="44">
        <f>(AE93*AF93+AE95*AF95)/AF100</f>
        <v>97.22222222222223</v>
      </c>
      <c r="AF100" s="12">
        <f>SUM(X100,P100,H100)</f>
        <v>7.0490117788986835</v>
      </c>
      <c r="AG100" s="44">
        <f>(AG93*AH93+AG95*AH95)/AH100</f>
        <v>98.21428571428571</v>
      </c>
      <c r="AH100" s="12">
        <f>SUM(Z100,R100,J100)</f>
        <v>7.310607136131665</v>
      </c>
      <c r="AI100" s="44">
        <f>(AI93*AJ93+AI95*AJ95)/AJ100</f>
        <v>97.59343426885096</v>
      </c>
      <c r="AJ100" s="12">
        <f t="shared" si="36"/>
        <v>7.366900907489293</v>
      </c>
    </row>
    <row r="101" spans="2:36" ht="12.75">
      <c r="B101" s="7" t="s">
        <v>6</v>
      </c>
      <c r="D101" s="7" t="s">
        <v>98</v>
      </c>
      <c r="E101" s="44">
        <f>(E90*F90+E92*F92+E94*F94)/F101</f>
        <v>20.15810276679842</v>
      </c>
      <c r="F101" s="12">
        <f>F90+F92+F94</f>
        <v>86.65903554343781</v>
      </c>
      <c r="G101" s="44">
        <f>(G90*H90+G92*H92+G94*H94)/H101</f>
        <v>26.8421052631579</v>
      </c>
      <c r="H101" s="12">
        <f>H90+H92+H94</f>
        <v>62.005196203275446</v>
      </c>
      <c r="I101" s="44">
        <f>(I90*J90+I92*J92+I94*J94)/J101</f>
        <v>25.247524752475247</v>
      </c>
      <c r="J101" s="12">
        <f>J90+J92+J94</f>
        <v>65.92601078118733</v>
      </c>
      <c r="K101" s="44">
        <f>(K90*L90+K92*L92+K94*L94)/L101</f>
        <v>23.652987557798113</v>
      </c>
      <c r="L101" s="12">
        <f>AVERAGE(F101,H101,J101)</f>
        <v>71.53008084263352</v>
      </c>
      <c r="M101" s="32"/>
      <c r="N101" s="32"/>
      <c r="O101" s="32"/>
      <c r="P101" s="32"/>
      <c r="Q101" s="32"/>
      <c r="R101" s="32"/>
      <c r="S101" s="32"/>
      <c r="T101" s="12"/>
      <c r="U101" s="44">
        <f>(U90*V90+U92*V92+U94*V94)/V101</f>
        <v>44.444444444444436</v>
      </c>
      <c r="V101" s="12">
        <f>V90+V92+V94</f>
        <v>0.3082732489687512</v>
      </c>
      <c r="W101" s="44">
        <f>(W90*X90+W92*X92+W94*X94)/X101</f>
        <v>44.44444444444444</v>
      </c>
      <c r="X101" s="12">
        <f>X90+X92+X94</f>
        <v>0.2937088241207785</v>
      </c>
      <c r="Y101" s="44">
        <f>(Y90*Z90+Y92*Z92+Y94*Z94)/Z101</f>
        <v>26.829268292682922</v>
      </c>
      <c r="Z101" s="12">
        <f>Z90+Z92+Z94</f>
        <v>0.26762043980481987</v>
      </c>
      <c r="AA101" s="44">
        <f>(AA90*AB90+AA92*AB92+AA94*AB94)/AB101</f>
        <v>39.02336858613843</v>
      </c>
      <c r="AB101" s="12">
        <f>(AB90+AB92+AB94)</f>
        <v>0.28986750429811653</v>
      </c>
      <c r="AC101" s="44">
        <f>(AC90*AD90+AC92*AD92+AC94*AD94)/AD101</f>
        <v>20.244190626230804</v>
      </c>
      <c r="AD101" s="12">
        <f>SUM(V101,N101,F101)</f>
        <v>86.96730879240656</v>
      </c>
      <c r="AE101" s="44">
        <f>(AE90*AF90+AE92*AF92+AE94*AF94)/AF101</f>
        <v>26.92509167103196</v>
      </c>
      <c r="AF101" s="12">
        <f>SUM(X101,P101,H101)</f>
        <v>62.29890502739622</v>
      </c>
      <c r="AG101" s="44">
        <f>(AG90*AH90+AG92*AH92+AG94*AH94)/AH101</f>
        <v>25.253919731781878</v>
      </c>
      <c r="AH101" s="12">
        <f>SUM(Z101,R101,J101)</f>
        <v>66.19363122099215</v>
      </c>
      <c r="AI101" s="44">
        <f>(AI90*AJ90+AI92*AJ92+AI94*AJ94)/AJ101</f>
        <v>23.715022884909104</v>
      </c>
      <c r="AJ101" s="12">
        <f>SUM(AB101,T101,L101)</f>
        <v>71.81994834693164</v>
      </c>
    </row>
    <row r="102" spans="6:36" ht="12.75">
      <c r="F102" s="32"/>
      <c r="G102" s="32"/>
      <c r="H102" s="32"/>
      <c r="I102" s="32"/>
      <c r="J102" s="32"/>
      <c r="K102" s="32"/>
      <c r="L102" s="12"/>
      <c r="M102" s="32"/>
      <c r="N102" s="32"/>
      <c r="O102" s="32"/>
      <c r="P102" s="32"/>
      <c r="Q102" s="32"/>
      <c r="R102" s="32"/>
      <c r="S102" s="32"/>
      <c r="T102" s="12"/>
      <c r="U102" s="32"/>
      <c r="V102" s="32"/>
      <c r="W102" s="32"/>
      <c r="X102" s="32"/>
      <c r="Y102" s="32"/>
      <c r="Z102" s="32"/>
      <c r="AA102" s="32"/>
      <c r="AB102" s="12"/>
      <c r="AC102" s="12"/>
      <c r="AD102" s="12"/>
      <c r="AE102" s="12"/>
      <c r="AF102" s="12"/>
      <c r="AG102" s="12"/>
      <c r="AH102" s="12"/>
      <c r="AI102" s="12"/>
      <c r="AJ102" s="52"/>
    </row>
    <row r="103" spans="6:36" ht="12.75">
      <c r="F103" s="32"/>
      <c r="G103" s="32"/>
      <c r="H103" s="32"/>
      <c r="I103" s="32"/>
      <c r="J103" s="32"/>
      <c r="K103" s="32"/>
      <c r="L103" s="12"/>
      <c r="M103" s="32"/>
      <c r="N103" s="32"/>
      <c r="O103" s="32"/>
      <c r="P103" s="32"/>
      <c r="Q103" s="32"/>
      <c r="R103" s="32"/>
      <c r="S103" s="32"/>
      <c r="T103" s="12"/>
      <c r="U103" s="32"/>
      <c r="V103" s="32"/>
      <c r="W103" s="32"/>
      <c r="X103" s="32"/>
      <c r="Y103" s="32"/>
      <c r="Z103" s="32"/>
      <c r="AA103" s="32"/>
      <c r="AB103" s="12"/>
      <c r="AC103" s="12"/>
      <c r="AD103" s="12"/>
      <c r="AE103" s="12"/>
      <c r="AF103" s="12"/>
      <c r="AG103" s="12"/>
      <c r="AH103" s="12"/>
      <c r="AI103" s="12"/>
      <c r="AJ103" s="52"/>
    </row>
    <row r="104" spans="6:36" ht="12.75">
      <c r="F104" s="32"/>
      <c r="G104" s="32"/>
      <c r="H104" s="32"/>
      <c r="I104" s="32"/>
      <c r="J104" s="32"/>
      <c r="K104" s="32"/>
      <c r="L104" s="12"/>
      <c r="M104" s="32"/>
      <c r="N104" s="32"/>
      <c r="O104" s="32"/>
      <c r="P104" s="32"/>
      <c r="Q104" s="32"/>
      <c r="R104" s="32"/>
      <c r="S104" s="32"/>
      <c r="T104" s="12"/>
      <c r="U104" s="32"/>
      <c r="V104" s="32"/>
      <c r="W104" s="32"/>
      <c r="X104" s="32"/>
      <c r="Y104" s="32"/>
      <c r="Z104" s="32"/>
      <c r="AA104" s="32"/>
      <c r="AB104" s="12"/>
      <c r="AC104" s="12"/>
      <c r="AD104" s="12"/>
      <c r="AE104" s="12"/>
      <c r="AF104" s="12"/>
      <c r="AG104" s="12"/>
      <c r="AH104" s="12"/>
      <c r="AI104" s="12"/>
      <c r="AJ104" s="52"/>
    </row>
    <row r="105" spans="1:36" ht="12.75">
      <c r="A105" s="7" t="s">
        <v>175</v>
      </c>
      <c r="B105" s="6" t="s">
        <v>92</v>
      </c>
      <c r="C105" s="6"/>
      <c r="F105" s="8" t="s">
        <v>209</v>
      </c>
      <c r="G105" s="29"/>
      <c r="H105" s="8" t="s">
        <v>210</v>
      </c>
      <c r="I105" s="29"/>
      <c r="J105" s="8" t="s">
        <v>211</v>
      </c>
      <c r="L105" s="8" t="s">
        <v>35</v>
      </c>
      <c r="N105" s="8" t="s">
        <v>209</v>
      </c>
      <c r="O105" s="29"/>
      <c r="P105" s="8" t="s">
        <v>210</v>
      </c>
      <c r="Q105" s="29"/>
      <c r="R105" s="8" t="s">
        <v>211</v>
      </c>
      <c r="T105" s="8" t="s">
        <v>35</v>
      </c>
      <c r="V105" s="8" t="s">
        <v>209</v>
      </c>
      <c r="W105" s="29"/>
      <c r="X105" s="8" t="s">
        <v>210</v>
      </c>
      <c r="Y105" s="29"/>
      <c r="Z105" s="8" t="s">
        <v>211</v>
      </c>
      <c r="AB105" s="8" t="s">
        <v>35</v>
      </c>
      <c r="AC105" s="8"/>
      <c r="AD105" s="8" t="s">
        <v>209</v>
      </c>
      <c r="AE105" s="29"/>
      <c r="AF105" s="8" t="s">
        <v>210</v>
      </c>
      <c r="AG105" s="29"/>
      <c r="AH105" s="8" t="s">
        <v>211</v>
      </c>
      <c r="AI105" s="8"/>
      <c r="AJ105" s="8" t="s">
        <v>35</v>
      </c>
    </row>
    <row r="106" spans="2:46" ht="12.75">
      <c r="B106" s="29"/>
      <c r="C106" s="29"/>
      <c r="D106" s="29"/>
      <c r="F106" s="7"/>
      <c r="G106" s="7"/>
      <c r="H106" s="7"/>
      <c r="I106" s="7"/>
      <c r="J106" s="7"/>
      <c r="K106" s="7"/>
      <c r="M106" s="7"/>
      <c r="N106" s="7"/>
      <c r="O106" s="7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J106" s="7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2:46" ht="12.75">
      <c r="B107" s="29" t="s">
        <v>219</v>
      </c>
      <c r="C107" s="29"/>
      <c r="D107" s="29"/>
      <c r="E107" s="29"/>
      <c r="F107" s="8" t="s">
        <v>221</v>
      </c>
      <c r="G107" s="29"/>
      <c r="H107" s="8" t="s">
        <v>221</v>
      </c>
      <c r="I107" s="29"/>
      <c r="J107" s="8" t="s">
        <v>221</v>
      </c>
      <c r="K107" s="29"/>
      <c r="L107" s="8" t="s">
        <v>221</v>
      </c>
      <c r="N107" s="8" t="s">
        <v>224</v>
      </c>
      <c r="P107" s="8" t="s">
        <v>224</v>
      </c>
      <c r="R107" s="8" t="s">
        <v>224</v>
      </c>
      <c r="T107" s="8" t="s">
        <v>224</v>
      </c>
      <c r="V107" s="8" t="s">
        <v>225</v>
      </c>
      <c r="X107" s="8" t="s">
        <v>225</v>
      </c>
      <c r="Z107" s="8" t="s">
        <v>225</v>
      </c>
      <c r="AB107" s="8" t="s">
        <v>225</v>
      </c>
      <c r="AC107" s="8"/>
      <c r="AD107" s="8" t="s">
        <v>226</v>
      </c>
      <c r="AE107" s="8"/>
      <c r="AF107" s="8" t="s">
        <v>226</v>
      </c>
      <c r="AG107" s="8"/>
      <c r="AH107" s="8" t="s">
        <v>226</v>
      </c>
      <c r="AI107" s="8"/>
      <c r="AJ107" s="8" t="s">
        <v>226</v>
      </c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2:46" ht="12.75">
      <c r="B108" s="29" t="s">
        <v>220</v>
      </c>
      <c r="C108" s="29"/>
      <c r="D108" s="29"/>
      <c r="E108" s="29"/>
      <c r="F108" s="8" t="s">
        <v>222</v>
      </c>
      <c r="G108" s="29"/>
      <c r="H108" s="8" t="s">
        <v>222</v>
      </c>
      <c r="I108" s="29"/>
      <c r="J108" s="8" t="s">
        <v>222</v>
      </c>
      <c r="K108" s="29"/>
      <c r="L108" s="8" t="s">
        <v>222</v>
      </c>
      <c r="N108" s="8" t="s">
        <v>223</v>
      </c>
      <c r="P108" s="8" t="s">
        <v>223</v>
      </c>
      <c r="R108" s="8" t="s">
        <v>223</v>
      </c>
      <c r="T108" s="8" t="s">
        <v>223</v>
      </c>
      <c r="V108" s="65" t="s">
        <v>15</v>
      </c>
      <c r="X108" s="65" t="s">
        <v>15</v>
      </c>
      <c r="Z108" s="65" t="s">
        <v>15</v>
      </c>
      <c r="AB108" s="65" t="s">
        <v>15</v>
      </c>
      <c r="AC108" s="8"/>
      <c r="AD108" s="8" t="s">
        <v>91</v>
      </c>
      <c r="AE108" s="8"/>
      <c r="AF108" s="8" t="s">
        <v>91</v>
      </c>
      <c r="AG108" s="8"/>
      <c r="AH108" s="8" t="s">
        <v>91</v>
      </c>
      <c r="AI108" s="8"/>
      <c r="AJ108" s="8" t="s">
        <v>91</v>
      </c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2:46" ht="12.75">
      <c r="B109" s="29" t="s">
        <v>227</v>
      </c>
      <c r="C109" s="29"/>
      <c r="D109" s="29"/>
      <c r="E109" s="29"/>
      <c r="F109" s="8" t="s">
        <v>1</v>
      </c>
      <c r="G109" s="29"/>
      <c r="H109" s="8" t="s">
        <v>1</v>
      </c>
      <c r="I109" s="29"/>
      <c r="J109" s="8" t="s">
        <v>1</v>
      </c>
      <c r="K109" s="29"/>
      <c r="L109" s="8" t="s">
        <v>1</v>
      </c>
      <c r="N109" s="8" t="s">
        <v>228</v>
      </c>
      <c r="P109" s="8" t="s">
        <v>228</v>
      </c>
      <c r="R109" s="8" t="s">
        <v>228</v>
      </c>
      <c r="T109" s="8" t="s">
        <v>228</v>
      </c>
      <c r="V109" s="65" t="s">
        <v>15</v>
      </c>
      <c r="X109" s="65" t="s">
        <v>15</v>
      </c>
      <c r="Z109" s="65" t="s">
        <v>15</v>
      </c>
      <c r="AB109" s="65" t="s">
        <v>15</v>
      </c>
      <c r="AC109" s="8"/>
      <c r="AD109" s="8" t="s">
        <v>91</v>
      </c>
      <c r="AE109" s="8"/>
      <c r="AF109" s="8" t="s">
        <v>91</v>
      </c>
      <c r="AG109" s="8"/>
      <c r="AH109" s="8" t="s">
        <v>91</v>
      </c>
      <c r="AI109" s="8"/>
      <c r="AJ109" s="8" t="s">
        <v>91</v>
      </c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2:36" ht="12.75">
      <c r="B110" s="7" t="s">
        <v>177</v>
      </c>
      <c r="F110" s="7" t="s">
        <v>60</v>
      </c>
      <c r="G110" s="7"/>
      <c r="H110" s="7" t="s">
        <v>60</v>
      </c>
      <c r="I110" s="7"/>
      <c r="J110" s="7" t="s">
        <v>60</v>
      </c>
      <c r="L110" s="30" t="s">
        <v>60</v>
      </c>
      <c r="N110" s="30" t="s">
        <v>93</v>
      </c>
      <c r="P110" s="30" t="s">
        <v>93</v>
      </c>
      <c r="R110" s="30" t="s">
        <v>93</v>
      </c>
      <c r="T110" s="30" t="s">
        <v>93</v>
      </c>
      <c r="V110" s="30" t="s">
        <v>15</v>
      </c>
      <c r="X110" s="30" t="s">
        <v>15</v>
      </c>
      <c r="Z110" s="30" t="s">
        <v>15</v>
      </c>
      <c r="AB110" s="30" t="s">
        <v>15</v>
      </c>
      <c r="AC110" s="30"/>
      <c r="AD110" s="30" t="s">
        <v>91</v>
      </c>
      <c r="AE110" s="30"/>
      <c r="AF110" s="30" t="s">
        <v>91</v>
      </c>
      <c r="AG110" s="30"/>
      <c r="AH110" s="30" t="s">
        <v>91</v>
      </c>
      <c r="AI110" s="30"/>
      <c r="AJ110" s="30" t="s">
        <v>91</v>
      </c>
    </row>
    <row r="111" spans="2:26" ht="12.75">
      <c r="B111" s="7" t="s">
        <v>82</v>
      </c>
      <c r="D111" s="7" t="s">
        <v>41</v>
      </c>
      <c r="F111" s="7">
        <v>580.5</v>
      </c>
      <c r="G111" s="7"/>
      <c r="H111" s="7">
        <v>578.7</v>
      </c>
      <c r="I111" s="7"/>
      <c r="J111" s="7">
        <v>594.8</v>
      </c>
      <c r="L111" s="12">
        <f>AVERAGE(J111,H111,F111)</f>
        <v>584.6666666666666</v>
      </c>
      <c r="N111" s="7">
        <v>672.7</v>
      </c>
      <c r="P111" s="7">
        <v>672.7</v>
      </c>
      <c r="R111" s="7">
        <v>672.7</v>
      </c>
      <c r="T111" s="7">
        <v>672.7</v>
      </c>
      <c r="V111" s="7"/>
      <c r="X111" s="7"/>
      <c r="Z111" s="7"/>
    </row>
    <row r="112" spans="2:26" ht="12.75">
      <c r="B112" s="7" t="s">
        <v>49</v>
      </c>
      <c r="D112" s="7" t="s">
        <v>56</v>
      </c>
      <c r="F112" s="7">
        <v>0.962</v>
      </c>
      <c r="G112" s="7"/>
      <c r="H112" s="7">
        <v>0.963</v>
      </c>
      <c r="I112" s="7"/>
      <c r="J112" s="7">
        <v>0.963</v>
      </c>
      <c r="L112" s="15">
        <f>AVERAGE(J112,H112,F112)</f>
        <v>0.9626666666666667</v>
      </c>
      <c r="N112" s="16"/>
      <c r="P112" s="16"/>
      <c r="R112" s="16"/>
      <c r="T112" s="16"/>
      <c r="V112" s="7"/>
      <c r="X112" s="7"/>
      <c r="Z112" s="7"/>
    </row>
    <row r="113" spans="2:26" ht="12.75">
      <c r="B113" s="7" t="s">
        <v>40</v>
      </c>
      <c r="D113" s="7" t="s">
        <v>44</v>
      </c>
      <c r="F113" s="7">
        <v>14771</v>
      </c>
      <c r="G113" s="7"/>
      <c r="H113" s="7">
        <v>14788</v>
      </c>
      <c r="I113" s="7"/>
      <c r="J113" s="7">
        <v>14761</v>
      </c>
      <c r="L113" s="12">
        <f>AVERAGE(J113,H113,F113)</f>
        <v>14773.333333333334</v>
      </c>
      <c r="N113" s="16">
        <v>21214</v>
      </c>
      <c r="P113" s="16">
        <v>21214</v>
      </c>
      <c r="R113" s="16">
        <v>21214</v>
      </c>
      <c r="T113" s="16">
        <v>21214</v>
      </c>
      <c r="V113" s="7"/>
      <c r="X113" s="7"/>
      <c r="Z113" s="7"/>
    </row>
    <row r="114" spans="14:26" ht="12.75">
      <c r="N114" s="7"/>
      <c r="P114" s="7"/>
      <c r="R114" s="7"/>
      <c r="V114" s="7"/>
      <c r="X114" s="7"/>
      <c r="Z114" s="7"/>
    </row>
    <row r="115" spans="2:26" ht="12.75">
      <c r="B115" s="7" t="s">
        <v>11</v>
      </c>
      <c r="D115" s="7" t="s">
        <v>18</v>
      </c>
      <c r="L115" s="11">
        <v>7.04</v>
      </c>
      <c r="N115" s="7"/>
      <c r="P115" s="7"/>
      <c r="R115" s="7"/>
      <c r="V115" s="7"/>
      <c r="X115" s="7"/>
      <c r="Z115" s="7"/>
    </row>
    <row r="116" spans="12:26" ht="12.75">
      <c r="L116" s="11"/>
      <c r="N116" s="7"/>
      <c r="P116" s="7"/>
      <c r="R116" s="7"/>
      <c r="V116" s="7"/>
      <c r="X116" s="7"/>
      <c r="Z116" s="7"/>
    </row>
    <row r="117" spans="2:36" ht="12.75">
      <c r="B117" s="7" t="s">
        <v>176</v>
      </c>
      <c r="D117" s="7" t="s">
        <v>83</v>
      </c>
      <c r="F117" s="12">
        <f>F113*F111/1000000</f>
        <v>8.5745655</v>
      </c>
      <c r="H117" s="12">
        <f>H113*H111/1000000</f>
        <v>8.557815600000001</v>
      </c>
      <c r="J117" s="12">
        <f>J113*J111/1000000</f>
        <v>8.779842799999999</v>
      </c>
      <c r="L117" s="12">
        <f>L113*L111/1000000</f>
        <v>8.637475555555556</v>
      </c>
      <c r="M117" s="32"/>
      <c r="N117" s="12">
        <f>N113*N111/1000000</f>
        <v>14.2706578</v>
      </c>
      <c r="O117" s="32"/>
      <c r="P117" s="12">
        <f>P113*P111/1000000</f>
        <v>14.2706578</v>
      </c>
      <c r="Q117" s="32"/>
      <c r="R117" s="12">
        <f>R113*R111/1000000</f>
        <v>14.2706578</v>
      </c>
      <c r="S117" s="32"/>
      <c r="T117" s="12">
        <f>T113*T111/1000000</f>
        <v>14.2706578</v>
      </c>
      <c r="V117" s="7"/>
      <c r="X117" s="7"/>
      <c r="Z117" s="7"/>
      <c r="AD117" s="52">
        <f>F117+L117</f>
        <v>17.212041055555556</v>
      </c>
      <c r="AF117" s="52">
        <f>H117+N117</f>
        <v>22.8284734</v>
      </c>
      <c r="AH117" s="52">
        <f>J117+P117</f>
        <v>23.0505006</v>
      </c>
      <c r="AJ117" s="52">
        <f>L117+R117</f>
        <v>22.908133355555556</v>
      </c>
    </row>
    <row r="118" spans="12:26" ht="12.75">
      <c r="L118" s="11"/>
      <c r="N118" s="7"/>
      <c r="P118" s="7"/>
      <c r="R118" s="7"/>
      <c r="V118" s="7"/>
      <c r="X118" s="7"/>
      <c r="Z118" s="7"/>
    </row>
    <row r="119" spans="12:26" ht="12.75">
      <c r="L119" s="11"/>
      <c r="N119" s="7"/>
      <c r="P119" s="7"/>
      <c r="R119" s="7"/>
      <c r="V119" s="7"/>
      <c r="X119" s="7"/>
      <c r="Z119" s="7"/>
    </row>
    <row r="120" spans="12:26" ht="12.75">
      <c r="L120" s="11"/>
      <c r="N120" s="7"/>
      <c r="P120" s="7"/>
      <c r="R120" s="7"/>
      <c r="V120" s="7"/>
      <c r="X120" s="7"/>
      <c r="Z120" s="7"/>
    </row>
    <row r="121" spans="1:36" ht="12.75">
      <c r="A121" s="7" t="s">
        <v>175</v>
      </c>
      <c r="B121" s="6" t="s">
        <v>90</v>
      </c>
      <c r="C121" s="6"/>
      <c r="F121" s="8" t="s">
        <v>209</v>
      </c>
      <c r="H121" s="8" t="s">
        <v>210</v>
      </c>
      <c r="J121" s="8" t="s">
        <v>211</v>
      </c>
      <c r="L121" s="7" t="s">
        <v>35</v>
      </c>
      <c r="N121" s="8" t="s">
        <v>209</v>
      </c>
      <c r="P121" s="8" t="s">
        <v>210</v>
      </c>
      <c r="R121" s="8" t="s">
        <v>211</v>
      </c>
      <c r="T121" s="7" t="s">
        <v>35</v>
      </c>
      <c r="V121" s="8" t="s">
        <v>209</v>
      </c>
      <c r="X121" s="8" t="s">
        <v>210</v>
      </c>
      <c r="Z121" s="8" t="s">
        <v>211</v>
      </c>
      <c r="AB121" s="7" t="s">
        <v>35</v>
      </c>
      <c r="AD121" s="8" t="s">
        <v>209</v>
      </c>
      <c r="AE121" s="8"/>
      <c r="AF121" s="8" t="s">
        <v>210</v>
      </c>
      <c r="AG121" s="8"/>
      <c r="AH121" s="8" t="s">
        <v>211</v>
      </c>
      <c r="AI121" s="8"/>
      <c r="AJ121" s="7" t="s">
        <v>35</v>
      </c>
    </row>
    <row r="122" spans="2:46" ht="12.75">
      <c r="B122" s="29"/>
      <c r="C122" s="29"/>
      <c r="D122" s="29"/>
      <c r="L122" s="8"/>
      <c r="T122" s="8"/>
      <c r="AB122" s="8"/>
      <c r="AC122" s="8"/>
      <c r="AD122" s="8"/>
      <c r="AE122" s="8"/>
      <c r="AF122" s="8"/>
      <c r="AG122" s="8"/>
      <c r="AH122" s="8"/>
      <c r="AI122" s="8"/>
      <c r="AJ122" s="7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2:46" ht="12.75">
      <c r="B123" s="29" t="s">
        <v>219</v>
      </c>
      <c r="C123" s="29"/>
      <c r="D123" s="29"/>
      <c r="F123" s="8" t="s">
        <v>221</v>
      </c>
      <c r="H123" s="8" t="s">
        <v>221</v>
      </c>
      <c r="J123" s="8" t="s">
        <v>221</v>
      </c>
      <c r="L123" s="8" t="s">
        <v>221</v>
      </c>
      <c r="N123" s="8" t="s">
        <v>224</v>
      </c>
      <c r="P123" s="8" t="s">
        <v>224</v>
      </c>
      <c r="R123" s="8" t="s">
        <v>224</v>
      </c>
      <c r="T123" s="8" t="s">
        <v>224</v>
      </c>
      <c r="V123" s="8" t="s">
        <v>225</v>
      </c>
      <c r="X123" s="8" t="s">
        <v>225</v>
      </c>
      <c r="Z123" s="8" t="s">
        <v>225</v>
      </c>
      <c r="AB123" s="8" t="s">
        <v>225</v>
      </c>
      <c r="AC123" s="8"/>
      <c r="AD123" s="8" t="s">
        <v>226</v>
      </c>
      <c r="AE123" s="8"/>
      <c r="AF123" s="8" t="s">
        <v>226</v>
      </c>
      <c r="AG123" s="8"/>
      <c r="AH123" s="8" t="s">
        <v>226</v>
      </c>
      <c r="AI123" s="8"/>
      <c r="AJ123" s="8" t="s">
        <v>226</v>
      </c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2:46" ht="12.75">
      <c r="B124" s="29" t="s">
        <v>220</v>
      </c>
      <c r="C124" s="29"/>
      <c r="D124" s="29"/>
      <c r="F124" s="8" t="s">
        <v>222</v>
      </c>
      <c r="H124" s="8" t="s">
        <v>222</v>
      </c>
      <c r="J124" s="8" t="s">
        <v>222</v>
      </c>
      <c r="L124" s="8" t="s">
        <v>222</v>
      </c>
      <c r="N124" s="8" t="s">
        <v>223</v>
      </c>
      <c r="P124" s="8" t="s">
        <v>223</v>
      </c>
      <c r="R124" s="8" t="s">
        <v>223</v>
      </c>
      <c r="T124" s="8" t="s">
        <v>223</v>
      </c>
      <c r="V124" s="8" t="s">
        <v>15</v>
      </c>
      <c r="X124" s="8" t="s">
        <v>15</v>
      </c>
      <c r="Z124" s="8" t="s">
        <v>15</v>
      </c>
      <c r="AB124" s="8" t="s">
        <v>15</v>
      </c>
      <c r="AC124" s="8"/>
      <c r="AD124" s="8" t="s">
        <v>91</v>
      </c>
      <c r="AE124" s="8"/>
      <c r="AF124" s="8" t="s">
        <v>91</v>
      </c>
      <c r="AG124" s="8"/>
      <c r="AH124" s="8" t="s">
        <v>91</v>
      </c>
      <c r="AI124" s="8"/>
      <c r="AJ124" s="8" t="s">
        <v>91</v>
      </c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2:46" ht="12.75">
      <c r="B125" s="29" t="s">
        <v>227</v>
      </c>
      <c r="C125" s="29"/>
      <c r="D125" s="29"/>
      <c r="E125" s="29"/>
      <c r="F125" s="8" t="s">
        <v>1</v>
      </c>
      <c r="G125" s="29"/>
      <c r="H125" s="8" t="s">
        <v>1</v>
      </c>
      <c r="I125" s="29"/>
      <c r="J125" s="8" t="s">
        <v>1</v>
      </c>
      <c r="K125" s="29"/>
      <c r="L125" s="8" t="s">
        <v>1</v>
      </c>
      <c r="N125" s="8" t="s">
        <v>228</v>
      </c>
      <c r="P125" s="8" t="s">
        <v>228</v>
      </c>
      <c r="R125" s="8" t="s">
        <v>228</v>
      </c>
      <c r="T125" s="8" t="s">
        <v>228</v>
      </c>
      <c r="V125" s="65" t="s">
        <v>15</v>
      </c>
      <c r="X125" s="65" t="s">
        <v>15</v>
      </c>
      <c r="Z125" s="65" t="s">
        <v>15</v>
      </c>
      <c r="AB125" s="65" t="s">
        <v>15</v>
      </c>
      <c r="AC125" s="8"/>
      <c r="AD125" s="8" t="s">
        <v>91</v>
      </c>
      <c r="AE125" s="8"/>
      <c r="AF125" s="8" t="s">
        <v>91</v>
      </c>
      <c r="AG125" s="8"/>
      <c r="AH125" s="8" t="s">
        <v>91</v>
      </c>
      <c r="AI125" s="8"/>
      <c r="AJ125" s="8" t="s">
        <v>91</v>
      </c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2:36" ht="12.75">
      <c r="B126" s="7" t="s">
        <v>177</v>
      </c>
      <c r="F126" s="30" t="s">
        <v>60</v>
      </c>
      <c r="H126" s="30" t="s">
        <v>60</v>
      </c>
      <c r="J126" s="30" t="s">
        <v>60</v>
      </c>
      <c r="L126" s="30" t="s">
        <v>60</v>
      </c>
      <c r="N126" s="30" t="s">
        <v>93</v>
      </c>
      <c r="P126" s="30" t="s">
        <v>93</v>
      </c>
      <c r="R126" s="30" t="s">
        <v>93</v>
      </c>
      <c r="T126" s="30" t="s">
        <v>93</v>
      </c>
      <c r="V126" s="30" t="s">
        <v>15</v>
      </c>
      <c r="X126" s="30" t="s">
        <v>15</v>
      </c>
      <c r="Z126" s="30" t="s">
        <v>15</v>
      </c>
      <c r="AB126" s="30" t="s">
        <v>15</v>
      </c>
      <c r="AC126" s="30"/>
      <c r="AD126" s="30"/>
      <c r="AE126" s="30"/>
      <c r="AF126" s="30"/>
      <c r="AG126" s="30"/>
      <c r="AH126" s="30"/>
      <c r="AI126" s="30"/>
      <c r="AJ126" s="30" t="s">
        <v>91</v>
      </c>
    </row>
    <row r="127" spans="2:26" ht="12.75">
      <c r="B127" s="7" t="s">
        <v>82</v>
      </c>
      <c r="D127" s="7" t="s">
        <v>41</v>
      </c>
      <c r="F127" s="12">
        <v>790.2</v>
      </c>
      <c r="H127" s="12">
        <v>782.4</v>
      </c>
      <c r="J127" s="12">
        <v>782.7</v>
      </c>
      <c r="L127" s="12">
        <v>785.1</v>
      </c>
      <c r="N127" s="7">
        <v>882.6</v>
      </c>
      <c r="P127" s="7">
        <v>882.6</v>
      </c>
      <c r="R127" s="7">
        <v>882.6</v>
      </c>
      <c r="T127" s="7">
        <v>882.6</v>
      </c>
      <c r="V127" s="7"/>
      <c r="X127" s="7"/>
      <c r="Z127" s="7"/>
    </row>
    <row r="128" spans="2:26" ht="12.75">
      <c r="B128" s="7" t="s">
        <v>49</v>
      </c>
      <c r="D128" s="7" t="s">
        <v>56</v>
      </c>
      <c r="F128" s="15">
        <v>0.9898</v>
      </c>
      <c r="H128" s="15">
        <v>0.9898</v>
      </c>
      <c r="J128" s="15">
        <v>0.9898</v>
      </c>
      <c r="L128" s="15">
        <v>0.9898</v>
      </c>
      <c r="N128" s="16"/>
      <c r="P128" s="16"/>
      <c r="R128" s="16"/>
      <c r="T128" s="16"/>
      <c r="V128" s="7"/>
      <c r="X128" s="7"/>
      <c r="Z128" s="7"/>
    </row>
    <row r="129" spans="2:26" ht="12.75">
      <c r="B129" s="7" t="s">
        <v>40</v>
      </c>
      <c r="D129" s="7" t="s">
        <v>44</v>
      </c>
      <c r="F129" s="16">
        <v>15000</v>
      </c>
      <c r="H129" s="16">
        <v>15000</v>
      </c>
      <c r="J129" s="16">
        <v>15000</v>
      </c>
      <c r="L129" s="16">
        <v>15000</v>
      </c>
      <c r="N129" s="16">
        <v>21214</v>
      </c>
      <c r="P129" s="16">
        <v>21214</v>
      </c>
      <c r="R129" s="16">
        <v>21214</v>
      </c>
      <c r="T129" s="16">
        <v>21214</v>
      </c>
      <c r="V129" s="7"/>
      <c r="X129" s="7"/>
      <c r="Z129" s="7"/>
    </row>
    <row r="130" spans="6:26" ht="12.75">
      <c r="F130" s="7"/>
      <c r="H130" s="7"/>
      <c r="J130" s="7"/>
      <c r="N130" s="7"/>
      <c r="P130" s="7"/>
      <c r="R130" s="7"/>
      <c r="V130" s="7"/>
      <c r="X130" s="7"/>
      <c r="Z130" s="7"/>
    </row>
    <row r="131" spans="2:26" ht="12.75">
      <c r="B131" s="7" t="s">
        <v>11</v>
      </c>
      <c r="D131" s="7" t="s">
        <v>18</v>
      </c>
      <c r="F131" s="11">
        <f>emiss!G106</f>
        <v>5.7</v>
      </c>
      <c r="H131" s="11">
        <f>emiss!I106</f>
        <v>8.2</v>
      </c>
      <c r="J131" s="11">
        <f>emiss!K106</f>
        <v>6</v>
      </c>
      <c r="L131" s="11">
        <f>emiss!M106</f>
        <v>6.633333333333333</v>
      </c>
      <c r="N131" s="7"/>
      <c r="P131" s="7"/>
      <c r="R131" s="7"/>
      <c r="V131" s="7"/>
      <c r="X131" s="7"/>
      <c r="Z131" s="7"/>
    </row>
    <row r="132" spans="2:26" ht="12.75">
      <c r="B132" s="7" t="s">
        <v>43</v>
      </c>
      <c r="D132" s="7" t="s">
        <v>17</v>
      </c>
      <c r="F132" s="11">
        <f>emiss!G105</f>
        <v>6166</v>
      </c>
      <c r="H132" s="11">
        <f>emiss!I105</f>
        <v>6321</v>
      </c>
      <c r="J132" s="11">
        <f>emiss!K105</f>
        <v>6304</v>
      </c>
      <c r="L132" s="11">
        <f>emiss!M105</f>
        <v>6263.666666666667</v>
      </c>
      <c r="N132" s="7"/>
      <c r="P132" s="7"/>
      <c r="R132" s="7"/>
      <c r="V132" s="7"/>
      <c r="X132" s="7"/>
      <c r="Z132" s="7"/>
    </row>
    <row r="133" spans="6:26" ht="12.75">
      <c r="F133" s="7"/>
      <c r="H133" s="7"/>
      <c r="J133" s="7"/>
      <c r="N133" s="7"/>
      <c r="P133" s="7"/>
      <c r="R133" s="7"/>
      <c r="V133" s="7"/>
      <c r="X133" s="7"/>
      <c r="Z133" s="7"/>
    </row>
    <row r="134" spans="2:36" ht="12.75">
      <c r="B134" s="7" t="s">
        <v>176</v>
      </c>
      <c r="D134" s="7" t="s">
        <v>83</v>
      </c>
      <c r="F134" s="12">
        <f>F129*F127/1000000</f>
        <v>11.853</v>
      </c>
      <c r="H134" s="12">
        <f>H129*H127/1000000</f>
        <v>11.736</v>
      </c>
      <c r="J134" s="12">
        <f>J129*J127/1000000</f>
        <v>11.7405</v>
      </c>
      <c r="L134" s="12">
        <f>L129*L127/1000000</f>
        <v>11.7765</v>
      </c>
      <c r="N134" s="12">
        <f>N127*N129/1000000</f>
        <v>18.723476400000003</v>
      </c>
      <c r="P134" s="12">
        <f>P127*P129/1000000</f>
        <v>18.723476400000003</v>
      </c>
      <c r="R134" s="12">
        <f>R127*R129/1000000</f>
        <v>18.723476400000003</v>
      </c>
      <c r="T134" s="12">
        <f>T127*T129/1000000</f>
        <v>18.723476400000003</v>
      </c>
      <c r="V134" s="7"/>
      <c r="X134" s="7"/>
      <c r="Z134" s="7"/>
      <c r="AJ134" s="52">
        <f>T134+L134</f>
        <v>30.4999764</v>
      </c>
    </row>
    <row r="135" spans="2:36" ht="12.75">
      <c r="B135" s="7" t="s">
        <v>229</v>
      </c>
      <c r="D135" s="7" t="s">
        <v>83</v>
      </c>
      <c r="F135" s="12"/>
      <c r="H135" s="12"/>
      <c r="J135" s="12"/>
      <c r="L135" s="12"/>
      <c r="N135" s="7"/>
      <c r="P135" s="7"/>
      <c r="R135" s="7"/>
      <c r="V135" s="7"/>
      <c r="X135" s="7"/>
      <c r="Z135" s="7"/>
      <c r="AJ135" s="47">
        <f>(L132/9000)*((21-L131)/21)*60</f>
        <v>28.56762257495591</v>
      </c>
    </row>
    <row r="136" spans="12:36" ht="12.75">
      <c r="L136" s="12"/>
      <c r="N136" s="7"/>
      <c r="P136" s="7"/>
      <c r="R136" s="7"/>
      <c r="V136" s="7"/>
      <c r="X136" s="7"/>
      <c r="Z136" s="7"/>
      <c r="AJ136" s="47"/>
    </row>
    <row r="137" spans="14:26" ht="12.75">
      <c r="N137" s="7"/>
      <c r="P137" s="7"/>
      <c r="R137" s="7"/>
      <c r="V137" s="7"/>
      <c r="X137" s="7"/>
      <c r="Z137" s="7"/>
    </row>
    <row r="138" spans="1:36" ht="12.75">
      <c r="A138" s="7" t="s">
        <v>175</v>
      </c>
      <c r="B138" s="6" t="s">
        <v>187</v>
      </c>
      <c r="F138" s="8" t="s">
        <v>209</v>
      </c>
      <c r="H138" s="8" t="s">
        <v>210</v>
      </c>
      <c r="J138" s="8" t="s">
        <v>211</v>
      </c>
      <c r="L138" s="7" t="s">
        <v>35</v>
      </c>
      <c r="N138" s="8" t="s">
        <v>209</v>
      </c>
      <c r="P138" s="8" t="s">
        <v>210</v>
      </c>
      <c r="R138" s="8" t="s">
        <v>211</v>
      </c>
      <c r="T138" s="7" t="s">
        <v>35</v>
      </c>
      <c r="V138" s="8" t="s">
        <v>209</v>
      </c>
      <c r="X138" s="8" t="s">
        <v>210</v>
      </c>
      <c r="Z138" s="8" t="s">
        <v>211</v>
      </c>
      <c r="AB138" s="7" t="s">
        <v>35</v>
      </c>
      <c r="AD138" s="8" t="s">
        <v>209</v>
      </c>
      <c r="AE138" s="8"/>
      <c r="AF138" s="8" t="s">
        <v>210</v>
      </c>
      <c r="AG138" s="8"/>
      <c r="AH138" s="8" t="s">
        <v>211</v>
      </c>
      <c r="AI138" s="8"/>
      <c r="AJ138" s="7" t="s">
        <v>35</v>
      </c>
    </row>
    <row r="139" spans="14:26" ht="12.75">
      <c r="N139" s="7"/>
      <c r="P139" s="7"/>
      <c r="R139" s="7"/>
      <c r="V139" s="7"/>
      <c r="X139" s="7"/>
      <c r="Z139" s="7"/>
    </row>
    <row r="140" spans="2:36" ht="12.75">
      <c r="B140" s="29" t="s">
        <v>219</v>
      </c>
      <c r="C140" s="29"/>
      <c r="D140" s="29"/>
      <c r="F140" s="8" t="s">
        <v>221</v>
      </c>
      <c r="H140" s="8" t="s">
        <v>221</v>
      </c>
      <c r="J140" s="8" t="s">
        <v>221</v>
      </c>
      <c r="L140" s="8" t="s">
        <v>221</v>
      </c>
      <c r="N140" s="8" t="s">
        <v>224</v>
      </c>
      <c r="P140" s="8" t="s">
        <v>224</v>
      </c>
      <c r="R140" s="8" t="s">
        <v>224</v>
      </c>
      <c r="T140" s="8" t="s">
        <v>224</v>
      </c>
      <c r="V140" s="8" t="s">
        <v>225</v>
      </c>
      <c r="X140" s="8" t="s">
        <v>225</v>
      </c>
      <c r="Z140" s="8" t="s">
        <v>225</v>
      </c>
      <c r="AB140" s="8" t="s">
        <v>225</v>
      </c>
      <c r="AC140" s="8"/>
      <c r="AD140" s="8" t="s">
        <v>226</v>
      </c>
      <c r="AE140" s="8"/>
      <c r="AF140" s="8" t="s">
        <v>226</v>
      </c>
      <c r="AG140" s="8"/>
      <c r="AH140" s="8" t="s">
        <v>226</v>
      </c>
      <c r="AI140" s="8"/>
      <c r="AJ140" s="8" t="s">
        <v>226</v>
      </c>
    </row>
    <row r="141" spans="2:36" ht="12.75">
      <c r="B141" s="29" t="s">
        <v>220</v>
      </c>
      <c r="C141" s="29"/>
      <c r="D141" s="29"/>
      <c r="F141" s="8" t="s">
        <v>222</v>
      </c>
      <c r="H141" s="8" t="s">
        <v>222</v>
      </c>
      <c r="J141" s="8" t="s">
        <v>222</v>
      </c>
      <c r="L141" s="8" t="s">
        <v>222</v>
      </c>
      <c r="N141" s="8" t="s">
        <v>223</v>
      </c>
      <c r="P141" s="8" t="s">
        <v>223</v>
      </c>
      <c r="R141" s="8" t="s">
        <v>223</v>
      </c>
      <c r="T141" s="8" t="s">
        <v>223</v>
      </c>
      <c r="V141" s="8" t="s">
        <v>15</v>
      </c>
      <c r="X141" s="8" t="s">
        <v>15</v>
      </c>
      <c r="Z141" s="8" t="s">
        <v>15</v>
      </c>
      <c r="AB141" s="8" t="s">
        <v>15</v>
      </c>
      <c r="AC141" s="8"/>
      <c r="AD141" s="8" t="s">
        <v>91</v>
      </c>
      <c r="AE141" s="8"/>
      <c r="AF141" s="8" t="s">
        <v>91</v>
      </c>
      <c r="AG141" s="8"/>
      <c r="AH141" s="8" t="s">
        <v>91</v>
      </c>
      <c r="AI141" s="8"/>
      <c r="AJ141" s="8" t="s">
        <v>91</v>
      </c>
    </row>
    <row r="142" spans="2:36" ht="12.75">
      <c r="B142" s="29" t="s">
        <v>227</v>
      </c>
      <c r="C142" s="29"/>
      <c r="D142" s="29"/>
      <c r="E142" s="29"/>
      <c r="F142" s="8" t="s">
        <v>1</v>
      </c>
      <c r="G142" s="29"/>
      <c r="H142" s="8" t="s">
        <v>1</v>
      </c>
      <c r="I142" s="29"/>
      <c r="J142" s="8" t="s">
        <v>1</v>
      </c>
      <c r="K142" s="29"/>
      <c r="L142" s="8" t="s">
        <v>1</v>
      </c>
      <c r="N142" s="8" t="s">
        <v>228</v>
      </c>
      <c r="P142" s="8" t="s">
        <v>228</v>
      </c>
      <c r="R142" s="8" t="s">
        <v>228</v>
      </c>
      <c r="T142" s="8" t="s">
        <v>228</v>
      </c>
      <c r="V142" s="65" t="s">
        <v>15</v>
      </c>
      <c r="X142" s="65" t="s">
        <v>15</v>
      </c>
      <c r="Z142" s="65" t="s">
        <v>15</v>
      </c>
      <c r="AB142" s="65" t="s">
        <v>15</v>
      </c>
      <c r="AC142" s="8"/>
      <c r="AD142" s="8" t="s">
        <v>91</v>
      </c>
      <c r="AE142" s="8"/>
      <c r="AF142" s="8" t="s">
        <v>91</v>
      </c>
      <c r="AG142" s="8"/>
      <c r="AH142" s="8" t="s">
        <v>91</v>
      </c>
      <c r="AI142" s="8"/>
      <c r="AJ142" s="8" t="s">
        <v>91</v>
      </c>
    </row>
    <row r="143" spans="2:36" ht="12.75">
      <c r="B143" s="7" t="s">
        <v>177</v>
      </c>
      <c r="F143" s="7" t="s">
        <v>188</v>
      </c>
      <c r="H143" s="7" t="s">
        <v>188</v>
      </c>
      <c r="J143" s="7" t="s">
        <v>188</v>
      </c>
      <c r="L143" s="7" t="s">
        <v>188</v>
      </c>
      <c r="N143" s="7" t="s">
        <v>189</v>
      </c>
      <c r="P143" s="7" t="s">
        <v>189</v>
      </c>
      <c r="R143" s="7" t="s">
        <v>189</v>
      </c>
      <c r="T143" s="7" t="s">
        <v>189</v>
      </c>
      <c r="V143" s="7" t="s">
        <v>15</v>
      </c>
      <c r="X143" s="7" t="s">
        <v>15</v>
      </c>
      <c r="Z143" s="7" t="s">
        <v>15</v>
      </c>
      <c r="AB143" s="7" t="s">
        <v>15</v>
      </c>
      <c r="AD143" s="7" t="s">
        <v>91</v>
      </c>
      <c r="AF143" s="7" t="s">
        <v>91</v>
      </c>
      <c r="AH143" s="7" t="s">
        <v>91</v>
      </c>
      <c r="AJ143" s="30" t="s">
        <v>91</v>
      </c>
    </row>
    <row r="144" spans="2:26" ht="12.75">
      <c r="B144" s="7" t="s">
        <v>82</v>
      </c>
      <c r="D144" s="7" t="s">
        <v>41</v>
      </c>
      <c r="F144" s="7">
        <v>3522.8</v>
      </c>
      <c r="H144" s="7">
        <v>3522.8</v>
      </c>
      <c r="J144" s="7">
        <v>3522.8</v>
      </c>
      <c r="L144" s="7">
        <v>3522.8</v>
      </c>
      <c r="N144" s="7">
        <v>1103.3</v>
      </c>
      <c r="P144" s="7">
        <v>1103.3</v>
      </c>
      <c r="R144" s="7">
        <v>1103.3</v>
      </c>
      <c r="T144" s="7">
        <v>1103.3</v>
      </c>
      <c r="V144" s="7"/>
      <c r="X144" s="7"/>
      <c r="Z144" s="7"/>
    </row>
    <row r="145" spans="2:28" ht="12.75">
      <c r="B145" s="7" t="s">
        <v>140</v>
      </c>
      <c r="D145" s="7" t="s">
        <v>48</v>
      </c>
      <c r="F145" s="7">
        <v>1.7</v>
      </c>
      <c r="H145" s="7">
        <v>1.7</v>
      </c>
      <c r="J145" s="7">
        <v>1.7</v>
      </c>
      <c r="L145" s="7">
        <v>1.7</v>
      </c>
      <c r="N145" s="7"/>
      <c r="P145" s="7"/>
      <c r="R145" s="7"/>
      <c r="V145" s="7">
        <v>7.72</v>
      </c>
      <c r="X145" s="7">
        <v>7.72</v>
      </c>
      <c r="Z145" s="7">
        <v>7.72</v>
      </c>
      <c r="AB145" s="7">
        <v>7.72</v>
      </c>
    </row>
    <row r="146" spans="6:26" ht="12.75">
      <c r="F146" s="7"/>
      <c r="H146" s="7"/>
      <c r="J146" s="7"/>
      <c r="N146" s="7"/>
      <c r="P146" s="7"/>
      <c r="R146" s="7"/>
      <c r="V146" s="7"/>
      <c r="X146" s="7"/>
      <c r="Z146" s="7"/>
    </row>
    <row r="147" spans="6:26" ht="12.75">
      <c r="F147" s="7"/>
      <c r="H147" s="7"/>
      <c r="J147" s="7"/>
      <c r="N147" s="7"/>
      <c r="P147" s="7"/>
      <c r="R147" s="7"/>
      <c r="V147" s="7"/>
      <c r="X147" s="7"/>
      <c r="Z147" s="7"/>
    </row>
    <row r="148" spans="2:28" ht="12.75">
      <c r="B148" s="7" t="str">
        <f>emiss!B119</f>
        <v>   Stack Gas Flowrate</v>
      </c>
      <c r="D148" s="7" t="str">
        <f>emiss!D119</f>
        <v>dscfm</v>
      </c>
      <c r="E148" s="7"/>
      <c r="F148" s="7">
        <f>emiss!G119</f>
        <v>15621</v>
      </c>
      <c r="G148" s="7"/>
      <c r="H148" s="7">
        <f>emiss!I119</f>
        <v>15521</v>
      </c>
      <c r="I148" s="7"/>
      <c r="J148" s="7"/>
      <c r="K148" s="7"/>
      <c r="L148" s="7">
        <f>emiss!M119</f>
        <v>15571</v>
      </c>
      <c r="M148" s="7"/>
      <c r="N148" s="7">
        <f>emiss!C119</f>
        <v>0</v>
      </c>
      <c r="O148" s="7"/>
      <c r="P148" s="7">
        <f>emiss!E119</f>
        <v>0</v>
      </c>
      <c r="Q148" s="7"/>
      <c r="R148" s="7">
        <f>emiss!G119</f>
        <v>15621</v>
      </c>
      <c r="S148" s="7"/>
      <c r="T148" s="7">
        <f>emiss!I119</f>
        <v>15521</v>
      </c>
      <c r="V148" s="7">
        <f>emiss!G119</f>
        <v>15621</v>
      </c>
      <c r="X148" s="7">
        <f>emiss!I119</f>
        <v>15521</v>
      </c>
      <c r="Z148" s="7"/>
      <c r="AB148" s="7">
        <f>emiss!M119</f>
        <v>15571</v>
      </c>
    </row>
    <row r="149" spans="2:28" ht="12.75">
      <c r="B149" s="7" t="str">
        <f>emiss!B120</f>
        <v>   O2</v>
      </c>
      <c r="D149" s="7" t="str">
        <f>emiss!D120</f>
        <v>%</v>
      </c>
      <c r="E149" s="7"/>
      <c r="F149" s="7">
        <f>emiss!G120</f>
        <v>2.1</v>
      </c>
      <c r="G149" s="7"/>
      <c r="H149" s="7">
        <f>emiss!I120</f>
        <v>2.8</v>
      </c>
      <c r="I149" s="7"/>
      <c r="J149" s="7"/>
      <c r="K149" s="7"/>
      <c r="L149" s="7">
        <f>emiss!M120</f>
        <v>2.45</v>
      </c>
      <c r="M149" s="7"/>
      <c r="N149" s="7">
        <f>emiss!C120</f>
        <v>0</v>
      </c>
      <c r="O149" s="7"/>
      <c r="P149" s="7">
        <f>emiss!E120</f>
        <v>0</v>
      </c>
      <c r="Q149" s="7"/>
      <c r="R149" s="7">
        <f>emiss!G120</f>
        <v>2.1</v>
      </c>
      <c r="S149" s="7"/>
      <c r="T149" s="7">
        <f>emiss!I120</f>
        <v>2.8</v>
      </c>
      <c r="V149" s="7">
        <f>emiss!G120</f>
        <v>2.1</v>
      </c>
      <c r="X149" s="7">
        <f>emiss!I120</f>
        <v>2.8</v>
      </c>
      <c r="Z149" s="7"/>
      <c r="AB149" s="7">
        <f>emiss!M120</f>
        <v>2.45</v>
      </c>
    </row>
    <row r="150" spans="6:26" ht="12.75">
      <c r="F150" s="7"/>
      <c r="H150" s="7"/>
      <c r="J150" s="7"/>
      <c r="N150" s="7"/>
      <c r="P150" s="7"/>
      <c r="R150" s="7"/>
      <c r="V150" s="7"/>
      <c r="X150" s="7"/>
      <c r="Z150" s="7"/>
    </row>
    <row r="151" spans="6:26" ht="12.75">
      <c r="F151" s="7"/>
      <c r="H151" s="7"/>
      <c r="J151" s="7"/>
      <c r="N151" s="7"/>
      <c r="P151" s="7"/>
      <c r="R151" s="7"/>
      <c r="V151" s="7"/>
      <c r="X151" s="7"/>
      <c r="Z151" s="7"/>
    </row>
    <row r="152" spans="2:36" ht="12.75">
      <c r="B152" s="7" t="s">
        <v>140</v>
      </c>
      <c r="D152" s="7" t="s">
        <v>98</v>
      </c>
      <c r="F152" s="12">
        <f>F145/F$148/60/0.0283*1000000*(21-7)/(21-F$149)</f>
        <v>47.47540022341868</v>
      </c>
      <c r="H152" s="12">
        <f>H145/H$148/60/0.0283*1000000*(21-7)/(21-H$149)</f>
        <v>49.61902020099474</v>
      </c>
      <c r="J152" s="12"/>
      <c r="L152" s="12">
        <f>L145/L$148/60/0.0283*1000000*(21-7)/(21-L$149)</f>
        <v>48.52648701330514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>
        <f>V145/V$148/60/0.0283*1000000*(21-7)/(21-V$149)</f>
        <v>215.59417042634834</v>
      </c>
      <c r="W152" s="12"/>
      <c r="X152" s="12">
        <f>X145/X$148/60/0.0283*1000000*(21-7)/(21-X$149)</f>
        <v>225.32872703039965</v>
      </c>
      <c r="Y152" s="12"/>
      <c r="Z152" s="12"/>
      <c r="AA152" s="12"/>
      <c r="AB152" s="12">
        <f>AB145/AB$148/60/0.0283*1000000*(21-7)/(21-AB$149)</f>
        <v>220.36734102512688</v>
      </c>
      <c r="AD152" s="12">
        <f>SUM(V152,N152,F152)</f>
        <v>263.069570649767</v>
      </c>
      <c r="AF152" s="12">
        <f>SUM(X152,P152,H152)</f>
        <v>274.9477472313944</v>
      </c>
      <c r="AH152" s="12">
        <f>SUM(Z152,R152,J152)</f>
        <v>0</v>
      </c>
      <c r="AJ152" s="52">
        <f>AVERAGE(AF152,AD152)</f>
        <v>269.0086589405807</v>
      </c>
    </row>
    <row r="153" spans="6:18" ht="12.75">
      <c r="F153" s="7"/>
      <c r="H153" s="7"/>
      <c r="J153" s="7"/>
      <c r="N153" s="7"/>
      <c r="P153" s="7"/>
      <c r="R153" s="7"/>
    </row>
    <row r="154" spans="6:18" ht="12.75">
      <c r="F154" s="7"/>
      <c r="H154" s="7"/>
      <c r="J154" s="7"/>
      <c r="N154" s="7"/>
      <c r="P154" s="7"/>
      <c r="R154" s="7"/>
    </row>
    <row r="155" spans="6:18" ht="12.75">
      <c r="F155" s="7"/>
      <c r="H155" s="7"/>
      <c r="J155" s="7"/>
      <c r="N155" s="7"/>
      <c r="P155" s="7"/>
      <c r="R155" s="7"/>
    </row>
    <row r="156" spans="1:36" ht="12.75">
      <c r="A156" s="7" t="s">
        <v>175</v>
      </c>
      <c r="B156" s="6" t="s">
        <v>190</v>
      </c>
      <c r="F156" s="8" t="s">
        <v>209</v>
      </c>
      <c r="H156" s="8" t="s">
        <v>210</v>
      </c>
      <c r="J156" s="8" t="s">
        <v>211</v>
      </c>
      <c r="L156" s="7" t="s">
        <v>35</v>
      </c>
      <c r="N156" s="8" t="s">
        <v>209</v>
      </c>
      <c r="P156" s="8" t="s">
        <v>210</v>
      </c>
      <c r="R156" s="8" t="s">
        <v>211</v>
      </c>
      <c r="T156" s="7" t="s">
        <v>35</v>
      </c>
      <c r="AD156" s="8"/>
      <c r="AE156" s="8"/>
      <c r="AF156" s="8"/>
      <c r="AG156" s="8"/>
      <c r="AH156" s="8"/>
      <c r="AI156" s="8"/>
      <c r="AJ156" s="7"/>
    </row>
    <row r="157" spans="6:18" ht="12.75">
      <c r="F157" s="7"/>
      <c r="H157" s="7"/>
      <c r="J157" s="7"/>
      <c r="N157" s="7"/>
      <c r="P157" s="7"/>
      <c r="R157" s="7"/>
    </row>
    <row r="158" spans="2:20" ht="12.75">
      <c r="B158" s="29" t="s">
        <v>219</v>
      </c>
      <c r="C158" s="29"/>
      <c r="D158" s="29"/>
      <c r="F158" s="8" t="s">
        <v>221</v>
      </c>
      <c r="H158" s="8" t="s">
        <v>221</v>
      </c>
      <c r="J158" s="8" t="s">
        <v>221</v>
      </c>
      <c r="L158" s="8" t="s">
        <v>221</v>
      </c>
      <c r="N158" s="8" t="s">
        <v>224</v>
      </c>
      <c r="P158" s="8" t="s">
        <v>224</v>
      </c>
      <c r="R158" s="8" t="s">
        <v>224</v>
      </c>
      <c r="T158" s="8" t="s">
        <v>224</v>
      </c>
    </row>
    <row r="159" spans="2:20" ht="12.75">
      <c r="B159" s="29" t="s">
        <v>220</v>
      </c>
      <c r="C159" s="29"/>
      <c r="D159" s="29"/>
      <c r="F159" s="8" t="s">
        <v>222</v>
      </c>
      <c r="H159" s="8" t="s">
        <v>222</v>
      </c>
      <c r="J159" s="8" t="s">
        <v>222</v>
      </c>
      <c r="L159" s="8" t="s">
        <v>222</v>
      </c>
      <c r="N159" s="8" t="s">
        <v>223</v>
      </c>
      <c r="P159" s="8" t="s">
        <v>223</v>
      </c>
      <c r="R159" s="8" t="s">
        <v>223</v>
      </c>
      <c r="T159" s="8" t="s">
        <v>223</v>
      </c>
    </row>
    <row r="160" spans="2:36" ht="12.75">
      <c r="B160" s="29" t="s">
        <v>227</v>
      </c>
      <c r="C160" s="29"/>
      <c r="D160" s="29"/>
      <c r="E160" s="29"/>
      <c r="F160" s="8" t="s">
        <v>1</v>
      </c>
      <c r="G160" s="29"/>
      <c r="H160" s="8" t="s">
        <v>1</v>
      </c>
      <c r="I160" s="29"/>
      <c r="J160" s="8" t="s">
        <v>1</v>
      </c>
      <c r="K160" s="29"/>
      <c r="L160" s="8" t="s">
        <v>1</v>
      </c>
      <c r="N160" s="8" t="s">
        <v>228</v>
      </c>
      <c r="P160" s="8" t="s">
        <v>228</v>
      </c>
      <c r="R160" s="8" t="s">
        <v>228</v>
      </c>
      <c r="T160" s="8" t="s">
        <v>228</v>
      </c>
      <c r="V160" s="65"/>
      <c r="X160" s="65"/>
      <c r="Z160" s="65"/>
      <c r="AB160" s="65"/>
      <c r="AC160" s="8"/>
      <c r="AD160" s="8"/>
      <c r="AE160" s="8"/>
      <c r="AF160" s="8"/>
      <c r="AG160" s="8"/>
      <c r="AH160" s="8"/>
      <c r="AI160" s="8"/>
      <c r="AJ160" s="8"/>
    </row>
    <row r="161" spans="2:20" ht="12.75">
      <c r="B161" s="7" t="s">
        <v>177</v>
      </c>
      <c r="F161" s="7" t="s">
        <v>188</v>
      </c>
      <c r="H161" s="7" t="s">
        <v>188</v>
      </c>
      <c r="J161" s="7" t="s">
        <v>188</v>
      </c>
      <c r="L161" s="7" t="s">
        <v>188</v>
      </c>
      <c r="N161" s="7" t="s">
        <v>189</v>
      </c>
      <c r="P161" s="7" t="s">
        <v>189</v>
      </c>
      <c r="R161" s="7" t="s">
        <v>189</v>
      </c>
      <c r="T161" s="7" t="s">
        <v>189</v>
      </c>
    </row>
    <row r="162" spans="2:20" ht="12.75">
      <c r="B162" s="7" t="s">
        <v>167</v>
      </c>
      <c r="D162" s="7" t="s">
        <v>41</v>
      </c>
      <c r="F162" s="7">
        <v>1538.8</v>
      </c>
      <c r="H162" s="7">
        <v>1538.8</v>
      </c>
      <c r="J162" s="7">
        <v>1538.8</v>
      </c>
      <c r="L162" s="7">
        <v>1538.8</v>
      </c>
      <c r="N162" s="7">
        <v>1114.4</v>
      </c>
      <c r="P162" s="7">
        <v>1114.4</v>
      </c>
      <c r="R162" s="7">
        <v>1114.4</v>
      </c>
      <c r="T162" s="7">
        <v>1114.4</v>
      </c>
    </row>
    <row r="164" spans="2:3" ht="12.75">
      <c r="B164" s="6" t="s">
        <v>174</v>
      </c>
      <c r="C164" s="6"/>
    </row>
    <row r="166" spans="2:12" ht="12.75">
      <c r="B166" s="41" t="s">
        <v>135</v>
      </c>
      <c r="C166" s="41"/>
      <c r="D166" s="41" t="s">
        <v>48</v>
      </c>
      <c r="E166" s="42"/>
      <c r="F166" s="42"/>
      <c r="G166" s="42"/>
      <c r="H166" s="42"/>
      <c r="I166" s="42"/>
      <c r="J166" s="42"/>
      <c r="K166" s="42"/>
      <c r="L166" s="41">
        <v>1620</v>
      </c>
    </row>
    <row r="167" spans="2:12" ht="12.75">
      <c r="B167" s="41" t="s">
        <v>136</v>
      </c>
      <c r="C167" s="41"/>
      <c r="D167" s="41" t="s">
        <v>48</v>
      </c>
      <c r="E167" s="42"/>
      <c r="F167" s="42"/>
      <c r="G167" s="42"/>
      <c r="H167" s="42"/>
      <c r="I167" s="42"/>
      <c r="J167" s="42"/>
      <c r="K167" s="42"/>
      <c r="L167" s="41">
        <v>12.42</v>
      </c>
    </row>
    <row r="168" spans="2:12" ht="12.75">
      <c r="B168" s="41" t="s">
        <v>137</v>
      </c>
      <c r="C168" s="41"/>
      <c r="D168" s="41" t="s">
        <v>48</v>
      </c>
      <c r="E168" s="42"/>
      <c r="F168" s="42"/>
      <c r="G168" s="42"/>
      <c r="H168" s="42"/>
      <c r="I168" s="42"/>
      <c r="J168" s="42"/>
      <c r="K168" s="42"/>
      <c r="L168" s="44">
        <v>270037</v>
      </c>
    </row>
    <row r="169" spans="2:12" ht="12.75">
      <c r="B169" s="41" t="s">
        <v>138</v>
      </c>
      <c r="C169" s="41"/>
      <c r="D169" s="41" t="s">
        <v>48</v>
      </c>
      <c r="E169" s="42"/>
      <c r="F169" s="42"/>
      <c r="G169" s="42"/>
      <c r="H169" s="42"/>
      <c r="I169" s="42"/>
      <c r="J169" s="42"/>
      <c r="K169" s="42"/>
      <c r="L169" s="41">
        <v>22.68</v>
      </c>
    </row>
    <row r="170" spans="2:12" ht="12.75">
      <c r="B170" s="41" t="s">
        <v>139</v>
      </c>
      <c r="C170" s="41"/>
      <c r="D170" s="41" t="s">
        <v>48</v>
      </c>
      <c r="E170" s="42"/>
      <c r="F170" s="42"/>
      <c r="G170" s="42"/>
      <c r="H170" s="42"/>
      <c r="I170" s="42"/>
      <c r="J170" s="42"/>
      <c r="K170" s="42"/>
      <c r="L170" s="41">
        <v>30.24</v>
      </c>
    </row>
    <row r="171" spans="2:12" ht="12.75">
      <c r="B171" s="41" t="s">
        <v>140</v>
      </c>
      <c r="C171" s="41"/>
      <c r="D171" s="41" t="s">
        <v>48</v>
      </c>
      <c r="E171" s="42"/>
      <c r="F171" s="42"/>
      <c r="G171" s="42"/>
      <c r="H171" s="42"/>
      <c r="I171" s="42"/>
      <c r="J171" s="42"/>
      <c r="K171" s="42"/>
      <c r="L171" s="41">
        <v>4.48</v>
      </c>
    </row>
    <row r="172" spans="2:12" ht="12.75">
      <c r="B172" s="41" t="s">
        <v>141</v>
      </c>
      <c r="C172" s="41"/>
      <c r="D172" s="41" t="s">
        <v>48</v>
      </c>
      <c r="E172" s="42"/>
      <c r="F172" s="42"/>
      <c r="G172" s="42"/>
      <c r="H172" s="42"/>
      <c r="I172" s="42"/>
      <c r="J172" s="42"/>
      <c r="K172" s="42"/>
      <c r="L172" s="41">
        <v>486</v>
      </c>
    </row>
    <row r="173" spans="2:12" ht="12.75">
      <c r="B173" s="41" t="s">
        <v>142</v>
      </c>
      <c r="C173" s="41"/>
      <c r="D173" s="41" t="s">
        <v>48</v>
      </c>
      <c r="E173" s="42"/>
      <c r="F173" s="42"/>
      <c r="G173" s="42"/>
      <c r="H173" s="42"/>
      <c r="I173" s="42"/>
      <c r="J173" s="42"/>
      <c r="K173" s="42"/>
      <c r="L173" s="41">
        <v>1620</v>
      </c>
    </row>
    <row r="174" spans="2:12" ht="12.75">
      <c r="B174" s="41" t="s">
        <v>143</v>
      </c>
      <c r="C174" s="41"/>
      <c r="D174" s="41" t="s">
        <v>48</v>
      </c>
      <c r="E174" s="42"/>
      <c r="F174" s="42"/>
      <c r="G174" s="42"/>
      <c r="H174" s="42"/>
      <c r="I174" s="42"/>
      <c r="J174" s="42"/>
      <c r="K174" s="42"/>
      <c r="L174" s="44">
        <v>16202</v>
      </c>
    </row>
    <row r="175" spans="2:12" ht="12.75">
      <c r="B175" s="41" t="s">
        <v>144</v>
      </c>
      <c r="C175" s="41"/>
      <c r="D175" s="41" t="s">
        <v>48</v>
      </c>
      <c r="E175" s="42"/>
      <c r="F175" s="42"/>
      <c r="G175" s="42"/>
      <c r="H175" s="42"/>
      <c r="I175" s="42"/>
      <c r="J175" s="42"/>
      <c r="K175" s="42"/>
      <c r="L175" s="41">
        <v>2700</v>
      </c>
    </row>
    <row r="176" spans="2:12" ht="12.75">
      <c r="B176" s="41" t="s">
        <v>42</v>
      </c>
      <c r="C176" s="41"/>
      <c r="D176" s="41" t="s">
        <v>48</v>
      </c>
      <c r="E176" s="42"/>
      <c r="F176" s="42"/>
      <c r="G176" s="42"/>
      <c r="H176" s="42"/>
      <c r="I176" s="42"/>
      <c r="J176" s="42"/>
      <c r="K176" s="42"/>
      <c r="L176" s="41">
        <v>40000</v>
      </c>
    </row>
    <row r="178" ht="12.75">
      <c r="AJ178" s="55"/>
    </row>
    <row r="179" ht="12.75">
      <c r="AJ179" s="55"/>
    </row>
    <row r="180" ht="12.75">
      <c r="AJ180" s="55"/>
    </row>
    <row r="181" ht="12.75">
      <c r="AJ181" s="55"/>
    </row>
    <row r="182" ht="12.75">
      <c r="AJ182" s="55"/>
    </row>
    <row r="183" ht="12.75">
      <c r="AJ183" s="55"/>
    </row>
    <row r="184" ht="12.75">
      <c r="AJ184" s="55"/>
    </row>
    <row r="185" ht="12.75">
      <c r="AJ185" s="55"/>
    </row>
    <row r="186" ht="12.75">
      <c r="AJ186" s="55"/>
    </row>
    <row r="187" ht="12.75">
      <c r="AJ187" s="55"/>
    </row>
    <row r="188" ht="12.75">
      <c r="AJ188" s="55"/>
    </row>
    <row r="189" ht="12.75">
      <c r="AJ189" s="55"/>
    </row>
    <row r="190" ht="12.75">
      <c r="AJ190" s="55"/>
    </row>
    <row r="191" ht="12.75">
      <c r="AJ191" s="55"/>
    </row>
    <row r="192" ht="12.75">
      <c r="AJ192" s="55"/>
    </row>
    <row r="193" ht="12.75">
      <c r="AJ193" s="55"/>
    </row>
    <row r="194" ht="12.75">
      <c r="AJ194" s="55"/>
    </row>
    <row r="195" ht="12.75">
      <c r="AJ195" s="55"/>
    </row>
    <row r="196" ht="12.75">
      <c r="AJ196" s="55"/>
    </row>
    <row r="197" ht="12.75">
      <c r="AJ197" s="55"/>
    </row>
    <row r="198" ht="12.75">
      <c r="AJ198" s="55"/>
    </row>
    <row r="199" ht="12.75">
      <c r="AJ199" s="55"/>
    </row>
    <row r="200" ht="12.75">
      <c r="AJ200" s="55"/>
    </row>
    <row r="201" ht="12.75">
      <c r="AJ201" s="55"/>
    </row>
    <row r="202" ht="12.75">
      <c r="AJ202" s="55"/>
    </row>
    <row r="203" ht="12.75">
      <c r="AJ203" s="55"/>
    </row>
    <row r="204" ht="12.75">
      <c r="AJ204" s="55"/>
    </row>
    <row r="205" ht="12.75">
      <c r="AJ205" s="55"/>
    </row>
    <row r="206" ht="12.75">
      <c r="AJ206" s="55"/>
    </row>
    <row r="207" ht="12.75">
      <c r="AJ207" s="55"/>
    </row>
    <row r="208" ht="12.75">
      <c r="AJ208" s="55"/>
    </row>
    <row r="209" ht="12.75">
      <c r="AJ209" s="55"/>
    </row>
    <row r="210" ht="12.75">
      <c r="AJ210" s="55"/>
    </row>
    <row r="211" ht="12.75">
      <c r="AJ211" s="55"/>
    </row>
    <row r="212" ht="12.75">
      <c r="AJ212" s="55"/>
    </row>
    <row r="213" ht="12.75">
      <c r="AJ213" s="55"/>
    </row>
    <row r="214" ht="12.75">
      <c r="AJ214" s="55"/>
    </row>
    <row r="215" ht="12.75">
      <c r="AJ215" s="55"/>
    </row>
    <row r="216" ht="12.75">
      <c r="AJ216" s="55"/>
    </row>
    <row r="217" ht="12.75">
      <c r="AJ217" s="55"/>
    </row>
    <row r="218" ht="12.75">
      <c r="AJ218" s="55"/>
    </row>
    <row r="219" ht="12.75">
      <c r="AJ219" s="55"/>
    </row>
    <row r="220" ht="12.75">
      <c r="AJ220" s="55"/>
    </row>
    <row r="221" ht="12.75">
      <c r="AJ221" s="55"/>
    </row>
    <row r="222" ht="12.75">
      <c r="AJ222" s="55"/>
    </row>
    <row r="223" ht="12.75">
      <c r="AJ223" s="55"/>
    </row>
    <row r="224" ht="12.75">
      <c r="AJ224" s="55"/>
    </row>
    <row r="225" ht="12.75">
      <c r="AJ225" s="55"/>
    </row>
    <row r="226" ht="12.75">
      <c r="AJ226" s="55"/>
    </row>
    <row r="227" ht="12.75">
      <c r="AJ227" s="55"/>
    </row>
    <row r="228" ht="12.75">
      <c r="AJ228" s="55"/>
    </row>
    <row r="229" ht="12.75">
      <c r="AJ229" s="55"/>
    </row>
    <row r="230" ht="12.75">
      <c r="AJ230" s="55"/>
    </row>
    <row r="231" ht="12.75">
      <c r="AJ231" s="55"/>
    </row>
    <row r="232" ht="12.75">
      <c r="AJ232" s="55"/>
    </row>
    <row r="233" ht="12.75">
      <c r="AJ233" s="55"/>
    </row>
    <row r="234" ht="12.75">
      <c r="AJ234" s="55"/>
    </row>
    <row r="235" ht="12.75">
      <c r="AJ235" s="55"/>
    </row>
    <row r="236" ht="12.75">
      <c r="AJ236" s="55"/>
    </row>
    <row r="237" ht="12.75">
      <c r="AJ237" s="55"/>
    </row>
    <row r="238" ht="12.75">
      <c r="AJ238" s="55"/>
    </row>
    <row r="239" ht="12.75">
      <c r="AJ239" s="55"/>
    </row>
    <row r="240" ht="12.75">
      <c r="AJ240" s="55"/>
    </row>
    <row r="241" ht="12.75">
      <c r="AJ241" s="55"/>
    </row>
    <row r="242" ht="12.75">
      <c r="AJ242" s="55"/>
    </row>
    <row r="243" ht="12.75">
      <c r="AJ243" s="55"/>
    </row>
    <row r="244" ht="12.75">
      <c r="AJ244" s="55"/>
    </row>
    <row r="245" ht="12.75">
      <c r="AJ245" s="55"/>
    </row>
    <row r="246" ht="12.75">
      <c r="AJ246" s="55"/>
    </row>
    <row r="247" ht="12.75">
      <c r="AJ247" s="55"/>
    </row>
    <row r="248" ht="12.75">
      <c r="AJ248" s="55"/>
    </row>
    <row r="249" ht="12.75">
      <c r="AJ249" s="5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2" sqref="A2"/>
    </sheetView>
  </sheetViews>
  <sheetFormatPr defaultColWidth="9.140625" defaultRowHeight="12.75"/>
  <cols>
    <col min="1" max="1" width="27.57421875" style="7" customWidth="1"/>
    <col min="2" max="2" width="7.00390625" style="7" customWidth="1"/>
    <col min="3" max="3" width="8.140625" style="7" customWidth="1"/>
    <col min="4" max="4" width="7.421875" style="7" customWidth="1"/>
    <col min="5" max="5" width="7.8515625" style="7" customWidth="1"/>
    <col min="6" max="6" width="8.28125" style="7" customWidth="1"/>
    <col min="7" max="16384" width="11.421875" style="7" customWidth="1"/>
  </cols>
  <sheetData>
    <row r="1" ht="12.75">
      <c r="A1" s="6" t="s">
        <v>45</v>
      </c>
    </row>
    <row r="3" spans="2:6" ht="12.75">
      <c r="B3" s="7" t="s">
        <v>34</v>
      </c>
      <c r="C3" s="8" t="s">
        <v>130</v>
      </c>
      <c r="D3" s="8"/>
      <c r="E3" s="8"/>
      <c r="F3" s="8"/>
    </row>
    <row r="4" spans="3:6" ht="12.75">
      <c r="C4" s="8"/>
      <c r="D4" s="8"/>
      <c r="E4" s="8"/>
      <c r="F4" s="8"/>
    </row>
    <row r="5" spans="1:6" ht="12.75">
      <c r="A5" s="6" t="s">
        <v>57</v>
      </c>
      <c r="C5" s="8"/>
      <c r="D5" s="8"/>
      <c r="E5" s="8"/>
      <c r="F5" s="8"/>
    </row>
    <row r="6" spans="1:6" ht="12.75">
      <c r="A6" s="6"/>
      <c r="C6" s="8"/>
      <c r="D6" s="8"/>
      <c r="E6" s="8"/>
      <c r="F6" s="8"/>
    </row>
    <row r="7" spans="1:3" ht="12.75">
      <c r="A7" s="7" t="s">
        <v>64</v>
      </c>
      <c r="B7" s="7" t="s">
        <v>19</v>
      </c>
      <c r="C7" s="7">
        <v>1680.77</v>
      </c>
    </row>
    <row r="8" spans="1:5" ht="12.75">
      <c r="A8" s="7" t="s">
        <v>65</v>
      </c>
      <c r="B8" s="7" t="s">
        <v>59</v>
      </c>
      <c r="C8" s="11">
        <v>68.12</v>
      </c>
      <c r="D8" s="11"/>
      <c r="E8" s="11"/>
    </row>
    <row r="10" ht="12.75">
      <c r="A10" s="6" t="s">
        <v>58</v>
      </c>
    </row>
    <row r="11" ht="12.75">
      <c r="A11" s="6"/>
    </row>
    <row r="12" spans="1:6" ht="12.75">
      <c r="A12" s="7" t="s">
        <v>64</v>
      </c>
      <c r="B12" s="7" t="s">
        <v>19</v>
      </c>
      <c r="C12" s="7">
        <v>1065.8</v>
      </c>
      <c r="F12" s="16"/>
    </row>
    <row r="13" spans="1:6" ht="12.75">
      <c r="A13" s="7" t="s">
        <v>65</v>
      </c>
      <c r="B13" s="7" t="s">
        <v>59</v>
      </c>
      <c r="C13" s="11">
        <v>15.9</v>
      </c>
      <c r="F13" s="16"/>
    </row>
    <row r="14" ht="12.75">
      <c r="F14" s="11"/>
    </row>
    <row r="15" ht="12.75">
      <c r="A15" s="6" t="s">
        <v>89</v>
      </c>
    </row>
    <row r="16" ht="12.75">
      <c r="A16" s="6"/>
    </row>
    <row r="17" spans="1:3" ht="12.75">
      <c r="A17" s="7" t="s">
        <v>64</v>
      </c>
      <c r="B17" s="7" t="s">
        <v>19</v>
      </c>
      <c r="C17" s="7">
        <v>1794.4</v>
      </c>
    </row>
    <row r="18" spans="1:3" ht="12.75">
      <c r="A18" s="7" t="s">
        <v>65</v>
      </c>
      <c r="B18" s="7" t="s">
        <v>59</v>
      </c>
      <c r="C18" s="7">
        <v>64.8</v>
      </c>
    </row>
    <row r="20" ht="12.75">
      <c r="A20" s="6" t="s">
        <v>92</v>
      </c>
    </row>
    <row r="21" ht="12.75">
      <c r="A21" s="6"/>
    </row>
    <row r="22" spans="1:3" ht="12.75">
      <c r="A22" s="7" t="s">
        <v>64</v>
      </c>
      <c r="B22" s="7" t="s">
        <v>19</v>
      </c>
      <c r="C22" s="7">
        <v>1272.5</v>
      </c>
    </row>
    <row r="23" spans="1:3" ht="12.75">
      <c r="A23" s="7" t="s">
        <v>65</v>
      </c>
      <c r="B23" s="7" t="s">
        <v>59</v>
      </c>
      <c r="C23" s="7">
        <v>20.48</v>
      </c>
    </row>
    <row r="25" ht="12.75">
      <c r="A25" s="6" t="s">
        <v>90</v>
      </c>
    </row>
    <row r="26" ht="12.75">
      <c r="A26" s="6"/>
    </row>
    <row r="27" spans="1:3" ht="12.75">
      <c r="A27" s="7" t="s">
        <v>64</v>
      </c>
      <c r="B27" s="7" t="s">
        <v>19</v>
      </c>
      <c r="C27" s="7">
        <v>1427</v>
      </c>
    </row>
    <row r="28" spans="1:3" ht="12.75">
      <c r="A28" s="7" t="s">
        <v>65</v>
      </c>
      <c r="B28" s="7" t="s">
        <v>59</v>
      </c>
      <c r="C28" s="7">
        <v>26.99</v>
      </c>
    </row>
    <row r="30" ht="12.75">
      <c r="A30" s="6" t="s">
        <v>187</v>
      </c>
    </row>
    <row r="31" ht="12.75">
      <c r="A31" s="6"/>
    </row>
    <row r="32" spans="1:3" ht="12.75">
      <c r="A32" s="7" t="s">
        <v>64</v>
      </c>
      <c r="B32" s="7" t="s">
        <v>19</v>
      </c>
      <c r="C32" s="7">
        <v>1736</v>
      </c>
    </row>
    <row r="33" spans="1:3" ht="12.75">
      <c r="A33" s="7" t="s">
        <v>65</v>
      </c>
      <c r="B33" s="7" t="s">
        <v>59</v>
      </c>
      <c r="C33" s="7">
        <v>65.86</v>
      </c>
    </row>
    <row r="35" ht="12.75">
      <c r="A35" s="6" t="s">
        <v>190</v>
      </c>
    </row>
    <row r="37" spans="1:3" ht="12.75">
      <c r="A37" s="7" t="s">
        <v>64</v>
      </c>
      <c r="B37" s="7" t="s">
        <v>19</v>
      </c>
      <c r="C37" s="7">
        <v>1537.1</v>
      </c>
    </row>
    <row r="38" spans="1:3" ht="12.75">
      <c r="A38" s="7" t="s">
        <v>65</v>
      </c>
      <c r="B38" s="7" t="s">
        <v>59</v>
      </c>
      <c r="C38" s="7">
        <v>32.43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22">
      <selection activeCell="A2" sqref="A2"/>
    </sheetView>
  </sheetViews>
  <sheetFormatPr defaultColWidth="9.140625" defaultRowHeight="12.75"/>
  <cols>
    <col min="1" max="1" width="0.9921875" style="33" customWidth="1"/>
    <col min="2" max="2" width="25.8515625" style="33" customWidth="1"/>
    <col min="3" max="3" width="7.8515625" style="33" customWidth="1"/>
    <col min="4" max="4" width="5.8515625" style="33" customWidth="1"/>
    <col min="5" max="5" width="8.421875" style="33" customWidth="1"/>
    <col min="6" max="7" width="9.421875" style="34" customWidth="1"/>
    <col min="8" max="8" width="9.28125" style="34" customWidth="1"/>
    <col min="9" max="9" width="6.00390625" style="34" customWidth="1"/>
    <col min="10" max="10" width="8.421875" style="34" customWidth="1"/>
    <col min="11" max="12" width="8.28125" style="34" customWidth="1"/>
    <col min="13" max="13" width="9.7109375" style="34" customWidth="1"/>
    <col min="14" max="14" width="5.421875" style="34" customWidth="1"/>
    <col min="15" max="15" width="8.8515625" style="34" customWidth="1"/>
    <col min="16" max="18" width="8.7109375" style="34" customWidth="1"/>
    <col min="19" max="19" width="7.7109375" style="33" customWidth="1"/>
    <col min="20" max="20" width="7.8515625" style="33" customWidth="1"/>
    <col min="21" max="21" width="7.7109375" style="33" customWidth="1"/>
    <col min="22" max="22" width="7.00390625" style="33" customWidth="1"/>
    <col min="23" max="23" width="7.421875" style="33" customWidth="1"/>
    <col min="24" max="16384" width="10.8515625" style="33" customWidth="1"/>
  </cols>
  <sheetData>
    <row r="1" ht="12.75">
      <c r="A1" s="45" t="s">
        <v>131</v>
      </c>
    </row>
    <row r="2" ht="12.75">
      <c r="A2" s="33" t="s">
        <v>241</v>
      </c>
    </row>
    <row r="3" spans="1:3" ht="12.75">
      <c r="A3" s="33" t="s">
        <v>230</v>
      </c>
      <c r="C3" s="71" t="s">
        <v>50</v>
      </c>
    </row>
    <row r="4" spans="1:18" ht="12.75">
      <c r="A4" s="33" t="s">
        <v>240</v>
      </c>
      <c r="C4" s="71" t="s">
        <v>89</v>
      </c>
      <c r="D4" s="35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5" ht="12.75">
      <c r="A5" s="33" t="s">
        <v>231</v>
      </c>
      <c r="C5" s="71" t="s">
        <v>178</v>
      </c>
      <c r="D5" s="35"/>
      <c r="E5" s="35"/>
    </row>
    <row r="6" spans="4:18" ht="12.75">
      <c r="D6" s="35"/>
      <c r="E6" s="35"/>
      <c r="F6" s="37"/>
      <c r="G6" s="37"/>
      <c r="H6" s="37"/>
      <c r="K6" s="37"/>
      <c r="L6" s="37"/>
      <c r="M6" s="37"/>
      <c r="P6" s="37"/>
      <c r="Q6" s="37"/>
      <c r="R6" s="37"/>
    </row>
    <row r="7" spans="2:18" ht="12.75">
      <c r="B7" s="1"/>
      <c r="C7" s="35" t="s">
        <v>100</v>
      </c>
      <c r="D7" s="35"/>
      <c r="E7" s="73" t="s">
        <v>46</v>
      </c>
      <c r="F7" s="74"/>
      <c r="G7" s="74"/>
      <c r="H7" s="74"/>
      <c r="J7" s="74" t="s">
        <v>101</v>
      </c>
      <c r="K7" s="74"/>
      <c r="L7" s="74"/>
      <c r="M7" s="74"/>
      <c r="O7" s="74" t="s">
        <v>102</v>
      </c>
      <c r="P7" s="74"/>
      <c r="Q7" s="74"/>
      <c r="R7" s="74"/>
    </row>
    <row r="8" spans="3:18" ht="12.75">
      <c r="C8" s="35" t="s">
        <v>103</v>
      </c>
      <c r="E8" s="75" t="s">
        <v>91</v>
      </c>
      <c r="F8" s="75" t="s">
        <v>129</v>
      </c>
      <c r="G8" s="75" t="s">
        <v>91</v>
      </c>
      <c r="H8" s="76" t="s">
        <v>237</v>
      </c>
      <c r="J8" s="75" t="s">
        <v>91</v>
      </c>
      <c r="K8" s="75" t="s">
        <v>129</v>
      </c>
      <c r="L8" s="75" t="s">
        <v>91</v>
      </c>
      <c r="M8" s="76" t="s">
        <v>237</v>
      </c>
      <c r="O8" s="75" t="s">
        <v>91</v>
      </c>
      <c r="P8" s="75" t="s">
        <v>129</v>
      </c>
      <c r="Q8" s="75" t="s">
        <v>91</v>
      </c>
      <c r="R8" s="76" t="s">
        <v>237</v>
      </c>
    </row>
    <row r="9" spans="3:18" ht="12.75">
      <c r="C9" s="35"/>
      <c r="E9" s="75" t="s">
        <v>236</v>
      </c>
      <c r="F9" s="75" t="s">
        <v>236</v>
      </c>
      <c r="G9" s="75" t="s">
        <v>133</v>
      </c>
      <c r="H9" s="76" t="s">
        <v>133</v>
      </c>
      <c r="J9" s="75" t="s">
        <v>236</v>
      </c>
      <c r="K9" s="75" t="s">
        <v>236</v>
      </c>
      <c r="L9" s="75" t="s">
        <v>133</v>
      </c>
      <c r="M9" s="76" t="s">
        <v>133</v>
      </c>
      <c r="O9" s="75" t="s">
        <v>236</v>
      </c>
      <c r="P9" s="75" t="s">
        <v>236</v>
      </c>
      <c r="Q9" s="75" t="s">
        <v>133</v>
      </c>
      <c r="R9" s="76" t="s">
        <v>133</v>
      </c>
    </row>
    <row r="10" ht="13.5" customHeight="1">
      <c r="A10" t="s">
        <v>242</v>
      </c>
    </row>
    <row r="11" spans="2:20" ht="12.75">
      <c r="B11" s="33" t="s">
        <v>104</v>
      </c>
      <c r="C11" s="35">
        <v>1</v>
      </c>
      <c r="D11" s="35" t="s">
        <v>39</v>
      </c>
      <c r="E11" s="37">
        <f>F11/$C11</f>
        <v>0.00171</v>
      </c>
      <c r="F11" s="34">
        <v>0.00171</v>
      </c>
      <c r="G11" s="37">
        <f>H11/$C11</f>
        <v>0.000855</v>
      </c>
      <c r="H11" s="34">
        <f aca="true" t="shared" si="0" ref="H11:H35">IF(F11=0,"",IF(D11="nd",F11/2,F11))</f>
        <v>0.000855</v>
      </c>
      <c r="I11" s="34" t="s">
        <v>39</v>
      </c>
      <c r="J11" s="37">
        <f>K11/$C11</f>
        <v>0.0021</v>
      </c>
      <c r="K11" s="34">
        <v>0.0021</v>
      </c>
      <c r="L11" s="37">
        <f>M11/$C11</f>
        <v>0.00105</v>
      </c>
      <c r="M11" s="34">
        <f aca="true" t="shared" si="1" ref="M11:M35">IF(K11=0,"",IF(I11="nd",K11/2,K11))</f>
        <v>0.00105</v>
      </c>
      <c r="N11" s="34" t="s">
        <v>39</v>
      </c>
      <c r="O11" s="37">
        <f>P11/$C11</f>
        <v>0.00227</v>
      </c>
      <c r="P11" s="34">
        <v>0.00227</v>
      </c>
      <c r="Q11" s="37">
        <f>R11/$C11</f>
        <v>0.001135</v>
      </c>
      <c r="R11" s="34">
        <f aca="true" t="shared" si="2" ref="R11:R35">IF(P11=0,"",IF(N11="nd",P11/2,P11))</f>
        <v>0.001135</v>
      </c>
      <c r="S11" s="34"/>
      <c r="T11" s="34"/>
    </row>
    <row r="12" spans="2:20" ht="12.75">
      <c r="B12" s="33" t="s">
        <v>105</v>
      </c>
      <c r="C12" s="35">
        <v>0</v>
      </c>
      <c r="D12" s="35"/>
      <c r="E12" s="35"/>
      <c r="G12" s="35"/>
      <c r="H12" s="34">
        <f t="shared" si="0"/>
      </c>
      <c r="J12" s="35"/>
      <c r="L12" s="35"/>
      <c r="M12" s="34">
        <f t="shared" si="1"/>
      </c>
      <c r="O12" s="35"/>
      <c r="Q12" s="35"/>
      <c r="R12" s="34">
        <f t="shared" si="2"/>
      </c>
      <c r="S12" s="34"/>
      <c r="T12" s="34"/>
    </row>
    <row r="13" spans="2:20" ht="12.75">
      <c r="B13" s="33" t="s">
        <v>106</v>
      </c>
      <c r="C13" s="35">
        <v>0.5</v>
      </c>
      <c r="D13" s="35" t="s">
        <v>39</v>
      </c>
      <c r="E13" s="37">
        <f>F13/$C13</f>
        <v>0.00248</v>
      </c>
      <c r="F13" s="34">
        <v>0.00124</v>
      </c>
      <c r="G13" s="37">
        <f>H13/$C13</f>
        <v>0.00124</v>
      </c>
      <c r="H13" s="34">
        <f t="shared" si="0"/>
        <v>0.00062</v>
      </c>
      <c r="I13" s="34" t="s">
        <v>39</v>
      </c>
      <c r="J13" s="37">
        <f>K13/$C13</f>
        <v>0.00202</v>
      </c>
      <c r="K13" s="34">
        <v>0.00101</v>
      </c>
      <c r="L13" s="37">
        <f>M13/$C13</f>
        <v>0.00101</v>
      </c>
      <c r="M13" s="34">
        <f t="shared" si="1"/>
        <v>0.000505</v>
      </c>
      <c r="N13" s="34" t="s">
        <v>39</v>
      </c>
      <c r="O13" s="37">
        <f>P13/$C13</f>
        <v>0.001484</v>
      </c>
      <c r="P13" s="34">
        <v>0.000742</v>
      </c>
      <c r="Q13" s="37">
        <f>R13/$C13</f>
        <v>0.000742</v>
      </c>
      <c r="R13" s="34">
        <f t="shared" si="2"/>
        <v>0.000371</v>
      </c>
      <c r="S13" s="34"/>
      <c r="T13" s="34"/>
    </row>
    <row r="14" spans="2:20" ht="12.75">
      <c r="B14" s="33" t="s">
        <v>107</v>
      </c>
      <c r="C14" s="35">
        <v>0</v>
      </c>
      <c r="D14" s="35"/>
      <c r="E14" s="35"/>
      <c r="G14" s="35"/>
      <c r="H14" s="34">
        <f t="shared" si="0"/>
      </c>
      <c r="J14" s="35"/>
      <c r="L14" s="35"/>
      <c r="M14" s="34">
        <f t="shared" si="1"/>
      </c>
      <c r="O14" s="35"/>
      <c r="Q14" s="35"/>
      <c r="R14" s="34">
        <f t="shared" si="2"/>
      </c>
      <c r="S14" s="34"/>
      <c r="T14" s="34"/>
    </row>
    <row r="15" spans="2:20" ht="12.75">
      <c r="B15" s="33" t="s">
        <v>108</v>
      </c>
      <c r="C15" s="35">
        <v>0.1</v>
      </c>
      <c r="D15" s="35" t="s">
        <v>39</v>
      </c>
      <c r="E15" s="37">
        <f>F15/$C15</f>
        <v>0.00295</v>
      </c>
      <c r="F15" s="34">
        <v>0.000295</v>
      </c>
      <c r="G15" s="37">
        <f>H15/$C15</f>
        <v>0.001475</v>
      </c>
      <c r="H15" s="34">
        <f t="shared" si="0"/>
        <v>0.0001475</v>
      </c>
      <c r="I15" s="34" t="s">
        <v>39</v>
      </c>
      <c r="J15" s="37">
        <f>K15/$C15</f>
        <v>0.00307</v>
      </c>
      <c r="K15" s="34">
        <v>0.000307</v>
      </c>
      <c r="L15" s="37">
        <f>M15/$C15</f>
        <v>0.001535</v>
      </c>
      <c r="M15" s="34">
        <f t="shared" si="1"/>
        <v>0.0001535</v>
      </c>
      <c r="N15" s="34" t="s">
        <v>39</v>
      </c>
      <c r="O15" s="37">
        <f>P15/$C15</f>
        <v>0.00225</v>
      </c>
      <c r="P15" s="34">
        <v>0.000225</v>
      </c>
      <c r="Q15" s="37">
        <f>R15/$C15</f>
        <v>0.001125</v>
      </c>
      <c r="R15" s="34">
        <f t="shared" si="2"/>
        <v>0.0001125</v>
      </c>
      <c r="S15" s="34"/>
      <c r="T15" s="34"/>
    </row>
    <row r="16" spans="2:20" ht="12.75">
      <c r="B16" s="33" t="s">
        <v>109</v>
      </c>
      <c r="C16" s="35">
        <v>0.1</v>
      </c>
      <c r="D16" s="35" t="s">
        <v>39</v>
      </c>
      <c r="E16" s="37">
        <f>F16/$C16</f>
        <v>0.00284</v>
      </c>
      <c r="F16" s="34">
        <v>0.000284</v>
      </c>
      <c r="G16" s="37">
        <f>H16/$C16</f>
        <v>0.00142</v>
      </c>
      <c r="H16" s="34">
        <f t="shared" si="0"/>
        <v>0.000142</v>
      </c>
      <c r="I16" s="34" t="s">
        <v>39</v>
      </c>
      <c r="J16" s="37">
        <f>K16/$C16</f>
        <v>0.00297</v>
      </c>
      <c r="K16" s="34">
        <v>0.000297</v>
      </c>
      <c r="L16" s="37">
        <f>M16/$C16</f>
        <v>0.001485</v>
      </c>
      <c r="M16" s="34">
        <f t="shared" si="1"/>
        <v>0.0001485</v>
      </c>
      <c r="N16" s="34" t="s">
        <v>39</v>
      </c>
      <c r="O16" s="37">
        <f>P16/$C16</f>
        <v>0.0021599999999999996</v>
      </c>
      <c r="P16" s="34">
        <v>0.000216</v>
      </c>
      <c r="Q16" s="37">
        <f>R16/$C16</f>
        <v>0.0010799999999999998</v>
      </c>
      <c r="R16" s="34">
        <f t="shared" si="2"/>
        <v>0.000108</v>
      </c>
      <c r="S16" s="34"/>
      <c r="T16" s="34"/>
    </row>
    <row r="17" spans="2:20" ht="12.75">
      <c r="B17" s="33" t="s">
        <v>110</v>
      </c>
      <c r="C17" s="35">
        <v>0.1</v>
      </c>
      <c r="D17" s="35" t="s">
        <v>39</v>
      </c>
      <c r="E17" s="37">
        <f>F17/$C17</f>
        <v>0.0026999999999999997</v>
      </c>
      <c r="F17" s="34">
        <v>0.00027</v>
      </c>
      <c r="G17" s="37">
        <f>H17/$C17</f>
        <v>0.0013499999999999999</v>
      </c>
      <c r="H17" s="34">
        <f t="shared" si="0"/>
        <v>0.000135</v>
      </c>
      <c r="I17" s="34" t="s">
        <v>39</v>
      </c>
      <c r="J17" s="37">
        <f>K17/$C17</f>
        <v>0.0027799999999999995</v>
      </c>
      <c r="K17" s="34">
        <v>0.000278</v>
      </c>
      <c r="L17" s="37">
        <f>M17/$C17</f>
        <v>0.0013899999999999997</v>
      </c>
      <c r="M17" s="34">
        <f t="shared" si="1"/>
        <v>0.000139</v>
      </c>
      <c r="N17" s="34" t="s">
        <v>39</v>
      </c>
      <c r="O17" s="37">
        <f>P17/$C17</f>
        <v>0.0020499999999999997</v>
      </c>
      <c r="P17" s="34">
        <v>0.000205</v>
      </c>
      <c r="Q17" s="37">
        <f>R17/$C17</f>
        <v>0.0010249999999999999</v>
      </c>
      <c r="R17" s="34">
        <f t="shared" si="2"/>
        <v>0.0001025</v>
      </c>
      <c r="S17" s="34"/>
      <c r="T17" s="34"/>
    </row>
    <row r="18" spans="2:20" ht="12.75">
      <c r="B18" s="33" t="s">
        <v>111</v>
      </c>
      <c r="C18" s="35">
        <v>0</v>
      </c>
      <c r="D18" s="35"/>
      <c r="E18" s="35"/>
      <c r="G18" s="35"/>
      <c r="H18" s="34">
        <f t="shared" si="0"/>
      </c>
      <c r="J18" s="35"/>
      <c r="L18" s="35"/>
      <c r="M18" s="34">
        <f t="shared" si="1"/>
      </c>
      <c r="O18" s="35"/>
      <c r="Q18" s="35"/>
      <c r="R18" s="34">
        <f t="shared" si="2"/>
      </c>
      <c r="S18" s="34"/>
      <c r="T18" s="34"/>
    </row>
    <row r="19" spans="2:20" ht="12.75">
      <c r="B19" s="33" t="s">
        <v>112</v>
      </c>
      <c r="C19" s="35">
        <v>0.01</v>
      </c>
      <c r="D19" s="35" t="s">
        <v>39</v>
      </c>
      <c r="E19" s="37">
        <f>F19/$C19</f>
        <v>0.00301</v>
      </c>
      <c r="F19" s="34">
        <v>3.01E-05</v>
      </c>
      <c r="G19" s="37">
        <f>H19/$C19</f>
        <v>0.001505</v>
      </c>
      <c r="H19" s="34">
        <f t="shared" si="0"/>
        <v>1.505E-05</v>
      </c>
      <c r="I19" s="34" t="s">
        <v>39</v>
      </c>
      <c r="J19" s="37">
        <f>K19/$C19</f>
        <v>0.00342</v>
      </c>
      <c r="K19" s="34">
        <v>3.42E-05</v>
      </c>
      <c r="L19" s="37">
        <f>M19/$C19</f>
        <v>0.00171</v>
      </c>
      <c r="M19" s="34">
        <f t="shared" si="1"/>
        <v>1.71E-05</v>
      </c>
      <c r="N19" s="34" t="s">
        <v>39</v>
      </c>
      <c r="O19" s="37">
        <f>P19/$C19</f>
        <v>0.00293</v>
      </c>
      <c r="P19" s="34">
        <v>2.93E-05</v>
      </c>
      <c r="Q19" s="37">
        <f>R19/$C19</f>
        <v>0.001465</v>
      </c>
      <c r="R19" s="34">
        <f t="shared" si="2"/>
        <v>1.465E-05</v>
      </c>
      <c r="S19" s="34"/>
      <c r="T19" s="34"/>
    </row>
    <row r="20" spans="2:20" ht="12.75">
      <c r="B20" s="33" t="s">
        <v>113</v>
      </c>
      <c r="C20" s="35">
        <v>0</v>
      </c>
      <c r="D20" s="35"/>
      <c r="E20" s="35"/>
      <c r="G20" s="35"/>
      <c r="H20" s="34">
        <f t="shared" si="0"/>
      </c>
      <c r="J20" s="35"/>
      <c r="L20" s="35"/>
      <c r="M20" s="34">
        <f t="shared" si="1"/>
      </c>
      <c r="O20" s="35"/>
      <c r="Q20" s="35"/>
      <c r="R20" s="34">
        <f t="shared" si="2"/>
      </c>
      <c r="S20" s="34"/>
      <c r="T20" s="34"/>
    </row>
    <row r="21" spans="2:20" ht="12.75">
      <c r="B21" s="33" t="s">
        <v>114</v>
      </c>
      <c r="C21" s="35">
        <v>0.001</v>
      </c>
      <c r="D21" s="35" t="s">
        <v>39</v>
      </c>
      <c r="E21" s="37">
        <f aca="true" t="shared" si="3" ref="E21:G22">F21/$C21</f>
        <v>0.00815</v>
      </c>
      <c r="F21" s="34">
        <v>8.15E-06</v>
      </c>
      <c r="G21" s="37">
        <f t="shared" si="3"/>
        <v>0.004075</v>
      </c>
      <c r="H21" s="34">
        <f t="shared" si="0"/>
        <v>4.075E-06</v>
      </c>
      <c r="I21" s="34" t="s">
        <v>39</v>
      </c>
      <c r="J21" s="37">
        <f>K21/$C21</f>
        <v>0.012199999999999999</v>
      </c>
      <c r="K21" s="34">
        <v>1.22E-05</v>
      </c>
      <c r="L21" s="37">
        <f>M21/$C21</f>
        <v>0.0060999999999999995</v>
      </c>
      <c r="M21" s="34">
        <f t="shared" si="1"/>
        <v>6.1E-06</v>
      </c>
      <c r="N21" s="34" t="s">
        <v>39</v>
      </c>
      <c r="O21" s="37">
        <f>P21/$C21</f>
        <v>0.010499999999999999</v>
      </c>
      <c r="P21" s="34">
        <v>1.05E-05</v>
      </c>
      <c r="Q21" s="37">
        <f>R21/$C21</f>
        <v>0.0052499999999999995</v>
      </c>
      <c r="R21" s="34">
        <f t="shared" si="2"/>
        <v>5.25E-06</v>
      </c>
      <c r="S21" s="34"/>
      <c r="T21" s="34"/>
    </row>
    <row r="22" spans="2:20" ht="12.75">
      <c r="B22" s="33" t="s">
        <v>115</v>
      </c>
      <c r="C22" s="35">
        <v>0.1</v>
      </c>
      <c r="D22" s="35" t="s">
        <v>39</v>
      </c>
      <c r="E22" s="37">
        <f t="shared" si="3"/>
        <v>0.0027199999999999998</v>
      </c>
      <c r="F22" s="34">
        <v>0.000272</v>
      </c>
      <c r="G22" s="37">
        <f t="shared" si="3"/>
        <v>0.0013599999999999999</v>
      </c>
      <c r="H22" s="34">
        <f t="shared" si="0"/>
        <v>0.000136</v>
      </c>
      <c r="I22" s="34" t="s">
        <v>39</v>
      </c>
      <c r="J22" s="37">
        <f>K22/$C22</f>
        <v>0.00258</v>
      </c>
      <c r="K22" s="34">
        <v>0.000258</v>
      </c>
      <c r="L22" s="37">
        <f>M22/$C22</f>
        <v>0.00129</v>
      </c>
      <c r="M22" s="34">
        <f t="shared" si="1"/>
        <v>0.000129</v>
      </c>
      <c r="N22" s="34" t="s">
        <v>39</v>
      </c>
      <c r="O22" s="37">
        <f>P22/$C22</f>
        <v>0.00145</v>
      </c>
      <c r="P22" s="34">
        <v>0.000145</v>
      </c>
      <c r="Q22" s="37">
        <f>R22/$C22</f>
        <v>0.000725</v>
      </c>
      <c r="R22" s="34">
        <f t="shared" si="2"/>
        <v>7.25E-05</v>
      </c>
      <c r="S22" s="34"/>
      <c r="T22" s="34"/>
    </row>
    <row r="23" spans="2:20" ht="12.75">
      <c r="B23" s="33" t="s">
        <v>116</v>
      </c>
      <c r="C23" s="35">
        <v>0</v>
      </c>
      <c r="D23" s="35"/>
      <c r="E23" s="35"/>
      <c r="G23" s="35"/>
      <c r="H23" s="34">
        <f t="shared" si="0"/>
      </c>
      <c r="J23" s="35"/>
      <c r="L23" s="35"/>
      <c r="M23" s="34">
        <f t="shared" si="1"/>
      </c>
      <c r="O23" s="35"/>
      <c r="Q23" s="35"/>
      <c r="R23" s="34">
        <f t="shared" si="2"/>
      </c>
      <c r="S23" s="34"/>
      <c r="T23" s="34"/>
    </row>
    <row r="24" spans="2:20" ht="12.75">
      <c r="B24" s="33" t="s">
        <v>117</v>
      </c>
      <c r="C24" s="35">
        <v>0.05</v>
      </c>
      <c r="D24" s="35" t="s">
        <v>39</v>
      </c>
      <c r="E24" s="37">
        <f>F24/$C24</f>
        <v>0.0031799999999999997</v>
      </c>
      <c r="F24" s="34">
        <v>0.000159</v>
      </c>
      <c r="G24" s="37">
        <f>H24/$C24</f>
        <v>0.0015899999999999998</v>
      </c>
      <c r="H24" s="34">
        <f t="shared" si="0"/>
        <v>7.95E-05</v>
      </c>
      <c r="I24" s="34" t="s">
        <v>39</v>
      </c>
      <c r="J24" s="37">
        <f>K24/$C24</f>
        <v>0.00266</v>
      </c>
      <c r="K24" s="34">
        <v>0.000133</v>
      </c>
      <c r="L24" s="37">
        <f>M24/$C24</f>
        <v>0.00133</v>
      </c>
      <c r="M24" s="34">
        <f t="shared" si="1"/>
        <v>6.65E-05</v>
      </c>
      <c r="N24" s="34" t="s">
        <v>39</v>
      </c>
      <c r="O24" s="37">
        <f>P24/$C24</f>
        <v>0.0023599999999999997</v>
      </c>
      <c r="P24" s="34">
        <v>0.000118</v>
      </c>
      <c r="Q24" s="37">
        <f>R24/$C24</f>
        <v>0.0011799999999999998</v>
      </c>
      <c r="R24" s="34">
        <f t="shared" si="2"/>
        <v>5.9E-05</v>
      </c>
      <c r="S24" s="34"/>
      <c r="T24" s="34"/>
    </row>
    <row r="25" spans="2:20" ht="12.75">
      <c r="B25" s="33" t="s">
        <v>118</v>
      </c>
      <c r="C25" s="35">
        <v>0.5</v>
      </c>
      <c r="D25" s="35" t="s">
        <v>39</v>
      </c>
      <c r="E25" s="37">
        <f>F25/$C25</f>
        <v>0.00328</v>
      </c>
      <c r="F25" s="34">
        <v>0.00164</v>
      </c>
      <c r="G25" s="37">
        <f>H25/$C25</f>
        <v>0.00164</v>
      </c>
      <c r="H25" s="34">
        <f t="shared" si="0"/>
        <v>0.00082</v>
      </c>
      <c r="I25" s="34" t="s">
        <v>39</v>
      </c>
      <c r="J25" s="37">
        <f>K25/$C25</f>
        <v>0.00272</v>
      </c>
      <c r="K25" s="34">
        <v>0.00136</v>
      </c>
      <c r="L25" s="37">
        <f>M25/$C25</f>
        <v>0.00136</v>
      </c>
      <c r="M25" s="34">
        <f t="shared" si="1"/>
        <v>0.00068</v>
      </c>
      <c r="N25" s="34" t="s">
        <v>39</v>
      </c>
      <c r="O25" s="37">
        <f>P25/$C25</f>
        <v>0.00244</v>
      </c>
      <c r="P25" s="34">
        <v>0.00122</v>
      </c>
      <c r="Q25" s="37">
        <f>R25/$C25</f>
        <v>0.00122</v>
      </c>
      <c r="R25" s="34">
        <f t="shared" si="2"/>
        <v>0.00061</v>
      </c>
      <c r="S25" s="34"/>
      <c r="T25" s="34"/>
    </row>
    <row r="26" spans="2:20" ht="12.75">
      <c r="B26" s="33" t="s">
        <v>119</v>
      </c>
      <c r="C26" s="35">
        <v>0</v>
      </c>
      <c r="D26" s="35"/>
      <c r="E26" s="35"/>
      <c r="G26" s="35"/>
      <c r="H26" s="34">
        <f t="shared" si="0"/>
      </c>
      <c r="J26" s="35"/>
      <c r="L26" s="35"/>
      <c r="M26" s="34">
        <f t="shared" si="1"/>
      </c>
      <c r="O26" s="35"/>
      <c r="Q26" s="35"/>
      <c r="R26" s="34">
        <f t="shared" si="2"/>
      </c>
      <c r="S26" s="34"/>
      <c r="T26" s="34"/>
    </row>
    <row r="27" spans="2:20" ht="12.75">
      <c r="B27" s="33" t="s">
        <v>120</v>
      </c>
      <c r="C27" s="35">
        <v>0.1</v>
      </c>
      <c r="D27" s="35" t="s">
        <v>39</v>
      </c>
      <c r="E27" s="37">
        <f>F27/$C27</f>
        <v>0.00121</v>
      </c>
      <c r="F27" s="34">
        <v>0.000121</v>
      </c>
      <c r="G27" s="37">
        <f>H27/$C27</f>
        <v>0.000605</v>
      </c>
      <c r="H27" s="34">
        <f t="shared" si="0"/>
        <v>6.05E-05</v>
      </c>
      <c r="I27" s="34" t="s">
        <v>39</v>
      </c>
      <c r="J27" s="37">
        <f>K27/$C27</f>
        <v>0.0018499999999999999</v>
      </c>
      <c r="K27" s="34">
        <v>0.000185</v>
      </c>
      <c r="L27" s="37">
        <f>M27/$C27</f>
        <v>0.0009249999999999999</v>
      </c>
      <c r="M27" s="34">
        <f t="shared" si="1"/>
        <v>9.25E-05</v>
      </c>
      <c r="N27" s="34" t="s">
        <v>39</v>
      </c>
      <c r="O27" s="37">
        <f>P27/$C27</f>
        <v>0.0014999999999999998</v>
      </c>
      <c r="P27" s="34">
        <v>0.00015</v>
      </c>
      <c r="Q27" s="37">
        <f>R27/$C27</f>
        <v>0.0007499999999999999</v>
      </c>
      <c r="R27" s="34">
        <f t="shared" si="2"/>
        <v>7.5E-05</v>
      </c>
      <c r="S27" s="34"/>
      <c r="T27" s="34"/>
    </row>
    <row r="28" spans="2:20" ht="12.75">
      <c r="B28" s="33" t="s">
        <v>121</v>
      </c>
      <c r="C28" s="35">
        <v>0.1</v>
      </c>
      <c r="D28" s="35" t="s">
        <v>39</v>
      </c>
      <c r="E28" s="37">
        <f>F28/$C28</f>
        <v>0.0009619999999999999</v>
      </c>
      <c r="F28" s="34">
        <v>9.62E-05</v>
      </c>
      <c r="G28" s="37">
        <f>H28/$C28</f>
        <v>0.00048099999999999993</v>
      </c>
      <c r="H28" s="34">
        <f t="shared" si="0"/>
        <v>4.81E-05</v>
      </c>
      <c r="I28" s="34" t="s">
        <v>39</v>
      </c>
      <c r="J28" s="37">
        <f>K28/$C28</f>
        <v>0.00146</v>
      </c>
      <c r="K28" s="34">
        <v>0.000146</v>
      </c>
      <c r="L28" s="37">
        <f>M28/$C28</f>
        <v>0.00073</v>
      </c>
      <c r="M28" s="34">
        <f t="shared" si="1"/>
        <v>7.3E-05</v>
      </c>
      <c r="N28" s="34" t="s">
        <v>39</v>
      </c>
      <c r="O28" s="37">
        <f>P28/$C28</f>
        <v>0.0011799999999999998</v>
      </c>
      <c r="P28" s="34">
        <v>0.000118</v>
      </c>
      <c r="Q28" s="37">
        <f>R28/$C28</f>
        <v>0.0005899999999999999</v>
      </c>
      <c r="R28" s="34">
        <f t="shared" si="2"/>
        <v>5.9E-05</v>
      </c>
      <c r="S28" s="34"/>
      <c r="T28" s="34"/>
    </row>
    <row r="29" spans="2:20" ht="12.75">
      <c r="B29" s="33" t="s">
        <v>122</v>
      </c>
      <c r="C29" s="35">
        <v>0.1</v>
      </c>
      <c r="D29" s="35" t="s">
        <v>39</v>
      </c>
      <c r="E29" s="37">
        <f>F29/$C29</f>
        <v>0.0009619999999999999</v>
      </c>
      <c r="F29" s="34">
        <v>9.62E-05</v>
      </c>
      <c r="G29" s="37">
        <f>H29/$C29</f>
        <v>0.00048099999999999993</v>
      </c>
      <c r="H29" s="34">
        <f t="shared" si="0"/>
        <v>4.81E-05</v>
      </c>
      <c r="I29" s="34" t="s">
        <v>39</v>
      </c>
      <c r="J29" s="37">
        <f>K29/$C29</f>
        <v>0.00142</v>
      </c>
      <c r="K29" s="34">
        <v>0.000142</v>
      </c>
      <c r="L29" s="37">
        <f>M29/$C29</f>
        <v>0.00071</v>
      </c>
      <c r="M29" s="34">
        <f t="shared" si="1"/>
        <v>7.1E-05</v>
      </c>
      <c r="N29" s="34" t="s">
        <v>39</v>
      </c>
      <c r="O29" s="37">
        <f>P29/$C29</f>
        <v>0.00116</v>
      </c>
      <c r="P29" s="34">
        <v>0.000116</v>
      </c>
      <c r="Q29" s="37">
        <f>R29/$C29</f>
        <v>0.00058</v>
      </c>
      <c r="R29" s="34">
        <f t="shared" si="2"/>
        <v>5.8E-05</v>
      </c>
      <c r="S29" s="34"/>
      <c r="T29" s="34"/>
    </row>
    <row r="30" spans="2:20" ht="12.75">
      <c r="B30" s="33" t="s">
        <v>123</v>
      </c>
      <c r="C30" s="35">
        <v>0.1</v>
      </c>
      <c r="D30" s="35" t="s">
        <v>39</v>
      </c>
      <c r="E30" s="37">
        <f>F30/$C30</f>
        <v>0.0014399999999999999</v>
      </c>
      <c r="F30" s="34">
        <v>0.000144</v>
      </c>
      <c r="G30" s="37">
        <f>H30/$C30</f>
        <v>0.0007199999999999999</v>
      </c>
      <c r="H30" s="34">
        <f t="shared" si="0"/>
        <v>7.2E-05</v>
      </c>
      <c r="I30" s="34" t="s">
        <v>39</v>
      </c>
      <c r="J30" s="37">
        <f>K30/$C30</f>
        <v>0.0021599999999999996</v>
      </c>
      <c r="K30" s="34">
        <v>0.000216</v>
      </c>
      <c r="L30" s="37">
        <f>M30/$C30</f>
        <v>0.0010799999999999998</v>
      </c>
      <c r="M30" s="34">
        <f t="shared" si="1"/>
        <v>0.000108</v>
      </c>
      <c r="N30" s="34" t="s">
        <v>39</v>
      </c>
      <c r="O30" s="37">
        <f>P30/$C30</f>
        <v>0.0017699999999999999</v>
      </c>
      <c r="P30" s="34">
        <v>0.000177</v>
      </c>
      <c r="Q30" s="37">
        <f>R30/$C30</f>
        <v>0.0008849999999999999</v>
      </c>
      <c r="R30" s="34">
        <f t="shared" si="2"/>
        <v>8.85E-05</v>
      </c>
      <c r="S30" s="34"/>
      <c r="T30" s="34"/>
    </row>
    <row r="31" spans="2:20" ht="12.75">
      <c r="B31" s="33" t="s">
        <v>124</v>
      </c>
      <c r="C31" s="35">
        <v>0</v>
      </c>
      <c r="D31" s="35"/>
      <c r="E31" s="35"/>
      <c r="G31" s="35"/>
      <c r="H31" s="34">
        <f t="shared" si="0"/>
      </c>
      <c r="J31" s="35"/>
      <c r="L31" s="35"/>
      <c r="M31" s="34">
        <f t="shared" si="1"/>
      </c>
      <c r="O31" s="35"/>
      <c r="Q31" s="35"/>
      <c r="R31" s="34">
        <f t="shared" si="2"/>
      </c>
      <c r="S31" s="34"/>
      <c r="T31" s="34"/>
    </row>
    <row r="32" spans="2:20" ht="12.75">
      <c r="B32" s="33" t="s">
        <v>125</v>
      </c>
      <c r="C32" s="35">
        <v>0.01</v>
      </c>
      <c r="D32" s="35" t="s">
        <v>39</v>
      </c>
      <c r="E32" s="37">
        <f>F32/$C32</f>
        <v>0.00159</v>
      </c>
      <c r="F32" s="34">
        <v>1.59E-05</v>
      </c>
      <c r="G32" s="37">
        <f>H32/$C32</f>
        <v>0.000795</v>
      </c>
      <c r="H32" s="34">
        <f t="shared" si="0"/>
        <v>7.95E-06</v>
      </c>
      <c r="I32" s="34" t="s">
        <v>39</v>
      </c>
      <c r="J32" s="37">
        <f>K32/$C32</f>
        <v>0.00338</v>
      </c>
      <c r="K32" s="34">
        <v>3.38E-05</v>
      </c>
      <c r="L32" s="37">
        <f>M32/$C32</f>
        <v>0.00169</v>
      </c>
      <c r="M32" s="34">
        <f t="shared" si="1"/>
        <v>1.69E-05</v>
      </c>
      <c r="N32" s="34" t="s">
        <v>39</v>
      </c>
      <c r="O32" s="37">
        <f>P32/$C32</f>
        <v>0.00173</v>
      </c>
      <c r="P32" s="34">
        <v>1.73E-05</v>
      </c>
      <c r="Q32" s="37">
        <f>R32/$C32</f>
        <v>0.000865</v>
      </c>
      <c r="R32" s="34">
        <f t="shared" si="2"/>
        <v>8.65E-06</v>
      </c>
      <c r="S32" s="34"/>
      <c r="T32" s="34"/>
    </row>
    <row r="33" spans="2:20" ht="12.75">
      <c r="B33" s="33" t="s">
        <v>126</v>
      </c>
      <c r="C33" s="35">
        <v>0.01</v>
      </c>
      <c r="D33" s="35" t="s">
        <v>39</v>
      </c>
      <c r="E33" s="37">
        <f>F33/$C33</f>
        <v>0.00174</v>
      </c>
      <c r="F33" s="34">
        <v>1.74E-05</v>
      </c>
      <c r="G33" s="37">
        <f>H33/$C33</f>
        <v>0.00087</v>
      </c>
      <c r="H33" s="34">
        <f t="shared" si="0"/>
        <v>8.7E-06</v>
      </c>
      <c r="I33" s="34" t="s">
        <v>39</v>
      </c>
      <c r="J33" s="37">
        <f>K33/$C33</f>
        <v>0.0015699999999999998</v>
      </c>
      <c r="K33" s="34">
        <v>1.57E-05</v>
      </c>
      <c r="L33" s="37">
        <f>M33/$C33</f>
        <v>0.0007849999999999999</v>
      </c>
      <c r="M33" s="34">
        <f t="shared" si="1"/>
        <v>7.85E-06</v>
      </c>
      <c r="N33" s="34" t="s">
        <v>39</v>
      </c>
      <c r="O33" s="37">
        <f>P33/$C33</f>
        <v>0.0019199999999999998</v>
      </c>
      <c r="P33" s="34">
        <v>1.92E-05</v>
      </c>
      <c r="Q33" s="37">
        <f>R33/$C33</f>
        <v>0.0009599999999999999</v>
      </c>
      <c r="R33" s="34">
        <f t="shared" si="2"/>
        <v>9.6E-06</v>
      </c>
      <c r="S33" s="34"/>
      <c r="T33" s="34"/>
    </row>
    <row r="34" spans="2:20" ht="12.75">
      <c r="B34" s="33" t="s">
        <v>127</v>
      </c>
      <c r="C34" s="35">
        <v>0</v>
      </c>
      <c r="D34" s="35"/>
      <c r="E34" s="35"/>
      <c r="G34" s="35"/>
      <c r="H34" s="34">
        <f t="shared" si="0"/>
      </c>
      <c r="J34" s="35"/>
      <c r="L34" s="35"/>
      <c r="M34" s="34">
        <f t="shared" si="1"/>
      </c>
      <c r="O34" s="35"/>
      <c r="Q34" s="35"/>
      <c r="R34" s="34">
        <f t="shared" si="2"/>
      </c>
      <c r="S34" s="34"/>
      <c r="T34" s="34"/>
    </row>
    <row r="35" spans="2:20" ht="12.75">
      <c r="B35" s="33" t="s">
        <v>128</v>
      </c>
      <c r="C35" s="35">
        <v>0.001</v>
      </c>
      <c r="D35" s="35" t="s">
        <v>39</v>
      </c>
      <c r="E35" s="37">
        <f>F35/$C35</f>
        <v>0.00836</v>
      </c>
      <c r="F35" s="34">
        <v>8.36E-06</v>
      </c>
      <c r="G35" s="37">
        <f>H35/$C35</f>
        <v>0.00418</v>
      </c>
      <c r="H35" s="34">
        <f t="shared" si="0"/>
        <v>4.18E-06</v>
      </c>
      <c r="I35" s="34" t="s">
        <v>39</v>
      </c>
      <c r="J35" s="37">
        <f>K35/$C35</f>
        <v>0.012</v>
      </c>
      <c r="K35" s="34">
        <v>1.2E-05</v>
      </c>
      <c r="L35" s="37">
        <f>M35/$C35</f>
        <v>0.006</v>
      </c>
      <c r="M35" s="34">
        <f t="shared" si="1"/>
        <v>6E-06</v>
      </c>
      <c r="N35" s="34" t="s">
        <v>39</v>
      </c>
      <c r="O35" s="37">
        <f>P35/$C35</f>
        <v>0.009949999999999999</v>
      </c>
      <c r="P35" s="34">
        <v>9.95E-06</v>
      </c>
      <c r="Q35" s="37">
        <f>R35/$C35</f>
        <v>0.004974999999999999</v>
      </c>
      <c r="R35" s="34">
        <f t="shared" si="2"/>
        <v>4.975E-06</v>
      </c>
      <c r="S35" s="34"/>
      <c r="T35" s="34"/>
    </row>
    <row r="36" spans="6:20" ht="12.75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S36" s="34"/>
      <c r="T36" s="34"/>
    </row>
    <row r="37" spans="1:21" ht="12.75">
      <c r="A37" s="58"/>
      <c r="B37" s="58" t="s">
        <v>235</v>
      </c>
      <c r="D37" s="72">
        <f>(F37-H37)*2/F37*100</f>
        <v>100</v>
      </c>
      <c r="F37" s="39">
        <f>SUM(F11:F35)</f>
        <v>0.00640731</v>
      </c>
      <c r="G37" s="39"/>
      <c r="H37" s="39">
        <f>SUM(H11:H35)</f>
        <v>0.003203655</v>
      </c>
      <c r="I37" s="72">
        <f>(K37-M37)*2/K37*100</f>
        <v>100</v>
      </c>
      <c r="J37" s="39"/>
      <c r="K37" s="39">
        <f>SUM(K11:K35)</f>
        <v>0.0065399</v>
      </c>
      <c r="L37" s="39"/>
      <c r="M37" s="39">
        <f>SUM(M11:M35)</f>
        <v>0.00326995</v>
      </c>
      <c r="N37" s="72">
        <f>(P37-R37)*2/P37*100</f>
        <v>100</v>
      </c>
      <c r="O37" s="39"/>
      <c r="P37" s="39">
        <f>SUM(P11:P35)</f>
        <v>0.005788249999999998</v>
      </c>
      <c r="Q37" s="39"/>
      <c r="R37" s="39">
        <f>SUM(R11:R35)</f>
        <v>0.002894124999999999</v>
      </c>
      <c r="S37" s="34"/>
      <c r="T37" s="34"/>
      <c r="U37" s="39"/>
    </row>
    <row r="38" spans="6:20" ht="12.75"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S38" s="34"/>
      <c r="T38" s="34"/>
    </row>
    <row r="39" spans="2:20" ht="12.75">
      <c r="B39" s="58" t="s">
        <v>238</v>
      </c>
      <c r="C39" s="39">
        <f>AVERAGE(H37,M37,R37)</f>
        <v>0.0031225766666666665</v>
      </c>
      <c r="D39" s="39"/>
      <c r="E39" s="39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S39" s="34"/>
      <c r="T39" s="34"/>
    </row>
    <row r="40" spans="3:20" ht="12.75">
      <c r="C40" s="39"/>
      <c r="D40" s="39"/>
      <c r="E40" s="39"/>
      <c r="F40" s="39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S40" s="34"/>
      <c r="T40" s="3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9"/>
  <sheetViews>
    <sheetView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16.140625" style="0" customWidth="1"/>
    <col min="3" max="3" width="8.28125" style="0" customWidth="1"/>
    <col min="4" max="4" width="5.57421875" style="0" customWidth="1"/>
    <col min="5" max="5" width="8.140625" style="0" customWidth="1"/>
    <col min="9" max="9" width="5.00390625" style="0" customWidth="1"/>
    <col min="10" max="10" width="9.57421875" style="0" customWidth="1"/>
    <col min="14" max="14" width="6.140625" style="0" customWidth="1"/>
    <col min="15" max="15" width="8.7109375" style="0" customWidth="1"/>
  </cols>
  <sheetData>
    <row r="1" ht="12.75">
      <c r="A1" s="63" t="s">
        <v>131</v>
      </c>
    </row>
    <row r="2" ht="12.75">
      <c r="A2" s="78" t="s">
        <v>241</v>
      </c>
    </row>
    <row r="3" spans="1:20" s="33" customFormat="1" ht="12.75">
      <c r="A3" s="33" t="s">
        <v>230</v>
      </c>
      <c r="C3" s="39" t="s">
        <v>232</v>
      </c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34"/>
      <c r="S3" s="34"/>
      <c r="T3" s="34"/>
    </row>
    <row r="4" spans="1:20" s="33" customFormat="1" ht="12.75">
      <c r="A4" s="33" t="s">
        <v>240</v>
      </c>
      <c r="C4" s="33" t="s">
        <v>92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4"/>
      <c r="S4" s="34"/>
      <c r="T4" s="34"/>
    </row>
    <row r="5" spans="1:23" s="38" customFormat="1" ht="12.75">
      <c r="A5" s="33" t="s">
        <v>231</v>
      </c>
      <c r="C5" s="38" t="s">
        <v>88</v>
      </c>
      <c r="R5" s="34"/>
      <c r="S5" s="34"/>
      <c r="T5" s="34"/>
      <c r="U5" s="33"/>
      <c r="V5" s="33"/>
      <c r="W5" s="33"/>
    </row>
    <row r="6" spans="1:23" s="38" customFormat="1" ht="12.75">
      <c r="A6" s="33"/>
      <c r="R6" s="34"/>
      <c r="S6" s="34"/>
      <c r="T6" s="34"/>
      <c r="U6" s="33"/>
      <c r="V6" s="33"/>
      <c r="W6" s="33"/>
    </row>
    <row r="7" spans="2:20" s="33" customFormat="1" ht="12.75">
      <c r="B7" s="1"/>
      <c r="C7" s="35" t="s">
        <v>100</v>
      </c>
      <c r="E7" s="73" t="s">
        <v>46</v>
      </c>
      <c r="F7" s="74"/>
      <c r="G7" s="74"/>
      <c r="H7" s="74"/>
      <c r="I7" s="34"/>
      <c r="J7" s="74" t="s">
        <v>101</v>
      </c>
      <c r="K7" s="74"/>
      <c r="L7" s="74"/>
      <c r="M7" s="74"/>
      <c r="N7" s="34"/>
      <c r="O7" s="74" t="s">
        <v>102</v>
      </c>
      <c r="P7" s="74"/>
      <c r="Q7" s="74"/>
      <c r="R7" s="74"/>
      <c r="S7" s="34"/>
      <c r="T7" s="34"/>
    </row>
    <row r="8" spans="3:20" s="33" customFormat="1" ht="12.75">
      <c r="C8" s="35" t="s">
        <v>103</v>
      </c>
      <c r="E8" s="75" t="s">
        <v>91</v>
      </c>
      <c r="F8" s="75" t="s">
        <v>129</v>
      </c>
      <c r="G8" s="75" t="s">
        <v>91</v>
      </c>
      <c r="H8" s="76" t="s">
        <v>237</v>
      </c>
      <c r="J8" s="75" t="s">
        <v>91</v>
      </c>
      <c r="K8" s="75" t="s">
        <v>129</v>
      </c>
      <c r="L8" s="75" t="s">
        <v>91</v>
      </c>
      <c r="M8" s="76" t="s">
        <v>237</v>
      </c>
      <c r="O8" s="75" t="s">
        <v>91</v>
      </c>
      <c r="P8" s="75" t="s">
        <v>129</v>
      </c>
      <c r="Q8" s="75" t="s">
        <v>91</v>
      </c>
      <c r="R8" s="76" t="s">
        <v>237</v>
      </c>
      <c r="S8" s="34"/>
      <c r="T8" s="34"/>
    </row>
    <row r="9" spans="3:20" s="33" customFormat="1" ht="12.75">
      <c r="C9" s="35"/>
      <c r="E9" s="75" t="s">
        <v>236</v>
      </c>
      <c r="F9" s="75" t="s">
        <v>236</v>
      </c>
      <c r="G9" s="75" t="s">
        <v>133</v>
      </c>
      <c r="H9" s="76" t="s">
        <v>133</v>
      </c>
      <c r="J9" s="75" t="s">
        <v>236</v>
      </c>
      <c r="K9" s="75" t="s">
        <v>236</v>
      </c>
      <c r="L9" s="75" t="s">
        <v>133</v>
      </c>
      <c r="M9" s="76" t="s">
        <v>133</v>
      </c>
      <c r="O9" s="75" t="s">
        <v>236</v>
      </c>
      <c r="P9" s="75" t="s">
        <v>236</v>
      </c>
      <c r="Q9" s="75" t="s">
        <v>133</v>
      </c>
      <c r="R9" s="76" t="s">
        <v>133</v>
      </c>
      <c r="S9" s="34"/>
      <c r="T9" s="34"/>
    </row>
    <row r="10" spans="1:20" s="33" customFormat="1" ht="12.75">
      <c r="A10" t="s">
        <v>242</v>
      </c>
      <c r="C10" s="35"/>
      <c r="R10" s="34"/>
      <c r="S10" s="34"/>
      <c r="T10" s="34"/>
    </row>
    <row r="11" spans="2:20" s="33" customFormat="1" ht="12.75">
      <c r="B11" s="33" t="s">
        <v>104</v>
      </c>
      <c r="C11" s="35">
        <v>1</v>
      </c>
      <c r="D11" s="35" t="s">
        <v>39</v>
      </c>
      <c r="E11" s="37">
        <f>F11/$C11</f>
        <v>0.00221</v>
      </c>
      <c r="F11" s="34">
        <v>0.00221</v>
      </c>
      <c r="G11" s="37">
        <f>H11/$C11</f>
        <v>0.001105</v>
      </c>
      <c r="H11" s="34">
        <f aca="true" t="shared" si="0" ref="H11:H35">IF(F11=0,"",IF(D11="nd",F11/2,F11))</f>
        <v>0.001105</v>
      </c>
      <c r="I11" s="33" t="s">
        <v>39</v>
      </c>
      <c r="J11" s="37">
        <f>K11/$C11</f>
        <v>0.00151</v>
      </c>
      <c r="K11" s="34">
        <v>0.00151</v>
      </c>
      <c r="L11" s="37">
        <f>M11/$C11</f>
        <v>0.000755</v>
      </c>
      <c r="M11" s="34">
        <f aca="true" t="shared" si="1" ref="M11:M35">IF(K11=0,"",IF(I11="nd",K11/2,K11))</f>
        <v>0.000755</v>
      </c>
      <c r="N11" s="33" t="s">
        <v>39</v>
      </c>
      <c r="O11" s="37">
        <f>P11/$C11</f>
        <v>0.00287</v>
      </c>
      <c r="P11" s="34">
        <v>0.00287</v>
      </c>
      <c r="Q11" s="37">
        <f>R11/$C11</f>
        <v>0.001435</v>
      </c>
      <c r="R11" s="34">
        <f aca="true" t="shared" si="2" ref="R11:R35">IF(P11=0,"",IF(N11="nd",P11/2,P11))</f>
        <v>0.001435</v>
      </c>
      <c r="S11" s="34"/>
      <c r="T11" s="34"/>
    </row>
    <row r="12" spans="2:20" s="33" customFormat="1" ht="12.75">
      <c r="B12" s="33" t="s">
        <v>105</v>
      </c>
      <c r="C12" s="35">
        <v>0</v>
      </c>
      <c r="D12" s="35"/>
      <c r="E12" s="35"/>
      <c r="F12" s="34"/>
      <c r="G12" s="35"/>
      <c r="H12" s="34">
        <f t="shared" si="0"/>
      </c>
      <c r="J12" s="35"/>
      <c r="K12" s="34"/>
      <c r="L12" s="35"/>
      <c r="M12" s="34">
        <f t="shared" si="1"/>
      </c>
      <c r="O12" s="35"/>
      <c r="P12" s="34"/>
      <c r="Q12" s="35"/>
      <c r="R12" s="34">
        <f t="shared" si="2"/>
      </c>
      <c r="S12" s="34"/>
      <c r="T12" s="34"/>
    </row>
    <row r="13" spans="2:20" s="33" customFormat="1" ht="12.75">
      <c r="B13" s="33" t="s">
        <v>106</v>
      </c>
      <c r="C13" s="35">
        <v>0.5</v>
      </c>
      <c r="D13" s="35" t="s">
        <v>39</v>
      </c>
      <c r="E13" s="37">
        <f>F13/$C13</f>
        <v>0.00374</v>
      </c>
      <c r="F13" s="34">
        <v>0.00187</v>
      </c>
      <c r="G13" s="37">
        <f>H13/$C13</f>
        <v>0.00187</v>
      </c>
      <c r="H13" s="34">
        <f t="shared" si="0"/>
        <v>0.000935</v>
      </c>
      <c r="I13" s="33" t="s">
        <v>39</v>
      </c>
      <c r="J13" s="37">
        <f>K13/$C13</f>
        <v>0.0026</v>
      </c>
      <c r="K13" s="34">
        <v>0.0013</v>
      </c>
      <c r="L13" s="37">
        <f>M13/$C13</f>
        <v>0.0013</v>
      </c>
      <c r="M13" s="34">
        <f t="shared" si="1"/>
        <v>0.00065</v>
      </c>
      <c r="N13" s="33" t="s">
        <v>39</v>
      </c>
      <c r="O13" s="37">
        <f>P13/$C13</f>
        <v>0.00316</v>
      </c>
      <c r="P13" s="34">
        <v>0.00158</v>
      </c>
      <c r="Q13" s="37">
        <f>R13/$C13</f>
        <v>0.00158</v>
      </c>
      <c r="R13" s="34">
        <f t="shared" si="2"/>
        <v>0.00079</v>
      </c>
      <c r="S13" s="34"/>
      <c r="T13" s="34"/>
    </row>
    <row r="14" spans="2:20" s="33" customFormat="1" ht="12.75">
      <c r="B14" s="33" t="s">
        <v>107</v>
      </c>
      <c r="C14" s="35">
        <v>0</v>
      </c>
      <c r="D14" s="35"/>
      <c r="E14" s="35"/>
      <c r="F14" s="34"/>
      <c r="G14" s="35"/>
      <c r="H14" s="34">
        <f t="shared" si="0"/>
      </c>
      <c r="J14" s="35"/>
      <c r="K14" s="34"/>
      <c r="L14" s="35"/>
      <c r="M14" s="34">
        <f t="shared" si="1"/>
      </c>
      <c r="O14" s="35"/>
      <c r="P14" s="34"/>
      <c r="Q14" s="35"/>
      <c r="R14" s="34">
        <f t="shared" si="2"/>
      </c>
      <c r="S14" s="34"/>
      <c r="T14" s="34"/>
    </row>
    <row r="15" spans="2:20" s="33" customFormat="1" ht="12.75">
      <c r="B15" s="33" t="s">
        <v>108</v>
      </c>
      <c r="C15" s="35">
        <v>0.1</v>
      </c>
      <c r="D15" s="35" t="s">
        <v>39</v>
      </c>
      <c r="E15" s="37">
        <f>F15/$C15</f>
        <v>0.00371</v>
      </c>
      <c r="F15" s="34">
        <v>0.000371</v>
      </c>
      <c r="G15" s="37">
        <f>H15/$C15</f>
        <v>0.001855</v>
      </c>
      <c r="H15" s="34">
        <f t="shared" si="0"/>
        <v>0.0001855</v>
      </c>
      <c r="I15" s="33" t="s">
        <v>39</v>
      </c>
      <c r="J15" s="37">
        <f>K15/$C15</f>
        <v>0.00209</v>
      </c>
      <c r="K15" s="34">
        <v>0.000209</v>
      </c>
      <c r="L15" s="37">
        <f>M15/$C15</f>
        <v>0.001045</v>
      </c>
      <c r="M15" s="34">
        <f t="shared" si="1"/>
        <v>0.0001045</v>
      </c>
      <c r="N15" s="33" t="s">
        <v>39</v>
      </c>
      <c r="O15" s="37">
        <f>P15/$C15</f>
        <v>0.00325</v>
      </c>
      <c r="P15" s="34">
        <v>0.000325</v>
      </c>
      <c r="Q15" s="37">
        <f>R15/$C15</f>
        <v>0.001625</v>
      </c>
      <c r="R15" s="34">
        <f t="shared" si="2"/>
        <v>0.0001625</v>
      </c>
      <c r="S15" s="34"/>
      <c r="T15" s="34"/>
    </row>
    <row r="16" spans="2:20" s="33" customFormat="1" ht="12.75">
      <c r="B16" s="33" t="s">
        <v>109</v>
      </c>
      <c r="C16" s="35">
        <v>0.1</v>
      </c>
      <c r="D16" s="35" t="s">
        <v>39</v>
      </c>
      <c r="E16" s="37">
        <f>F16/$C16</f>
        <v>0.00362</v>
      </c>
      <c r="F16" s="34">
        <v>0.000362</v>
      </c>
      <c r="G16" s="37">
        <f>H16/$C16</f>
        <v>0.00181</v>
      </c>
      <c r="H16" s="34">
        <f t="shared" si="0"/>
        <v>0.000181</v>
      </c>
      <c r="I16" s="33" t="s">
        <v>39</v>
      </c>
      <c r="J16" s="37">
        <f>K16/$C16</f>
        <v>0.0020399999999999997</v>
      </c>
      <c r="K16" s="34">
        <v>0.000204</v>
      </c>
      <c r="L16" s="37">
        <f>M16/$C16</f>
        <v>0.0010199999999999999</v>
      </c>
      <c r="M16" s="34">
        <f t="shared" si="1"/>
        <v>0.000102</v>
      </c>
      <c r="N16" s="33" t="s">
        <v>39</v>
      </c>
      <c r="O16" s="37">
        <f>P16/$C16</f>
        <v>0.00313</v>
      </c>
      <c r="P16" s="34">
        <v>0.000313</v>
      </c>
      <c r="Q16" s="37">
        <f>R16/$C16</f>
        <v>0.001565</v>
      </c>
      <c r="R16" s="34">
        <f t="shared" si="2"/>
        <v>0.0001565</v>
      </c>
      <c r="S16" s="34"/>
      <c r="T16" s="34"/>
    </row>
    <row r="17" spans="2:20" s="33" customFormat="1" ht="12.75">
      <c r="B17" s="33" t="s">
        <v>110</v>
      </c>
      <c r="C17" s="35">
        <v>0.1</v>
      </c>
      <c r="D17" s="35" t="s">
        <v>39</v>
      </c>
      <c r="E17" s="37">
        <f>F17/$C17</f>
        <v>0.00339</v>
      </c>
      <c r="F17" s="34">
        <v>0.000339</v>
      </c>
      <c r="G17" s="37">
        <f>H17/$C17</f>
        <v>0.001695</v>
      </c>
      <c r="H17" s="34">
        <f t="shared" si="0"/>
        <v>0.0001695</v>
      </c>
      <c r="I17" s="33" t="s">
        <v>39</v>
      </c>
      <c r="J17" s="37">
        <f>K17/$C17</f>
        <v>0.0019299999999999999</v>
      </c>
      <c r="K17" s="34">
        <v>0.000193</v>
      </c>
      <c r="L17" s="37">
        <f>M17/$C17</f>
        <v>0.0009649999999999999</v>
      </c>
      <c r="M17" s="34">
        <f t="shared" si="1"/>
        <v>9.65E-05</v>
      </c>
      <c r="N17" s="33" t="s">
        <v>39</v>
      </c>
      <c r="O17" s="37">
        <f>P17/$C17</f>
        <v>0.00293</v>
      </c>
      <c r="P17" s="34">
        <v>0.000293</v>
      </c>
      <c r="Q17" s="37">
        <f>R17/$C17</f>
        <v>0.001465</v>
      </c>
      <c r="R17" s="34">
        <f t="shared" si="2"/>
        <v>0.0001465</v>
      </c>
      <c r="S17" s="34"/>
      <c r="T17" s="34"/>
    </row>
    <row r="18" spans="2:20" s="33" customFormat="1" ht="12.75">
      <c r="B18" s="33" t="s">
        <v>111</v>
      </c>
      <c r="C18" s="35">
        <v>0</v>
      </c>
      <c r="D18" s="35"/>
      <c r="E18" s="35"/>
      <c r="F18" s="34"/>
      <c r="G18" s="35"/>
      <c r="H18" s="34">
        <f t="shared" si="0"/>
      </c>
      <c r="J18" s="35"/>
      <c r="K18" s="34"/>
      <c r="L18" s="35"/>
      <c r="M18" s="34">
        <f t="shared" si="1"/>
      </c>
      <c r="O18" s="35"/>
      <c r="P18" s="34"/>
      <c r="Q18" s="35"/>
      <c r="R18" s="34">
        <f t="shared" si="2"/>
      </c>
      <c r="S18" s="34"/>
      <c r="T18" s="34"/>
    </row>
    <row r="19" spans="2:20" s="33" customFormat="1" ht="12.75">
      <c r="B19" s="33" t="s">
        <v>112</v>
      </c>
      <c r="C19" s="35">
        <v>0.01</v>
      </c>
      <c r="D19" s="35" t="s">
        <v>39</v>
      </c>
      <c r="E19" s="37">
        <f>F19/$C19</f>
        <v>0.00912</v>
      </c>
      <c r="F19" s="34">
        <v>9.12E-05</v>
      </c>
      <c r="G19" s="37">
        <f>H19/$C19</f>
        <v>0.00456</v>
      </c>
      <c r="H19" s="34">
        <f t="shared" si="0"/>
        <v>4.56E-05</v>
      </c>
      <c r="I19" s="33" t="s">
        <v>39</v>
      </c>
      <c r="J19" s="37">
        <f>K19/$C19</f>
        <v>0.0028799999999999997</v>
      </c>
      <c r="K19" s="34">
        <v>2.88E-05</v>
      </c>
      <c r="L19" s="37">
        <f>M19/$C19</f>
        <v>0.0014399999999999999</v>
      </c>
      <c r="M19" s="34">
        <f t="shared" si="1"/>
        <v>1.44E-05</v>
      </c>
      <c r="N19" s="33" t="s">
        <v>39</v>
      </c>
      <c r="O19" s="37">
        <f>P19/$C19</f>
        <v>0.00439</v>
      </c>
      <c r="P19" s="34">
        <v>4.39E-05</v>
      </c>
      <c r="Q19" s="37">
        <f>R19/$C19</f>
        <v>0.002195</v>
      </c>
      <c r="R19" s="34">
        <f t="shared" si="2"/>
        <v>2.195E-05</v>
      </c>
      <c r="S19" s="34"/>
      <c r="T19" s="34"/>
    </row>
    <row r="20" spans="2:20" s="33" customFormat="1" ht="12.75">
      <c r="B20" s="33" t="s">
        <v>113</v>
      </c>
      <c r="C20" s="35">
        <v>0</v>
      </c>
      <c r="D20" s="35"/>
      <c r="E20" s="35"/>
      <c r="F20" s="34"/>
      <c r="G20" s="35"/>
      <c r="H20" s="34">
        <f t="shared" si="0"/>
      </c>
      <c r="J20" s="35"/>
      <c r="K20" s="34"/>
      <c r="L20" s="35"/>
      <c r="M20" s="34">
        <f t="shared" si="1"/>
      </c>
      <c r="O20" s="35"/>
      <c r="P20" s="34"/>
      <c r="Q20" s="35"/>
      <c r="R20" s="34">
        <f t="shared" si="2"/>
      </c>
      <c r="S20" s="34"/>
      <c r="T20" s="34"/>
    </row>
    <row r="21" spans="2:20" s="33" customFormat="1" ht="12.75">
      <c r="B21" s="33" t="s">
        <v>114</v>
      </c>
      <c r="C21" s="35">
        <v>0.001</v>
      </c>
      <c r="D21" s="35"/>
      <c r="E21" s="37">
        <f>F21/$C21</f>
        <v>0.0401</v>
      </c>
      <c r="F21" s="34">
        <v>4.01E-05</v>
      </c>
      <c r="G21" s="37">
        <f>H21/$C21</f>
        <v>0.0401</v>
      </c>
      <c r="H21" s="34">
        <f t="shared" si="0"/>
        <v>4.01E-05</v>
      </c>
      <c r="J21" s="37">
        <f>K21/$C21</f>
        <v>0.024300000000000002</v>
      </c>
      <c r="K21" s="34">
        <v>2.43E-05</v>
      </c>
      <c r="L21" s="37">
        <f>M21/$C21</f>
        <v>0.024300000000000002</v>
      </c>
      <c r="M21" s="34">
        <f t="shared" si="1"/>
        <v>2.43E-05</v>
      </c>
      <c r="O21" s="37">
        <f>P21/$C21</f>
        <v>0.029899999999999996</v>
      </c>
      <c r="P21" s="34">
        <v>2.99E-05</v>
      </c>
      <c r="Q21" s="37">
        <f>R21/$C21</f>
        <v>0.029899999999999996</v>
      </c>
      <c r="R21" s="34">
        <f t="shared" si="2"/>
        <v>2.99E-05</v>
      </c>
      <c r="S21" s="34"/>
      <c r="T21" s="34"/>
    </row>
    <row r="22" spans="2:20" s="33" customFormat="1" ht="12.75">
      <c r="B22" s="33" t="s">
        <v>115</v>
      </c>
      <c r="C22" s="35">
        <v>0.1</v>
      </c>
      <c r="D22" s="35" t="s">
        <v>39</v>
      </c>
      <c r="E22" s="37">
        <f>F22/$C22</f>
        <v>0.00218</v>
      </c>
      <c r="F22" s="34">
        <v>0.000218</v>
      </c>
      <c r="G22" s="37">
        <f>H22/$C22</f>
        <v>0.00109</v>
      </c>
      <c r="H22" s="34">
        <f t="shared" si="0"/>
        <v>0.000109</v>
      </c>
      <c r="I22" s="33" t="s">
        <v>39</v>
      </c>
      <c r="J22" s="37">
        <f>K22/$C22</f>
        <v>0.00134</v>
      </c>
      <c r="K22" s="34">
        <v>0.000134</v>
      </c>
      <c r="L22" s="37">
        <f>M22/$C22</f>
        <v>0.00067</v>
      </c>
      <c r="M22" s="34">
        <f t="shared" si="1"/>
        <v>6.7E-05</v>
      </c>
      <c r="N22" s="33" t="s">
        <v>39</v>
      </c>
      <c r="O22" s="37">
        <f>P22/$C22</f>
        <v>0.0027199999999999998</v>
      </c>
      <c r="P22" s="34">
        <v>0.000272</v>
      </c>
      <c r="Q22" s="37">
        <f>R22/$C22</f>
        <v>0.0013599999999999999</v>
      </c>
      <c r="R22" s="34">
        <f t="shared" si="2"/>
        <v>0.000136</v>
      </c>
      <c r="S22" s="34"/>
      <c r="T22" s="34"/>
    </row>
    <row r="23" spans="2:20" s="33" customFormat="1" ht="12.75">
      <c r="B23" s="33" t="s">
        <v>116</v>
      </c>
      <c r="C23" s="35">
        <v>0</v>
      </c>
      <c r="D23" s="35"/>
      <c r="E23" s="35"/>
      <c r="F23" s="34"/>
      <c r="G23" s="35"/>
      <c r="H23" s="34">
        <f t="shared" si="0"/>
      </c>
      <c r="J23" s="35"/>
      <c r="K23" s="34"/>
      <c r="L23" s="35"/>
      <c r="M23" s="34">
        <f t="shared" si="1"/>
      </c>
      <c r="O23" s="35"/>
      <c r="P23" s="34"/>
      <c r="Q23" s="35"/>
      <c r="R23" s="34">
        <f t="shared" si="2"/>
      </c>
      <c r="S23" s="34"/>
      <c r="T23" s="34"/>
    </row>
    <row r="24" spans="2:20" s="33" customFormat="1" ht="12.75">
      <c r="B24" s="33" t="s">
        <v>117</v>
      </c>
      <c r="C24" s="35">
        <v>0.05</v>
      </c>
      <c r="D24" s="35" t="s">
        <v>39</v>
      </c>
      <c r="E24" s="37">
        <f>F24/$C24</f>
        <v>0.00342</v>
      </c>
      <c r="F24" s="34">
        <v>0.000171</v>
      </c>
      <c r="G24" s="37">
        <f>H24/$C24</f>
        <v>0.00171</v>
      </c>
      <c r="H24" s="34">
        <f t="shared" si="0"/>
        <v>8.55E-05</v>
      </c>
      <c r="I24" s="33" t="s">
        <v>39</v>
      </c>
      <c r="J24" s="37">
        <f>K24/$C24</f>
        <v>0.0021</v>
      </c>
      <c r="K24" s="34">
        <v>0.000105</v>
      </c>
      <c r="L24" s="37">
        <f>M24/$C24</f>
        <v>0.00105</v>
      </c>
      <c r="M24" s="34">
        <f t="shared" si="1"/>
        <v>5.25E-05</v>
      </c>
      <c r="N24" s="33" t="s">
        <v>39</v>
      </c>
      <c r="O24" s="37">
        <f>P24/$C24</f>
        <v>0.00246</v>
      </c>
      <c r="P24" s="34">
        <v>0.000123</v>
      </c>
      <c r="Q24" s="37">
        <f>R24/$C24</f>
        <v>0.00123</v>
      </c>
      <c r="R24" s="34">
        <f t="shared" si="2"/>
        <v>6.15E-05</v>
      </c>
      <c r="S24" s="34"/>
      <c r="T24" s="34"/>
    </row>
    <row r="25" spans="2:20" s="33" customFormat="1" ht="12.75">
      <c r="B25" s="33" t="s">
        <v>118</v>
      </c>
      <c r="C25" s="35">
        <v>0.5</v>
      </c>
      <c r="D25" s="35" t="s">
        <v>39</v>
      </c>
      <c r="E25" s="37">
        <f>F25/$C25</f>
        <v>0.00352</v>
      </c>
      <c r="F25" s="34">
        <v>0.00176</v>
      </c>
      <c r="G25" s="37">
        <f>H25/$C25</f>
        <v>0.00176</v>
      </c>
      <c r="H25" s="34">
        <f t="shared" si="0"/>
        <v>0.00088</v>
      </c>
      <c r="I25" s="33" t="s">
        <v>39</v>
      </c>
      <c r="J25" s="37">
        <f>K25/$C25</f>
        <v>0.00218</v>
      </c>
      <c r="K25" s="34">
        <v>0.00109</v>
      </c>
      <c r="L25" s="37">
        <f>M25/$C25</f>
        <v>0.00109</v>
      </c>
      <c r="M25" s="34">
        <f t="shared" si="1"/>
        <v>0.000545</v>
      </c>
      <c r="N25" s="33" t="s">
        <v>39</v>
      </c>
      <c r="O25" s="37">
        <f>P25/$C25</f>
        <v>0.00254</v>
      </c>
      <c r="P25" s="34">
        <v>0.00127</v>
      </c>
      <c r="Q25" s="37">
        <f>R25/$C25</f>
        <v>0.00127</v>
      </c>
      <c r="R25" s="34">
        <f t="shared" si="2"/>
        <v>0.000635</v>
      </c>
      <c r="S25" s="34"/>
      <c r="T25" s="34"/>
    </row>
    <row r="26" spans="2:18" s="33" customFormat="1" ht="12.75">
      <c r="B26" s="33" t="s">
        <v>119</v>
      </c>
      <c r="C26" s="35">
        <v>0</v>
      </c>
      <c r="D26" s="35"/>
      <c r="E26" s="35"/>
      <c r="F26" s="34"/>
      <c r="G26" s="35"/>
      <c r="H26" s="34">
        <f t="shared" si="0"/>
      </c>
      <c r="J26" s="35"/>
      <c r="K26" s="34"/>
      <c r="L26" s="35"/>
      <c r="M26" s="34">
        <f t="shared" si="1"/>
      </c>
      <c r="O26" s="35"/>
      <c r="P26" s="34"/>
      <c r="Q26" s="35"/>
      <c r="R26" s="34">
        <f t="shared" si="2"/>
      </c>
    </row>
    <row r="27" spans="2:18" s="33" customFormat="1" ht="12.75">
      <c r="B27" s="33" t="s">
        <v>120</v>
      </c>
      <c r="C27" s="35">
        <v>0.1</v>
      </c>
      <c r="D27" s="35" t="s">
        <v>39</v>
      </c>
      <c r="E27" s="37">
        <f>F27/$C27</f>
        <v>0.00277</v>
      </c>
      <c r="F27" s="34">
        <v>0.000277</v>
      </c>
      <c r="G27" s="37">
        <f>H27/$C27</f>
        <v>0.001385</v>
      </c>
      <c r="H27" s="34">
        <f t="shared" si="0"/>
        <v>0.0001385</v>
      </c>
      <c r="I27" s="33" t="s">
        <v>39</v>
      </c>
      <c r="J27" s="37">
        <f>K27/$C27</f>
        <v>0.00134</v>
      </c>
      <c r="K27" s="34">
        <v>0.000134</v>
      </c>
      <c r="L27" s="37">
        <f>M27/$C27</f>
        <v>0.00067</v>
      </c>
      <c r="M27" s="34">
        <f t="shared" si="1"/>
        <v>6.7E-05</v>
      </c>
      <c r="N27" s="33" t="s">
        <v>39</v>
      </c>
      <c r="O27" s="37">
        <f>P27/$C27</f>
        <v>0.0017899999999999997</v>
      </c>
      <c r="P27" s="34">
        <v>0.000179</v>
      </c>
      <c r="Q27" s="37">
        <f>R27/$C27</f>
        <v>0.0008949999999999999</v>
      </c>
      <c r="R27" s="34">
        <f t="shared" si="2"/>
        <v>8.95E-05</v>
      </c>
    </row>
    <row r="28" spans="2:18" s="33" customFormat="1" ht="12.75">
      <c r="B28" s="33" t="s">
        <v>121</v>
      </c>
      <c r="C28" s="35">
        <v>0.1</v>
      </c>
      <c r="D28" s="35" t="s">
        <v>39</v>
      </c>
      <c r="E28" s="37">
        <f>F28/$C28</f>
        <v>0.0022099999999999997</v>
      </c>
      <c r="F28" s="34">
        <v>0.000221</v>
      </c>
      <c r="G28" s="37">
        <f>H28/$C28</f>
        <v>0.0011049999999999999</v>
      </c>
      <c r="H28" s="34">
        <f t="shared" si="0"/>
        <v>0.0001105</v>
      </c>
      <c r="I28" s="34" t="s">
        <v>39</v>
      </c>
      <c r="J28" s="37">
        <f>K28/$C28</f>
        <v>0.00109</v>
      </c>
      <c r="K28" s="34">
        <v>0.000109</v>
      </c>
      <c r="L28" s="37">
        <f>M28/$C28</f>
        <v>0.000545</v>
      </c>
      <c r="M28" s="34">
        <f t="shared" si="1"/>
        <v>5.45E-05</v>
      </c>
      <c r="N28" s="34" t="s">
        <v>39</v>
      </c>
      <c r="O28" s="37">
        <f>P28/$C28</f>
        <v>0.0014399999999999999</v>
      </c>
      <c r="P28" s="34">
        <v>0.000144</v>
      </c>
      <c r="Q28" s="37">
        <f>R28/$C28</f>
        <v>0.0007199999999999999</v>
      </c>
      <c r="R28" s="34">
        <f t="shared" si="2"/>
        <v>7.2E-05</v>
      </c>
    </row>
    <row r="29" spans="2:18" s="33" customFormat="1" ht="12.75">
      <c r="B29" s="33" t="s">
        <v>122</v>
      </c>
      <c r="C29" s="35">
        <v>0.1</v>
      </c>
      <c r="D29" s="35" t="s">
        <v>39</v>
      </c>
      <c r="E29" s="37">
        <f>F29/$C29</f>
        <v>0.00215</v>
      </c>
      <c r="F29" s="34">
        <v>0.000215</v>
      </c>
      <c r="G29" s="37">
        <f>H29/$C29</f>
        <v>0.001075</v>
      </c>
      <c r="H29" s="34">
        <f t="shared" si="0"/>
        <v>0.0001075</v>
      </c>
      <c r="I29" s="34" t="s">
        <v>39</v>
      </c>
      <c r="J29" s="37">
        <f>K29/$C29</f>
        <v>0.0010299999999999999</v>
      </c>
      <c r="K29" s="34">
        <v>0.000103</v>
      </c>
      <c r="L29" s="37">
        <f>M29/$C29</f>
        <v>0.0005149999999999999</v>
      </c>
      <c r="M29" s="34">
        <f t="shared" si="1"/>
        <v>5.15E-05</v>
      </c>
      <c r="N29" s="34" t="s">
        <v>39</v>
      </c>
      <c r="O29" s="37">
        <f>P29/$C29</f>
        <v>0.00141</v>
      </c>
      <c r="P29" s="34">
        <v>0.000141</v>
      </c>
      <c r="Q29" s="37">
        <f>R29/$C29</f>
        <v>0.000705</v>
      </c>
      <c r="R29" s="34">
        <f t="shared" si="2"/>
        <v>7.05E-05</v>
      </c>
    </row>
    <row r="30" spans="2:18" s="33" customFormat="1" ht="12.75">
      <c r="B30" s="33" t="s">
        <v>123</v>
      </c>
      <c r="C30" s="35">
        <v>0.1</v>
      </c>
      <c r="D30" s="35" t="s">
        <v>39</v>
      </c>
      <c r="E30" s="37">
        <f>F30/$C30</f>
        <v>0.00326</v>
      </c>
      <c r="F30" s="34">
        <v>0.000326</v>
      </c>
      <c r="G30" s="37">
        <f>H30/$C30</f>
        <v>0.00163</v>
      </c>
      <c r="H30" s="34">
        <f t="shared" si="0"/>
        <v>0.000163</v>
      </c>
      <c r="I30" s="34" t="s">
        <v>39</v>
      </c>
      <c r="J30" s="37">
        <f>K30/$C30</f>
        <v>0.00156</v>
      </c>
      <c r="K30" s="34">
        <v>0.000156</v>
      </c>
      <c r="L30" s="37">
        <f>M30/$C30</f>
        <v>0.00078</v>
      </c>
      <c r="M30" s="34">
        <f t="shared" si="1"/>
        <v>7.8E-05</v>
      </c>
      <c r="N30" s="34" t="s">
        <v>39</v>
      </c>
      <c r="O30" s="37">
        <f>P30/$C30</f>
        <v>0.00211</v>
      </c>
      <c r="P30" s="34">
        <v>0.000211</v>
      </c>
      <c r="Q30" s="37">
        <f>R30/$C30</f>
        <v>0.001055</v>
      </c>
      <c r="R30" s="34">
        <f t="shared" si="2"/>
        <v>0.0001055</v>
      </c>
    </row>
    <row r="31" spans="2:18" s="33" customFormat="1" ht="12.75">
      <c r="B31" s="33" t="s">
        <v>124</v>
      </c>
      <c r="C31" s="35">
        <v>0</v>
      </c>
      <c r="D31" s="35"/>
      <c r="E31" s="35"/>
      <c r="F31" s="34"/>
      <c r="G31" s="35"/>
      <c r="H31" s="34">
        <f t="shared" si="0"/>
      </c>
      <c r="I31" s="34"/>
      <c r="J31" s="35"/>
      <c r="K31" s="34"/>
      <c r="L31" s="35"/>
      <c r="M31" s="34">
        <f t="shared" si="1"/>
      </c>
      <c r="N31" s="34"/>
      <c r="O31" s="35"/>
      <c r="P31" s="34"/>
      <c r="Q31" s="35"/>
      <c r="R31" s="34">
        <f t="shared" si="2"/>
      </c>
    </row>
    <row r="32" spans="2:18" s="33" customFormat="1" ht="12.75">
      <c r="B32" s="33" t="s">
        <v>125</v>
      </c>
      <c r="C32" s="35">
        <v>0.01</v>
      </c>
      <c r="D32" s="35" t="s">
        <v>39</v>
      </c>
      <c r="E32" s="37">
        <f>F32/$C32</f>
        <v>0.00313</v>
      </c>
      <c r="F32" s="34">
        <v>3.13E-05</v>
      </c>
      <c r="G32" s="37">
        <f>H32/$C32</f>
        <v>0.001565</v>
      </c>
      <c r="H32" s="34">
        <f t="shared" si="0"/>
        <v>1.565E-05</v>
      </c>
      <c r="I32" s="34" t="s">
        <v>39</v>
      </c>
      <c r="J32" s="37">
        <f>K32/$C32</f>
        <v>0.00215</v>
      </c>
      <c r="K32" s="34">
        <v>2.15E-05</v>
      </c>
      <c r="L32" s="37">
        <f>M32/$C32</f>
        <v>0.001075</v>
      </c>
      <c r="M32" s="34">
        <f t="shared" si="1"/>
        <v>1.075E-05</v>
      </c>
      <c r="N32" s="34" t="s">
        <v>39</v>
      </c>
      <c r="O32" s="37">
        <f>P32/$C32</f>
        <v>0.00196</v>
      </c>
      <c r="P32" s="34">
        <v>1.96E-05</v>
      </c>
      <c r="Q32" s="37">
        <f>R32/$C32</f>
        <v>0.00098</v>
      </c>
      <c r="R32" s="34">
        <f t="shared" si="2"/>
        <v>9.8E-06</v>
      </c>
    </row>
    <row r="33" spans="2:18" s="33" customFormat="1" ht="12.75">
      <c r="B33" s="33" t="s">
        <v>126</v>
      </c>
      <c r="C33" s="35">
        <v>0.01</v>
      </c>
      <c r="D33" s="35" t="s">
        <v>39</v>
      </c>
      <c r="E33" s="37">
        <f>F33/$C33</f>
        <v>0.00349</v>
      </c>
      <c r="F33" s="34">
        <v>3.49E-05</v>
      </c>
      <c r="G33" s="37">
        <f>H33/$C33</f>
        <v>0.001745</v>
      </c>
      <c r="H33" s="34">
        <f t="shared" si="0"/>
        <v>1.745E-05</v>
      </c>
      <c r="I33" s="34" t="s">
        <v>39</v>
      </c>
      <c r="J33" s="37">
        <f>K33/$C33</f>
        <v>0.00237</v>
      </c>
      <c r="K33" s="34">
        <v>2.37E-05</v>
      </c>
      <c r="L33" s="37">
        <f>M33/$C33</f>
        <v>0.001185</v>
      </c>
      <c r="M33" s="34">
        <f t="shared" si="1"/>
        <v>1.185E-05</v>
      </c>
      <c r="N33" s="34" t="s">
        <v>39</v>
      </c>
      <c r="O33" s="37">
        <f>P33/$C33</f>
        <v>0.00217</v>
      </c>
      <c r="P33" s="34">
        <v>2.17E-05</v>
      </c>
      <c r="Q33" s="37">
        <f>R33/$C33</f>
        <v>0.001085</v>
      </c>
      <c r="R33" s="34">
        <f t="shared" si="2"/>
        <v>1.085E-05</v>
      </c>
    </row>
    <row r="34" spans="2:18" s="33" customFormat="1" ht="12.75">
      <c r="B34" s="33" t="s">
        <v>127</v>
      </c>
      <c r="C34" s="35">
        <v>0</v>
      </c>
      <c r="D34" s="35"/>
      <c r="E34" s="35"/>
      <c r="F34" s="34"/>
      <c r="G34" s="35"/>
      <c r="H34" s="34">
        <f t="shared" si="0"/>
      </c>
      <c r="I34" s="34"/>
      <c r="J34" s="35"/>
      <c r="K34" s="34"/>
      <c r="L34" s="35"/>
      <c r="M34" s="34">
        <f t="shared" si="1"/>
      </c>
      <c r="N34" s="34"/>
      <c r="O34" s="35"/>
      <c r="P34" s="34"/>
      <c r="Q34" s="35"/>
      <c r="R34" s="34">
        <f t="shared" si="2"/>
      </c>
    </row>
    <row r="35" spans="2:18" s="33" customFormat="1" ht="12.75">
      <c r="B35" s="33" t="s">
        <v>128</v>
      </c>
      <c r="C35" s="35">
        <v>0.001</v>
      </c>
      <c r="D35" s="35" t="s">
        <v>39</v>
      </c>
      <c r="E35" s="37">
        <f>F35/$C35</f>
        <v>0.008790000000000001</v>
      </c>
      <c r="F35" s="34">
        <v>8.79E-06</v>
      </c>
      <c r="G35" s="37">
        <f>H35/$C35</f>
        <v>0.0043950000000000005</v>
      </c>
      <c r="H35" s="34">
        <f t="shared" si="0"/>
        <v>4.395E-06</v>
      </c>
      <c r="I35" s="34" t="s">
        <v>39</v>
      </c>
      <c r="J35" s="37">
        <f>K35/$C35</f>
        <v>0.00625</v>
      </c>
      <c r="K35" s="34">
        <v>6.25E-06</v>
      </c>
      <c r="L35" s="37">
        <f>M35/$C35</f>
        <v>0.003125</v>
      </c>
      <c r="M35" s="34">
        <f t="shared" si="1"/>
        <v>3.125E-06</v>
      </c>
      <c r="N35" s="34" t="s">
        <v>39</v>
      </c>
      <c r="O35" s="37">
        <f>P35/$C35</f>
        <v>0.0123</v>
      </c>
      <c r="P35" s="34">
        <v>1.23E-05</v>
      </c>
      <c r="Q35" s="37">
        <f>R35/$C35</f>
        <v>0.00615</v>
      </c>
      <c r="R35" s="34">
        <f t="shared" si="2"/>
        <v>6.15E-06</v>
      </c>
    </row>
    <row r="36" spans="6:18" s="33" customFormat="1" ht="12.75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3" customFormat="1" ht="12.75">
      <c r="A37" s="58"/>
      <c r="B37" s="58" t="s">
        <v>235</v>
      </c>
      <c r="D37" s="72">
        <f>(F37-H37)*2/F37*100</f>
        <v>99.53079055356184</v>
      </c>
      <c r="F37" s="39">
        <f>SUM(F11:F35)</f>
        <v>0.00854629</v>
      </c>
      <c r="G37" s="39"/>
      <c r="H37" s="39">
        <f>SUM(H11:H35)</f>
        <v>0.004293195</v>
      </c>
      <c r="I37" s="72">
        <f>(K37-M37)*2/K37*100</f>
        <v>99.54592594668836</v>
      </c>
      <c r="K37" s="39">
        <f>SUM(K11:K35)</f>
        <v>0.005351549999999999</v>
      </c>
      <c r="L37" s="39"/>
      <c r="M37" s="39">
        <f>SUM(M11:M35)</f>
        <v>0.0026879249999999994</v>
      </c>
      <c r="N37" s="72">
        <f>(P37-R37)*2/P37*100</f>
        <v>99.619030630447</v>
      </c>
      <c r="P37" s="39">
        <f>SUM(P11:P35)</f>
        <v>0.0078484</v>
      </c>
      <c r="Q37" s="39"/>
      <c r="R37" s="39">
        <f>SUM(R11:R35)</f>
        <v>0.003939149999999999</v>
      </c>
    </row>
    <row r="38" spans="6:18" s="33" customFormat="1" ht="12.75"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2:18" s="33" customFormat="1" ht="12.75">
      <c r="B39" s="58" t="s">
        <v>238</v>
      </c>
      <c r="C39" s="39">
        <f>AVERAGE(H37,M37,R37)</f>
        <v>0.003640089999999999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</sheetData>
  <printOptions headings="1" horizontalCentered="1"/>
  <pageMargins left="0.25" right="0.25" top="0.5" bottom="0.5" header="0.5" footer="0.25"/>
  <pageSetup horizontalDpi="1200" verticalDpi="1200" orientation="landscape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2004-02-24T22:30:39Z</cp:lastPrinted>
  <dcterms:created xsi:type="dcterms:W3CDTF">1999-12-20T09:27:35Z</dcterms:created>
  <dcterms:modified xsi:type="dcterms:W3CDTF">2004-02-24T22:30:54Z</dcterms:modified>
  <cp:category/>
  <cp:version/>
  <cp:contentType/>
  <cp:contentStatus/>
</cp:coreProperties>
</file>