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91" windowWidth="12120" windowHeight="6780" tabRatio="469" activeTab="5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<sst xmlns="http://schemas.openxmlformats.org/spreadsheetml/2006/main" count="466" uniqueCount="160">
  <si>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</si>
  <si>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</si>
  <si>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</si>
  <si>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</si>
  <si>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</si>
  <si>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</si>
  <si>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</si>
  <si>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</si>
  <si>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</si>
  <si>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</si>
  <si>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</si>
  <si>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</si>
  <si>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</si>
  <si>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</si>
  <si>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 xml:space="preserve">    Report Name/Date</t>
  </si>
  <si>
    <t xml:space="preserve">    Report Prepare</t>
  </si>
  <si>
    <t xml:space="preserve">    Condition Descr</t>
  </si>
  <si>
    <t xml:space="preserve">    Content</t>
  </si>
  <si>
    <t>Units</t>
  </si>
  <si>
    <t>PM</t>
  </si>
  <si>
    <t>gr/dscf</t>
  </si>
  <si>
    <t>ppmv</t>
  </si>
  <si>
    <t>HCl</t>
  </si>
  <si>
    <t>Chlorine</t>
  </si>
  <si>
    <t>lb/hr</t>
  </si>
  <si>
    <t>nd</t>
  </si>
  <si>
    <t>dscfm</t>
  </si>
  <si>
    <t>%</t>
  </si>
  <si>
    <t>°F</t>
  </si>
  <si>
    <t>Cl2</t>
  </si>
  <si>
    <t>µg/dscm</t>
  </si>
  <si>
    <t>SVM</t>
  </si>
  <si>
    <t>LVM</t>
  </si>
  <si>
    <t>Feedstream Description</t>
  </si>
  <si>
    <t>Btu/lb</t>
  </si>
  <si>
    <t>Ash</t>
  </si>
  <si>
    <t>Stack Gas Flowrate</t>
  </si>
  <si>
    <t>Oxygen</t>
  </si>
  <si>
    <t>mg/dscm</t>
  </si>
  <si>
    <t>Steam Flowrate</t>
  </si>
  <si>
    <t>Process Information</t>
  </si>
  <si>
    <t>Combustor Characteristics</t>
  </si>
  <si>
    <t>Stack Gas Emissions</t>
  </si>
  <si>
    <t>HW</t>
  </si>
  <si>
    <t>Spike</t>
  </si>
  <si>
    <t>Merichem Company</t>
  </si>
  <si>
    <t xml:space="preserve">    Testing Firm (coordinators)</t>
  </si>
  <si>
    <t>Texas Oiltech Laboratories / Triangle Laboratories</t>
  </si>
  <si>
    <t>R1</t>
  </si>
  <si>
    <t>R2</t>
  </si>
  <si>
    <t>R3</t>
  </si>
  <si>
    <t>in w.c.</t>
  </si>
  <si>
    <t>724C10</t>
  </si>
  <si>
    <t>724C11</t>
  </si>
  <si>
    <t>Houston</t>
  </si>
  <si>
    <t>TXD008106999</t>
  </si>
  <si>
    <t>July 16-17, 1996</t>
  </si>
  <si>
    <t>Soot Blowing</t>
  </si>
  <si>
    <t>Recertification of Compliance (ReCOC) for Merichem; report provided begins at section 2.0 (no date)</t>
  </si>
  <si>
    <t>?</t>
  </si>
  <si>
    <t>Liquid chemical wastes, residue, liquid waste, nap fuel</t>
  </si>
  <si>
    <t>Liq</t>
  </si>
  <si>
    <t>Hazardous Wastes</t>
  </si>
  <si>
    <t>Haz Waste Description</t>
  </si>
  <si>
    <t>Supplemental Fuel</t>
  </si>
  <si>
    <t>Natural gas</t>
  </si>
  <si>
    <t>PM, CO</t>
  </si>
  <si>
    <t>PM, HCl/Cl2, metals, CO;  ash, metals, chlorine in feeds</t>
  </si>
  <si>
    <t>Cond Avg</t>
  </si>
  <si>
    <t>Run 1</t>
  </si>
  <si>
    <t>Run 2</t>
  </si>
  <si>
    <t>Run 3</t>
  </si>
  <si>
    <t>Feedstreams</t>
  </si>
  <si>
    <t>y</t>
  </si>
  <si>
    <t>n</t>
  </si>
  <si>
    <t>Heating Value</t>
  </si>
  <si>
    <t>Spikes</t>
  </si>
  <si>
    <t>Boiler No. 4</t>
  </si>
  <si>
    <t xml:space="preserve">    Testing Dates</t>
  </si>
  <si>
    <t xml:space="preserve">    Laboratory</t>
  </si>
  <si>
    <t>g/hr</t>
  </si>
  <si>
    <t>Gas Flowrate</t>
  </si>
  <si>
    <t>MMBtu/hr</t>
  </si>
  <si>
    <t>7% O2</t>
  </si>
  <si>
    <t>Candlefilter Mist Elim Press Drop</t>
  </si>
  <si>
    <t>Candlefilter Mist Elim Temp</t>
  </si>
  <si>
    <t>Capacity (MMBtu/hr)</t>
  </si>
  <si>
    <t>TX</t>
  </si>
  <si>
    <t>None</t>
  </si>
  <si>
    <t>Antimony</t>
  </si>
  <si>
    <t>Arsenic</t>
  </si>
  <si>
    <t>Tier III</t>
  </si>
  <si>
    <t>Barium</t>
  </si>
  <si>
    <t>Beryllium</t>
  </si>
  <si>
    <t>Cadmium</t>
  </si>
  <si>
    <t>Chromium</t>
  </si>
  <si>
    <t>Lead</t>
  </si>
  <si>
    <t>Mercury</t>
  </si>
  <si>
    <t>Silver</t>
  </si>
  <si>
    <t>Thallium</t>
  </si>
  <si>
    <t>Waste Res</t>
  </si>
  <si>
    <t>Feedrate MTEC Calculations</t>
  </si>
  <si>
    <t>Comb Chamb Temp</t>
  </si>
  <si>
    <t>Source Description</t>
  </si>
  <si>
    <t>Phase II ID No.</t>
  </si>
  <si>
    <t xml:space="preserve">   Temperature</t>
  </si>
  <si>
    <t xml:space="preserve">   Stack Gas Flowrate</t>
  </si>
  <si>
    <t>Comments</t>
  </si>
  <si>
    <t>PM, HCl,Cl2</t>
  </si>
  <si>
    <t>Metals</t>
  </si>
  <si>
    <t xml:space="preserve">   O2</t>
  </si>
  <si>
    <t xml:space="preserve">   Moisture</t>
  </si>
  <si>
    <t>Total Chlorine</t>
  </si>
  <si>
    <t>CO (RA)</t>
  </si>
  <si>
    <t>Sampling Train</t>
  </si>
  <si>
    <t>BIF Feedrate Limits</t>
  </si>
  <si>
    <t>*</t>
  </si>
  <si>
    <t>Thermal Feedrate</t>
  </si>
  <si>
    <t>Feed Rate</t>
  </si>
  <si>
    <t>Q/ME</t>
  </si>
  <si>
    <t>HWC Burn Status (Date if Terminated)</t>
  </si>
  <si>
    <t>Tier III - As, Cr, Pb; Tier IA - Sb, Ba, Be, Cd, Hg, Ag, &amp; chlorine</t>
  </si>
  <si>
    <t>Specific Gravity</t>
  </si>
  <si>
    <t>Total</t>
  </si>
  <si>
    <t xml:space="preserve">    Cond Dates</t>
  </si>
  <si>
    <t>Liquid-fired boiler</t>
  </si>
  <si>
    <t>Cond Description</t>
  </si>
  <si>
    <t>724C1</t>
  </si>
  <si>
    <t>724C2</t>
  </si>
  <si>
    <t>Number of Sister Facilities</t>
  </si>
  <si>
    <t>Combustor Type</t>
  </si>
  <si>
    <t>APCS Detailed Acronym</t>
  </si>
  <si>
    <t>APCS General Class</t>
  </si>
  <si>
    <t>Combustor Class</t>
  </si>
  <si>
    <t>Liquid-fired</t>
  </si>
  <si>
    <t>Nebraska Boiler Company (series WTS), 55,000 lb/hr of 240 psig, 68.5 MMBtu/hr; extended fire-box, single North America low NOx burner.</t>
  </si>
  <si>
    <t>WQ</t>
  </si>
  <si>
    <t>Quench, wet scrubber, candlefilter-type mist eliminator (appears wet scrubber not operated during either testing.   5 tray, 2 stage scrubber/adsorber, CECO candlefilter-type mist eliminator</t>
  </si>
  <si>
    <t>CoC; min combustion temp; Wet Scrubber not used</t>
  </si>
  <si>
    <t>CoC; max waste feed (spiked ash, chlorine, metals), Wet Scrubber not used</t>
  </si>
  <si>
    <t>E1</t>
  </si>
  <si>
    <t>E2</t>
  </si>
  <si>
    <t>Chromium (Hex)</t>
  </si>
  <si>
    <t>source</t>
  </si>
  <si>
    <t>cond</t>
  </si>
  <si>
    <t>emiss</t>
  </si>
  <si>
    <t>feed</t>
  </si>
  <si>
    <t>process</t>
  </si>
  <si>
    <t xml:space="preserve">    Testing Firm</t>
  </si>
  <si>
    <t>Focus Environmental, Inc (Ramcon Environmental Corporation)</t>
  </si>
  <si>
    <t>Feedstream Number</t>
  </si>
  <si>
    <t>Feed Class</t>
  </si>
  <si>
    <t>Liq HW</t>
  </si>
  <si>
    <t>F1</t>
  </si>
  <si>
    <t>F2</t>
  </si>
  <si>
    <t>F3</t>
  </si>
  <si>
    <t>Feed Class 2</t>
  </si>
  <si>
    <t>Estimated Firing Rate</t>
  </si>
  <si>
    <t>Pb only</t>
  </si>
  <si>
    <t>No Be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</si>
</sst>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  <numFmt numFmtId="168" formatCode="0.000000"/>
    <numFmt numFmtId="169" formatCode="0.0000000"/>
    <numFmt numFmtId="170" formatCode="mmmm\ d\,\ yyyy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1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Alignment="1">
      <alignment horizontal="left"/>
    </xf>
    <xf numFmtId="167" fontId="0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" fontId="0" fillId="0" borderId="0" xfId="0" applyNumberFormat="1" applyFont="1" applyFill="1" applyAlignment="1">
      <alignment horizontal="left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right"/>
    </xf>
    <xf numFmtId="2" fontId="0" fillId="0" borderId="0" xfId="0" applyNumberFormat="1" applyFont="1" applyFill="1" applyAlignment="1">
      <alignment vertical="center" wrapText="1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6" sqref="A6"/>
    </sheetView>
  </sheetViews>
  <sheetFormatPr defaultColWidth="9.140625" defaultRowHeight="12.75"/>
  <sheetData>
    <row r="1" ht="12.75">
      <c r="A1" t="s">
        <v>143</v>
      </c>
    </row>
    <row r="2" ht="12.75">
      <c r="A2" t="s">
        <v>144</v>
      </c>
    </row>
    <row r="3" ht="12.75">
      <c r="A3" t="s">
        <v>145</v>
      </c>
    </row>
    <row r="4" ht="12.75">
      <c r="A4" t="s">
        <v>146</v>
      </c>
    </row>
    <row r="5" ht="12.75">
      <c r="A5" t="s">
        <v>147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2"/>
  <sheetViews>
    <sheetView workbookViewId="0" topLeftCell="B1">
      <selection activeCell="B2" sqref="B2"/>
    </sheetView>
  </sheetViews>
  <sheetFormatPr defaultColWidth="9.140625" defaultRowHeight="12.75"/>
  <cols>
    <col min="1" max="1" width="9.140625" style="17" hidden="1" customWidth="1"/>
    <col min="2" max="2" width="25.8515625" style="17" customWidth="1"/>
    <col min="3" max="3" width="60.28125" style="17" customWidth="1"/>
    <col min="4" max="16384" width="8.8515625" style="17" customWidth="1"/>
  </cols>
  <sheetData>
    <row r="1" ht="12.75">
      <c r="B1" s="20" t="s">
        <v>103</v>
      </c>
    </row>
    <row r="3" spans="2:3" ht="12.75">
      <c r="B3" s="17" t="s">
        <v>104</v>
      </c>
      <c r="C3" s="21">
        <v>724</v>
      </c>
    </row>
    <row r="4" spans="2:3" ht="12.75">
      <c r="B4" s="17" t="s">
        <v>0</v>
      </c>
      <c r="C4" s="17" t="s">
        <v>55</v>
      </c>
    </row>
    <row r="5" spans="2:3" ht="12.75">
      <c r="B5" s="17" t="s">
        <v>1</v>
      </c>
      <c r="C5" s="17" t="s">
        <v>45</v>
      </c>
    </row>
    <row r="6" ht="12.75">
      <c r="B6" s="17" t="s">
        <v>2</v>
      </c>
    </row>
    <row r="7" spans="2:3" ht="12.75">
      <c r="B7" s="17" t="s">
        <v>3</v>
      </c>
      <c r="C7" s="17" t="s">
        <v>54</v>
      </c>
    </row>
    <row r="8" spans="2:3" ht="12.75">
      <c r="B8" s="17" t="s">
        <v>4</v>
      </c>
      <c r="C8" s="17" t="s">
        <v>87</v>
      </c>
    </row>
    <row r="9" spans="2:3" ht="12.75">
      <c r="B9" s="17" t="s">
        <v>5</v>
      </c>
      <c r="C9" s="17" t="s">
        <v>77</v>
      </c>
    </row>
    <row r="10" spans="2:3" s="22" customFormat="1" ht="12.75">
      <c r="B10" s="22" t="s">
        <v>6</v>
      </c>
      <c r="C10" s="22" t="s">
        <v>88</v>
      </c>
    </row>
    <row r="11" spans="2:3" s="22" customFormat="1" ht="12.75">
      <c r="B11" s="22" t="s">
        <v>129</v>
      </c>
      <c r="C11" s="21">
        <v>0</v>
      </c>
    </row>
    <row r="12" spans="2:3" ht="12.75">
      <c r="B12" s="17" t="s">
        <v>133</v>
      </c>
      <c r="C12" s="17" t="s">
        <v>125</v>
      </c>
    </row>
    <row r="13" spans="2:3" ht="12.75">
      <c r="B13" s="17" t="s">
        <v>130</v>
      </c>
      <c r="C13" s="17" t="s">
        <v>134</v>
      </c>
    </row>
    <row r="14" spans="2:3" s="22" customFormat="1" ht="38.25">
      <c r="B14" s="22" t="s">
        <v>41</v>
      </c>
      <c r="C14" s="22" t="s">
        <v>135</v>
      </c>
    </row>
    <row r="15" spans="2:3" s="22" customFormat="1" ht="12.75">
      <c r="B15" s="22" t="s">
        <v>86</v>
      </c>
      <c r="C15" s="31">
        <v>68</v>
      </c>
    </row>
    <row r="16" spans="2:3" ht="12.75">
      <c r="B16" s="17" t="s">
        <v>57</v>
      </c>
      <c r="C16" s="17" t="s">
        <v>59</v>
      </c>
    </row>
    <row r="17" spans="2:3" ht="12.75">
      <c r="B17" s="17" t="s">
        <v>131</v>
      </c>
      <c r="C17" s="23" t="s">
        <v>119</v>
      </c>
    </row>
    <row r="18" spans="2:3" ht="12.75">
      <c r="B18" s="17" t="s">
        <v>132</v>
      </c>
      <c r="C18" s="23" t="s">
        <v>136</v>
      </c>
    </row>
    <row r="19" spans="2:3" ht="38.25">
      <c r="B19" s="22" t="s">
        <v>7</v>
      </c>
      <c r="C19" s="23" t="s">
        <v>137</v>
      </c>
    </row>
    <row r="20" spans="2:3" ht="12.75">
      <c r="B20" s="17" t="s">
        <v>62</v>
      </c>
      <c r="C20" s="17" t="s">
        <v>61</v>
      </c>
    </row>
    <row r="21" spans="2:3" ht="12.75">
      <c r="B21" s="17" t="s">
        <v>63</v>
      </c>
      <c r="C21" s="17" t="s">
        <v>60</v>
      </c>
    </row>
    <row r="22" spans="2:3" ht="12.75" customHeight="1">
      <c r="B22" s="17" t="s">
        <v>64</v>
      </c>
      <c r="C22" s="17" t="s">
        <v>65</v>
      </c>
    </row>
    <row r="24" ht="12.75">
      <c r="B24" s="17" t="s">
        <v>8</v>
      </c>
    </row>
    <row r="25" spans="2:3" ht="12.75">
      <c r="B25" s="17" t="s">
        <v>9</v>
      </c>
      <c r="C25" s="21"/>
    </row>
    <row r="26" spans="2:3" ht="12.75">
      <c r="B26" s="17" t="s">
        <v>10</v>
      </c>
      <c r="C26" s="21"/>
    </row>
    <row r="27" spans="2:3" ht="12.75">
      <c r="B27" s="17" t="s">
        <v>11</v>
      </c>
      <c r="C27" s="21"/>
    </row>
    <row r="28" spans="2:3" ht="12.75" customHeight="1">
      <c r="B28" s="17" t="s">
        <v>12</v>
      </c>
      <c r="C28" s="21"/>
    </row>
    <row r="30" spans="2:3" ht="12.75" customHeight="1">
      <c r="B30" s="17" t="s">
        <v>13</v>
      </c>
      <c r="C30" s="17" t="s">
        <v>121</v>
      </c>
    </row>
    <row r="31" s="23" customFormat="1" ht="25.5">
      <c r="B31" s="23" t="s">
        <v>120</v>
      </c>
    </row>
    <row r="32" spans="2:3" s="22" customFormat="1" ht="12.75">
      <c r="B32" s="17"/>
      <c r="C32" s="17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22"/>
  <sheetViews>
    <sheetView workbookViewId="0" topLeftCell="B1">
      <selection activeCell="B2" sqref="B2"/>
    </sheetView>
  </sheetViews>
  <sheetFormatPr defaultColWidth="9.140625" defaultRowHeight="12.75"/>
  <cols>
    <col min="1" max="1" width="9.140625" style="2" hidden="1" customWidth="1"/>
    <col min="2" max="2" width="21.421875" style="2" customWidth="1"/>
    <col min="3" max="3" width="54.28125" style="2" customWidth="1"/>
    <col min="4" max="16384" width="9.140625" style="2" customWidth="1"/>
  </cols>
  <sheetData>
    <row r="1" ht="12.75">
      <c r="B1" s="1" t="s">
        <v>126</v>
      </c>
    </row>
    <row r="3" ht="12.75">
      <c r="B3" s="36" t="s">
        <v>127</v>
      </c>
    </row>
    <row r="4" ht="12.75">
      <c r="B4" s="36"/>
    </row>
    <row r="5" spans="2:3" s="17" customFormat="1" ht="25.5">
      <c r="B5" s="22" t="s">
        <v>14</v>
      </c>
      <c r="C5" s="22" t="s">
        <v>58</v>
      </c>
    </row>
    <row r="6" spans="2:3" s="17" customFormat="1" ht="12.75">
      <c r="B6" s="17" t="s">
        <v>15</v>
      </c>
      <c r="C6" s="17" t="str">
        <f>source!C5</f>
        <v>Merichem Company</v>
      </c>
    </row>
    <row r="7" spans="2:3" s="17" customFormat="1" ht="12.75">
      <c r="B7" s="17" t="s">
        <v>148</v>
      </c>
      <c r="C7" s="17" t="s">
        <v>149</v>
      </c>
    </row>
    <row r="8" spans="2:3" s="17" customFormat="1" ht="12.75">
      <c r="B8" s="17" t="s">
        <v>79</v>
      </c>
      <c r="C8" s="17" t="s">
        <v>47</v>
      </c>
    </row>
    <row r="9" spans="2:3" s="17" customFormat="1" ht="12.75">
      <c r="B9" s="17" t="s">
        <v>78</v>
      </c>
      <c r="C9" s="25">
        <v>35207</v>
      </c>
    </row>
    <row r="10" spans="2:3" s="17" customFormat="1" ht="12.75">
      <c r="B10" s="17" t="s">
        <v>124</v>
      </c>
      <c r="C10" s="35">
        <v>35186</v>
      </c>
    </row>
    <row r="11" spans="2:3" s="17" customFormat="1" ht="12.75">
      <c r="B11" s="17" t="s">
        <v>16</v>
      </c>
      <c r="C11" s="17" t="s">
        <v>138</v>
      </c>
    </row>
    <row r="12" spans="2:3" s="17" customFormat="1" ht="12.75">
      <c r="B12" s="17" t="s">
        <v>17</v>
      </c>
      <c r="C12" s="17" t="s">
        <v>66</v>
      </c>
    </row>
    <row r="13" s="17" customFormat="1" ht="12.75"/>
    <row r="14" s="17" customFormat="1" ht="12.75">
      <c r="B14" s="36" t="s">
        <v>128</v>
      </c>
    </row>
    <row r="15" ht="12.75">
      <c r="B15" s="36"/>
    </row>
    <row r="16" spans="2:3" s="17" customFormat="1" ht="25.5">
      <c r="B16" s="22" t="s">
        <v>14</v>
      </c>
      <c r="C16" s="22" t="s">
        <v>58</v>
      </c>
    </row>
    <row r="17" spans="2:3" s="17" customFormat="1" ht="12.75">
      <c r="B17" s="17" t="s">
        <v>15</v>
      </c>
      <c r="C17" s="17" t="str">
        <f>source!C5</f>
        <v>Merichem Company</v>
      </c>
    </row>
    <row r="18" spans="2:3" s="17" customFormat="1" ht="12.75">
      <c r="B18" s="17" t="s">
        <v>46</v>
      </c>
      <c r="C18" s="17" t="s">
        <v>149</v>
      </c>
    </row>
    <row r="19" spans="2:3" s="17" customFormat="1" ht="12.75">
      <c r="B19" s="17" t="s">
        <v>78</v>
      </c>
      <c r="C19" s="17" t="s">
        <v>56</v>
      </c>
    </row>
    <row r="20" spans="2:3" s="17" customFormat="1" ht="12.75">
      <c r="B20" s="17" t="s">
        <v>124</v>
      </c>
      <c r="C20" s="35">
        <v>35247</v>
      </c>
    </row>
    <row r="21" spans="2:3" s="17" customFormat="1" ht="25.5">
      <c r="B21" s="17" t="s">
        <v>16</v>
      </c>
      <c r="C21" s="38" t="s">
        <v>139</v>
      </c>
    </row>
    <row r="22" spans="2:3" s="17" customFormat="1" ht="12.75">
      <c r="B22" s="17" t="s">
        <v>17</v>
      </c>
      <c r="C22" s="17" t="s">
        <v>67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zoomScale="75" zoomScaleNormal="75" workbookViewId="0" topLeftCell="B1">
      <selection activeCell="B2" sqref="B2"/>
    </sheetView>
  </sheetViews>
  <sheetFormatPr defaultColWidth="9.140625" defaultRowHeight="12.75"/>
  <cols>
    <col min="1" max="1" width="1.57421875" style="5" hidden="1" customWidth="1"/>
    <col min="2" max="2" width="18.140625" style="5" customWidth="1"/>
    <col min="3" max="3" width="10.57421875" style="5" customWidth="1"/>
    <col min="4" max="4" width="8.8515625" style="4" customWidth="1"/>
    <col min="5" max="5" width="6.140625" style="4" customWidth="1"/>
    <col min="6" max="6" width="3.00390625" style="4" customWidth="1"/>
    <col min="7" max="7" width="8.8515625" style="5" customWidth="1"/>
    <col min="8" max="8" width="3.00390625" style="5" customWidth="1"/>
    <col min="9" max="9" width="8.8515625" style="5" customWidth="1"/>
    <col min="10" max="10" width="3.140625" style="5" customWidth="1"/>
    <col min="11" max="11" width="8.8515625" style="5" customWidth="1"/>
    <col min="12" max="12" width="4.8515625" style="5" customWidth="1"/>
    <col min="13" max="13" width="8.8515625" style="5" customWidth="1"/>
    <col min="14" max="14" width="9.57421875" style="5" customWidth="1"/>
    <col min="15" max="15" width="8.8515625" style="5" customWidth="1"/>
    <col min="16" max="16" width="4.28125" style="5" customWidth="1"/>
    <col min="17" max="17" width="8.8515625" style="5" customWidth="1"/>
    <col min="18" max="18" width="3.140625" style="5" customWidth="1"/>
    <col min="19" max="16384" width="8.8515625" style="5" customWidth="1"/>
  </cols>
  <sheetData>
    <row r="1" spans="2:3" ht="12.75">
      <c r="B1" s="3" t="s">
        <v>42</v>
      </c>
      <c r="C1" s="3"/>
    </row>
    <row r="2" spans="2:13" ht="12.75">
      <c r="B2" s="6"/>
      <c r="C2" s="6"/>
      <c r="G2" s="6"/>
      <c r="H2" s="6"/>
      <c r="I2" s="6"/>
      <c r="J2" s="6"/>
      <c r="K2" s="6"/>
      <c r="L2" s="6"/>
      <c r="M2" s="6"/>
    </row>
    <row r="3" spans="2:5" ht="12.75">
      <c r="B3" s="17"/>
      <c r="C3" s="17" t="s">
        <v>107</v>
      </c>
      <c r="D3" s="4" t="s">
        <v>18</v>
      </c>
      <c r="E3" s="4" t="s">
        <v>83</v>
      </c>
    </row>
    <row r="4" spans="2:13" ht="12.75">
      <c r="B4" s="17"/>
      <c r="C4" s="17"/>
      <c r="G4" s="8"/>
      <c r="I4" s="8"/>
      <c r="K4" s="8"/>
      <c r="L4" s="8"/>
      <c r="M4" s="6"/>
    </row>
    <row r="5" spans="2:13" ht="12.75">
      <c r="B5" s="17"/>
      <c r="C5" s="17"/>
      <c r="G5" s="8"/>
      <c r="I5" s="8"/>
      <c r="K5" s="8"/>
      <c r="L5" s="8"/>
      <c r="M5" s="6"/>
    </row>
    <row r="6" spans="1:13" ht="12.75">
      <c r="A6" s="5">
        <v>10</v>
      </c>
      <c r="B6" s="7" t="s">
        <v>127</v>
      </c>
      <c r="C6" s="7"/>
      <c r="G6" s="6" t="s">
        <v>48</v>
      </c>
      <c r="H6" s="6"/>
      <c r="I6" s="6" t="s">
        <v>49</v>
      </c>
      <c r="J6" s="6"/>
      <c r="K6" s="6" t="s">
        <v>50</v>
      </c>
      <c r="L6" s="6"/>
      <c r="M6" s="6" t="s">
        <v>68</v>
      </c>
    </row>
    <row r="7" spans="2:13" ht="12.75">
      <c r="B7" s="4"/>
      <c r="C7" s="4"/>
      <c r="D7" s="17"/>
      <c r="E7" s="17"/>
      <c r="F7" s="17"/>
      <c r="G7" s="17"/>
      <c r="H7" s="17"/>
      <c r="I7" s="17"/>
      <c r="J7" s="17"/>
      <c r="K7" s="17"/>
      <c r="L7" s="17"/>
      <c r="M7" s="6"/>
    </row>
    <row r="8" spans="2:13" ht="12.75">
      <c r="B8" s="4" t="s">
        <v>19</v>
      </c>
      <c r="C8" s="4" t="s">
        <v>140</v>
      </c>
      <c r="D8" s="4" t="s">
        <v>20</v>
      </c>
      <c r="E8" s="4" t="s">
        <v>73</v>
      </c>
      <c r="G8" s="8">
        <v>0.0075</v>
      </c>
      <c r="H8" s="8"/>
      <c r="I8" s="8">
        <v>0.0019</v>
      </c>
      <c r="J8" s="8"/>
      <c r="K8" s="8">
        <v>0.0049</v>
      </c>
      <c r="L8" s="8"/>
      <c r="M8" s="9">
        <f>AVERAGE(G8,I8,K8)</f>
        <v>0.0047666666666666664</v>
      </c>
    </row>
    <row r="9" spans="2:13" ht="12.75">
      <c r="B9" s="4" t="s">
        <v>113</v>
      </c>
      <c r="C9" s="4" t="s">
        <v>140</v>
      </c>
      <c r="D9" s="4" t="s">
        <v>21</v>
      </c>
      <c r="E9" s="4" t="s">
        <v>73</v>
      </c>
      <c r="G9" s="8">
        <v>36.2</v>
      </c>
      <c r="H9" s="8"/>
      <c r="I9" s="8">
        <v>37.1</v>
      </c>
      <c r="J9" s="8"/>
      <c r="K9" s="8">
        <v>42.9</v>
      </c>
      <c r="L9" s="8"/>
      <c r="M9" s="10">
        <f>AVERAGE(G9,I9,K9)</f>
        <v>38.73333333333334</v>
      </c>
    </row>
    <row r="10" spans="5:10" ht="12.75">
      <c r="E10" s="17"/>
      <c r="F10" s="6"/>
      <c r="G10" s="8"/>
      <c r="H10" s="6"/>
      <c r="I10" s="6"/>
      <c r="J10" s="6"/>
    </row>
    <row r="11" spans="2:12" ht="12.75">
      <c r="B11" s="4" t="s">
        <v>114</v>
      </c>
      <c r="C11" s="4" t="s">
        <v>19</v>
      </c>
      <c r="D11" s="4" t="s">
        <v>140</v>
      </c>
      <c r="G11" s="8"/>
      <c r="H11" s="8"/>
      <c r="I11" s="8"/>
      <c r="J11" s="8"/>
      <c r="K11" s="8"/>
      <c r="L11" s="8"/>
    </row>
    <row r="12" spans="2:13" ht="12.75">
      <c r="B12" s="4" t="s">
        <v>106</v>
      </c>
      <c r="C12" s="4"/>
      <c r="D12" s="4" t="s">
        <v>26</v>
      </c>
      <c r="G12" s="8">
        <f>feed!F47</f>
        <v>13701</v>
      </c>
      <c r="H12" s="8"/>
      <c r="I12" s="8">
        <f>feed!H47</f>
        <v>14321</v>
      </c>
      <c r="J12" s="8"/>
      <c r="K12" s="8">
        <f>feed!J47</f>
        <v>13657</v>
      </c>
      <c r="L12" s="8"/>
      <c r="M12" s="13">
        <f>AVERAGE(K12,I12,G12)</f>
        <v>13893</v>
      </c>
    </row>
    <row r="13" spans="2:13" ht="12.75">
      <c r="B13" s="4" t="s">
        <v>110</v>
      </c>
      <c r="C13" s="4"/>
      <c r="D13" s="4" t="s">
        <v>27</v>
      </c>
      <c r="G13" s="8">
        <f>feed!F48</f>
        <v>5.5</v>
      </c>
      <c r="H13" s="8"/>
      <c r="I13" s="8">
        <f>feed!H48</f>
        <v>4.8</v>
      </c>
      <c r="J13" s="8"/>
      <c r="K13" s="8">
        <f>feed!J48</f>
        <v>4.6</v>
      </c>
      <c r="L13" s="8"/>
      <c r="M13" s="10">
        <f>AVERAGE(K13,I13,G13)</f>
        <v>4.966666666666666</v>
      </c>
    </row>
    <row r="14" spans="2:13" ht="12.75">
      <c r="B14" s="4" t="s">
        <v>111</v>
      </c>
      <c r="C14" s="4"/>
      <c r="D14" s="4" t="s">
        <v>27</v>
      </c>
      <c r="G14" s="8">
        <v>9.39</v>
      </c>
      <c r="H14" s="8"/>
      <c r="I14" s="8">
        <v>8.78</v>
      </c>
      <c r="J14" s="8"/>
      <c r="K14" s="8">
        <v>9.44</v>
      </c>
      <c r="L14" s="8"/>
      <c r="M14" s="10">
        <f>AVERAGE(K14,I14,G14)</f>
        <v>9.203333333333333</v>
      </c>
    </row>
    <row r="15" spans="2:13" ht="12.75">
      <c r="B15" s="4" t="s">
        <v>105</v>
      </c>
      <c r="C15" s="4"/>
      <c r="D15" s="4" t="s">
        <v>28</v>
      </c>
      <c r="G15" s="8">
        <v>151</v>
      </c>
      <c r="H15" s="8"/>
      <c r="I15" s="8">
        <v>166</v>
      </c>
      <c r="J15" s="8"/>
      <c r="K15" s="8">
        <v>184</v>
      </c>
      <c r="L15" s="8"/>
      <c r="M15" s="10">
        <f>AVERAGE(K15,I15,G15)</f>
        <v>167</v>
      </c>
    </row>
    <row r="16" spans="2:13" ht="12.75">
      <c r="B16" s="4"/>
      <c r="C16" s="4"/>
      <c r="G16" s="8"/>
      <c r="H16" s="8"/>
      <c r="I16" s="8"/>
      <c r="J16" s="8"/>
      <c r="K16" s="8"/>
      <c r="L16" s="8"/>
      <c r="M16" s="13"/>
    </row>
    <row r="17" spans="2:13" ht="12.75">
      <c r="B17" s="4"/>
      <c r="C17" s="4"/>
      <c r="G17" s="8"/>
      <c r="H17" s="8"/>
      <c r="I17" s="8"/>
      <c r="J17" s="8"/>
      <c r="K17" s="8"/>
      <c r="L17" s="8"/>
      <c r="M17" s="13"/>
    </row>
    <row r="18" spans="2:13" ht="12.75">
      <c r="B18" s="4"/>
      <c r="C18" s="4"/>
      <c r="G18" s="8"/>
      <c r="H18" s="8"/>
      <c r="I18" s="8"/>
      <c r="J18" s="8"/>
      <c r="K18" s="8"/>
      <c r="L18" s="8"/>
      <c r="M18" s="13"/>
    </row>
    <row r="19" spans="1:13" ht="12.75">
      <c r="A19" s="5">
        <v>11</v>
      </c>
      <c r="B19" s="7" t="s">
        <v>128</v>
      </c>
      <c r="C19" s="7"/>
      <c r="F19" s="5"/>
      <c r="G19" s="6" t="s">
        <v>48</v>
      </c>
      <c r="H19" s="6"/>
      <c r="I19" s="6" t="s">
        <v>49</v>
      </c>
      <c r="J19" s="6"/>
      <c r="K19" s="6" t="s">
        <v>50</v>
      </c>
      <c r="L19" s="6"/>
      <c r="M19" s="6" t="s">
        <v>68</v>
      </c>
    </row>
    <row r="20" spans="2:6" ht="12.75">
      <c r="B20" s="4"/>
      <c r="C20" s="4"/>
      <c r="D20" s="17"/>
      <c r="E20" s="17"/>
      <c r="F20" s="5"/>
    </row>
    <row r="21" spans="2:13" ht="12.75">
      <c r="B21" s="4" t="s">
        <v>19</v>
      </c>
      <c r="C21" s="4" t="s">
        <v>140</v>
      </c>
      <c r="D21" s="4" t="s">
        <v>20</v>
      </c>
      <c r="E21" s="4" t="s">
        <v>73</v>
      </c>
      <c r="F21" s="5"/>
      <c r="G21" s="5">
        <v>0.0051</v>
      </c>
      <c r="I21" s="5">
        <v>0.0015</v>
      </c>
      <c r="K21" s="5">
        <v>0.0031</v>
      </c>
      <c r="M21" s="19">
        <f>AVERAGE(G21:K21)</f>
        <v>0.0032333333333333333</v>
      </c>
    </row>
    <row r="22" spans="2:13" ht="12.75">
      <c r="B22" s="4" t="s">
        <v>113</v>
      </c>
      <c r="C22" s="4" t="s">
        <v>140</v>
      </c>
      <c r="D22" s="4" t="s">
        <v>21</v>
      </c>
      <c r="E22" s="4" t="s">
        <v>73</v>
      </c>
      <c r="F22" s="5"/>
      <c r="G22" s="5">
        <v>10.1</v>
      </c>
      <c r="I22" s="5">
        <v>10.2</v>
      </c>
      <c r="K22" s="5">
        <v>10.1</v>
      </c>
      <c r="M22" s="15">
        <f>AVERAGE(G22:K22)</f>
        <v>10.133333333333333</v>
      </c>
    </row>
    <row r="23" spans="2:13" ht="12.75">
      <c r="B23" s="4" t="s">
        <v>22</v>
      </c>
      <c r="C23" s="4"/>
      <c r="D23" s="4" t="s">
        <v>21</v>
      </c>
      <c r="E23" s="4" t="s">
        <v>74</v>
      </c>
      <c r="F23" s="5"/>
      <c r="G23" s="30">
        <f>20.2*24.055/36.465</f>
        <v>13.325407925407925</v>
      </c>
      <c r="H23" s="30"/>
      <c r="I23" s="30">
        <f>15.6*24.055/36.465</f>
        <v>10.29090909090909</v>
      </c>
      <c r="J23" s="30"/>
      <c r="K23" s="30">
        <f>4.7*24.055/36.465</f>
        <v>3.1004662004662005</v>
      </c>
      <c r="L23" s="30"/>
      <c r="M23" s="14">
        <f>AVERAGE(G23:K23)</f>
        <v>8.905594405594405</v>
      </c>
    </row>
    <row r="24" spans="2:13" ht="12.75">
      <c r="B24" s="4" t="s">
        <v>29</v>
      </c>
      <c r="C24" s="4"/>
      <c r="D24" s="4" t="s">
        <v>21</v>
      </c>
      <c r="E24" s="4" t="s">
        <v>74</v>
      </c>
      <c r="F24" s="5"/>
      <c r="G24" s="30">
        <f>0.1*24.055/70.914</f>
        <v>0.0339213695462109</v>
      </c>
      <c r="H24" s="30"/>
      <c r="I24" s="30">
        <f>0.1*24.055/70.914</f>
        <v>0.0339213695462109</v>
      </c>
      <c r="J24" s="30"/>
      <c r="K24" s="30">
        <f>0.1*24.055/70.914</f>
        <v>0.0339213695462109</v>
      </c>
      <c r="L24" s="30"/>
      <c r="M24" s="14">
        <f>AVERAGE(G24:K24)</f>
        <v>0.0339213695462109</v>
      </c>
    </row>
    <row r="25" spans="2:13" ht="12.75">
      <c r="B25" s="5" t="s">
        <v>90</v>
      </c>
      <c r="D25" s="4" t="s">
        <v>24</v>
      </c>
      <c r="E25" s="17"/>
      <c r="F25" s="8"/>
      <c r="G25" s="17">
        <f>0.12/453.593</f>
        <v>0.000264554347179079</v>
      </c>
      <c r="H25" s="6"/>
      <c r="I25" s="8">
        <f>0.09/453.593</f>
        <v>0.00019841576038430927</v>
      </c>
      <c r="J25" s="6"/>
      <c r="K25" s="5">
        <f>0.09/453.593</f>
        <v>0.00019841576038430927</v>
      </c>
      <c r="M25" s="19"/>
    </row>
    <row r="26" spans="2:11" ht="12.75">
      <c r="B26" s="5" t="s">
        <v>95</v>
      </c>
      <c r="D26" s="4" t="s">
        <v>24</v>
      </c>
      <c r="E26" s="17"/>
      <c r="F26" s="8"/>
      <c r="G26" s="17">
        <f>1.01/453.593</f>
        <v>0.0022266657554239153</v>
      </c>
      <c r="H26" s="6"/>
      <c r="I26" s="8">
        <f>0.75/453.593</f>
        <v>0.001653464669869244</v>
      </c>
      <c r="J26" s="6"/>
      <c r="K26" s="5">
        <f>0.65/453.593</f>
        <v>0.0014330027138866781</v>
      </c>
    </row>
    <row r="27" spans="2:11" ht="12.75">
      <c r="B27" s="5" t="s">
        <v>142</v>
      </c>
      <c r="D27" s="4" t="s">
        <v>24</v>
      </c>
      <c r="E27" s="17"/>
      <c r="F27" s="6" t="s">
        <v>25</v>
      </c>
      <c r="G27" s="17">
        <f>0.0000189</f>
        <v>1.89E-05</v>
      </c>
      <c r="H27" s="6" t="s">
        <v>25</v>
      </c>
      <c r="I27" s="8">
        <f>0.0000224</f>
        <v>2.24E-05</v>
      </c>
      <c r="J27" s="6" t="s">
        <v>25</v>
      </c>
      <c r="K27" s="5">
        <f>0.0000211</f>
        <v>2.11E-05</v>
      </c>
    </row>
    <row r="28" spans="2:11" ht="12.75">
      <c r="B28" s="5" t="s">
        <v>96</v>
      </c>
      <c r="D28" s="4" t="s">
        <v>24</v>
      </c>
      <c r="E28" s="17"/>
      <c r="F28" s="8"/>
      <c r="G28" s="17">
        <f>0.95/453.593</f>
        <v>0.0020943885818343754</v>
      </c>
      <c r="H28" s="6"/>
      <c r="I28" s="8">
        <f>0.57/453.593</f>
        <v>0.0012566331491006253</v>
      </c>
      <c r="J28" s="6"/>
      <c r="K28" s="5">
        <f>0.55/453.593</f>
        <v>0.0012125407579041123</v>
      </c>
    </row>
    <row r="30" spans="2:13" ht="12.75">
      <c r="B30" s="4" t="s">
        <v>114</v>
      </c>
      <c r="C30" s="4" t="s">
        <v>108</v>
      </c>
      <c r="D30" s="4" t="s">
        <v>140</v>
      </c>
      <c r="G30" s="8"/>
      <c r="H30" s="8"/>
      <c r="I30" s="8"/>
      <c r="J30" s="8"/>
      <c r="K30" s="8"/>
      <c r="L30" s="8"/>
      <c r="M30" s="13"/>
    </row>
    <row r="31" spans="2:13" ht="12.75">
      <c r="B31" s="4" t="s">
        <v>106</v>
      </c>
      <c r="C31" s="4"/>
      <c r="D31" s="4" t="s">
        <v>26</v>
      </c>
      <c r="G31" s="8">
        <v>13701</v>
      </c>
      <c r="H31" s="8"/>
      <c r="I31" s="13">
        <v>14321</v>
      </c>
      <c r="J31" s="13"/>
      <c r="K31" s="8">
        <v>13657</v>
      </c>
      <c r="L31" s="8"/>
      <c r="M31" s="13">
        <f>AVERAGE(K31,I31,G31)</f>
        <v>13893</v>
      </c>
    </row>
    <row r="32" spans="2:13" ht="12.75">
      <c r="B32" s="4" t="s">
        <v>110</v>
      </c>
      <c r="C32" s="4"/>
      <c r="D32" s="4" t="s">
        <v>27</v>
      </c>
      <c r="G32" s="10">
        <v>5.5</v>
      </c>
      <c r="H32" s="10"/>
      <c r="I32" s="10">
        <v>4.8</v>
      </c>
      <c r="J32" s="10"/>
      <c r="K32" s="10">
        <v>4.6</v>
      </c>
      <c r="L32" s="10"/>
      <c r="M32" s="10">
        <f>AVERAGE(K32,I32,G32)</f>
        <v>4.966666666666666</v>
      </c>
    </row>
    <row r="33" spans="2:13" ht="12.75">
      <c r="B33" s="4" t="s">
        <v>111</v>
      </c>
      <c r="C33" s="4"/>
      <c r="D33" s="4" t="s">
        <v>27</v>
      </c>
      <c r="G33" s="8">
        <v>20.7</v>
      </c>
      <c r="H33" s="8"/>
      <c r="I33" s="8">
        <v>20.5</v>
      </c>
      <c r="J33" s="8"/>
      <c r="K33" s="8">
        <v>19.7</v>
      </c>
      <c r="L33" s="8"/>
      <c r="M33" s="10">
        <f>AVERAGE(K33,I33,G33)</f>
        <v>20.3</v>
      </c>
    </row>
    <row r="34" spans="2:13" ht="12.75">
      <c r="B34" s="4" t="s">
        <v>105</v>
      </c>
      <c r="C34" s="4"/>
      <c r="D34" s="4" t="s">
        <v>28</v>
      </c>
      <c r="G34" s="8">
        <v>168</v>
      </c>
      <c r="H34" s="8"/>
      <c r="I34" s="8">
        <v>169</v>
      </c>
      <c r="J34" s="8"/>
      <c r="K34" s="8">
        <v>168</v>
      </c>
      <c r="L34" s="8"/>
      <c r="M34" s="10">
        <f>AVERAGE(K34,I34,G34)</f>
        <v>168.33333333333334</v>
      </c>
    </row>
    <row r="35" spans="2:13" ht="12.75">
      <c r="B35" s="4"/>
      <c r="C35" s="4"/>
      <c r="G35" s="8"/>
      <c r="H35" s="8"/>
      <c r="I35" s="8"/>
      <c r="J35" s="8"/>
      <c r="K35" s="8"/>
      <c r="L35" s="8"/>
      <c r="M35" s="10"/>
    </row>
    <row r="36" spans="2:13" ht="12.75">
      <c r="B36" s="4" t="s">
        <v>114</v>
      </c>
      <c r="C36" s="4" t="s">
        <v>109</v>
      </c>
      <c r="D36" s="4" t="s">
        <v>141</v>
      </c>
      <c r="G36" s="8"/>
      <c r="H36" s="8"/>
      <c r="I36" s="8"/>
      <c r="J36" s="8"/>
      <c r="K36" s="8"/>
      <c r="L36" s="8"/>
      <c r="M36" s="13"/>
    </row>
    <row r="37" spans="2:13" ht="12.75">
      <c r="B37" s="4" t="s">
        <v>106</v>
      </c>
      <c r="C37" s="4"/>
      <c r="D37" s="4" t="s">
        <v>26</v>
      </c>
      <c r="G37" s="8">
        <v>13596</v>
      </c>
      <c r="H37" s="8"/>
      <c r="I37" s="13">
        <v>13912</v>
      </c>
      <c r="J37" s="13"/>
      <c r="K37" s="8">
        <v>13681</v>
      </c>
      <c r="L37" s="8"/>
      <c r="M37" s="13">
        <f>AVERAGE(K37,I37,G37)</f>
        <v>13729.666666666666</v>
      </c>
    </row>
    <row r="38" spans="2:13" ht="12.75">
      <c r="B38" s="4" t="s">
        <v>110</v>
      </c>
      <c r="C38" s="4"/>
      <c r="D38" s="4" t="s">
        <v>27</v>
      </c>
      <c r="G38" s="10">
        <v>5.5</v>
      </c>
      <c r="H38" s="10"/>
      <c r="I38" s="10">
        <v>4.8</v>
      </c>
      <c r="J38" s="10"/>
      <c r="K38" s="10">
        <v>4.6</v>
      </c>
      <c r="L38" s="10"/>
      <c r="M38" s="10">
        <f>AVERAGE(K38,I38,G38)</f>
        <v>4.966666666666666</v>
      </c>
    </row>
    <row r="39" spans="2:13" ht="12.75">
      <c r="B39" s="4" t="s">
        <v>111</v>
      </c>
      <c r="C39" s="4"/>
      <c r="D39" s="4" t="s">
        <v>27</v>
      </c>
      <c r="G39" s="8">
        <v>20.1</v>
      </c>
      <c r="H39" s="8"/>
      <c r="I39" s="8">
        <v>19.94</v>
      </c>
      <c r="J39" s="8"/>
      <c r="K39" s="8">
        <v>18.23</v>
      </c>
      <c r="L39" s="8"/>
      <c r="M39" s="10">
        <f>AVERAGE(K39,I39,G39)</f>
        <v>19.423333333333336</v>
      </c>
    </row>
    <row r="40" spans="2:13" ht="12.75">
      <c r="B40" s="4" t="s">
        <v>105</v>
      </c>
      <c r="C40" s="4"/>
      <c r="D40" s="4" t="s">
        <v>28</v>
      </c>
      <c r="G40" s="8">
        <v>171</v>
      </c>
      <c r="H40" s="8"/>
      <c r="I40" s="8">
        <v>170</v>
      </c>
      <c r="J40" s="8"/>
      <c r="K40" s="8">
        <v>170</v>
      </c>
      <c r="L40" s="8"/>
      <c r="M40" s="10">
        <f>AVERAGE(K40,I40,G40)</f>
        <v>170.33333333333334</v>
      </c>
    </row>
    <row r="42" spans="2:13" ht="12.75">
      <c r="B42" s="4" t="s">
        <v>22</v>
      </c>
      <c r="C42" s="4" t="s">
        <v>140</v>
      </c>
      <c r="D42" s="4" t="s">
        <v>21</v>
      </c>
      <c r="E42" s="4" t="s">
        <v>73</v>
      </c>
      <c r="G42" s="15">
        <f>G23*(21-7)/(21-G32)</f>
        <v>12.035852319723286</v>
      </c>
      <c r="H42" s="15"/>
      <c r="I42" s="15">
        <f>I23*(21-7)/(21-I32)</f>
        <v>8.89337822671156</v>
      </c>
      <c r="J42" s="15"/>
      <c r="K42" s="15">
        <f>K23*(21-7)/(21-K32)</f>
        <v>2.6467394394223662</v>
      </c>
      <c r="L42" s="15"/>
      <c r="M42" s="15">
        <f>AVERAGE(K42,I42,G42)</f>
        <v>7.858656661952405</v>
      </c>
    </row>
    <row r="43" spans="2:13" ht="12.75">
      <c r="B43" s="4" t="s">
        <v>29</v>
      </c>
      <c r="C43" s="4" t="s">
        <v>140</v>
      </c>
      <c r="D43" s="4" t="s">
        <v>21</v>
      </c>
      <c r="E43" s="4" t="s">
        <v>73</v>
      </c>
      <c r="G43" s="14">
        <f>G24*(21-7)/(21-G32)</f>
        <v>0.030638656364319526</v>
      </c>
      <c r="H43" s="14"/>
      <c r="I43" s="14">
        <f>I24*(21-7)/(21-I32)</f>
        <v>0.02931476380536745</v>
      </c>
      <c r="J43" s="14"/>
      <c r="K43" s="14">
        <f>K24*(21-7)/(21-K32)</f>
        <v>0.0289572666857898</v>
      </c>
      <c r="L43" s="14"/>
      <c r="M43" s="14">
        <f>AVERAGE(K43,I43,G43)</f>
        <v>0.029636895618492257</v>
      </c>
    </row>
    <row r="44" spans="2:13" ht="12.75">
      <c r="B44" s="4" t="s">
        <v>112</v>
      </c>
      <c r="C44" s="4" t="s">
        <v>141</v>
      </c>
      <c r="D44" s="4" t="s">
        <v>21</v>
      </c>
      <c r="E44" s="4" t="s">
        <v>73</v>
      </c>
      <c r="G44" s="15">
        <f>G42+2*G43</f>
        <v>12.097129632451926</v>
      </c>
      <c r="H44" s="15"/>
      <c r="I44" s="15">
        <f>I42+2*I43</f>
        <v>8.952007754322295</v>
      </c>
      <c r="J44" s="15"/>
      <c r="K44" s="15">
        <f>K42+2*K43</f>
        <v>2.704653972793946</v>
      </c>
      <c r="L44" s="15"/>
      <c r="M44" s="15">
        <f>AVERAGE(K44,I44,G44)</f>
        <v>7.917930453189389</v>
      </c>
    </row>
    <row r="45" spans="2:13" ht="12.75">
      <c r="B45" s="5" t="s">
        <v>90</v>
      </c>
      <c r="C45" s="4" t="s">
        <v>141</v>
      </c>
      <c r="D45" s="4" t="s">
        <v>30</v>
      </c>
      <c r="E45" s="4" t="s">
        <v>73</v>
      </c>
      <c r="F45" s="6"/>
      <c r="G45" s="15">
        <f>G25*454/G$37/60/0.0283*1000000*(21-7)/(21-G$38)</f>
        <v>4.6991385589843455</v>
      </c>
      <c r="H45" s="6"/>
      <c r="I45" s="15">
        <f>I25*454/I$37/60/0.0283*1000000*(21-7)/(21-I$38)</f>
        <v>3.29547320473147</v>
      </c>
      <c r="J45" s="6"/>
      <c r="K45" s="15">
        <f>K25*454/K$37/60/0.0283*1000000*(21-7)/(21-K$38)</f>
        <v>3.310249109199122</v>
      </c>
      <c r="L45" s="15"/>
      <c r="M45" s="15">
        <f>AVERAGE(G45,I45,K45)</f>
        <v>3.768286957638312</v>
      </c>
    </row>
    <row r="46" spans="2:13" ht="12.75">
      <c r="B46" s="5" t="s">
        <v>95</v>
      </c>
      <c r="C46" s="4" t="s">
        <v>141</v>
      </c>
      <c r="D46" s="4" t="s">
        <v>30</v>
      </c>
      <c r="E46" s="4" t="s">
        <v>73</v>
      </c>
      <c r="F46" s="6"/>
      <c r="G46" s="15">
        <f>G26*454/G$37/60/0.0283*1000000*(21-7)/(21-G$38)</f>
        <v>39.55108287145158</v>
      </c>
      <c r="H46" s="6"/>
      <c r="I46" s="15">
        <f>I26*454/I$37/60/0.0283*1000000*(21-7)/(21-I$38)</f>
        <v>27.462276706095583</v>
      </c>
      <c r="J46" s="6"/>
      <c r="K46" s="15">
        <f>K26*454/K$37/60/0.0283*1000000*(21-7)/(21-K$38)</f>
        <v>23.90735467754921</v>
      </c>
      <c r="L46" s="15"/>
      <c r="M46" s="15">
        <f>AVERAGE(G46,I46,K46)</f>
        <v>30.30690475169879</v>
      </c>
    </row>
    <row r="47" spans="2:13" ht="12.75">
      <c r="B47" s="5" t="s">
        <v>142</v>
      </c>
      <c r="C47" s="4" t="s">
        <v>141</v>
      </c>
      <c r="D47" s="4" t="s">
        <v>30</v>
      </c>
      <c r="E47" s="4" t="s">
        <v>73</v>
      </c>
      <c r="F47" s="6"/>
      <c r="G47" s="15">
        <f>G27*454/G$37/60/0.0283*1000000*(21-7)/(21-G$38)</f>
        <v>0.33571067613069827</v>
      </c>
      <c r="H47" s="6"/>
      <c r="I47" s="15">
        <f>I27*454/I$37/60/0.0283*1000000*(21-7)/(21-I$38)</f>
        <v>0.372040001474714</v>
      </c>
      <c r="J47" s="6"/>
      <c r="K47" s="15">
        <f>K27*454/K$37/60/0.0283*1000000*(21-7)/(21-K$38)</f>
        <v>0.35201969878207773</v>
      </c>
      <c r="L47" s="15"/>
      <c r="M47" s="15">
        <f>AVERAGE(G47,I47,K47)</f>
        <v>0.35325679212916333</v>
      </c>
    </row>
    <row r="48" spans="2:13" ht="12.75">
      <c r="B48" s="5" t="s">
        <v>96</v>
      </c>
      <c r="C48" s="4" t="s">
        <v>141</v>
      </c>
      <c r="D48" s="4" t="s">
        <v>30</v>
      </c>
      <c r="E48" s="4" t="s">
        <v>73</v>
      </c>
      <c r="F48" s="6"/>
      <c r="G48" s="15">
        <f>G28*454/G$37/60/0.0283*1000000*(21-7)/(21-G$38)</f>
        <v>37.20151359195939</v>
      </c>
      <c r="H48" s="6"/>
      <c r="I48" s="15">
        <f>I28*454/I$37/60/0.0283*1000000*(21-7)/(21-I$38)</f>
        <v>20.871330296632642</v>
      </c>
      <c r="J48" s="6"/>
      <c r="K48" s="15">
        <f>K28*454/K$37/60/0.0283*1000000*(21-7)/(21-K$38)</f>
        <v>20.22930011177241</v>
      </c>
      <c r="L48" s="15"/>
      <c r="M48" s="15">
        <f>AVERAGE(G48,I48,K48)</f>
        <v>26.10071466678815</v>
      </c>
    </row>
    <row r="49" spans="3:12" ht="12.75">
      <c r="C49" s="4"/>
      <c r="F49" s="6"/>
      <c r="G49" s="15"/>
      <c r="H49" s="6"/>
      <c r="I49" s="15"/>
      <c r="J49" s="6"/>
      <c r="K49" s="15"/>
      <c r="L49" s="15"/>
    </row>
    <row r="50" spans="2:14" ht="12.75" customHeight="1">
      <c r="B50" s="5" t="s">
        <v>31</v>
      </c>
      <c r="C50" s="4" t="s">
        <v>141</v>
      </c>
      <c r="D50" s="4" t="s">
        <v>30</v>
      </c>
      <c r="E50" s="4" t="s">
        <v>73</v>
      </c>
      <c r="G50" s="15">
        <f>G48</f>
        <v>37.20151359195939</v>
      </c>
      <c r="I50" s="15">
        <f>I48</f>
        <v>20.871330296632642</v>
      </c>
      <c r="K50" s="15">
        <f>K48</f>
        <v>20.22930011177241</v>
      </c>
      <c r="L50" s="15"/>
      <c r="M50" s="15">
        <f>AVERAGE(K50,I50,G50)</f>
        <v>26.10071466678815</v>
      </c>
      <c r="N50" s="5" t="s">
        <v>158</v>
      </c>
    </row>
    <row r="51" spans="2:14" ht="12.75">
      <c r="B51" s="5" t="s">
        <v>32</v>
      </c>
      <c r="C51" s="4" t="s">
        <v>141</v>
      </c>
      <c r="D51" s="4" t="s">
        <v>30</v>
      </c>
      <c r="E51" s="4" t="s">
        <v>73</v>
      </c>
      <c r="G51" s="15">
        <f>G45+G46</f>
        <v>44.25022143043592</v>
      </c>
      <c r="I51" s="15">
        <f>I45+I46</f>
        <v>30.75774991082705</v>
      </c>
      <c r="K51" s="15">
        <f>K45+K46</f>
        <v>27.217603786748334</v>
      </c>
      <c r="L51" s="15"/>
      <c r="M51" s="15">
        <f>AVERAGE(K51,I51,G51)</f>
        <v>34.075191709337105</v>
      </c>
      <c r="N51" s="5" t="s">
        <v>159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83"/>
  <sheetViews>
    <sheetView zoomScale="75" zoomScaleNormal="75" workbookViewId="0" topLeftCell="B1">
      <selection activeCell="D7" sqref="D7"/>
    </sheetView>
  </sheetViews>
  <sheetFormatPr defaultColWidth="9.140625" defaultRowHeight="12.75"/>
  <cols>
    <col min="1" max="1" width="9.140625" style="5" hidden="1" customWidth="1"/>
    <col min="2" max="2" width="20.140625" style="4" customWidth="1"/>
    <col min="3" max="3" width="3.28125" style="4" customWidth="1"/>
    <col min="4" max="4" width="9.421875" style="4" customWidth="1"/>
    <col min="5" max="5" width="4.140625" style="6" customWidth="1"/>
    <col min="6" max="6" width="8.421875" style="8" customWidth="1"/>
    <col min="7" max="7" width="3.7109375" style="6" customWidth="1"/>
    <col min="8" max="8" width="10.00390625" style="5" customWidth="1"/>
    <col min="9" max="9" width="4.28125" style="6" customWidth="1"/>
    <col min="10" max="10" width="10.00390625" style="5" customWidth="1"/>
    <col min="11" max="11" width="3.7109375" style="6" customWidth="1"/>
    <col min="12" max="12" width="10.421875" style="5" bestFit="1" customWidth="1"/>
    <col min="13" max="13" width="2.7109375" style="5" customWidth="1"/>
    <col min="14" max="14" width="8.57421875" style="5" bestFit="1" customWidth="1"/>
    <col min="15" max="15" width="2.7109375" style="5" customWidth="1"/>
    <col min="16" max="16" width="8.57421875" style="5" bestFit="1" customWidth="1"/>
    <col min="17" max="17" width="2.7109375" style="5" customWidth="1"/>
    <col min="18" max="18" width="8.57421875" style="5" bestFit="1" customWidth="1"/>
    <col min="19" max="19" width="2.7109375" style="5" customWidth="1"/>
    <col min="20" max="20" width="9.28125" style="5" bestFit="1" customWidth="1"/>
    <col min="21" max="21" width="3.8515625" style="5" customWidth="1"/>
    <col min="22" max="22" width="8.57421875" style="5" bestFit="1" customWidth="1"/>
    <col min="23" max="23" width="4.28125" style="5" customWidth="1"/>
    <col min="24" max="24" width="8.57421875" style="5" bestFit="1" customWidth="1"/>
    <col min="25" max="25" width="3.7109375" style="5" customWidth="1"/>
    <col min="26" max="26" width="8.57421875" style="5" bestFit="1" customWidth="1"/>
    <col min="27" max="27" width="3.7109375" style="5" customWidth="1"/>
    <col min="28" max="28" width="9.28125" style="5" bestFit="1" customWidth="1"/>
    <col min="29" max="16384" width="8.8515625" style="5" customWidth="1"/>
  </cols>
  <sheetData>
    <row r="1" spans="2:3" ht="12.75">
      <c r="B1" s="7" t="s">
        <v>72</v>
      </c>
      <c r="C1" s="7"/>
    </row>
    <row r="2" spans="2:19" ht="12.75">
      <c r="B2" s="5"/>
      <c r="C2" s="5"/>
      <c r="M2" s="4"/>
      <c r="N2" s="4"/>
      <c r="O2" s="4"/>
      <c r="P2" s="4"/>
      <c r="Q2" s="4"/>
      <c r="R2" s="4"/>
      <c r="S2" s="4"/>
    </row>
    <row r="3" spans="2:19" ht="12.75">
      <c r="B3" s="5"/>
      <c r="C3" s="5"/>
      <c r="M3" s="4"/>
      <c r="N3" s="4"/>
      <c r="O3" s="4"/>
      <c r="P3" s="4"/>
      <c r="Q3" s="4"/>
      <c r="R3" s="4"/>
      <c r="S3" s="4"/>
    </row>
    <row r="4" spans="1:20" ht="12.75">
      <c r="A4" s="5" t="s">
        <v>116</v>
      </c>
      <c r="B4" s="7" t="s">
        <v>127</v>
      </c>
      <c r="C4" s="7"/>
      <c r="F4" s="6" t="s">
        <v>48</v>
      </c>
      <c r="H4" s="6" t="s">
        <v>49</v>
      </c>
      <c r="J4" s="6" t="s">
        <v>50</v>
      </c>
      <c r="L4" s="4" t="s">
        <v>68</v>
      </c>
      <c r="M4" s="4"/>
      <c r="N4" s="6" t="s">
        <v>48</v>
      </c>
      <c r="O4" s="6"/>
      <c r="P4" s="6" t="s">
        <v>49</v>
      </c>
      <c r="Q4" s="6"/>
      <c r="R4" s="6" t="s">
        <v>50</v>
      </c>
      <c r="S4" s="6"/>
      <c r="T4" s="4" t="s">
        <v>68</v>
      </c>
    </row>
    <row r="6" spans="2:20" ht="12.75">
      <c r="B6" s="4" t="s">
        <v>150</v>
      </c>
      <c r="F6" s="8" t="s">
        <v>153</v>
      </c>
      <c r="H6" s="8" t="s">
        <v>153</v>
      </c>
      <c r="J6" s="8" t="s">
        <v>153</v>
      </c>
      <c r="L6" s="8" t="s">
        <v>153</v>
      </c>
      <c r="N6" s="5" t="s">
        <v>154</v>
      </c>
      <c r="P6" s="5" t="s">
        <v>154</v>
      </c>
      <c r="R6" s="5" t="s">
        <v>154</v>
      </c>
      <c r="T6" s="5" t="s">
        <v>154</v>
      </c>
    </row>
    <row r="7" spans="2:20" ht="12.75">
      <c r="B7" s="4" t="s">
        <v>151</v>
      </c>
      <c r="F7" s="8" t="s">
        <v>152</v>
      </c>
      <c r="H7" s="8" t="s">
        <v>152</v>
      </c>
      <c r="J7" s="8" t="s">
        <v>152</v>
      </c>
      <c r="L7" s="8" t="s">
        <v>152</v>
      </c>
      <c r="N7" s="5" t="s">
        <v>123</v>
      </c>
      <c r="P7" s="5" t="s">
        <v>123</v>
      </c>
      <c r="R7" s="5" t="s">
        <v>123</v>
      </c>
      <c r="T7" s="5" t="s">
        <v>123</v>
      </c>
    </row>
    <row r="8" spans="2:20" ht="12.75">
      <c r="B8" s="4" t="s">
        <v>156</v>
      </c>
      <c r="F8" s="8" t="s">
        <v>43</v>
      </c>
      <c r="H8" s="8" t="s">
        <v>43</v>
      </c>
      <c r="J8" s="8" t="s">
        <v>43</v>
      </c>
      <c r="L8" s="8" t="s">
        <v>43</v>
      </c>
      <c r="N8" s="5" t="s">
        <v>123</v>
      </c>
      <c r="P8" s="5" t="s">
        <v>123</v>
      </c>
      <c r="R8" s="5" t="s">
        <v>123</v>
      </c>
      <c r="T8" s="5" t="s">
        <v>123</v>
      </c>
    </row>
    <row r="9" spans="2:20" ht="12.75">
      <c r="B9" s="4" t="s">
        <v>33</v>
      </c>
      <c r="F9" s="8" t="s">
        <v>100</v>
      </c>
      <c r="G9" s="8"/>
      <c r="H9" s="8" t="s">
        <v>100</v>
      </c>
      <c r="I9" s="8"/>
      <c r="J9" s="8" t="s">
        <v>100</v>
      </c>
      <c r="L9" s="8" t="s">
        <v>100</v>
      </c>
      <c r="M9" s="8"/>
      <c r="N9" s="8" t="s">
        <v>123</v>
      </c>
      <c r="O9" s="8"/>
      <c r="P9" s="8" t="s">
        <v>123</v>
      </c>
      <c r="Q9" s="8"/>
      <c r="R9" s="8" t="s">
        <v>123</v>
      </c>
      <c r="S9" s="8"/>
      <c r="T9" s="8" t="s">
        <v>123</v>
      </c>
    </row>
    <row r="10" spans="2:19" ht="12.75">
      <c r="B10" s="4" t="s">
        <v>118</v>
      </c>
      <c r="D10" s="4" t="s">
        <v>24</v>
      </c>
      <c r="F10" s="13">
        <f>511000/453.593</f>
        <v>1126.5605950709116</v>
      </c>
      <c r="G10" s="32"/>
      <c r="H10" s="13">
        <f>511000/453.593</f>
        <v>1126.5605950709116</v>
      </c>
      <c r="I10" s="32"/>
      <c r="J10" s="16">
        <f>512000/453.593</f>
        <v>1128.765214630737</v>
      </c>
      <c r="L10" s="16">
        <f>AVERAGE(F10:J10)</f>
        <v>1127.29546825752</v>
      </c>
      <c r="M10" s="16"/>
      <c r="N10" s="16"/>
      <c r="O10" s="16"/>
      <c r="P10" s="16"/>
      <c r="Q10" s="16"/>
      <c r="R10" s="16"/>
      <c r="S10" s="16"/>
    </row>
    <row r="11" spans="2:19" ht="12.75">
      <c r="B11" s="4" t="s">
        <v>75</v>
      </c>
      <c r="D11" s="4" t="s">
        <v>34</v>
      </c>
      <c r="F11" s="13">
        <v>14975</v>
      </c>
      <c r="G11" s="32"/>
      <c r="H11" s="13">
        <v>14789</v>
      </c>
      <c r="I11" s="32"/>
      <c r="J11" s="16">
        <v>14818</v>
      </c>
      <c r="L11" s="16">
        <v>14861</v>
      </c>
      <c r="M11" s="16"/>
      <c r="N11" s="16"/>
      <c r="O11" s="16"/>
      <c r="P11" s="16"/>
      <c r="Q11" s="16"/>
      <c r="R11" s="16"/>
      <c r="S11" s="16"/>
    </row>
    <row r="12" spans="2:19" ht="12.75">
      <c r="B12" s="4" t="s">
        <v>35</v>
      </c>
      <c r="D12" s="4" t="s">
        <v>80</v>
      </c>
      <c r="F12" s="13">
        <v>220</v>
      </c>
      <c r="G12" s="32"/>
      <c r="H12" s="13">
        <v>250</v>
      </c>
      <c r="I12" s="32"/>
      <c r="J12" s="16">
        <v>67</v>
      </c>
      <c r="L12" s="16">
        <v>180</v>
      </c>
      <c r="M12" s="16"/>
      <c r="N12" s="16"/>
      <c r="O12" s="16"/>
      <c r="P12" s="16"/>
      <c r="Q12" s="16"/>
      <c r="R12" s="16"/>
      <c r="S12" s="16"/>
    </row>
    <row r="13" spans="6:24" ht="12.75">
      <c r="F13" s="13"/>
      <c r="G13" s="32"/>
      <c r="H13" s="13"/>
      <c r="I13" s="32"/>
      <c r="J13" s="16"/>
      <c r="L13" s="16"/>
      <c r="M13" s="16"/>
      <c r="N13" s="16"/>
      <c r="O13" s="16"/>
      <c r="P13" s="16"/>
      <c r="Q13" s="16"/>
      <c r="R13" s="16"/>
      <c r="S13" s="16"/>
      <c r="X13" s="15"/>
    </row>
    <row r="14" spans="2:24" ht="12.75">
      <c r="B14" s="4" t="s">
        <v>81</v>
      </c>
      <c r="D14" s="4" t="s">
        <v>26</v>
      </c>
      <c r="F14" s="13">
        <f>emiss!G12</f>
        <v>13701</v>
      </c>
      <c r="G14" s="32"/>
      <c r="H14" s="13">
        <f>emiss!I12</f>
        <v>14321</v>
      </c>
      <c r="I14" s="32"/>
      <c r="J14" s="13">
        <f>emiss!K12</f>
        <v>13657</v>
      </c>
      <c r="L14" s="13">
        <f>emiss!M12</f>
        <v>13893</v>
      </c>
      <c r="M14" s="15"/>
      <c r="N14" s="15"/>
      <c r="O14" s="15"/>
      <c r="P14" s="15"/>
      <c r="Q14" s="15"/>
      <c r="R14" s="15"/>
      <c r="S14" s="15"/>
      <c r="X14" s="15"/>
    </row>
    <row r="15" spans="2:24" ht="12.75">
      <c r="B15" s="4" t="s">
        <v>37</v>
      </c>
      <c r="D15" s="4" t="s">
        <v>27</v>
      </c>
      <c r="F15" s="13">
        <f>emiss!G13</f>
        <v>5.5</v>
      </c>
      <c r="G15" s="32"/>
      <c r="H15" s="13">
        <f>emiss!I13</f>
        <v>4.8</v>
      </c>
      <c r="I15" s="32"/>
      <c r="J15" s="13">
        <f>emiss!K13</f>
        <v>4.6</v>
      </c>
      <c r="L15" s="13">
        <f>emiss!M13</f>
        <v>4.966666666666666</v>
      </c>
      <c r="M15" s="15"/>
      <c r="N15" s="15"/>
      <c r="O15" s="15"/>
      <c r="P15" s="15"/>
      <c r="Q15" s="15"/>
      <c r="R15" s="15"/>
      <c r="S15" s="15"/>
      <c r="X15" s="15"/>
    </row>
    <row r="16" spans="6:24" ht="12.75">
      <c r="F16" s="13"/>
      <c r="G16" s="32"/>
      <c r="H16" s="13"/>
      <c r="I16" s="32"/>
      <c r="J16" s="16"/>
      <c r="L16" s="15"/>
      <c r="M16" s="15"/>
      <c r="N16" s="15"/>
      <c r="O16" s="15"/>
      <c r="P16" s="15"/>
      <c r="Q16" s="15"/>
      <c r="R16" s="15"/>
      <c r="S16" s="15"/>
      <c r="X16" s="15"/>
    </row>
    <row r="17" spans="2:24" ht="12.75">
      <c r="B17" s="4" t="s">
        <v>117</v>
      </c>
      <c r="D17" s="4" t="s">
        <v>82</v>
      </c>
      <c r="F17" s="15">
        <f>F11*F10/1000000</f>
        <v>16.8702449111869</v>
      </c>
      <c r="G17" s="32"/>
      <c r="H17" s="15">
        <f>H11*H10/1000000</f>
        <v>16.660704640503713</v>
      </c>
      <c r="I17" s="32"/>
      <c r="J17" s="15">
        <f>J11*J10/1000000</f>
        <v>16.726042950398263</v>
      </c>
      <c r="L17" s="15">
        <f>L11*L10/1000000</f>
        <v>16.752737953775007</v>
      </c>
      <c r="M17" s="15"/>
      <c r="N17" s="15">
        <f>F17</f>
        <v>16.8702449111869</v>
      </c>
      <c r="O17" s="15"/>
      <c r="P17" s="15">
        <f>H17</f>
        <v>16.660704640503713</v>
      </c>
      <c r="Q17" s="15"/>
      <c r="R17" s="15">
        <f>J17</f>
        <v>16.726042950398263</v>
      </c>
      <c r="S17" s="15"/>
      <c r="T17" s="15">
        <f>L17</f>
        <v>16.752737953775007</v>
      </c>
      <c r="X17" s="15"/>
    </row>
    <row r="18" spans="2:24" ht="12.75">
      <c r="B18" s="4" t="s">
        <v>157</v>
      </c>
      <c r="D18" s="4" t="s">
        <v>82</v>
      </c>
      <c r="M18" s="15"/>
      <c r="N18" s="15">
        <f>F14/9000*(21-F15)/21*60</f>
        <v>67.41761904761904</v>
      </c>
      <c r="O18" s="32"/>
      <c r="P18" s="15">
        <f>H14/9000*(21-H15)/21*60</f>
        <v>73.65085714285715</v>
      </c>
      <c r="Q18" s="32"/>
      <c r="R18" s="15">
        <f>J14/9000*(21-J15)/21*60</f>
        <v>71.10311111111109</v>
      </c>
      <c r="S18" s="6"/>
      <c r="T18" s="15">
        <f>L14/9000*(21-L15)/21*60</f>
        <v>70.71463492063494</v>
      </c>
      <c r="X18" s="15"/>
    </row>
    <row r="19" spans="2:24" ht="12.75">
      <c r="B19" s="4" t="s">
        <v>101</v>
      </c>
      <c r="F19" s="15"/>
      <c r="G19" s="32"/>
      <c r="H19" s="15"/>
      <c r="I19" s="32"/>
      <c r="J19" s="15"/>
      <c r="L19" s="15"/>
      <c r="M19" s="15"/>
      <c r="N19" s="15"/>
      <c r="O19" s="15"/>
      <c r="P19" s="15"/>
      <c r="Q19" s="15"/>
      <c r="R19" s="15"/>
      <c r="S19" s="15"/>
      <c r="X19" s="15"/>
    </row>
    <row r="20" spans="2:24" ht="12.75">
      <c r="B20" s="4" t="s">
        <v>35</v>
      </c>
      <c r="D20" s="4" t="s">
        <v>38</v>
      </c>
      <c r="F20" s="15">
        <f>F12/F14/60/0.0283*1000*(21-7)/(21-F15)</f>
        <v>8.541400106693736</v>
      </c>
      <c r="G20" s="32"/>
      <c r="H20" s="15">
        <f>H12/H14/60/0.0283*1000*(21-7)/(21-H15)</f>
        <v>8.884684270442973</v>
      </c>
      <c r="I20" s="32"/>
      <c r="J20" s="15">
        <f>J12/J14/60/0.0283*1000*(21-7)/(21-J15)</f>
        <v>2.4664141029175566</v>
      </c>
      <c r="L20" s="15">
        <f>L12/L14/60/0.0283*1000*(21-7)/(21-L15)</f>
        <v>6.662588601938794</v>
      </c>
      <c r="M20" s="15"/>
      <c r="N20" s="15">
        <f>F20</f>
        <v>8.541400106693736</v>
      </c>
      <c r="O20" s="15"/>
      <c r="P20" s="15">
        <f>H20</f>
        <v>8.884684270442973</v>
      </c>
      <c r="Q20" s="15"/>
      <c r="R20" s="15">
        <f>J20</f>
        <v>2.4664141029175566</v>
      </c>
      <c r="S20" s="15"/>
      <c r="T20" s="15">
        <f>L20</f>
        <v>6.662588601938794</v>
      </c>
      <c r="X20" s="15"/>
    </row>
    <row r="24" spans="1:28" ht="12.75">
      <c r="A24" s="5" t="s">
        <v>116</v>
      </c>
      <c r="B24" s="7" t="s">
        <v>128</v>
      </c>
      <c r="C24" s="7"/>
      <c r="F24" s="6" t="s">
        <v>48</v>
      </c>
      <c r="H24" s="6" t="s">
        <v>49</v>
      </c>
      <c r="J24" s="6" t="s">
        <v>50</v>
      </c>
      <c r="L24" s="4" t="s">
        <v>68</v>
      </c>
      <c r="N24" s="6" t="s">
        <v>48</v>
      </c>
      <c r="O24" s="6"/>
      <c r="P24" s="6" t="s">
        <v>49</v>
      </c>
      <c r="Q24" s="6"/>
      <c r="R24" s="6" t="s">
        <v>50</v>
      </c>
      <c r="S24" s="6"/>
      <c r="T24" s="4" t="s">
        <v>68</v>
      </c>
      <c r="V24" s="6" t="s">
        <v>48</v>
      </c>
      <c r="W24" s="6"/>
      <c r="X24" s="6" t="s">
        <v>49</v>
      </c>
      <c r="Y24" s="6"/>
      <c r="Z24" s="6" t="s">
        <v>50</v>
      </c>
      <c r="AA24" s="6"/>
      <c r="AB24" s="4" t="s">
        <v>68</v>
      </c>
    </row>
    <row r="25" spans="2:28" ht="12.75">
      <c r="B25" s="7"/>
      <c r="C25" s="7"/>
      <c r="F25" s="6"/>
      <c r="H25" s="6"/>
      <c r="J25" s="6"/>
      <c r="L25" s="4"/>
      <c r="N25" s="6"/>
      <c r="O25" s="6"/>
      <c r="P25" s="6"/>
      <c r="Q25" s="6"/>
      <c r="R25" s="6"/>
      <c r="S25" s="6"/>
      <c r="T25" s="4"/>
      <c r="V25" s="6"/>
      <c r="W25" s="6"/>
      <c r="X25" s="6"/>
      <c r="Y25" s="6"/>
      <c r="Z25" s="6"/>
      <c r="AA25" s="6"/>
      <c r="AB25" s="4"/>
    </row>
    <row r="26" spans="2:28" ht="12.75">
      <c r="B26" s="4" t="s">
        <v>150</v>
      </c>
      <c r="F26" s="8" t="s">
        <v>153</v>
      </c>
      <c r="H26" s="8" t="s">
        <v>153</v>
      </c>
      <c r="J26" s="8" t="s">
        <v>153</v>
      </c>
      <c r="L26" s="8" t="s">
        <v>153</v>
      </c>
      <c r="N26" s="6" t="s">
        <v>154</v>
      </c>
      <c r="O26" s="6"/>
      <c r="P26" s="6" t="s">
        <v>154</v>
      </c>
      <c r="Q26" s="6"/>
      <c r="R26" s="6" t="s">
        <v>154</v>
      </c>
      <c r="S26" s="6"/>
      <c r="T26" s="6" t="s">
        <v>154</v>
      </c>
      <c r="V26" s="6" t="s">
        <v>155</v>
      </c>
      <c r="W26" s="6"/>
      <c r="X26" s="6" t="s">
        <v>155</v>
      </c>
      <c r="Y26" s="6"/>
      <c r="Z26" s="6" t="s">
        <v>155</v>
      </c>
      <c r="AA26" s="6"/>
      <c r="AB26" s="6" t="s">
        <v>155</v>
      </c>
    </row>
    <row r="27" spans="2:28" ht="12.75">
      <c r="B27" s="4" t="s">
        <v>151</v>
      </c>
      <c r="F27" s="8" t="s">
        <v>152</v>
      </c>
      <c r="H27" s="8" t="s">
        <v>152</v>
      </c>
      <c r="J27" s="8" t="s">
        <v>152</v>
      </c>
      <c r="L27" s="8" t="s">
        <v>152</v>
      </c>
      <c r="N27" s="6" t="s">
        <v>44</v>
      </c>
      <c r="O27" s="6"/>
      <c r="P27" s="6" t="s">
        <v>44</v>
      </c>
      <c r="Q27" s="6"/>
      <c r="R27" s="6" t="s">
        <v>44</v>
      </c>
      <c r="S27" s="6"/>
      <c r="T27" s="6" t="s">
        <v>44</v>
      </c>
      <c r="V27" s="6" t="s">
        <v>123</v>
      </c>
      <c r="W27" s="6"/>
      <c r="X27" s="6" t="s">
        <v>123</v>
      </c>
      <c r="Y27" s="6"/>
      <c r="Z27" s="6" t="s">
        <v>123</v>
      </c>
      <c r="AA27" s="6"/>
      <c r="AB27" s="6" t="s">
        <v>123</v>
      </c>
    </row>
    <row r="28" spans="2:28" ht="12.75">
      <c r="B28" s="4" t="s">
        <v>156</v>
      </c>
      <c r="F28" s="8" t="s">
        <v>43</v>
      </c>
      <c r="H28" s="8" t="s">
        <v>43</v>
      </c>
      <c r="J28" s="8" t="s">
        <v>43</v>
      </c>
      <c r="L28" s="8" t="s">
        <v>43</v>
      </c>
      <c r="N28" s="6" t="s">
        <v>44</v>
      </c>
      <c r="O28" s="6"/>
      <c r="P28" s="6" t="s">
        <v>44</v>
      </c>
      <c r="Q28" s="6"/>
      <c r="R28" s="6" t="s">
        <v>44</v>
      </c>
      <c r="S28" s="6"/>
      <c r="T28" s="6" t="s">
        <v>44</v>
      </c>
      <c r="V28" s="6" t="s">
        <v>123</v>
      </c>
      <c r="W28" s="6"/>
      <c r="X28" s="6" t="s">
        <v>123</v>
      </c>
      <c r="Y28" s="6"/>
      <c r="Z28" s="6" t="s">
        <v>123</v>
      </c>
      <c r="AA28" s="6"/>
      <c r="AB28" s="6" t="s">
        <v>123</v>
      </c>
    </row>
    <row r="29" spans="2:28" ht="12.75">
      <c r="B29" s="4" t="s">
        <v>33</v>
      </c>
      <c r="F29" s="8" t="s">
        <v>100</v>
      </c>
      <c r="G29" s="8"/>
      <c r="H29" s="8" t="s">
        <v>100</v>
      </c>
      <c r="I29" s="8"/>
      <c r="J29" s="8" t="s">
        <v>100</v>
      </c>
      <c r="L29" s="8" t="s">
        <v>100</v>
      </c>
      <c r="M29" s="8"/>
      <c r="N29" s="8" t="s">
        <v>76</v>
      </c>
      <c r="O29" s="8"/>
      <c r="P29" s="8" t="s">
        <v>76</v>
      </c>
      <c r="Q29" s="8"/>
      <c r="R29" s="8" t="s">
        <v>76</v>
      </c>
      <c r="S29" s="8"/>
      <c r="T29" s="8" t="s">
        <v>76</v>
      </c>
      <c r="U29" s="8"/>
      <c r="V29" s="5" t="s">
        <v>123</v>
      </c>
      <c r="X29" s="5" t="s">
        <v>123</v>
      </c>
      <c r="Z29" s="5" t="s">
        <v>123</v>
      </c>
      <c r="AB29" s="5" t="s">
        <v>123</v>
      </c>
    </row>
    <row r="30" spans="2:21" ht="12.75">
      <c r="B30" s="4" t="s">
        <v>118</v>
      </c>
      <c r="D30" s="4" t="s">
        <v>24</v>
      </c>
      <c r="F30" s="16">
        <f>(1720000)/453.593</f>
        <v>3791.945642900133</v>
      </c>
      <c r="G30" s="32"/>
      <c r="H30" s="16">
        <f>(1740000)/453.593</f>
        <v>3836.038034096646</v>
      </c>
      <c r="I30" s="32"/>
      <c r="J30" s="16">
        <f>(1640000)/453.593</f>
        <v>3615.5760781140802</v>
      </c>
      <c r="L30" s="16">
        <f aca="true" t="shared" si="0" ref="L30:L44">AVERAGE(F30:J30)</f>
        <v>3747.8532517036197</v>
      </c>
      <c r="M30" s="16"/>
      <c r="N30" s="16">
        <f>(10366+25990)/453.5933</f>
        <v>80.15109570621965</v>
      </c>
      <c r="O30" s="16"/>
      <c r="P30" s="16">
        <f>(9150+25870)/453.5933</f>
        <v>77.20572592231852</v>
      </c>
      <c r="Q30" s="16"/>
      <c r="R30" s="16">
        <f>(8834.5+25910)/453.5933</f>
        <v>76.59835363529399</v>
      </c>
      <c r="S30" s="16"/>
      <c r="T30" s="15">
        <f>AVERAGE(N30:R30)</f>
        <v>77.98505842127739</v>
      </c>
      <c r="U30" s="15"/>
    </row>
    <row r="31" spans="2:19" ht="12.75">
      <c r="B31" s="4" t="s">
        <v>75</v>
      </c>
      <c r="D31" s="4" t="s">
        <v>34</v>
      </c>
      <c r="F31" s="16">
        <v>14767</v>
      </c>
      <c r="G31" s="32"/>
      <c r="H31" s="16">
        <v>14818</v>
      </c>
      <c r="I31" s="32"/>
      <c r="J31" s="16">
        <v>14784</v>
      </c>
      <c r="L31" s="16">
        <f t="shared" si="0"/>
        <v>14789.666666666666</v>
      </c>
      <c r="M31" s="16"/>
      <c r="N31" s="16"/>
      <c r="O31" s="16"/>
      <c r="P31" s="16"/>
      <c r="Q31" s="16"/>
      <c r="R31" s="16"/>
      <c r="S31" s="16"/>
    </row>
    <row r="32" spans="2:19" ht="12.75">
      <c r="B32" s="4" t="s">
        <v>122</v>
      </c>
      <c r="F32" s="26">
        <v>1.1259</v>
      </c>
      <c r="G32" s="33"/>
      <c r="H32" s="26">
        <v>1.1269</v>
      </c>
      <c r="I32" s="33"/>
      <c r="J32" s="26">
        <v>1.127</v>
      </c>
      <c r="K32" s="33"/>
      <c r="L32" s="16">
        <f t="shared" si="0"/>
        <v>1.1265999999999998</v>
      </c>
      <c r="M32" s="16"/>
      <c r="N32" s="16"/>
      <c r="O32" s="16"/>
      <c r="P32" s="16"/>
      <c r="Q32" s="16"/>
      <c r="R32" s="16"/>
      <c r="S32" s="16"/>
    </row>
    <row r="33" spans="2:21" ht="12.75">
      <c r="B33" s="4" t="s">
        <v>35</v>
      </c>
      <c r="D33" s="4" t="s">
        <v>80</v>
      </c>
      <c r="F33" s="16">
        <v>2530</v>
      </c>
      <c r="G33" s="32"/>
      <c r="H33" s="16">
        <v>2770</v>
      </c>
      <c r="I33" s="32"/>
      <c r="J33" s="16">
        <v>140</v>
      </c>
      <c r="L33" s="16">
        <f t="shared" si="0"/>
        <v>1813.3333333333333</v>
      </c>
      <c r="M33" s="15"/>
      <c r="N33" s="15">
        <v>8300</v>
      </c>
      <c r="O33" s="15"/>
      <c r="P33" s="15">
        <v>8200</v>
      </c>
      <c r="Q33" s="15"/>
      <c r="R33" s="15">
        <v>8300</v>
      </c>
      <c r="S33" s="15"/>
      <c r="T33" s="15">
        <f>AVERAGE(N33:R33)</f>
        <v>8266.666666666666</v>
      </c>
      <c r="U33" s="15"/>
    </row>
    <row r="34" spans="2:21" ht="12.75">
      <c r="B34" s="4" t="s">
        <v>23</v>
      </c>
      <c r="D34" s="4" t="s">
        <v>80</v>
      </c>
      <c r="F34" s="15">
        <v>37.2</v>
      </c>
      <c r="G34" s="33"/>
      <c r="H34" s="15">
        <v>37.4</v>
      </c>
      <c r="I34" s="33"/>
      <c r="J34" s="15">
        <v>43.4</v>
      </c>
      <c r="L34" s="15">
        <f t="shared" si="0"/>
        <v>39.333333333333336</v>
      </c>
      <c r="M34" s="14"/>
      <c r="N34" s="15">
        <v>3268</v>
      </c>
      <c r="O34" s="15"/>
      <c r="P34" s="15">
        <v>2855</v>
      </c>
      <c r="Q34" s="15"/>
      <c r="R34" s="15">
        <v>2785</v>
      </c>
      <c r="S34" s="14"/>
      <c r="T34" s="15">
        <f>AVERAGE(N34:R34)</f>
        <v>2969.3333333333335</v>
      </c>
      <c r="U34" s="15"/>
    </row>
    <row r="35" spans="2:21" ht="12.75">
      <c r="B35" s="4" t="s">
        <v>89</v>
      </c>
      <c r="D35" s="4" t="s">
        <v>80</v>
      </c>
      <c r="E35" s="6" t="s">
        <v>25</v>
      </c>
      <c r="F35" s="15">
        <v>1.7</v>
      </c>
      <c r="G35" s="6" t="s">
        <v>25</v>
      </c>
      <c r="H35" s="15">
        <v>1.7</v>
      </c>
      <c r="I35" s="6" t="s">
        <v>25</v>
      </c>
      <c r="J35" s="15">
        <v>1.6</v>
      </c>
      <c r="L35" s="15">
        <f t="shared" si="0"/>
        <v>1.6666666666666667</v>
      </c>
      <c r="M35" s="14"/>
      <c r="N35" s="15"/>
      <c r="O35" s="15"/>
      <c r="P35" s="15"/>
      <c r="Q35" s="15"/>
      <c r="R35" s="15"/>
      <c r="S35" s="14"/>
      <c r="T35" s="15"/>
      <c r="U35" s="15"/>
    </row>
    <row r="36" spans="2:21" ht="12.75">
      <c r="B36" s="4" t="s">
        <v>90</v>
      </c>
      <c r="D36" s="4" t="s">
        <v>80</v>
      </c>
      <c r="F36" s="15">
        <v>4.7</v>
      </c>
      <c r="H36" s="15">
        <v>4.7</v>
      </c>
      <c r="J36" s="15">
        <v>5.2</v>
      </c>
      <c r="L36" s="15">
        <f t="shared" si="0"/>
        <v>4.866666666666667</v>
      </c>
      <c r="M36" s="26"/>
      <c r="N36" s="15">
        <v>9.1</v>
      </c>
      <c r="O36" s="15"/>
      <c r="P36" s="15">
        <v>9.1</v>
      </c>
      <c r="Q36" s="15"/>
      <c r="R36" s="15">
        <v>9.1</v>
      </c>
      <c r="S36" s="26"/>
      <c r="T36" s="15">
        <f>AVERAGE(N36:R36)</f>
        <v>9.1</v>
      </c>
      <c r="U36" s="14"/>
    </row>
    <row r="37" spans="2:19" ht="12.75">
      <c r="B37" s="4" t="s">
        <v>92</v>
      </c>
      <c r="D37" s="4" t="s">
        <v>80</v>
      </c>
      <c r="E37" s="6" t="s">
        <v>25</v>
      </c>
      <c r="F37" s="15">
        <v>1.7</v>
      </c>
      <c r="G37" s="6" t="s">
        <v>25</v>
      </c>
      <c r="H37" s="15">
        <v>1.7</v>
      </c>
      <c r="I37" s="6" t="s">
        <v>25</v>
      </c>
      <c r="J37" s="15">
        <v>1.6</v>
      </c>
      <c r="L37" s="15">
        <f t="shared" si="0"/>
        <v>1.6666666666666667</v>
      </c>
      <c r="M37" s="26"/>
      <c r="N37" s="15"/>
      <c r="O37" s="15"/>
      <c r="P37" s="15"/>
      <c r="Q37" s="15"/>
      <c r="R37" s="15"/>
      <c r="S37" s="26"/>
    </row>
    <row r="38" spans="2:19" ht="12.75">
      <c r="B38" s="4" t="s">
        <v>93</v>
      </c>
      <c r="D38" s="4" t="s">
        <v>80</v>
      </c>
      <c r="E38" s="6" t="s">
        <v>25</v>
      </c>
      <c r="F38" s="15">
        <v>0.1</v>
      </c>
      <c r="G38" s="6" t="s">
        <v>25</v>
      </c>
      <c r="H38" s="15">
        <v>0.1</v>
      </c>
      <c r="I38" s="6" t="s">
        <v>25</v>
      </c>
      <c r="J38" s="15">
        <v>0.1</v>
      </c>
      <c r="L38" s="15">
        <f t="shared" si="0"/>
        <v>0.10000000000000002</v>
      </c>
      <c r="M38" s="19"/>
      <c r="N38" s="15"/>
      <c r="O38" s="15"/>
      <c r="P38" s="15"/>
      <c r="Q38" s="15"/>
      <c r="R38" s="15"/>
      <c r="S38" s="19"/>
    </row>
    <row r="39" spans="2:19" ht="12.75">
      <c r="B39" s="4" t="s">
        <v>94</v>
      </c>
      <c r="D39" s="4" t="s">
        <v>80</v>
      </c>
      <c r="E39" s="6" t="s">
        <v>25</v>
      </c>
      <c r="F39" s="15">
        <v>0.1</v>
      </c>
      <c r="G39" s="6" t="s">
        <v>25</v>
      </c>
      <c r="H39" s="15">
        <v>0.1</v>
      </c>
      <c r="I39" s="6" t="s">
        <v>25</v>
      </c>
      <c r="J39" s="15">
        <v>0.1</v>
      </c>
      <c r="L39" s="15">
        <f t="shared" si="0"/>
        <v>0.10000000000000002</v>
      </c>
      <c r="M39" s="19"/>
      <c r="N39" s="15"/>
      <c r="O39" s="15"/>
      <c r="P39" s="15"/>
      <c r="Q39" s="15"/>
      <c r="R39" s="15"/>
      <c r="S39" s="19"/>
    </row>
    <row r="40" spans="2:21" ht="12.75">
      <c r="B40" s="4" t="s">
        <v>95</v>
      </c>
      <c r="D40" s="4" t="s">
        <v>80</v>
      </c>
      <c r="F40" s="15">
        <v>20.8</v>
      </c>
      <c r="H40" s="15">
        <v>17</v>
      </c>
      <c r="J40" s="15">
        <v>23.7</v>
      </c>
      <c r="L40" s="15">
        <f t="shared" si="0"/>
        <v>20.5</v>
      </c>
      <c r="M40" s="26"/>
      <c r="N40" s="15">
        <v>105.9</v>
      </c>
      <c r="O40" s="15"/>
      <c r="P40" s="15">
        <v>105.4</v>
      </c>
      <c r="Q40" s="15"/>
      <c r="R40" s="15">
        <v>105.6</v>
      </c>
      <c r="S40" s="26"/>
      <c r="T40" s="15">
        <f>AVERAGE(N40:R40)</f>
        <v>105.63333333333333</v>
      </c>
      <c r="U40" s="14"/>
    </row>
    <row r="41" spans="2:19" ht="12.75">
      <c r="B41" s="4" t="s">
        <v>97</v>
      </c>
      <c r="D41" s="4" t="s">
        <v>80</v>
      </c>
      <c r="E41" s="6" t="s">
        <v>25</v>
      </c>
      <c r="F41" s="15">
        <v>0.9</v>
      </c>
      <c r="G41" s="6" t="s">
        <v>25</v>
      </c>
      <c r="H41" s="15">
        <v>0.9</v>
      </c>
      <c r="I41" s="6" t="s">
        <v>25</v>
      </c>
      <c r="J41" s="15">
        <v>0.8</v>
      </c>
      <c r="L41" s="15">
        <f t="shared" si="0"/>
        <v>0.8666666666666667</v>
      </c>
      <c r="M41" s="26"/>
      <c r="N41" s="15"/>
      <c r="O41" s="15"/>
      <c r="P41" s="15"/>
      <c r="Q41" s="15"/>
      <c r="R41" s="15"/>
      <c r="S41" s="26"/>
    </row>
    <row r="42" spans="2:21" ht="12.75">
      <c r="B42" s="4" t="s">
        <v>96</v>
      </c>
      <c r="D42" s="4" t="s">
        <v>80</v>
      </c>
      <c r="E42" s="6" t="s">
        <v>25</v>
      </c>
      <c r="F42" s="15">
        <v>1.7</v>
      </c>
      <c r="G42" s="6" t="s">
        <v>25</v>
      </c>
      <c r="H42" s="15">
        <v>1.7</v>
      </c>
      <c r="I42" s="6" t="s">
        <v>25</v>
      </c>
      <c r="J42" s="15">
        <v>1.6</v>
      </c>
      <c r="L42" s="15">
        <f t="shared" si="0"/>
        <v>1.6666666666666667</v>
      </c>
      <c r="M42" s="26"/>
      <c r="N42" s="15">
        <v>601.9</v>
      </c>
      <c r="O42" s="15"/>
      <c r="P42" s="15">
        <v>599.1</v>
      </c>
      <c r="Q42" s="15"/>
      <c r="R42" s="15">
        <v>600</v>
      </c>
      <c r="S42" s="26"/>
      <c r="T42" s="15">
        <f>AVERAGE(N42:R42)</f>
        <v>600.3333333333334</v>
      </c>
      <c r="U42" s="14"/>
    </row>
    <row r="43" spans="2:19" ht="12.75">
      <c r="B43" s="4" t="s">
        <v>98</v>
      </c>
      <c r="D43" s="4" t="s">
        <v>80</v>
      </c>
      <c r="E43" s="6" t="s">
        <v>25</v>
      </c>
      <c r="F43" s="15">
        <v>1.7</v>
      </c>
      <c r="G43" s="6" t="s">
        <v>25</v>
      </c>
      <c r="H43" s="15">
        <v>1.7</v>
      </c>
      <c r="I43" s="6" t="s">
        <v>25</v>
      </c>
      <c r="J43" s="15">
        <v>1.6</v>
      </c>
      <c r="L43" s="15">
        <f t="shared" si="0"/>
        <v>1.6666666666666667</v>
      </c>
      <c r="M43" s="26"/>
      <c r="N43" s="26"/>
      <c r="O43" s="26"/>
      <c r="P43" s="26"/>
      <c r="Q43" s="26"/>
      <c r="R43" s="26"/>
      <c r="S43" s="26"/>
    </row>
    <row r="44" spans="2:19" ht="12.75">
      <c r="B44" s="4" t="s">
        <v>99</v>
      </c>
      <c r="D44" s="4" t="s">
        <v>80</v>
      </c>
      <c r="E44" s="6" t="s">
        <v>25</v>
      </c>
      <c r="F44" s="15">
        <v>1.7</v>
      </c>
      <c r="G44" s="6" t="s">
        <v>25</v>
      </c>
      <c r="H44" s="15">
        <v>1.7</v>
      </c>
      <c r="I44" s="6" t="s">
        <v>25</v>
      </c>
      <c r="J44" s="15">
        <v>1.6</v>
      </c>
      <c r="L44" s="15">
        <f t="shared" si="0"/>
        <v>1.6666666666666667</v>
      </c>
      <c r="M44" s="26"/>
      <c r="N44" s="26"/>
      <c r="O44" s="26"/>
      <c r="P44" s="26"/>
      <c r="Q44" s="26"/>
      <c r="R44" s="26"/>
      <c r="S44" s="26"/>
    </row>
    <row r="45" spans="6:19" ht="12.75">
      <c r="F45" s="5"/>
      <c r="G45" s="33"/>
      <c r="H45" s="26"/>
      <c r="I45" s="33"/>
      <c r="J45" s="26"/>
      <c r="L45" s="26"/>
      <c r="M45" s="26"/>
      <c r="N45" s="26"/>
      <c r="O45" s="26"/>
      <c r="P45" s="26"/>
      <c r="Q45" s="26"/>
      <c r="R45" s="26"/>
      <c r="S45" s="26"/>
    </row>
    <row r="46" spans="6:19" ht="12.75">
      <c r="F46" s="26"/>
      <c r="L46" s="16"/>
      <c r="M46" s="16"/>
      <c r="N46" s="16"/>
      <c r="O46" s="16"/>
      <c r="P46" s="16"/>
      <c r="Q46" s="16"/>
      <c r="R46" s="16"/>
      <c r="S46" s="16"/>
    </row>
    <row r="47" spans="2:21" ht="12.75">
      <c r="B47" s="4" t="s">
        <v>36</v>
      </c>
      <c r="D47" s="4" t="s">
        <v>26</v>
      </c>
      <c r="F47" s="8">
        <f>emiss!$G$31</f>
        <v>13701</v>
      </c>
      <c r="H47" s="13">
        <f>emiss!$I$31</f>
        <v>14321</v>
      </c>
      <c r="J47" s="8">
        <f>emiss!$K$31</f>
        <v>13657</v>
      </c>
      <c r="L47" s="10">
        <f>emiss!$M$31</f>
        <v>13893</v>
      </c>
      <c r="M47" s="15"/>
      <c r="N47" s="8">
        <f>emiss!$G$31</f>
        <v>13701</v>
      </c>
      <c r="O47" s="6"/>
      <c r="P47" s="13">
        <f>emiss!$I$31</f>
        <v>14321</v>
      </c>
      <c r="Q47" s="6"/>
      <c r="R47" s="8">
        <f>emiss!$K$31</f>
        <v>13657</v>
      </c>
      <c r="S47" s="6"/>
      <c r="T47" s="10">
        <f>emiss!$M$31</f>
        <v>13893</v>
      </c>
      <c r="U47" s="15"/>
    </row>
    <row r="48" spans="2:21" ht="12.75">
      <c r="B48" s="4" t="s">
        <v>37</v>
      </c>
      <c r="D48" s="4" t="s">
        <v>27</v>
      </c>
      <c r="F48" s="8">
        <f>emiss!$G$32</f>
        <v>5.5</v>
      </c>
      <c r="H48" s="8">
        <f>emiss!$I$32</f>
        <v>4.8</v>
      </c>
      <c r="J48" s="8">
        <f>emiss!$K$32</f>
        <v>4.6</v>
      </c>
      <c r="L48" s="10">
        <f>emiss!$M$32</f>
        <v>4.966666666666666</v>
      </c>
      <c r="M48" s="15"/>
      <c r="N48" s="8">
        <f>emiss!$G$32</f>
        <v>5.5</v>
      </c>
      <c r="O48" s="6"/>
      <c r="P48" s="8">
        <f>emiss!$I$32</f>
        <v>4.8</v>
      </c>
      <c r="Q48" s="6"/>
      <c r="R48" s="8">
        <f>emiss!$K$32</f>
        <v>4.6</v>
      </c>
      <c r="S48" s="6"/>
      <c r="T48" s="10">
        <f>emiss!$M$32</f>
        <v>4.966666666666666</v>
      </c>
      <c r="U48" s="15"/>
    </row>
    <row r="49" spans="8:19" ht="12.75">
      <c r="H49" s="6"/>
      <c r="J49" s="6"/>
      <c r="L49" s="16"/>
      <c r="M49" s="16"/>
      <c r="N49" s="16"/>
      <c r="O49" s="16"/>
      <c r="P49" s="16"/>
      <c r="Q49" s="16"/>
      <c r="R49" s="16"/>
      <c r="S49" s="16"/>
    </row>
    <row r="50" spans="2:28" ht="12.75">
      <c r="B50" s="4" t="s">
        <v>117</v>
      </c>
      <c r="D50" s="4" t="s">
        <v>82</v>
      </c>
      <c r="F50" s="13">
        <f>F10*F31/1000000</f>
        <v>16.63592030741215</v>
      </c>
      <c r="G50" s="29"/>
      <c r="H50" s="13">
        <f>H10*H31/1000000</f>
        <v>16.69337489776077</v>
      </c>
      <c r="I50" s="29"/>
      <c r="J50" s="13">
        <f>J10*J31/1000000</f>
        <v>16.687664933100816</v>
      </c>
      <c r="L50" s="13">
        <f>L10*L31/1000000</f>
        <v>16.672324210372633</v>
      </c>
      <c r="M50" s="13"/>
      <c r="N50" s="13"/>
      <c r="O50" s="13"/>
      <c r="P50" s="13"/>
      <c r="Q50" s="13"/>
      <c r="R50" s="13"/>
      <c r="S50" s="13"/>
      <c r="V50" s="15">
        <f>SUM(N50,F50)</f>
        <v>16.63592030741215</v>
      </c>
      <c r="X50" s="15">
        <f>SUM(P50,H50)</f>
        <v>16.69337489776077</v>
      </c>
      <c r="Z50" s="15">
        <f>SUM(R50,J50)</f>
        <v>16.687664933100816</v>
      </c>
      <c r="AB50" s="15">
        <f>SUM(T50,L50)</f>
        <v>16.672324210372633</v>
      </c>
    </row>
    <row r="51" spans="2:28" ht="12.75">
      <c r="B51" s="4" t="s">
        <v>157</v>
      </c>
      <c r="D51" s="4" t="s">
        <v>82</v>
      </c>
      <c r="F51" s="5"/>
      <c r="G51" s="5"/>
      <c r="I51" s="5"/>
      <c r="K51" s="5"/>
      <c r="M51" s="13"/>
      <c r="N51" s="13"/>
      <c r="O51" s="13"/>
      <c r="P51" s="13"/>
      <c r="Q51" s="13"/>
      <c r="R51" s="13"/>
      <c r="S51" s="13"/>
      <c r="V51" s="13">
        <f>F47/9000*60*(21-7)/21</f>
        <v>60.89333333333333</v>
      </c>
      <c r="W51" s="29"/>
      <c r="X51" s="13">
        <f>H47/9000*60*(21-7)/21</f>
        <v>63.64888888888889</v>
      </c>
      <c r="Y51" s="29"/>
      <c r="Z51" s="13">
        <f>J47/9000*60*(21-7)/21</f>
        <v>60.69777777777778</v>
      </c>
      <c r="AA51" s="6"/>
      <c r="AB51" s="13">
        <f>L47/9000*60*(21-7)/21</f>
        <v>61.74666666666667</v>
      </c>
    </row>
    <row r="52" spans="6:19" ht="12.75">
      <c r="F52" s="2"/>
      <c r="G52" s="29"/>
      <c r="H52" s="2"/>
      <c r="I52" s="29"/>
      <c r="J52" s="2"/>
      <c r="L52" s="13"/>
      <c r="M52" s="13"/>
      <c r="N52" s="13"/>
      <c r="O52" s="13"/>
      <c r="P52" s="13"/>
      <c r="Q52" s="13"/>
      <c r="R52" s="13"/>
      <c r="S52" s="13"/>
    </row>
    <row r="53" spans="2:19" ht="12.75">
      <c r="B53" s="34" t="s">
        <v>101</v>
      </c>
      <c r="C53" s="34"/>
      <c r="F53" s="2"/>
      <c r="G53" s="29"/>
      <c r="H53" s="2"/>
      <c r="I53" s="29"/>
      <c r="J53" s="2"/>
      <c r="L53" s="13"/>
      <c r="M53" s="13"/>
      <c r="N53" s="13"/>
      <c r="O53" s="13"/>
      <c r="P53" s="13"/>
      <c r="Q53" s="13"/>
      <c r="R53" s="13"/>
      <c r="S53" s="13"/>
    </row>
    <row r="54" spans="2:28" ht="12.75">
      <c r="B54" s="4" t="s">
        <v>35</v>
      </c>
      <c r="D54" s="4" t="s">
        <v>38</v>
      </c>
      <c r="F54" s="27">
        <f>F33/60/0.0283/F$47*(21-7)/(21-F$48)*1000</f>
        <v>98.22610122697796</v>
      </c>
      <c r="H54" s="27">
        <f>H33/60/0.0283/H$47*(21-7)/(21-H$48)*1000</f>
        <v>98.4423017165081</v>
      </c>
      <c r="J54" s="27">
        <f>J33/60/0.0283/J$47*(21-7)/(21-J$48)*1000</f>
        <v>5.153701110573999</v>
      </c>
      <c r="L54" s="15">
        <f aca="true" t="shared" si="1" ref="L54:L65">AVERAGE(F54,H54,J54)</f>
        <v>67.27403468468668</v>
      </c>
      <c r="M54" s="18"/>
      <c r="N54" s="27">
        <f>N33/60/0.0283/N$47*(21-7)/(21-N$48)*1000</f>
        <v>322.2437312979909</v>
      </c>
      <c r="O54" s="6"/>
      <c r="P54" s="27">
        <f>P33/60/0.0283/P$47*(21-7)/(21-P$48)*1000</f>
        <v>291.4176440705294</v>
      </c>
      <c r="Q54" s="6"/>
      <c r="R54" s="27">
        <f>R33/60/0.0283/R$47*(21-7)/(21-R$48)*1000</f>
        <v>305.5408515554585</v>
      </c>
      <c r="S54" s="6"/>
      <c r="T54" s="15">
        <f>AVERAGE(N54,P54,R54)</f>
        <v>306.40074230799297</v>
      </c>
      <c r="U54" s="16">
        <f aca="true" t="shared" si="2" ref="U54:U65">SUM(M54*N54,E54*F54)/V54</f>
        <v>0</v>
      </c>
      <c r="V54" s="15">
        <f>SUM(N54,F54)</f>
        <v>420.46983252496887</v>
      </c>
      <c r="W54" s="16">
        <f aca="true" t="shared" si="3" ref="W54:W65">SUM(O54*P54,G54*H54)/X54</f>
        <v>0</v>
      </c>
      <c r="X54" s="15">
        <f>SUM(P54,H54)</f>
        <v>389.8599457870375</v>
      </c>
      <c r="Y54" s="16">
        <f aca="true" t="shared" si="4" ref="Y54:Y65">SUM(Q54*R54,I54*J54)/Z54</f>
        <v>0</v>
      </c>
      <c r="Z54" s="15">
        <f>SUM(R54,J54)</f>
        <v>310.6945526660325</v>
      </c>
      <c r="AA54" s="16">
        <f aca="true" t="shared" si="5" ref="AA54:AA65">SUM(S54*T54,K54*L54)/AB54</f>
        <v>0</v>
      </c>
      <c r="AB54" s="15">
        <f>SUM(T54,L54)</f>
        <v>373.67477699267965</v>
      </c>
    </row>
    <row r="55" spans="2:28" ht="12.75">
      <c r="B55" s="4" t="s">
        <v>23</v>
      </c>
      <c r="D55" s="4" t="s">
        <v>30</v>
      </c>
      <c r="F55" s="27">
        <f>F34/60/0.0283/F$47*(21-7)/(21-F$48)*1000000</f>
        <v>1444.2731089500317</v>
      </c>
      <c r="H55" s="27">
        <f>H34/60/0.0283/H$47*(21-7)/(21-H$48)*1000000</f>
        <v>1329.1487668582683</v>
      </c>
      <c r="J55" s="27">
        <f aca="true" t="shared" si="6" ref="J55:J65">J34/60/0.0283/J$47*(21-7)/(21-J$48)*1000000</f>
        <v>1597.6473442779393</v>
      </c>
      <c r="L55" s="15">
        <f t="shared" si="1"/>
        <v>1457.02307336208</v>
      </c>
      <c r="M55" s="24"/>
      <c r="N55" s="27">
        <f>N34/60/0.0283/N$47*(21-7)/(21-N$48)*1000000</f>
        <v>126878.61613034151</v>
      </c>
      <c r="O55" s="6"/>
      <c r="P55" s="27">
        <f>P34/60/0.0283/P$47*(21-7)/(21-P$48)*1000000</f>
        <v>101463.09436845874</v>
      </c>
      <c r="Q55" s="6"/>
      <c r="R55" s="27">
        <f>R34/60/0.0283/R$47*(21-7)/(21-R$48)*1000000</f>
        <v>102521.83994963273</v>
      </c>
      <c r="S55" s="6"/>
      <c r="T55" s="15">
        <f>AVERAGE(N55,P55,R55)</f>
        <v>110287.85014947767</v>
      </c>
      <c r="U55" s="16">
        <f t="shared" si="2"/>
        <v>0</v>
      </c>
      <c r="V55" s="15">
        <f aca="true" t="shared" si="7" ref="V55:Z65">SUM(N55,F55)</f>
        <v>128322.88923929154</v>
      </c>
      <c r="W55" s="16">
        <f t="shared" si="3"/>
        <v>0</v>
      </c>
      <c r="X55" s="15">
        <f t="shared" si="7"/>
        <v>102792.24313531701</v>
      </c>
      <c r="Y55" s="16">
        <f t="shared" si="4"/>
        <v>0</v>
      </c>
      <c r="Z55" s="15">
        <f t="shared" si="7"/>
        <v>104119.48729391067</v>
      </c>
      <c r="AA55" s="16">
        <f t="shared" si="5"/>
        <v>0</v>
      </c>
      <c r="AB55" s="15">
        <f>SUM(T55,L55)</f>
        <v>111744.87322283976</v>
      </c>
    </row>
    <row r="56" spans="2:28" ht="12.75">
      <c r="B56" s="4" t="s">
        <v>89</v>
      </c>
      <c r="D56" s="4" t="s">
        <v>30</v>
      </c>
      <c r="E56" s="6">
        <v>100</v>
      </c>
      <c r="F56" s="27">
        <f aca="true" t="shared" si="8" ref="F56:H65">F35/60/0.0283/F$47*(21-7)/(21-F$48)*1000000</f>
        <v>66.00172809717887</v>
      </c>
      <c r="G56" s="6">
        <v>100</v>
      </c>
      <c r="H56" s="27">
        <f t="shared" si="8"/>
        <v>60.4158530390122</v>
      </c>
      <c r="I56" s="6">
        <v>100</v>
      </c>
      <c r="J56" s="27">
        <f t="shared" si="6"/>
        <v>58.89944126370284</v>
      </c>
      <c r="K56" s="6">
        <v>100</v>
      </c>
      <c r="L56" s="15">
        <f t="shared" si="1"/>
        <v>61.77234079996464</v>
      </c>
      <c r="M56" s="24"/>
      <c r="N56" s="24"/>
      <c r="O56" s="24"/>
      <c r="P56" s="24"/>
      <c r="Q56" s="24"/>
      <c r="R56" s="24"/>
      <c r="S56" s="24"/>
      <c r="T56" s="24"/>
      <c r="U56" s="16">
        <f t="shared" si="2"/>
        <v>100</v>
      </c>
      <c r="V56" s="15">
        <f t="shared" si="7"/>
        <v>66.00172809717887</v>
      </c>
      <c r="W56" s="16">
        <f t="shared" si="3"/>
        <v>100</v>
      </c>
      <c r="X56" s="15">
        <f t="shared" si="7"/>
        <v>60.4158530390122</v>
      </c>
      <c r="Y56" s="16">
        <f t="shared" si="4"/>
        <v>100</v>
      </c>
      <c r="Z56" s="15">
        <f t="shared" si="7"/>
        <v>58.89944126370284</v>
      </c>
      <c r="AA56" s="16">
        <f t="shared" si="5"/>
        <v>100</v>
      </c>
      <c r="AB56" s="15">
        <f aca="true" t="shared" si="9" ref="AB56:AB68">SUM(T56,L56)</f>
        <v>61.77234079996464</v>
      </c>
    </row>
    <row r="57" spans="2:28" ht="12.75">
      <c r="B57" s="4" t="s">
        <v>90</v>
      </c>
      <c r="D57" s="4" t="s">
        <v>30</v>
      </c>
      <c r="F57" s="27">
        <f t="shared" si="8"/>
        <v>182.47536591572978</v>
      </c>
      <c r="H57" s="27">
        <f t="shared" si="8"/>
        <v>167.03206428432784</v>
      </c>
      <c r="J57" s="27">
        <f t="shared" si="6"/>
        <v>191.42318410703422</v>
      </c>
      <c r="L57" s="15">
        <f t="shared" si="1"/>
        <v>180.31020476903063</v>
      </c>
      <c r="M57" s="18"/>
      <c r="N57" s="27">
        <f>N36/60/0.0283/N$47*(21-7)/(21-N$48)*1000000</f>
        <v>353.30336804960456</v>
      </c>
      <c r="O57" s="6"/>
      <c r="P57" s="27">
        <f>P36/60/0.0283/P$47*(21-7)/(21-P$48)*1000000</f>
        <v>323.4025074441242</v>
      </c>
      <c r="Q57" s="6"/>
      <c r="R57" s="27">
        <f>R36/60/0.0283/R$47*(21-7)/(21-R$48)*1000000</f>
        <v>334.9905721873099</v>
      </c>
      <c r="S57" s="6"/>
      <c r="T57" s="15">
        <f>AVERAGE(N57,P57,R57)</f>
        <v>337.2321492270129</v>
      </c>
      <c r="U57" s="16">
        <f t="shared" si="2"/>
        <v>0</v>
      </c>
      <c r="V57" s="15">
        <f t="shared" si="7"/>
        <v>535.7787339653344</v>
      </c>
      <c r="W57" s="16">
        <f t="shared" si="3"/>
        <v>0</v>
      </c>
      <c r="X57" s="15">
        <f t="shared" si="7"/>
        <v>490.43457172845206</v>
      </c>
      <c r="Y57" s="16">
        <f t="shared" si="4"/>
        <v>0</v>
      </c>
      <c r="Z57" s="15">
        <f t="shared" si="7"/>
        <v>526.4137562943441</v>
      </c>
      <c r="AA57" s="16">
        <f t="shared" si="5"/>
        <v>0</v>
      </c>
      <c r="AB57" s="15">
        <f t="shared" si="9"/>
        <v>517.5423539960435</v>
      </c>
    </row>
    <row r="58" spans="2:28" ht="12.75">
      <c r="B58" s="4" t="s">
        <v>92</v>
      </c>
      <c r="D58" s="4" t="s">
        <v>30</v>
      </c>
      <c r="E58" s="6">
        <v>100</v>
      </c>
      <c r="F58" s="27">
        <f t="shared" si="8"/>
        <v>66.00172809717887</v>
      </c>
      <c r="G58" s="6">
        <v>100</v>
      </c>
      <c r="H58" s="27">
        <f t="shared" si="8"/>
        <v>60.4158530390122</v>
      </c>
      <c r="I58" s="6">
        <v>100</v>
      </c>
      <c r="J58" s="27">
        <f t="shared" si="6"/>
        <v>58.89944126370284</v>
      </c>
      <c r="K58" s="6">
        <v>100</v>
      </c>
      <c r="L58" s="15">
        <f t="shared" si="1"/>
        <v>61.77234079996464</v>
      </c>
      <c r="M58" s="18"/>
      <c r="N58" s="18"/>
      <c r="O58" s="18"/>
      <c r="P58" s="18"/>
      <c r="Q58" s="18"/>
      <c r="R58" s="18"/>
      <c r="S58" s="18"/>
      <c r="U58" s="16">
        <f t="shared" si="2"/>
        <v>100</v>
      </c>
      <c r="V58" s="15">
        <f t="shared" si="7"/>
        <v>66.00172809717887</v>
      </c>
      <c r="W58" s="16">
        <f t="shared" si="3"/>
        <v>100</v>
      </c>
      <c r="X58" s="15">
        <f t="shared" si="7"/>
        <v>60.4158530390122</v>
      </c>
      <c r="Y58" s="16">
        <f t="shared" si="4"/>
        <v>100</v>
      </c>
      <c r="Z58" s="15">
        <f t="shared" si="7"/>
        <v>58.89944126370284</v>
      </c>
      <c r="AA58" s="16">
        <f t="shared" si="5"/>
        <v>100</v>
      </c>
      <c r="AB58" s="15">
        <f t="shared" si="9"/>
        <v>61.77234079996464</v>
      </c>
    </row>
    <row r="59" spans="2:28" ht="12.75">
      <c r="B59" s="4" t="s">
        <v>93</v>
      </c>
      <c r="D59" s="4" t="s">
        <v>30</v>
      </c>
      <c r="E59" s="6">
        <v>100</v>
      </c>
      <c r="F59" s="27">
        <f t="shared" si="8"/>
        <v>3.8824545939516986</v>
      </c>
      <c r="G59" s="6">
        <v>100</v>
      </c>
      <c r="H59" s="27">
        <f t="shared" si="8"/>
        <v>3.5538737081771887</v>
      </c>
      <c r="I59" s="6">
        <v>100</v>
      </c>
      <c r="J59" s="27">
        <f t="shared" si="6"/>
        <v>3.6812150789814275</v>
      </c>
      <c r="K59" s="6">
        <v>100</v>
      </c>
      <c r="L59" s="15">
        <f t="shared" si="1"/>
        <v>3.705847793703438</v>
      </c>
      <c r="M59" s="18"/>
      <c r="N59" s="18"/>
      <c r="O59" s="18"/>
      <c r="P59" s="18"/>
      <c r="Q59" s="18"/>
      <c r="R59" s="18"/>
      <c r="S59" s="18"/>
      <c r="U59" s="16">
        <f t="shared" si="2"/>
        <v>100</v>
      </c>
      <c r="V59" s="15">
        <f t="shared" si="7"/>
        <v>3.8824545939516986</v>
      </c>
      <c r="W59" s="16">
        <f t="shared" si="3"/>
        <v>100</v>
      </c>
      <c r="X59" s="15">
        <f t="shared" si="7"/>
        <v>3.5538737081771887</v>
      </c>
      <c r="Y59" s="16">
        <f t="shared" si="4"/>
        <v>100</v>
      </c>
      <c r="Z59" s="15">
        <f t="shared" si="7"/>
        <v>3.6812150789814275</v>
      </c>
      <c r="AA59" s="16">
        <f t="shared" si="5"/>
        <v>100.00000000000001</v>
      </c>
      <c r="AB59" s="15">
        <f t="shared" si="9"/>
        <v>3.705847793703438</v>
      </c>
    </row>
    <row r="60" spans="2:28" ht="12.75">
      <c r="B60" s="4" t="s">
        <v>94</v>
      </c>
      <c r="D60" s="4" t="s">
        <v>30</v>
      </c>
      <c r="E60" s="6">
        <v>100</v>
      </c>
      <c r="F60" s="27">
        <f t="shared" si="8"/>
        <v>3.8824545939516986</v>
      </c>
      <c r="G60" s="6">
        <v>100</v>
      </c>
      <c r="H60" s="27">
        <f t="shared" si="8"/>
        <v>3.5538737081771887</v>
      </c>
      <c r="I60" s="6">
        <v>100</v>
      </c>
      <c r="J60" s="27">
        <f t="shared" si="6"/>
        <v>3.6812150789814275</v>
      </c>
      <c r="K60" s="6">
        <v>100</v>
      </c>
      <c r="L60" s="15">
        <f t="shared" si="1"/>
        <v>3.705847793703438</v>
      </c>
      <c r="M60" s="18"/>
      <c r="N60" s="18"/>
      <c r="O60" s="18"/>
      <c r="P60" s="18"/>
      <c r="Q60" s="18"/>
      <c r="R60" s="18"/>
      <c r="S60" s="18"/>
      <c r="U60" s="16">
        <f t="shared" si="2"/>
        <v>100</v>
      </c>
      <c r="V60" s="15">
        <f t="shared" si="7"/>
        <v>3.8824545939516986</v>
      </c>
      <c r="W60" s="16">
        <f t="shared" si="3"/>
        <v>100</v>
      </c>
      <c r="X60" s="15">
        <f t="shared" si="7"/>
        <v>3.5538737081771887</v>
      </c>
      <c r="Y60" s="16">
        <f t="shared" si="4"/>
        <v>100</v>
      </c>
      <c r="Z60" s="15">
        <f t="shared" si="7"/>
        <v>3.6812150789814275</v>
      </c>
      <c r="AA60" s="16">
        <f t="shared" si="5"/>
        <v>100.00000000000001</v>
      </c>
      <c r="AB60" s="15">
        <f t="shared" si="9"/>
        <v>3.705847793703438</v>
      </c>
    </row>
    <row r="61" spans="2:28" ht="12.75">
      <c r="B61" s="4" t="s">
        <v>95</v>
      </c>
      <c r="D61" s="4" t="s">
        <v>30</v>
      </c>
      <c r="F61" s="27">
        <f t="shared" si="8"/>
        <v>807.5505555419533</v>
      </c>
      <c r="H61" s="27">
        <f t="shared" si="8"/>
        <v>604.158530390122</v>
      </c>
      <c r="J61" s="27">
        <f t="shared" si="6"/>
        <v>872.4479737185982</v>
      </c>
      <c r="L61" s="15">
        <f t="shared" si="1"/>
        <v>761.3856865502245</v>
      </c>
      <c r="M61" s="24"/>
      <c r="N61" s="27">
        <f>N40/60/0.0283/N$47*(21-7)/(21-N$48)*1000000</f>
        <v>4111.519414994848</v>
      </c>
      <c r="O61" s="6"/>
      <c r="P61" s="27">
        <f>P40/60/0.0283/P$47*(21-7)/(21-P$48)*1000000</f>
        <v>3745.782888418757</v>
      </c>
      <c r="Q61" s="6"/>
      <c r="R61" s="27">
        <f>R40/60/0.0283/R$47*(21-7)/(21-R$48)*1000000</f>
        <v>3887.3631234043874</v>
      </c>
      <c r="S61" s="6"/>
      <c r="T61" s="15">
        <f>AVERAGE(N61,P61,R61)</f>
        <v>3914.888475605998</v>
      </c>
      <c r="U61" s="16">
        <f t="shared" si="2"/>
        <v>0</v>
      </c>
      <c r="V61" s="15">
        <f t="shared" si="7"/>
        <v>4919.0699705368015</v>
      </c>
      <c r="W61" s="16">
        <f t="shared" si="3"/>
        <v>0</v>
      </c>
      <c r="X61" s="15">
        <f t="shared" si="7"/>
        <v>4349.9414188088795</v>
      </c>
      <c r="Y61" s="16">
        <f t="shared" si="4"/>
        <v>0</v>
      </c>
      <c r="Z61" s="15">
        <f t="shared" si="7"/>
        <v>4759.811097122985</v>
      </c>
      <c r="AA61" s="16">
        <f t="shared" si="5"/>
        <v>0</v>
      </c>
      <c r="AB61" s="15">
        <f t="shared" si="9"/>
        <v>4676.274162156223</v>
      </c>
    </row>
    <row r="62" spans="2:28" ht="12.75">
      <c r="B62" s="4" t="s">
        <v>97</v>
      </c>
      <c r="D62" s="4" t="s">
        <v>30</v>
      </c>
      <c r="E62" s="6">
        <v>100</v>
      </c>
      <c r="F62" s="27">
        <f t="shared" si="8"/>
        <v>34.94209134556529</v>
      </c>
      <c r="G62" s="6">
        <v>100</v>
      </c>
      <c r="H62" s="27">
        <f t="shared" si="8"/>
        <v>31.984863373594695</v>
      </c>
      <c r="I62" s="6">
        <v>100</v>
      </c>
      <c r="J62" s="27">
        <f t="shared" si="6"/>
        <v>29.44972063185142</v>
      </c>
      <c r="K62" s="6">
        <v>100</v>
      </c>
      <c r="L62" s="15">
        <f t="shared" si="1"/>
        <v>32.12555845033713</v>
      </c>
      <c r="M62" s="24"/>
      <c r="N62" s="24"/>
      <c r="O62" s="24"/>
      <c r="P62" s="24"/>
      <c r="Q62" s="24"/>
      <c r="R62" s="24"/>
      <c r="S62" s="24"/>
      <c r="T62" s="24"/>
      <c r="U62" s="16">
        <f t="shared" si="2"/>
        <v>100</v>
      </c>
      <c r="V62" s="15">
        <f t="shared" si="7"/>
        <v>34.94209134556529</v>
      </c>
      <c r="W62" s="16">
        <f t="shared" si="3"/>
        <v>100</v>
      </c>
      <c r="X62" s="15">
        <f t="shared" si="7"/>
        <v>31.984863373594695</v>
      </c>
      <c r="Y62" s="16">
        <f t="shared" si="4"/>
        <v>100</v>
      </c>
      <c r="Z62" s="15">
        <f t="shared" si="7"/>
        <v>29.44972063185142</v>
      </c>
      <c r="AA62" s="16">
        <f t="shared" si="5"/>
        <v>100</v>
      </c>
      <c r="AB62" s="15">
        <f t="shared" si="9"/>
        <v>32.12555845033713</v>
      </c>
    </row>
    <row r="63" spans="2:28" ht="12.75">
      <c r="B63" s="4" t="s">
        <v>96</v>
      </c>
      <c r="D63" s="4" t="s">
        <v>30</v>
      </c>
      <c r="E63" s="6">
        <v>100</v>
      </c>
      <c r="F63" s="27">
        <f t="shared" si="8"/>
        <v>66.00172809717887</v>
      </c>
      <c r="G63" s="6">
        <v>100</v>
      </c>
      <c r="H63" s="27">
        <f t="shared" si="8"/>
        <v>60.4158530390122</v>
      </c>
      <c r="I63" s="6">
        <v>100</v>
      </c>
      <c r="J63" s="27">
        <f t="shared" si="6"/>
        <v>58.89944126370284</v>
      </c>
      <c r="K63" s="6">
        <v>100</v>
      </c>
      <c r="L63" s="15">
        <f t="shared" si="1"/>
        <v>61.77234079996464</v>
      </c>
      <c r="M63" s="18"/>
      <c r="N63" s="27">
        <f>N42/60/0.0283/N$47*(21-7)/(21-N$48)*1000000</f>
        <v>23368.494200995265</v>
      </c>
      <c r="O63" s="18"/>
      <c r="P63" s="27">
        <f>P42/60/0.0283/P$47*(21-7)/(21-P$48)*1000000</f>
        <v>21291.257385689536</v>
      </c>
      <c r="Q63" s="18"/>
      <c r="R63" s="27">
        <f>R42/60/0.0283/R$47*(21-7)/(21-R$48)*1000000</f>
        <v>22087.290473888563</v>
      </c>
      <c r="S63" s="18"/>
      <c r="T63" s="15">
        <f>AVERAGE(N63,P63,R63)</f>
        <v>22249.014020191116</v>
      </c>
      <c r="U63" s="16">
        <f t="shared" si="2"/>
        <v>0.2816434724983433</v>
      </c>
      <c r="V63" s="15">
        <f t="shared" si="7"/>
        <v>23434.495929092445</v>
      </c>
      <c r="W63" s="16">
        <f t="shared" si="3"/>
        <v>0.2829560585885486</v>
      </c>
      <c r="X63" s="15">
        <f t="shared" si="7"/>
        <v>21351.67323872855</v>
      </c>
      <c r="Y63" s="16">
        <f t="shared" si="4"/>
        <v>0.26595744680851063</v>
      </c>
      <c r="Z63" s="15">
        <f t="shared" si="7"/>
        <v>22146.189915152267</v>
      </c>
      <c r="AA63" s="16">
        <f t="shared" si="5"/>
        <v>0.27687209137536023</v>
      </c>
      <c r="AB63" s="15">
        <f t="shared" si="9"/>
        <v>22310.786360991082</v>
      </c>
    </row>
    <row r="64" spans="2:28" ht="12.75">
      <c r="B64" s="4" t="s">
        <v>98</v>
      </c>
      <c r="D64" s="4" t="s">
        <v>30</v>
      </c>
      <c r="E64" s="6">
        <v>100</v>
      </c>
      <c r="F64" s="27">
        <f t="shared" si="8"/>
        <v>66.00172809717887</v>
      </c>
      <c r="G64" s="6">
        <v>100</v>
      </c>
      <c r="H64" s="27">
        <f t="shared" si="8"/>
        <v>60.4158530390122</v>
      </c>
      <c r="I64" s="6">
        <v>100</v>
      </c>
      <c r="J64" s="27">
        <f t="shared" si="6"/>
        <v>58.89944126370284</v>
      </c>
      <c r="K64" s="6">
        <v>100</v>
      </c>
      <c r="L64" s="15">
        <f t="shared" si="1"/>
        <v>61.77234079996464</v>
      </c>
      <c r="M64" s="18"/>
      <c r="N64" s="18"/>
      <c r="O64" s="18"/>
      <c r="P64" s="18"/>
      <c r="Q64" s="18"/>
      <c r="R64" s="18"/>
      <c r="S64" s="18"/>
      <c r="U64" s="16">
        <f t="shared" si="2"/>
        <v>100</v>
      </c>
      <c r="V64" s="15">
        <f t="shared" si="7"/>
        <v>66.00172809717887</v>
      </c>
      <c r="W64" s="16">
        <f t="shared" si="3"/>
        <v>100</v>
      </c>
      <c r="X64" s="15">
        <f t="shared" si="7"/>
        <v>60.4158530390122</v>
      </c>
      <c r="Y64" s="16">
        <f t="shared" si="4"/>
        <v>100</v>
      </c>
      <c r="Z64" s="15">
        <f t="shared" si="7"/>
        <v>58.89944126370284</v>
      </c>
      <c r="AA64" s="16">
        <f t="shared" si="5"/>
        <v>100</v>
      </c>
      <c r="AB64" s="15">
        <f t="shared" si="9"/>
        <v>61.77234079996464</v>
      </c>
    </row>
    <row r="65" spans="2:28" ht="12.75">
      <c r="B65" s="4" t="s">
        <v>99</v>
      </c>
      <c r="D65" s="4" t="s">
        <v>30</v>
      </c>
      <c r="E65" s="6">
        <v>100</v>
      </c>
      <c r="F65" s="27">
        <f t="shared" si="8"/>
        <v>66.00172809717887</v>
      </c>
      <c r="G65" s="6">
        <v>100</v>
      </c>
      <c r="H65" s="27">
        <f t="shared" si="8"/>
        <v>60.4158530390122</v>
      </c>
      <c r="I65" s="6">
        <v>100</v>
      </c>
      <c r="J65" s="27">
        <f t="shared" si="6"/>
        <v>58.89944126370284</v>
      </c>
      <c r="K65" s="6">
        <v>100</v>
      </c>
      <c r="L65" s="15">
        <f t="shared" si="1"/>
        <v>61.77234079996464</v>
      </c>
      <c r="M65" s="18"/>
      <c r="N65" s="18"/>
      <c r="O65" s="18"/>
      <c r="P65" s="18"/>
      <c r="Q65" s="18"/>
      <c r="R65" s="18"/>
      <c r="S65" s="18"/>
      <c r="U65" s="16">
        <f t="shared" si="2"/>
        <v>100</v>
      </c>
      <c r="V65" s="15">
        <f t="shared" si="7"/>
        <v>66.00172809717887</v>
      </c>
      <c r="W65" s="16">
        <f t="shared" si="3"/>
        <v>100</v>
      </c>
      <c r="X65" s="15">
        <f t="shared" si="7"/>
        <v>60.4158530390122</v>
      </c>
      <c r="Y65" s="16">
        <f t="shared" si="4"/>
        <v>100</v>
      </c>
      <c r="Z65" s="15">
        <f t="shared" si="7"/>
        <v>58.89944126370284</v>
      </c>
      <c r="AA65" s="16">
        <f t="shared" si="5"/>
        <v>100</v>
      </c>
      <c r="AB65" s="15">
        <f t="shared" si="9"/>
        <v>61.77234079996464</v>
      </c>
    </row>
    <row r="66" spans="6:28" ht="12.75">
      <c r="F66" s="2"/>
      <c r="G66" s="29"/>
      <c r="H66" s="2"/>
      <c r="I66" s="29"/>
      <c r="J66" s="2"/>
      <c r="L66" s="18"/>
      <c r="M66" s="18"/>
      <c r="N66" s="18"/>
      <c r="O66" s="18"/>
      <c r="P66" s="18"/>
      <c r="Q66" s="18"/>
      <c r="R66" s="18"/>
      <c r="S66" s="18"/>
      <c r="V66" s="15"/>
      <c r="X66" s="15"/>
      <c r="Z66" s="15"/>
      <c r="AB66" s="15"/>
    </row>
    <row r="67" spans="2:28" ht="12.75">
      <c r="B67" s="4" t="s">
        <v>31</v>
      </c>
      <c r="D67" s="4" t="s">
        <v>30</v>
      </c>
      <c r="E67" s="28">
        <f>(E63*F63+E60*F60)/F67</f>
        <v>100</v>
      </c>
      <c r="F67" s="27">
        <f>F63+F60</f>
        <v>69.88418269113056</v>
      </c>
      <c r="G67" s="28">
        <f>(G63*H63+G60*H60)/H67</f>
        <v>100</v>
      </c>
      <c r="H67" s="27">
        <f>H63+H60</f>
        <v>63.969726747189384</v>
      </c>
      <c r="I67" s="28">
        <f>(I63*J63+I60*J60)/J67</f>
        <v>100.00000000000001</v>
      </c>
      <c r="J67" s="27">
        <f>J63+J60</f>
        <v>62.580656342684264</v>
      </c>
      <c r="K67" s="28">
        <f>(K63*L63+K60*L60)/L67</f>
        <v>100.00000000000003</v>
      </c>
      <c r="L67" s="15">
        <f>AVERAGE(F67,H67,J67)</f>
        <v>65.47818859366807</v>
      </c>
      <c r="M67" s="13"/>
      <c r="N67" s="27">
        <f>N63+N60</f>
        <v>23368.494200995265</v>
      </c>
      <c r="O67" s="13"/>
      <c r="P67" s="27">
        <f>P63+P60</f>
        <v>21291.257385689536</v>
      </c>
      <c r="Q67" s="13"/>
      <c r="R67" s="27">
        <f>R63+R60</f>
        <v>22087.290473888563</v>
      </c>
      <c r="S67" s="13"/>
      <c r="T67" s="16">
        <f>AVERAGE(N67,P67,R67)</f>
        <v>22249.014020191116</v>
      </c>
      <c r="U67" s="28">
        <f>(U63*V63+U60*V60)/V67</f>
        <v>0.29816133841311915</v>
      </c>
      <c r="V67" s="15">
        <f>SUM(N67,F67)</f>
        <v>23438.378383686395</v>
      </c>
      <c r="W67" s="28">
        <f>(W63*X63+W60*X60)/X67</f>
        <v>0.2995506739890165</v>
      </c>
      <c r="X67" s="15">
        <f>SUM(P67,H67)</f>
        <v>21355.227112436725</v>
      </c>
      <c r="Y67" s="28">
        <f>(Y63*Z63+Y60*Z60)/Z67</f>
        <v>0.2825328236662789</v>
      </c>
      <c r="Z67" s="15">
        <f>SUM(R67,J67)</f>
        <v>22149.871130231248</v>
      </c>
      <c r="AA67" s="28">
        <f>(AA63*AB63+AA60*AB60)/AB67</f>
        <v>0.2934334690703406</v>
      </c>
      <c r="AB67" s="15">
        <f t="shared" si="9"/>
        <v>22314.492208784784</v>
      </c>
    </row>
    <row r="68" spans="2:28" ht="12.75">
      <c r="B68" s="4" t="s">
        <v>32</v>
      </c>
      <c r="D68" s="4" t="s">
        <v>30</v>
      </c>
      <c r="E68" s="28">
        <f>(E61*F61+E59*F59+E57*F57)/F68</f>
        <v>0.39062500000000006</v>
      </c>
      <c r="F68" s="27">
        <f>F61+F59+F57</f>
        <v>993.9083760516347</v>
      </c>
      <c r="G68" s="28">
        <f>(G61*H61+G59*H59+G57*H57)/H68</f>
        <v>0.4587155963302753</v>
      </c>
      <c r="H68" s="27">
        <f>H61+H59+H57</f>
        <v>774.744468382627</v>
      </c>
      <c r="I68" s="28">
        <f>(I61*J61+I59*J59+I57*J57)/J68</f>
        <v>0.34482758620689663</v>
      </c>
      <c r="J68" s="27">
        <f>J61+J59+J57</f>
        <v>1067.5523729046138</v>
      </c>
      <c r="K68" s="28">
        <f>(K61*L61+K59*L59+K57*L57)/L68</f>
        <v>0.3919865640590551</v>
      </c>
      <c r="L68" s="15">
        <f>AVERAGE(F68,H68,J68)</f>
        <v>945.4017391129586</v>
      </c>
      <c r="M68" s="13"/>
      <c r="N68" s="27">
        <f>N61+N59+N57</f>
        <v>4464.822783044453</v>
      </c>
      <c r="O68" s="13"/>
      <c r="P68" s="27">
        <f>P61+P59+P57</f>
        <v>4069.1853958628813</v>
      </c>
      <c r="Q68" s="13"/>
      <c r="R68" s="27">
        <f>R61+R59+R57</f>
        <v>4222.353695591697</v>
      </c>
      <c r="S68" s="13"/>
      <c r="T68" s="16">
        <f>AVERAGE(N68,P68,R68)</f>
        <v>4252.12062483301</v>
      </c>
      <c r="U68" s="28">
        <f>(U61*V61+U59*V59+U57*V57)/V68</f>
        <v>0.07112375533428165</v>
      </c>
      <c r="V68" s="15">
        <f>SUM(N68,F68)</f>
        <v>5458.731159096088</v>
      </c>
      <c r="W68" s="28">
        <f>(W61*X61+W59*X59+W57*X57)/X68</f>
        <v>0.07336757153338223</v>
      </c>
      <c r="X68" s="15">
        <f>SUM(P68,H68)</f>
        <v>4843.929864245509</v>
      </c>
      <c r="Y68" s="28">
        <f>(Y61*Z61+Y59*Z59+Y57*Z57)/Z68</f>
        <v>0.06958942240779402</v>
      </c>
      <c r="Z68" s="15">
        <f>SUM(R68,J68)</f>
        <v>5289.906068496311</v>
      </c>
      <c r="AA68" s="28">
        <f>(AA61*AB61+AA59*AB59+AA57*AB57)/AB68</f>
        <v>0.07130027605864792</v>
      </c>
      <c r="AB68" s="15">
        <f t="shared" si="9"/>
        <v>5197.522363945968</v>
      </c>
    </row>
    <row r="71" spans="2:3" ht="12.75">
      <c r="B71" s="7" t="s">
        <v>115</v>
      </c>
      <c r="C71" s="7"/>
    </row>
    <row r="73" spans="2:6" ht="12.75">
      <c r="B73" s="2" t="s">
        <v>89</v>
      </c>
      <c r="C73" s="2"/>
      <c r="D73" s="2" t="s">
        <v>80</v>
      </c>
      <c r="F73" s="2">
        <v>725</v>
      </c>
    </row>
    <row r="74" spans="2:6" ht="12.75">
      <c r="B74" s="2" t="s">
        <v>90</v>
      </c>
      <c r="C74" s="2"/>
      <c r="D74" s="2" t="s">
        <v>80</v>
      </c>
      <c r="F74" s="37" t="s">
        <v>91</v>
      </c>
    </row>
    <row r="75" spans="2:6" ht="12.75">
      <c r="B75" s="2" t="s">
        <v>92</v>
      </c>
      <c r="C75" s="2"/>
      <c r="D75" s="2" t="s">
        <v>80</v>
      </c>
      <c r="F75" s="28">
        <v>121000</v>
      </c>
    </row>
    <row r="76" spans="2:6" ht="12.75">
      <c r="B76" s="2" t="s">
        <v>93</v>
      </c>
      <c r="C76" s="2"/>
      <c r="D76" s="2" t="s">
        <v>80</v>
      </c>
      <c r="F76" s="2">
        <v>1</v>
      </c>
    </row>
    <row r="77" spans="2:6" ht="12.75">
      <c r="B77" s="2" t="s">
        <v>94</v>
      </c>
      <c r="C77" s="2"/>
      <c r="D77" s="2" t="s">
        <v>80</v>
      </c>
      <c r="F77" s="2">
        <v>1.3</v>
      </c>
    </row>
    <row r="78" spans="2:6" ht="12.75">
      <c r="B78" s="2" t="s">
        <v>95</v>
      </c>
      <c r="C78" s="2"/>
      <c r="D78" s="2" t="s">
        <v>80</v>
      </c>
      <c r="F78" s="37" t="s">
        <v>91</v>
      </c>
    </row>
    <row r="79" spans="2:6" ht="12.75">
      <c r="B79" s="2" t="s">
        <v>96</v>
      </c>
      <c r="C79" s="2"/>
      <c r="D79" s="2" t="s">
        <v>80</v>
      </c>
      <c r="F79" s="37" t="s">
        <v>91</v>
      </c>
    </row>
    <row r="80" spans="2:6" ht="12.75">
      <c r="B80" s="2" t="s">
        <v>97</v>
      </c>
      <c r="C80" s="2"/>
      <c r="D80" s="2" t="s">
        <v>80</v>
      </c>
      <c r="F80" s="2">
        <v>193.3</v>
      </c>
    </row>
    <row r="81" spans="2:6" ht="12.75">
      <c r="B81" s="2" t="s">
        <v>98</v>
      </c>
      <c r="C81" s="2"/>
      <c r="D81" s="2" t="s">
        <v>80</v>
      </c>
      <c r="F81" s="2">
        <v>7248</v>
      </c>
    </row>
    <row r="82" spans="2:6" ht="12.75">
      <c r="B82" s="2" t="s">
        <v>99</v>
      </c>
      <c r="C82" s="2"/>
      <c r="D82" s="2" t="s">
        <v>80</v>
      </c>
      <c r="F82" s="2">
        <v>1208</v>
      </c>
    </row>
    <row r="83" spans="2:6" ht="12.75">
      <c r="B83" s="2" t="s">
        <v>23</v>
      </c>
      <c r="C83" s="2"/>
      <c r="D83" s="2" t="s">
        <v>80</v>
      </c>
      <c r="E83" s="5"/>
      <c r="F83" s="37" t="s">
        <v>91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C1" sqref="C1"/>
    </sheetView>
  </sheetViews>
  <sheetFormatPr defaultColWidth="9.140625" defaultRowHeight="12.75"/>
  <cols>
    <col min="1" max="1" width="29.140625" style="2" bestFit="1" customWidth="1"/>
    <col min="2" max="2" width="6.8515625" style="2" customWidth="1"/>
    <col min="3" max="5" width="10.8515625" style="2" customWidth="1"/>
    <col min="6" max="6" width="2.421875" style="2" customWidth="1"/>
    <col min="7" max="16384" width="10.8515625" style="2" customWidth="1"/>
  </cols>
  <sheetData>
    <row r="1" ht="12.75">
      <c r="A1" s="1" t="s">
        <v>40</v>
      </c>
    </row>
    <row r="2" spans="3:7" ht="12.75">
      <c r="C2" s="29" t="s">
        <v>69</v>
      </c>
      <c r="D2" s="29" t="s">
        <v>70</v>
      </c>
      <c r="E2" s="29" t="s">
        <v>71</v>
      </c>
      <c r="G2" s="2" t="s">
        <v>68</v>
      </c>
    </row>
    <row r="3" spans="1:6" ht="12.75">
      <c r="A3" s="1" t="s">
        <v>52</v>
      </c>
      <c r="C3" s="39"/>
      <c r="D3" s="39"/>
      <c r="E3" s="39"/>
      <c r="F3" s="12"/>
    </row>
    <row r="4" spans="3:6" ht="12.75">
      <c r="C4" s="11"/>
      <c r="D4" s="11"/>
      <c r="E4" s="11"/>
      <c r="F4" s="12"/>
    </row>
    <row r="5" spans="1:7" ht="12.75">
      <c r="A5" s="2" t="s">
        <v>39</v>
      </c>
      <c r="B5" s="2" t="s">
        <v>24</v>
      </c>
      <c r="C5" s="2">
        <v>19857</v>
      </c>
      <c r="D5" s="2">
        <v>19639</v>
      </c>
      <c r="E5" s="2">
        <v>20014</v>
      </c>
      <c r="G5" s="28">
        <f>AVERAGE(C5,D5,E5)</f>
        <v>19836.666666666668</v>
      </c>
    </row>
    <row r="6" spans="1:7" ht="12.75">
      <c r="A6" s="2" t="s">
        <v>102</v>
      </c>
      <c r="B6" s="2" t="s">
        <v>28</v>
      </c>
      <c r="C6" s="2">
        <v>1591</v>
      </c>
      <c r="D6" s="2">
        <v>1606</v>
      </c>
      <c r="E6" s="2">
        <v>1619</v>
      </c>
      <c r="G6" s="28">
        <f aca="true" t="shared" si="0" ref="G6:G15">AVERAGE(C6,D6,E6)</f>
        <v>1605.3333333333333</v>
      </c>
    </row>
    <row r="7" spans="1:7" ht="12.75">
      <c r="A7" s="2" t="s">
        <v>85</v>
      </c>
      <c r="B7" s="2" t="s">
        <v>28</v>
      </c>
      <c r="C7" s="2">
        <v>153</v>
      </c>
      <c r="D7" s="2">
        <v>155</v>
      </c>
      <c r="E7" s="2">
        <v>167</v>
      </c>
      <c r="G7" s="28">
        <f t="shared" si="0"/>
        <v>158.33333333333334</v>
      </c>
    </row>
    <row r="8" spans="1:7" ht="12.75">
      <c r="A8" s="2" t="s">
        <v>84</v>
      </c>
      <c r="B8" s="2" t="s">
        <v>51</v>
      </c>
      <c r="C8" s="2">
        <v>6.9</v>
      </c>
      <c r="D8" s="2">
        <v>7.2</v>
      </c>
      <c r="E8" s="2">
        <v>7.9</v>
      </c>
      <c r="G8" s="27">
        <f t="shared" si="0"/>
        <v>7.333333333333333</v>
      </c>
    </row>
    <row r="10" ht="12.75">
      <c r="A10" s="1" t="s">
        <v>53</v>
      </c>
    </row>
    <row r="11" spans="3:5" ht="12.75">
      <c r="C11" s="39"/>
      <c r="D11" s="39"/>
      <c r="E11" s="39"/>
    </row>
    <row r="12" spans="1:7" ht="12.75">
      <c r="A12" s="2" t="s">
        <v>39</v>
      </c>
      <c r="B12" s="2" t="s">
        <v>24</v>
      </c>
      <c r="C12" s="2">
        <v>53421</v>
      </c>
      <c r="D12" s="2">
        <v>52851</v>
      </c>
      <c r="E12" s="2">
        <v>50871</v>
      </c>
      <c r="G12" s="2">
        <f t="shared" si="0"/>
        <v>52381</v>
      </c>
    </row>
    <row r="13" spans="1:7" ht="12.75">
      <c r="A13" s="2" t="s">
        <v>102</v>
      </c>
      <c r="B13" s="2" t="s">
        <v>28</v>
      </c>
      <c r="C13" s="2">
        <v>2473</v>
      </c>
      <c r="D13" s="2">
        <v>2468</v>
      </c>
      <c r="E13" s="2">
        <v>2450</v>
      </c>
      <c r="G13" s="28">
        <f t="shared" si="0"/>
        <v>2463.6666666666665</v>
      </c>
    </row>
    <row r="14" spans="1:7" ht="12.75">
      <c r="A14" s="2" t="s">
        <v>85</v>
      </c>
      <c r="B14" s="2" t="s">
        <v>28</v>
      </c>
      <c r="C14" s="2">
        <v>178</v>
      </c>
      <c r="D14" s="2">
        <v>187</v>
      </c>
      <c r="E14" s="2">
        <v>178</v>
      </c>
      <c r="G14" s="2">
        <f t="shared" si="0"/>
        <v>181</v>
      </c>
    </row>
    <row r="15" spans="1:7" ht="12.75">
      <c r="A15" s="2" t="s">
        <v>84</v>
      </c>
      <c r="B15" s="2" t="s">
        <v>51</v>
      </c>
      <c r="C15" s="2">
        <v>11.8</v>
      </c>
      <c r="D15" s="2">
        <v>12.8</v>
      </c>
      <c r="E15" s="2">
        <v>8.8</v>
      </c>
      <c r="G15" s="27">
        <f t="shared" si="0"/>
        <v>11.133333333333335</v>
      </c>
    </row>
  </sheetData>
  <mergeCells count="2">
    <mergeCell ref="C3:E3"/>
    <mergeCell ref="C11:E11"/>
  </mergeCells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2004-02-20T22:25:30Z</cp:lastPrinted>
  <dcterms:created xsi:type="dcterms:W3CDTF">2000-03-28T20:10:31Z</dcterms:created>
  <dcterms:modified xsi:type="dcterms:W3CDTF">2004-02-20T22:25:34Z</dcterms:modified>
  <cp:category/>
  <cp:version/>
  <cp:contentType/>
  <cp:contentStatus/>
</cp:coreProperties>
</file>