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05" windowWidth="11970" windowHeight="1065" tabRatio="667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2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<sst xmlns="http://schemas.openxmlformats.org/spreadsheetml/2006/main" count="777" uniqueCount="213">
  <si>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</si>
  <si>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</si>
  <si>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</si>
  <si>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</si>
  <si>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</si>
  <si>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</si>
  <si>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</si>
  <si>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None</t>
  </si>
  <si>
    <t>Soot Blowing</t>
  </si>
  <si>
    <t>APCS Characteristics</t>
  </si>
  <si>
    <t>NA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</si>
  <si>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</si>
  <si>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</si>
  <si>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</si>
  <si>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</si>
  <si>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</si>
  <si>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</si>
  <si>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</si>
  <si>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</si>
  <si>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</si>
  <si>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</si>
  <si>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</si>
  <si>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</si>
  <si>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</si>
  <si>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</si>
  <si>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dscfm</t>
  </si>
  <si>
    <t>%</t>
  </si>
  <si>
    <t>°F</t>
  </si>
  <si>
    <t>Cond Avg</t>
  </si>
  <si>
    <t>Feedrate</t>
  </si>
  <si>
    <t>g/hr</t>
  </si>
  <si>
    <t>Btu/lb</t>
  </si>
  <si>
    <t>nd</t>
  </si>
  <si>
    <t>Viscosity</t>
  </si>
  <si>
    <t>cp</t>
  </si>
  <si>
    <t>Density</t>
  </si>
  <si>
    <t>g/ml</t>
  </si>
  <si>
    <t>Ash</t>
  </si>
  <si>
    <t>Chlorine</t>
  </si>
  <si>
    <t xml:space="preserve">    Testing Dates</t>
  </si>
  <si>
    <t>Process Information</t>
  </si>
  <si>
    <t>lb/hr</t>
  </si>
  <si>
    <t>MMBtu/hr</t>
  </si>
  <si>
    <t>Heating Value</t>
  </si>
  <si>
    <t>Stack Gas Flowrate</t>
  </si>
  <si>
    <t>Oxygen</t>
  </si>
  <si>
    <t>mg/dscm</t>
  </si>
  <si>
    <t>ug/dscm</t>
  </si>
  <si>
    <t>Stack Gas Emissions</t>
  </si>
  <si>
    <t>HW</t>
  </si>
  <si>
    <t>SVM</t>
  </si>
  <si>
    <t>LVM</t>
  </si>
  <si>
    <t>DRE</t>
  </si>
  <si>
    <t>Liq</t>
  </si>
  <si>
    <t>Natural gas</t>
  </si>
  <si>
    <t>Celanese Ltd</t>
  </si>
  <si>
    <t>Bay City</t>
  </si>
  <si>
    <t>TX</t>
  </si>
  <si>
    <t>Stack PM; Feed analysis of organics and ash.</t>
  </si>
  <si>
    <t>Stack CO; Feed analysis</t>
  </si>
  <si>
    <t>POHC DRE</t>
  </si>
  <si>
    <t>Mlb/hr</t>
  </si>
  <si>
    <t>V-683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</si>
  <si>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</si>
  <si>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</si>
  <si>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</si>
  <si>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</si>
  <si>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</si>
  <si>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</si>
  <si>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</si>
  <si>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</si>
  <si>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</si>
  <si>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</si>
  <si>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TCDD Total</t>
  </si>
  <si>
    <t>1,2,3,7,8-PCDD</t>
  </si>
  <si>
    <t>PCDD Total</t>
  </si>
  <si>
    <t>1,2,3,4,7,8-HxCDD</t>
  </si>
  <si>
    <t>1,2,3,6,7,8-HxCDD</t>
  </si>
  <si>
    <t>1,2,3,7,8,9-HxCDD</t>
  </si>
  <si>
    <t>HxCDD Total</t>
  </si>
  <si>
    <t>1,2,3,4,6,7,8-HpCDD</t>
  </si>
  <si>
    <t>HpCDD Total</t>
  </si>
  <si>
    <t>OCDD</t>
  </si>
  <si>
    <t>2,3,7,8-TCDF</t>
  </si>
  <si>
    <t>TCDF Total</t>
  </si>
  <si>
    <t>1,2,3,7,8-PCDF</t>
  </si>
  <si>
    <t>2,3,4,7,8-PCDF</t>
  </si>
  <si>
    <t>PCDF Total</t>
  </si>
  <si>
    <t>1,2,3,4,7,8-HxCDF</t>
  </si>
  <si>
    <t>1,2,3,6,7,8-HxCDF</t>
  </si>
  <si>
    <t>2,3,4,6,7,8-HxCDF</t>
  </si>
  <si>
    <t>1,2,3,7,8,9-HxCDF</t>
  </si>
  <si>
    <t>HxCDF Total</t>
  </si>
  <si>
    <t>1,2,3,4,6,7,8-HpCDF</t>
  </si>
  <si>
    <t>1,2,3,4,7,8,9-HpCDF</t>
  </si>
  <si>
    <t>HpCDF Total</t>
  </si>
  <si>
    <t>OCDF</t>
  </si>
  <si>
    <t>Gas sample volume (dscf)</t>
  </si>
  <si>
    <t>O2 (%)</t>
  </si>
  <si>
    <t>PCDD/PCDF (ng in sample)</t>
  </si>
  <si>
    <t>PCDD/PCDF (ng/dscm @ 7% O2)</t>
  </si>
  <si>
    <t>Particle Size Distribution</t>
  </si>
  <si>
    <t>10-9.5</t>
  </si>
  <si>
    <t>9.5-6.4</t>
  </si>
  <si>
    <t>6.4-4.4</t>
  </si>
  <si>
    <t>4.4-2.8</t>
  </si>
  <si>
    <t>2.8-1.4</t>
  </si>
  <si>
    <t>1.4-0.88</t>
  </si>
  <si>
    <t>TRC Environmental Corporation</t>
  </si>
  <si>
    <t>TXD026040709</t>
  </si>
  <si>
    <t>Capacity (MMBtu/hr)</t>
  </si>
  <si>
    <t>721C10</t>
  </si>
  <si>
    <t>721C11</t>
  </si>
  <si>
    <t>721C12</t>
  </si>
  <si>
    <t>July 21-22, 1998</t>
  </si>
  <si>
    <t>Combustor Characteristics</t>
  </si>
  <si>
    <t>Hazardous Wastes</t>
  </si>
  <si>
    <t>Haz Waste Description</t>
  </si>
  <si>
    <t>Supplemental Fuel</t>
  </si>
  <si>
    <t>Trial burn; min combustion temp, DRE</t>
  </si>
  <si>
    <t>Trial burn; max waste feed</t>
  </si>
  <si>
    <t>Feedstreams</t>
  </si>
  <si>
    <t>Steam Production Rate</t>
  </si>
  <si>
    <t>Firebox Temp Indicator</t>
  </si>
  <si>
    <t>1/2 ND</t>
  </si>
  <si>
    <t>PCDD/PCDF</t>
  </si>
  <si>
    <t>V-1041</t>
  </si>
  <si>
    <t>VOC, Total Organics, SVOCs, PCDDs/PCDFs, Particle Size Distribution, aldehydes, and ketones.</t>
  </si>
  <si>
    <t>TEQ Avg</t>
  </si>
  <si>
    <t>Total Avg</t>
  </si>
  <si>
    <t>Haz wastes</t>
  </si>
  <si>
    <t>Feedrate MTEC Calculations</t>
  </si>
  <si>
    <t>Boiler No. 5</t>
  </si>
  <si>
    <t>Boiler No. 4</t>
  </si>
  <si>
    <t>Cumulative % &lt;</t>
  </si>
  <si>
    <t>Wt % in Size Range</t>
  </si>
  <si>
    <t>7% O2</t>
  </si>
  <si>
    <t>Source Description</t>
  </si>
  <si>
    <t>Phase II ID No.</t>
  </si>
  <si>
    <t xml:space="preserve">    Gas Velocity (ft/sec)</t>
  </si>
  <si>
    <t xml:space="preserve">    Gas Temperature (°F)</t>
  </si>
  <si>
    <t>&gt;</t>
  </si>
  <si>
    <t xml:space="preserve">   Temperature</t>
  </si>
  <si>
    <t xml:space="preserve">   Stack Gas Flowrate</t>
  </si>
  <si>
    <t>Comments</t>
  </si>
  <si>
    <t xml:space="preserve"> PM</t>
  </si>
  <si>
    <t xml:space="preserve">   O2</t>
  </si>
  <si>
    <t xml:space="preserve">   Moisture</t>
  </si>
  <si>
    <t>in microns</t>
  </si>
  <si>
    <t>&gt;10</t>
  </si>
  <si>
    <t>0.88-0.6</t>
  </si>
  <si>
    <t>&lt;0.6</t>
  </si>
  <si>
    <t>Chlorobenzene</t>
  </si>
  <si>
    <t>Emissions Rate</t>
  </si>
  <si>
    <t>Toluene</t>
  </si>
  <si>
    <t>CO (MHRA)</t>
  </si>
  <si>
    <t>Sampling Train</t>
  </si>
  <si>
    <t>Arsenic</t>
  </si>
  <si>
    <t>Barium</t>
  </si>
  <si>
    <t>Beryllium</t>
  </si>
  <si>
    <t>Thallium</t>
  </si>
  <si>
    <t>Antimony</t>
  </si>
  <si>
    <t>Lead</t>
  </si>
  <si>
    <t>Cadmium</t>
  </si>
  <si>
    <t>Silver</t>
  </si>
  <si>
    <t>Chromium</t>
  </si>
  <si>
    <t>Feedstream Description</t>
  </si>
  <si>
    <t>*</t>
  </si>
  <si>
    <t>Thermal Feedrate</t>
  </si>
  <si>
    <t>Mercury</t>
  </si>
  <si>
    <t>Feed Rate</t>
  </si>
  <si>
    <t>V-1041 (Vinyl Acetate Unit's waste organics) and V-683 (combined OXO Units' liquid waste); at times may also carry D018 (benzene) and D035 (methyl ethyl ketone)</t>
  </si>
  <si>
    <t>Adjusted Tier I for metals and chlorine</t>
  </si>
  <si>
    <t>Trial Burn/Risk Bum Report, Boiler 4, Celanese Ltd/November 1998</t>
  </si>
  <si>
    <t>TRC Environmental Corporation, Houston, TX</t>
  </si>
  <si>
    <t>Risk burn; typical feedrate</t>
  </si>
  <si>
    <t>HWC Burn Status (Date if Terminated)</t>
  </si>
  <si>
    <t>R1</t>
  </si>
  <si>
    <t>R2</t>
  </si>
  <si>
    <t>R3</t>
  </si>
  <si>
    <t xml:space="preserve">    Cond Dates</t>
  </si>
  <si>
    <t>Watertube boiler. C-E Type VU-60 rated at 350,000 lb/hr steam @ 650 psig and 750F; Ljungstrum regeneration air preheater; 4 natural gas burners and 4 liquid waste nozzles; one boiler performs as a BIF at any time, other either idled or burning natural gas and process vent gases for steam production as a regular boiler</t>
  </si>
  <si>
    <t>Liquid-fired boiler</t>
  </si>
  <si>
    <t>Cond Description</t>
  </si>
  <si>
    <t>Number of Sister Facilities</t>
  </si>
  <si>
    <t>Combustor Type</t>
  </si>
  <si>
    <t>APCS Detailed Acronym</t>
  </si>
  <si>
    <t>APCS General Class</t>
  </si>
  <si>
    <t>Liquid-fired</t>
  </si>
  <si>
    <t>E1</t>
  </si>
  <si>
    <t>source</t>
  </si>
  <si>
    <t>cond</t>
  </si>
  <si>
    <t>emiss</t>
  </si>
  <si>
    <t>feed</t>
  </si>
  <si>
    <t>process</t>
  </si>
  <si>
    <t>Feedstream Number</t>
  </si>
  <si>
    <t>Feed Class</t>
  </si>
  <si>
    <t>F1</t>
  </si>
  <si>
    <t>Liq HW</t>
  </si>
  <si>
    <t>F2</t>
  </si>
  <si>
    <t>F3</t>
  </si>
  <si>
    <t>Feed Class 2</t>
  </si>
  <si>
    <t>Estimated Firing Rate</t>
  </si>
  <si>
    <t>Certification of Compliance, Boiler 4 Celanese Ltd/October 1998</t>
  </si>
  <si>
    <t>Compliance Test Report, Boiler 4, Celanese Ltd/October 1998</t>
  </si>
  <si>
    <t xml:space="preserve">Facility Name and ID:  </t>
  </si>
  <si>
    <t xml:space="preserve">Condition ID:  </t>
  </si>
  <si>
    <t xml:space="preserve">Condition/Test Date:  </t>
  </si>
  <si>
    <t>Risk burn; July 21-22, 1998</t>
  </si>
  <si>
    <t>df c12</t>
  </si>
  <si>
    <t>Full ND</t>
  </si>
  <si>
    <t>Combustor Class</t>
  </si>
  <si>
    <t>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</si>
</sst>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0.00000000"/>
    <numFmt numFmtId="171" formatCode="0.0000000"/>
    <numFmt numFmtId="172" formatCode="0.000000000"/>
    <numFmt numFmtId="173" formatCode="0.0E+00"/>
    <numFmt numFmtId="174" formatCode="0E+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left"/>
    </xf>
    <xf numFmtId="166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left" vertical="top" wrapText="1"/>
    </xf>
    <xf numFmtId="0" fontId="1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0" fillId="0" borderId="0" xfId="19" applyFont="1" applyFill="1" applyBorder="1" applyAlignment="1">
      <alignment horizontal="center"/>
      <protection/>
    </xf>
    <xf numFmtId="11" fontId="0" fillId="0" borderId="0" xfId="19" applyNumberFormat="1" applyFont="1" applyFill="1" applyBorder="1">
      <alignment/>
      <protection/>
    </xf>
    <xf numFmtId="169" fontId="0" fillId="0" borderId="0" xfId="19" applyNumberFormat="1" applyFont="1" applyFill="1" applyBorder="1">
      <alignment/>
      <protection/>
    </xf>
    <xf numFmtId="11" fontId="0" fillId="0" borderId="0" xfId="19" applyNumberFormat="1" applyFont="1" applyFill="1" applyBorder="1" applyAlignment="1">
      <alignment horizontal="center"/>
      <protection/>
    </xf>
    <xf numFmtId="11" fontId="0" fillId="0" borderId="0" xfId="19" applyNumberFormat="1" applyFont="1" applyFill="1" applyBorder="1" applyAlignment="1">
      <alignment horizontal="left"/>
      <protection/>
    </xf>
    <xf numFmtId="169" fontId="0" fillId="0" borderId="0" xfId="19" applyNumberFormat="1" applyFont="1" applyFill="1" applyBorder="1" applyAlignment="1">
      <alignment horizontal="center"/>
      <protection/>
    </xf>
    <xf numFmtId="1" fontId="0" fillId="0" borderId="0" xfId="19" applyNumberFormat="1" applyFont="1" applyFill="1" applyBorder="1" applyAlignment="1">
      <alignment horizontal="centerContinuous"/>
      <protection/>
    </xf>
    <xf numFmtId="1" fontId="0" fillId="0" borderId="0" xfId="19" applyNumberFormat="1" applyFont="1" applyFill="1" applyBorder="1" applyAlignment="1">
      <alignment horizontal="center"/>
      <protection/>
    </xf>
    <xf numFmtId="0" fontId="0" fillId="0" borderId="0" xfId="19" applyFont="1" applyFill="1">
      <alignment/>
      <protection/>
    </xf>
    <xf numFmtId="2" fontId="0" fillId="0" borderId="0" xfId="19" applyNumberFormat="1" applyFont="1" applyFill="1" applyBorder="1">
      <alignment/>
      <protection/>
    </xf>
    <xf numFmtId="2" fontId="0" fillId="0" borderId="0" xfId="19" applyNumberFormat="1" applyFont="1" applyFill="1" applyBorder="1" applyAlignment="1">
      <alignment horizontal="center"/>
      <protection/>
    </xf>
    <xf numFmtId="0" fontId="0" fillId="0" borderId="0" xfId="19" applyFont="1" applyFill="1" applyAlignment="1">
      <alignment horizontal="center"/>
      <protection/>
    </xf>
    <xf numFmtId="166" fontId="0" fillId="0" borderId="0" xfId="19" applyNumberFormat="1" applyFont="1" applyFill="1" applyBorder="1">
      <alignment/>
      <protection/>
    </xf>
    <xf numFmtId="166" fontId="0" fillId="0" borderId="0" xfId="19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19" applyFont="1" applyFill="1" applyBorder="1" applyAlignment="1">
      <alignment horizontal="left"/>
      <protection/>
    </xf>
    <xf numFmtId="165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SF Amines LA (834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B6" sqref="B6"/>
    </sheetView>
  </sheetViews>
  <sheetFormatPr defaultColWidth="9.140625" defaultRowHeight="12.75"/>
  <sheetData>
    <row r="1" ht="12.75">
      <c r="A1" t="s">
        <v>190</v>
      </c>
    </row>
    <row r="2" ht="12.75">
      <c r="A2" t="s">
        <v>191</v>
      </c>
    </row>
    <row r="3" ht="12.75">
      <c r="A3" t="s">
        <v>192</v>
      </c>
    </row>
    <row r="4" ht="12.75">
      <c r="A4" t="s">
        <v>193</v>
      </c>
    </row>
    <row r="5" ht="12.75">
      <c r="A5" t="s">
        <v>194</v>
      </c>
    </row>
    <row r="6" ht="12.75">
      <c r="A6" t="s">
        <v>209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B1">
      <selection activeCell="C1" sqref="C1"/>
    </sheetView>
  </sheetViews>
  <sheetFormatPr defaultColWidth="9.140625" defaultRowHeight="12.75"/>
  <cols>
    <col min="1" max="1" width="4.28125" style="16" hidden="1" customWidth="1"/>
    <col min="2" max="2" width="25.421875" style="16" customWidth="1"/>
    <col min="3" max="3" width="58.140625" style="16" customWidth="1"/>
    <col min="4" max="13" width="8.8515625" style="0" customWidth="1"/>
    <col min="14" max="16384" width="8.8515625" style="16" customWidth="1"/>
  </cols>
  <sheetData>
    <row r="1" ht="12.75">
      <c r="B1" s="15" t="s">
        <v>137</v>
      </c>
    </row>
    <row r="3" spans="2:3" ht="12.75">
      <c r="B3" s="16" t="s">
        <v>138</v>
      </c>
      <c r="C3" s="17">
        <v>721</v>
      </c>
    </row>
    <row r="4" spans="2:3" ht="12.75">
      <c r="B4" s="16" t="s">
        <v>0</v>
      </c>
      <c r="C4" s="16" t="s">
        <v>109</v>
      </c>
    </row>
    <row r="5" spans="2:3" ht="12.75">
      <c r="B5" s="16" t="s">
        <v>1</v>
      </c>
      <c r="C5" s="16" t="s">
        <v>55</v>
      </c>
    </row>
    <row r="6" ht="12.75">
      <c r="B6" s="16" t="s">
        <v>2</v>
      </c>
    </row>
    <row r="7" spans="2:3" ht="12.75">
      <c r="B7" s="16" t="s">
        <v>3</v>
      </c>
      <c r="C7" s="16" t="s">
        <v>56</v>
      </c>
    </row>
    <row r="8" spans="2:3" ht="12.75">
      <c r="B8" s="16" t="s">
        <v>4</v>
      </c>
      <c r="C8" s="16" t="s">
        <v>57</v>
      </c>
    </row>
    <row r="9" spans="2:3" ht="12.75">
      <c r="B9" s="16" t="s">
        <v>5</v>
      </c>
      <c r="C9" s="16" t="s">
        <v>133</v>
      </c>
    </row>
    <row r="10" spans="2:3" ht="12.75">
      <c r="B10" s="16" t="s">
        <v>6</v>
      </c>
      <c r="C10" s="16" t="s">
        <v>132</v>
      </c>
    </row>
    <row r="11" spans="2:3" ht="12.75">
      <c r="B11" s="16" t="s">
        <v>184</v>
      </c>
      <c r="C11" s="17">
        <v>1</v>
      </c>
    </row>
    <row r="12" spans="2:3" ht="12.75">
      <c r="B12" s="16" t="s">
        <v>211</v>
      </c>
      <c r="C12" s="16" t="s">
        <v>182</v>
      </c>
    </row>
    <row r="13" spans="2:3" ht="12.75">
      <c r="B13" s="16" t="s">
        <v>185</v>
      </c>
      <c r="C13" s="16" t="s">
        <v>188</v>
      </c>
    </row>
    <row r="14" spans="2:13" s="19" customFormat="1" ht="63.75">
      <c r="B14" s="19" t="s">
        <v>115</v>
      </c>
      <c r="C14" s="19" t="s">
        <v>181</v>
      </c>
      <c r="D14"/>
      <c r="E14"/>
      <c r="F14"/>
      <c r="G14"/>
      <c r="H14"/>
      <c r="I14"/>
      <c r="J14"/>
      <c r="K14"/>
      <c r="L14"/>
      <c r="M14"/>
    </row>
    <row r="15" spans="2:13" s="19" customFormat="1" ht="12.75">
      <c r="B15" s="19" t="s">
        <v>110</v>
      </c>
      <c r="D15"/>
      <c r="E15"/>
      <c r="F15"/>
      <c r="G15"/>
      <c r="H15"/>
      <c r="I15"/>
      <c r="J15"/>
      <c r="K15"/>
      <c r="L15"/>
      <c r="M15"/>
    </row>
    <row r="16" spans="2:13" s="19" customFormat="1" ht="12.75">
      <c r="B16" s="19" t="s">
        <v>8</v>
      </c>
      <c r="C16" s="19" t="s">
        <v>7</v>
      </c>
      <c r="D16"/>
      <c r="E16"/>
      <c r="F16"/>
      <c r="G16"/>
      <c r="H16"/>
      <c r="I16"/>
      <c r="J16"/>
      <c r="K16"/>
      <c r="L16"/>
      <c r="M16"/>
    </row>
    <row r="17" spans="2:13" s="19" customFormat="1" ht="12.75">
      <c r="B17" s="19" t="s">
        <v>186</v>
      </c>
      <c r="C17" s="19" t="s">
        <v>7</v>
      </c>
      <c r="D17"/>
      <c r="E17"/>
      <c r="F17"/>
      <c r="G17"/>
      <c r="H17"/>
      <c r="I17"/>
      <c r="J17"/>
      <c r="K17"/>
      <c r="L17"/>
      <c r="M17"/>
    </row>
    <row r="18" spans="2:13" s="19" customFormat="1" ht="12.75">
      <c r="B18" s="19" t="s">
        <v>187</v>
      </c>
      <c r="D18"/>
      <c r="E18"/>
      <c r="F18"/>
      <c r="G18"/>
      <c r="H18"/>
      <c r="I18"/>
      <c r="J18"/>
      <c r="K18"/>
      <c r="L18"/>
      <c r="M18"/>
    </row>
    <row r="19" spans="2:13" s="19" customFormat="1" ht="12.75">
      <c r="B19" s="19" t="s">
        <v>9</v>
      </c>
      <c r="C19" s="19" t="s">
        <v>10</v>
      </c>
      <c r="D19"/>
      <c r="E19"/>
      <c r="F19"/>
      <c r="G19"/>
      <c r="H19"/>
      <c r="I19"/>
      <c r="J19"/>
      <c r="K19"/>
      <c r="L19"/>
      <c r="M19"/>
    </row>
    <row r="20" spans="2:13" s="19" customFormat="1" ht="12.75">
      <c r="B20" s="19" t="s">
        <v>116</v>
      </c>
      <c r="C20" s="19" t="s">
        <v>53</v>
      </c>
      <c r="D20"/>
      <c r="E20"/>
      <c r="F20"/>
      <c r="G20"/>
      <c r="H20"/>
      <c r="I20"/>
      <c r="J20"/>
      <c r="K20"/>
      <c r="L20"/>
      <c r="M20"/>
    </row>
    <row r="21" spans="2:13" s="19" customFormat="1" ht="38.25">
      <c r="B21" s="19" t="s">
        <v>117</v>
      </c>
      <c r="C21" s="19" t="s">
        <v>171</v>
      </c>
      <c r="D21"/>
      <c r="E21"/>
      <c r="F21"/>
      <c r="G21"/>
      <c r="H21"/>
      <c r="I21"/>
      <c r="J21"/>
      <c r="K21"/>
      <c r="L21"/>
      <c r="M21"/>
    </row>
    <row r="22" spans="2:3" ht="12.75">
      <c r="B22" s="16" t="s">
        <v>118</v>
      </c>
      <c r="C22" s="16" t="s">
        <v>54</v>
      </c>
    </row>
    <row r="23" ht="12.75" customHeight="1"/>
    <row r="24" ht="12.75">
      <c r="B24" s="16" t="s">
        <v>11</v>
      </c>
    </row>
    <row r="25" spans="2:3" ht="12.75">
      <c r="B25" s="16" t="s">
        <v>12</v>
      </c>
      <c r="C25" s="18">
        <f>96/12</f>
        <v>8</v>
      </c>
    </row>
    <row r="26" spans="2:3" ht="12.75">
      <c r="B26" s="16" t="s">
        <v>13</v>
      </c>
      <c r="C26" s="18">
        <v>50.5</v>
      </c>
    </row>
    <row r="27" spans="2:3" ht="12.75">
      <c r="B27" s="16" t="s">
        <v>139</v>
      </c>
      <c r="C27" s="25">
        <v>50</v>
      </c>
    </row>
    <row r="28" spans="2:3" ht="12.75">
      <c r="B28" s="16" t="s">
        <v>140</v>
      </c>
      <c r="C28" s="25">
        <f>emiss!M15</f>
        <v>346.3333333333333</v>
      </c>
    </row>
    <row r="29" ht="12.75" customHeight="1"/>
    <row r="30" spans="2:3" ht="12.75">
      <c r="B30" s="16" t="s">
        <v>14</v>
      </c>
      <c r="C30" s="16" t="s">
        <v>172</v>
      </c>
    </row>
    <row r="31" spans="2:13" s="52" customFormat="1" ht="25.5">
      <c r="B31" s="52" t="s">
        <v>176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ht="12.75" customHeight="1"/>
    <row r="52" ht="12.75">
      <c r="C52" s="2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B1">
      <selection activeCell="B4" sqref="B4"/>
    </sheetView>
  </sheetViews>
  <sheetFormatPr defaultColWidth="9.140625" defaultRowHeight="12.75"/>
  <cols>
    <col min="1" max="1" width="9.140625" style="1" hidden="1" customWidth="1"/>
    <col min="2" max="2" width="22.140625" style="1" customWidth="1"/>
    <col min="3" max="3" width="51.7109375" style="1" customWidth="1"/>
    <col min="4" max="16384" width="9.140625" style="1" customWidth="1"/>
  </cols>
  <sheetData>
    <row r="1" ht="12.75">
      <c r="B1" s="58" t="s">
        <v>183</v>
      </c>
    </row>
    <row r="3" ht="12.75">
      <c r="B3" s="54" t="s">
        <v>111</v>
      </c>
    </row>
    <row r="4" ht="12.75">
      <c r="B4" s="54"/>
    </row>
    <row r="5" spans="2:13" s="19" customFormat="1" ht="25.5">
      <c r="B5" s="19" t="s">
        <v>15</v>
      </c>
      <c r="C5" s="20" t="s">
        <v>203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s="16" customFormat="1" ht="12.75">
      <c r="B6" s="16" t="s">
        <v>16</v>
      </c>
      <c r="C6" s="16" t="s">
        <v>174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s="16" customFormat="1" ht="12.75">
      <c r="B7" s="16" t="s">
        <v>17</v>
      </c>
      <c r="C7" s="16" t="s">
        <v>108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16" customFormat="1" ht="12.75">
      <c r="B8" s="16" t="s">
        <v>39</v>
      </c>
      <c r="C8" s="21">
        <v>36000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s="16" customFormat="1" ht="12.75">
      <c r="B9" s="16" t="s">
        <v>180</v>
      </c>
      <c r="C9" s="51">
        <v>35977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s="16" customFormat="1" ht="12.75">
      <c r="B10" s="16" t="s">
        <v>18</v>
      </c>
      <c r="C10" s="16" t="s">
        <v>120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s="16" customFormat="1" ht="12.75">
      <c r="B11" s="16" t="s">
        <v>19</v>
      </c>
      <c r="C11" s="16" t="s">
        <v>58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4:13" s="16" customFormat="1" ht="12.75"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s="16" customFormat="1" ht="12.75">
      <c r="B13" s="54" t="s">
        <v>112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12.75">
      <c r="B14" s="54"/>
    </row>
    <row r="15" spans="2:13" s="19" customFormat="1" ht="25.5">
      <c r="B15" s="19" t="s">
        <v>15</v>
      </c>
      <c r="C15" s="20" t="s">
        <v>204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s="16" customFormat="1" ht="12.75">
      <c r="B16" s="16" t="s">
        <v>16</v>
      </c>
      <c r="C16" s="16" t="s">
        <v>174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s="16" customFormat="1" ht="12.75">
      <c r="B17" s="16" t="s">
        <v>17</v>
      </c>
      <c r="C17" s="16" t="s">
        <v>108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s="16" customFormat="1" ht="12.75">
      <c r="B18" s="16" t="s">
        <v>39</v>
      </c>
      <c r="C18" s="21">
        <v>35999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s="16" customFormat="1" ht="12.75">
      <c r="B19" s="16" t="s">
        <v>180</v>
      </c>
      <c r="C19" s="51">
        <v>35977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s="19" customFormat="1" ht="12.75">
      <c r="B20" s="19" t="s">
        <v>18</v>
      </c>
      <c r="C20" s="19" t="s">
        <v>119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s="19" customFormat="1" ht="12.75">
      <c r="B21" s="19" t="s">
        <v>19</v>
      </c>
      <c r="C21" s="19" t="s">
        <v>59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4:13" s="19" customFormat="1" ht="12.75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s="19" customFormat="1" ht="12.75">
      <c r="B23" s="54" t="s">
        <v>113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75">
      <c r="B24" s="54"/>
    </row>
    <row r="25" spans="2:13" s="19" customFormat="1" ht="25.5">
      <c r="B25" s="19" t="s">
        <v>15</v>
      </c>
      <c r="C25" s="20" t="s">
        <v>173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s="16" customFormat="1" ht="12.75">
      <c r="B26" s="16" t="s">
        <v>16</v>
      </c>
      <c r="C26" s="16" t="s">
        <v>174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s="16" customFormat="1" ht="12.75">
      <c r="B27" s="16" t="s">
        <v>17</v>
      </c>
      <c r="C27" s="16" t="s">
        <v>108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s="19" customFormat="1" ht="12.75">
      <c r="B28" s="19" t="s">
        <v>39</v>
      </c>
      <c r="C28" s="29" t="s">
        <v>114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s="16" customFormat="1" ht="12.75">
      <c r="B29" s="16" t="s">
        <v>180</v>
      </c>
      <c r="C29" s="51">
        <v>35977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s="19" customFormat="1" ht="12.75">
      <c r="B30" s="19" t="s">
        <v>18</v>
      </c>
      <c r="C30" s="19" t="s">
        <v>175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s="19" customFormat="1" ht="25.5">
      <c r="B31" s="19" t="s">
        <v>19</v>
      </c>
      <c r="C31" s="19" t="s">
        <v>127</v>
      </c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1"/>
  <sheetViews>
    <sheetView zoomScale="75" zoomScaleNormal="75" workbookViewId="0" topLeftCell="B1">
      <selection activeCell="B2" sqref="B2"/>
    </sheetView>
  </sheetViews>
  <sheetFormatPr defaultColWidth="9.140625" defaultRowHeight="12.75"/>
  <cols>
    <col min="1" max="1" width="9.140625" style="4" hidden="1" customWidth="1"/>
    <col min="2" max="2" width="26.28125" style="4" customWidth="1"/>
    <col min="3" max="3" width="8.7109375" style="4" customWidth="1"/>
    <col min="4" max="4" width="8.8515625" style="3" customWidth="1"/>
    <col min="5" max="5" width="5.7109375" style="3" customWidth="1"/>
    <col min="6" max="6" width="3.00390625" style="5" customWidth="1"/>
    <col min="7" max="7" width="8.140625" style="4" customWidth="1"/>
    <col min="8" max="8" width="3.28125" style="5" customWidth="1"/>
    <col min="9" max="9" width="8.7109375" style="4" customWidth="1"/>
    <col min="10" max="10" width="3.140625" style="5" customWidth="1"/>
    <col min="11" max="11" width="9.7109375" style="4" customWidth="1"/>
    <col min="12" max="12" width="2.00390625" style="4" customWidth="1"/>
    <col min="13" max="13" width="9.28125" style="4" customWidth="1"/>
    <col min="14" max="16384" width="8.8515625" style="4" customWidth="1"/>
  </cols>
  <sheetData>
    <row r="1" spans="2:3" ht="12.75">
      <c r="B1" s="2" t="s">
        <v>48</v>
      </c>
      <c r="C1" s="2"/>
    </row>
    <row r="2" spans="2:12" ht="12.75">
      <c r="B2" s="5"/>
      <c r="C2" s="5"/>
      <c r="G2" s="5"/>
      <c r="I2" s="5"/>
      <c r="K2" s="5"/>
      <c r="L2" s="5"/>
    </row>
    <row r="3" spans="2:5" ht="12.75">
      <c r="B3" s="16"/>
      <c r="C3" s="16" t="s">
        <v>144</v>
      </c>
      <c r="D3" s="3" t="s">
        <v>20</v>
      </c>
      <c r="E3" s="3" t="s">
        <v>136</v>
      </c>
    </row>
    <row r="4" spans="2:13" ht="12.75" customHeight="1">
      <c r="B4" s="16"/>
      <c r="C4" s="16"/>
      <c r="G4" s="5"/>
      <c r="I4" s="5"/>
      <c r="K4" s="5"/>
      <c r="L4" s="6"/>
      <c r="M4" s="6"/>
    </row>
    <row r="5" spans="2:13" ht="12.75" customHeight="1">
      <c r="B5" s="16"/>
      <c r="C5" s="16"/>
      <c r="G5" s="5"/>
      <c r="I5" s="5"/>
      <c r="K5" s="5"/>
      <c r="L5" s="6"/>
      <c r="M5" s="6"/>
    </row>
    <row r="6" spans="1:13" ht="12.75">
      <c r="A6" s="4">
        <v>10</v>
      </c>
      <c r="B6" s="7" t="s">
        <v>111</v>
      </c>
      <c r="C6" s="7"/>
      <c r="D6" s="4"/>
      <c r="E6" s="4"/>
      <c r="G6" s="5" t="s">
        <v>177</v>
      </c>
      <c r="I6" s="5" t="s">
        <v>178</v>
      </c>
      <c r="K6" s="5" t="s">
        <v>179</v>
      </c>
      <c r="L6" s="6"/>
      <c r="M6" s="6" t="s">
        <v>28</v>
      </c>
    </row>
    <row r="7" spans="2:13" ht="12.75">
      <c r="B7" s="3"/>
      <c r="C7" s="3"/>
      <c r="D7" s="16"/>
      <c r="E7" s="16"/>
      <c r="F7" s="47"/>
      <c r="G7" s="16"/>
      <c r="H7" s="47"/>
      <c r="I7" s="16"/>
      <c r="J7" s="47"/>
      <c r="K7" s="16"/>
      <c r="L7" s="6"/>
      <c r="M7" s="6"/>
    </row>
    <row r="8" spans="2:13" ht="12.75">
      <c r="B8" s="3" t="s">
        <v>21</v>
      </c>
      <c r="C8" s="3" t="s">
        <v>189</v>
      </c>
      <c r="D8" s="3" t="s">
        <v>22</v>
      </c>
      <c r="E8" s="3" t="s">
        <v>23</v>
      </c>
      <c r="G8" s="24">
        <v>0.0414</v>
      </c>
      <c r="H8" s="48"/>
      <c r="I8" s="24">
        <v>0.0457</v>
      </c>
      <c r="J8" s="48"/>
      <c r="K8" s="24">
        <v>0.0481</v>
      </c>
      <c r="L8" s="24"/>
      <c r="M8" s="24">
        <f>AVERAGE(K8,I8,G8)</f>
        <v>0.045066666666666665</v>
      </c>
    </row>
    <row r="9" spans="2:13" ht="12.75">
      <c r="B9" s="3" t="s">
        <v>155</v>
      </c>
      <c r="C9" s="3" t="s">
        <v>189</v>
      </c>
      <c r="D9" s="3" t="s">
        <v>24</v>
      </c>
      <c r="E9" s="3" t="s">
        <v>23</v>
      </c>
      <c r="G9" s="6">
        <v>3</v>
      </c>
      <c r="I9" s="6">
        <v>1</v>
      </c>
      <c r="K9" s="6">
        <v>2</v>
      </c>
      <c r="L9" s="6"/>
      <c r="M9" s="8">
        <f>AVERAGE(K9,I9,G9)</f>
        <v>2</v>
      </c>
    </row>
    <row r="10" spans="2:12" ht="12.75">
      <c r="B10" s="3"/>
      <c r="C10" s="3"/>
      <c r="G10" s="6"/>
      <c r="I10" s="6"/>
      <c r="K10" s="6"/>
      <c r="L10" s="6"/>
    </row>
    <row r="11" spans="2:12" ht="12.75">
      <c r="B11" s="3" t="s">
        <v>156</v>
      </c>
      <c r="C11" s="3" t="s">
        <v>145</v>
      </c>
      <c r="D11" s="3" t="s">
        <v>189</v>
      </c>
      <c r="G11" s="6"/>
      <c r="I11" s="6"/>
      <c r="K11" s="6"/>
      <c r="L11" s="6"/>
    </row>
    <row r="12" spans="2:13" ht="12.75">
      <c r="B12" s="3" t="s">
        <v>143</v>
      </c>
      <c r="C12" s="3"/>
      <c r="D12" s="3" t="s">
        <v>25</v>
      </c>
      <c r="G12" s="6">
        <v>85204</v>
      </c>
      <c r="I12" s="9">
        <v>82056</v>
      </c>
      <c r="J12" s="50"/>
      <c r="K12" s="6">
        <v>84158</v>
      </c>
      <c r="L12" s="6"/>
      <c r="M12" s="8">
        <f>AVERAGE(K12,I12,G12)</f>
        <v>83806</v>
      </c>
    </row>
    <row r="13" spans="2:13" ht="12.75">
      <c r="B13" s="3" t="s">
        <v>146</v>
      </c>
      <c r="C13" s="3"/>
      <c r="D13" s="3" t="s">
        <v>26</v>
      </c>
      <c r="G13" s="6">
        <v>5.7</v>
      </c>
      <c r="I13" s="6">
        <v>5.6</v>
      </c>
      <c r="K13" s="6">
        <v>5.6</v>
      </c>
      <c r="L13" s="6"/>
      <c r="M13" s="8">
        <f>AVERAGE(K13,I13,G13)</f>
        <v>5.633333333333333</v>
      </c>
    </row>
    <row r="14" spans="2:13" ht="12.75">
      <c r="B14" s="3" t="s">
        <v>147</v>
      </c>
      <c r="C14" s="3"/>
      <c r="D14" s="3" t="s">
        <v>26</v>
      </c>
      <c r="G14" s="6">
        <v>16.1</v>
      </c>
      <c r="I14" s="6">
        <v>15.7</v>
      </c>
      <c r="K14" s="6">
        <v>15.5</v>
      </c>
      <c r="L14" s="6"/>
      <c r="M14" s="8">
        <f>AVERAGE(K14,I14,G14)</f>
        <v>15.766666666666666</v>
      </c>
    </row>
    <row r="15" spans="2:13" ht="12.75">
      <c r="B15" s="3" t="s">
        <v>142</v>
      </c>
      <c r="C15" s="3"/>
      <c r="D15" s="3" t="s">
        <v>27</v>
      </c>
      <c r="G15" s="6">
        <v>346</v>
      </c>
      <c r="I15" s="6">
        <v>347.3</v>
      </c>
      <c r="K15" s="6">
        <v>345.7</v>
      </c>
      <c r="L15" s="6"/>
      <c r="M15" s="8">
        <f>AVERAGE(K15,I15,G15)</f>
        <v>346.3333333333333</v>
      </c>
    </row>
    <row r="16" spans="2:13" ht="12.75">
      <c r="B16" s="3"/>
      <c r="C16" s="3"/>
      <c r="G16" s="6"/>
      <c r="I16" s="6"/>
      <c r="K16" s="6"/>
      <c r="L16" s="6"/>
      <c r="M16" s="8"/>
    </row>
    <row r="17" spans="2:13" ht="12.75">
      <c r="B17" s="3"/>
      <c r="C17" s="3"/>
      <c r="G17" s="6"/>
      <c r="I17" s="6"/>
      <c r="K17" s="6"/>
      <c r="L17" s="6"/>
      <c r="M17" s="8"/>
    </row>
    <row r="18" spans="2:13" ht="12.75">
      <c r="B18" s="3"/>
      <c r="C18" s="3"/>
      <c r="G18" s="6"/>
      <c r="I18" s="6"/>
      <c r="K18" s="6"/>
      <c r="L18" s="6"/>
      <c r="M18" s="8"/>
    </row>
    <row r="19" spans="1:13" ht="12.75">
      <c r="A19" s="4">
        <v>11</v>
      </c>
      <c r="B19" s="7" t="s">
        <v>112</v>
      </c>
      <c r="C19" s="7"/>
      <c r="G19" s="5" t="s">
        <v>177</v>
      </c>
      <c r="I19" s="5" t="s">
        <v>178</v>
      </c>
      <c r="K19" s="5" t="s">
        <v>179</v>
      </c>
      <c r="L19" s="6"/>
      <c r="M19" s="6" t="s">
        <v>28</v>
      </c>
    </row>
    <row r="20" spans="2:13" ht="12.75">
      <c r="B20" s="3"/>
      <c r="C20" s="3"/>
      <c r="D20" s="16"/>
      <c r="E20" s="16"/>
      <c r="F20" s="47"/>
      <c r="G20" s="16"/>
      <c r="H20" s="47"/>
      <c r="I20" s="16"/>
      <c r="J20" s="47"/>
      <c r="K20" s="16"/>
      <c r="L20" s="6"/>
      <c r="M20" s="8"/>
    </row>
    <row r="21" spans="2:13" ht="12.75">
      <c r="B21" s="3" t="s">
        <v>155</v>
      </c>
      <c r="C21" s="3" t="s">
        <v>189</v>
      </c>
      <c r="D21" s="3" t="s">
        <v>24</v>
      </c>
      <c r="E21" s="3" t="s">
        <v>23</v>
      </c>
      <c r="G21" s="6">
        <v>0</v>
      </c>
      <c r="I21" s="6">
        <v>0</v>
      </c>
      <c r="K21" s="6">
        <v>0</v>
      </c>
      <c r="L21" s="6"/>
      <c r="M21" s="8">
        <f>AVERAGE(K21,I21,G21)</f>
        <v>0</v>
      </c>
    </row>
    <row r="22" spans="2:13" ht="12.75">
      <c r="B22" s="3"/>
      <c r="C22" s="3"/>
      <c r="G22" s="6"/>
      <c r="I22" s="6"/>
      <c r="K22" s="6"/>
      <c r="L22" s="6"/>
      <c r="M22" s="8"/>
    </row>
    <row r="23" spans="2:13" ht="12.75">
      <c r="B23" s="3" t="s">
        <v>156</v>
      </c>
      <c r="C23" s="3" t="s">
        <v>52</v>
      </c>
      <c r="D23" s="3" t="s">
        <v>189</v>
      </c>
      <c r="G23" s="6"/>
      <c r="I23" s="6"/>
      <c r="K23" s="6"/>
      <c r="L23" s="6"/>
      <c r="M23" s="8"/>
    </row>
    <row r="24" spans="2:13" ht="12.75">
      <c r="B24" s="3" t="s">
        <v>143</v>
      </c>
      <c r="C24" s="3"/>
      <c r="D24" s="3" t="s">
        <v>25</v>
      </c>
      <c r="G24" s="6">
        <v>44701</v>
      </c>
      <c r="I24" s="9">
        <v>48655</v>
      </c>
      <c r="J24" s="50"/>
      <c r="K24" s="6">
        <v>54714</v>
      </c>
      <c r="L24" s="6"/>
      <c r="M24" s="8">
        <f>AVERAGE(K24,I24,G24)</f>
        <v>49356.666666666664</v>
      </c>
    </row>
    <row r="25" spans="2:13" ht="12.75">
      <c r="B25" s="3" t="s">
        <v>146</v>
      </c>
      <c r="C25" s="3"/>
      <c r="D25" s="3" t="s">
        <v>26</v>
      </c>
      <c r="G25" s="6">
        <v>6.4</v>
      </c>
      <c r="I25" s="6">
        <v>6.5</v>
      </c>
      <c r="K25" s="6">
        <v>6.6</v>
      </c>
      <c r="L25" s="6"/>
      <c r="M25" s="8">
        <f>AVERAGE(K25,I25,G25)</f>
        <v>6.5</v>
      </c>
    </row>
    <row r="26" spans="2:13" ht="12.75">
      <c r="B26" s="3" t="s">
        <v>147</v>
      </c>
      <c r="C26" s="3"/>
      <c r="D26" s="3" t="s">
        <v>26</v>
      </c>
      <c r="G26" s="6">
        <v>14.8</v>
      </c>
      <c r="I26" s="6">
        <v>14.9</v>
      </c>
      <c r="K26" s="6">
        <v>14.9</v>
      </c>
      <c r="M26" s="8">
        <f>AVERAGE(K26,I26,G26)</f>
        <v>14.866666666666667</v>
      </c>
    </row>
    <row r="27" spans="2:13" ht="12.75">
      <c r="B27" s="3" t="s">
        <v>142</v>
      </c>
      <c r="C27" s="3"/>
      <c r="D27" s="3" t="s">
        <v>27</v>
      </c>
      <c r="G27" s="6">
        <v>299.4</v>
      </c>
      <c r="I27" s="6">
        <v>295.5</v>
      </c>
      <c r="K27" s="6">
        <v>307</v>
      </c>
      <c r="M27" s="8">
        <f>AVERAGE(K27,I27,G27)</f>
        <v>300.6333333333333</v>
      </c>
    </row>
    <row r="29" spans="2:13" ht="12.75">
      <c r="B29" s="22" t="s">
        <v>60</v>
      </c>
      <c r="C29" s="22" t="s">
        <v>152</v>
      </c>
      <c r="D29" s="23"/>
      <c r="G29" s="6"/>
      <c r="I29" s="9"/>
      <c r="J29" s="50"/>
      <c r="K29" s="6"/>
      <c r="M29" s="12"/>
    </row>
    <row r="30" spans="2:13" ht="12.75">
      <c r="B30" s="23" t="s">
        <v>29</v>
      </c>
      <c r="C30" s="23"/>
      <c r="D30" s="23" t="s">
        <v>41</v>
      </c>
      <c r="G30" s="8">
        <f>16755/453.593</f>
        <v>36.93840072487891</v>
      </c>
      <c r="H30" s="49"/>
      <c r="I30" s="8">
        <f>16755/453.593</f>
        <v>36.93840072487891</v>
      </c>
      <c r="J30" s="49"/>
      <c r="K30" s="8">
        <f>16755/453.593</f>
        <v>36.93840072487891</v>
      </c>
      <c r="M30" s="12"/>
    </row>
    <row r="31" spans="2:13" ht="12.75">
      <c r="B31" s="23" t="s">
        <v>153</v>
      </c>
      <c r="C31" s="23"/>
      <c r="D31" s="23"/>
      <c r="G31" s="8"/>
      <c r="H31" s="49"/>
      <c r="I31" s="8"/>
      <c r="J31" s="49"/>
      <c r="K31" s="8"/>
      <c r="M31" s="12"/>
    </row>
    <row r="32" spans="2:13" ht="12.75">
      <c r="B32" s="23" t="s">
        <v>52</v>
      </c>
      <c r="C32" s="23"/>
      <c r="D32" s="23" t="s">
        <v>26</v>
      </c>
      <c r="F32" s="5" t="s">
        <v>141</v>
      </c>
      <c r="G32" s="6">
        <v>99.9998</v>
      </c>
      <c r="H32" s="5" t="s">
        <v>141</v>
      </c>
      <c r="I32" s="6">
        <v>99.9998</v>
      </c>
      <c r="J32" s="5" t="s">
        <v>141</v>
      </c>
      <c r="K32" s="6">
        <v>99.9998</v>
      </c>
      <c r="M32" s="12"/>
    </row>
    <row r="33" spans="2:13" ht="12.75">
      <c r="B33" s="23"/>
      <c r="C33" s="23"/>
      <c r="D33" s="23"/>
      <c r="G33" s="6"/>
      <c r="I33" s="6"/>
      <c r="K33" s="6"/>
      <c r="M33" s="12"/>
    </row>
    <row r="34" spans="2:12" ht="12.75" customHeight="1">
      <c r="B34" s="4" t="s">
        <v>60</v>
      </c>
      <c r="C34" s="4" t="s">
        <v>154</v>
      </c>
      <c r="D34" s="4"/>
      <c r="G34" s="6"/>
      <c r="I34" s="6"/>
      <c r="K34" s="6"/>
      <c r="L34" s="6"/>
    </row>
    <row r="35" spans="2:13" ht="12.75">
      <c r="B35" s="23" t="s">
        <v>29</v>
      </c>
      <c r="C35" s="23"/>
      <c r="D35" s="23" t="s">
        <v>41</v>
      </c>
      <c r="G35" s="8">
        <f>(32903/453.593)</f>
        <v>72.53859737694364</v>
      </c>
      <c r="H35" s="49"/>
      <c r="I35" s="8">
        <f>(32903/453.593)</f>
        <v>72.53859737694364</v>
      </c>
      <c r="J35" s="49"/>
      <c r="K35" s="8">
        <f>(32903/453.593)</f>
        <v>72.53859737694364</v>
      </c>
      <c r="M35" s="12"/>
    </row>
    <row r="36" spans="2:13" ht="12.75">
      <c r="B36" s="23" t="s">
        <v>153</v>
      </c>
      <c r="C36" s="23"/>
      <c r="D36" s="23"/>
      <c r="G36" s="8"/>
      <c r="H36" s="49"/>
      <c r="I36" s="8"/>
      <c r="J36" s="49"/>
      <c r="K36" s="8"/>
      <c r="M36" s="12"/>
    </row>
    <row r="37" spans="2:13" ht="12.75">
      <c r="B37" s="23" t="s">
        <v>52</v>
      </c>
      <c r="C37" s="23"/>
      <c r="D37" s="23" t="s">
        <v>26</v>
      </c>
      <c r="G37" s="6">
        <f>AVERAGE(99.9999,99.9998,99.9998)</f>
        <v>99.99983333333334</v>
      </c>
      <c r="H37" s="5" t="s">
        <v>141</v>
      </c>
      <c r="I37" s="6">
        <f>AVERAGE(99.9999,99.9998,99.9998)</f>
        <v>99.99983333333334</v>
      </c>
      <c r="J37" s="5" t="s">
        <v>141</v>
      </c>
      <c r="K37" s="6">
        <f>AVERAGE(99.9999,99.9998,99.9998)</f>
        <v>99.99983333333334</v>
      </c>
      <c r="M37" s="12"/>
    </row>
    <row r="38" spans="2:12" ht="12.75">
      <c r="B38" s="3"/>
      <c r="C38" s="3"/>
      <c r="G38" s="6"/>
      <c r="I38" s="6"/>
      <c r="K38" s="6"/>
      <c r="L38" s="6"/>
    </row>
    <row r="39" spans="2:12" ht="12.75">
      <c r="B39" s="3"/>
      <c r="C39" s="3"/>
      <c r="G39" s="6"/>
      <c r="I39" s="6"/>
      <c r="K39" s="6"/>
      <c r="L39" s="6"/>
    </row>
    <row r="40" spans="2:12" ht="12.75">
      <c r="B40" s="3"/>
      <c r="C40" s="3"/>
      <c r="G40" s="6"/>
      <c r="I40" s="6"/>
      <c r="K40" s="6"/>
      <c r="L40" s="6"/>
    </row>
    <row r="41" spans="2:13" ht="12.75">
      <c r="B41" s="7" t="s">
        <v>113</v>
      </c>
      <c r="C41" s="7"/>
      <c r="D41" s="7"/>
      <c r="G41" s="5" t="s">
        <v>177</v>
      </c>
      <c r="I41" s="5" t="s">
        <v>178</v>
      </c>
      <c r="K41" s="5" t="s">
        <v>179</v>
      </c>
      <c r="L41" s="6"/>
      <c r="M41" s="6" t="s">
        <v>28</v>
      </c>
    </row>
    <row r="42" spans="2:12" ht="12.75">
      <c r="B42" s="3"/>
      <c r="C42" s="3"/>
      <c r="G42" s="6"/>
      <c r="I42" s="6"/>
      <c r="K42" s="6"/>
      <c r="L42" s="6"/>
    </row>
    <row r="43" spans="2:13" ht="12.75">
      <c r="B43" s="3" t="s">
        <v>21</v>
      </c>
      <c r="C43" s="3" t="s">
        <v>189</v>
      </c>
      <c r="D43" s="3" t="s">
        <v>22</v>
      </c>
      <c r="E43" s="3" t="s">
        <v>23</v>
      </c>
      <c r="G43" s="24">
        <f>110.9*15.43/1000/66.574*(21-7)/(21-G48)</f>
        <v>0.02415097052016397</v>
      </c>
      <c r="I43" s="24">
        <f>128.6*15.43/1000/65.295*(21-7)/(21-I48)</f>
        <v>0.029961714386171536</v>
      </c>
      <c r="K43" s="24">
        <f>97.6*15.43/1000/62.726*(21-7)/(21-K48)</f>
        <v>0.023180787376295586</v>
      </c>
      <c r="L43" s="24"/>
      <c r="M43" s="26">
        <f>AVERAGE(K43,I43,G43)</f>
        <v>0.025764490760877033</v>
      </c>
    </row>
    <row r="44" spans="2:13" ht="12.75">
      <c r="B44" s="3" t="s">
        <v>155</v>
      </c>
      <c r="C44" s="3" t="s">
        <v>189</v>
      </c>
      <c r="D44" s="3" t="s">
        <v>24</v>
      </c>
      <c r="E44" s="3" t="s">
        <v>23</v>
      </c>
      <c r="G44" s="6">
        <v>0</v>
      </c>
      <c r="I44" s="6">
        <v>0</v>
      </c>
      <c r="K44" s="6">
        <v>0</v>
      </c>
      <c r="L44" s="6"/>
      <c r="M44" s="8">
        <f>AVERAGE(K44,I44,G44)</f>
        <v>0</v>
      </c>
    </row>
    <row r="45" spans="2:12" ht="12.75">
      <c r="B45" s="3"/>
      <c r="C45" s="3"/>
      <c r="G45" s="6"/>
      <c r="I45" s="6"/>
      <c r="K45" s="6"/>
      <c r="L45" s="6"/>
    </row>
    <row r="46" spans="2:12" ht="12.75">
      <c r="B46" s="3" t="s">
        <v>156</v>
      </c>
      <c r="C46" s="3" t="s">
        <v>21</v>
      </c>
      <c r="D46" s="3" t="s">
        <v>189</v>
      </c>
      <c r="G46" s="6"/>
      <c r="I46" s="6"/>
      <c r="K46" s="6"/>
      <c r="L46" s="6"/>
    </row>
    <row r="47" spans="2:13" ht="12.75">
      <c r="B47" s="3" t="s">
        <v>143</v>
      </c>
      <c r="C47" s="3"/>
      <c r="D47" s="3" t="s">
        <v>25</v>
      </c>
      <c r="G47" s="6">
        <v>81629</v>
      </c>
      <c r="I47" s="9">
        <v>84820</v>
      </c>
      <c r="J47" s="50"/>
      <c r="K47" s="6">
        <v>80204</v>
      </c>
      <c r="L47" s="6"/>
      <c r="M47" s="8">
        <f>AVERAGE(K47,I47,G47)</f>
        <v>82217.66666666667</v>
      </c>
    </row>
    <row r="48" spans="2:13" ht="12.75">
      <c r="B48" s="3" t="s">
        <v>146</v>
      </c>
      <c r="C48" s="3"/>
      <c r="D48" s="3" t="s">
        <v>26</v>
      </c>
      <c r="G48" s="6">
        <v>6.1</v>
      </c>
      <c r="I48" s="6">
        <v>6.8</v>
      </c>
      <c r="K48" s="6">
        <v>6.5</v>
      </c>
      <c r="L48" s="6"/>
      <c r="M48" s="8">
        <f>AVERAGE(K48,I48,G48)</f>
        <v>6.466666666666666</v>
      </c>
    </row>
    <row r="49" spans="2:13" ht="12.75">
      <c r="B49" s="3" t="s">
        <v>147</v>
      </c>
      <c r="C49" s="3"/>
      <c r="D49" s="3" t="s">
        <v>26</v>
      </c>
      <c r="G49" s="6">
        <v>15.7</v>
      </c>
      <c r="I49" s="6">
        <v>16.2</v>
      </c>
      <c r="K49" s="6">
        <v>16.1</v>
      </c>
      <c r="L49" s="6"/>
      <c r="M49" s="8">
        <f>AVERAGE(K49,I49,G49)</f>
        <v>16</v>
      </c>
    </row>
    <row r="50" spans="2:13" ht="12.75">
      <c r="B50" s="3" t="s">
        <v>142</v>
      </c>
      <c r="C50" s="3"/>
      <c r="D50" s="3" t="s">
        <v>27</v>
      </c>
      <c r="G50" s="6">
        <v>345</v>
      </c>
      <c r="I50" s="6">
        <v>338.6</v>
      </c>
      <c r="K50" s="6">
        <v>333.2</v>
      </c>
      <c r="L50" s="6"/>
      <c r="M50" s="8">
        <f>AVERAGE(K50,I50,G50)</f>
        <v>338.93333333333334</v>
      </c>
    </row>
    <row r="51" spans="2:11" ht="12.75">
      <c r="B51" s="3"/>
      <c r="C51" s="3"/>
      <c r="G51" s="6"/>
      <c r="I51" s="6"/>
      <c r="K51" s="6"/>
    </row>
    <row r="52" spans="2:11" ht="12.75">
      <c r="B52" s="3" t="s">
        <v>101</v>
      </c>
      <c r="C52" s="3" t="s">
        <v>148</v>
      </c>
      <c r="G52" s="6"/>
      <c r="I52" s="6"/>
      <c r="K52" s="6"/>
    </row>
    <row r="53" spans="2:11" ht="12.75">
      <c r="B53" s="3"/>
      <c r="C53" s="3"/>
      <c r="G53" s="5" t="s">
        <v>134</v>
      </c>
      <c r="I53" s="6"/>
      <c r="K53" s="5" t="s">
        <v>135</v>
      </c>
    </row>
    <row r="54" spans="2:11" ht="12.75">
      <c r="B54" s="3" t="s">
        <v>149</v>
      </c>
      <c r="C54" s="3"/>
      <c r="G54" s="8">
        <v>100</v>
      </c>
      <c r="I54" s="6"/>
      <c r="K54" s="6">
        <v>4.4</v>
      </c>
    </row>
    <row r="55" spans="2:11" ht="12.75">
      <c r="B55" s="3" t="s">
        <v>102</v>
      </c>
      <c r="C55" s="3"/>
      <c r="G55" s="8">
        <v>95.6</v>
      </c>
      <c r="I55" s="10"/>
      <c r="K55" s="10">
        <v>0.5</v>
      </c>
    </row>
    <row r="56" spans="2:11" ht="12.75">
      <c r="B56" s="3" t="s">
        <v>103</v>
      </c>
      <c r="C56" s="3"/>
      <c r="G56" s="8">
        <v>95.1</v>
      </c>
      <c r="I56" s="10"/>
      <c r="K56" s="10">
        <v>0.4</v>
      </c>
    </row>
    <row r="57" spans="2:11" ht="12.75">
      <c r="B57" s="3" t="s">
        <v>104</v>
      </c>
      <c r="C57" s="3"/>
      <c r="G57" s="8">
        <v>94.6</v>
      </c>
      <c r="I57" s="10"/>
      <c r="K57" s="10">
        <v>0.2</v>
      </c>
    </row>
    <row r="58" spans="2:11" ht="12.75">
      <c r="B58" s="4" t="s">
        <v>105</v>
      </c>
      <c r="G58" s="8">
        <v>94.4</v>
      </c>
      <c r="I58" s="5"/>
      <c r="K58" s="6">
        <v>0.4</v>
      </c>
    </row>
    <row r="59" spans="2:11" ht="12.75">
      <c r="B59" s="3" t="s">
        <v>106</v>
      </c>
      <c r="C59" s="3"/>
      <c r="G59" s="8">
        <v>94</v>
      </c>
      <c r="I59" s="6"/>
      <c r="K59" s="6">
        <v>1.2</v>
      </c>
    </row>
    <row r="60" spans="2:11" ht="12.75">
      <c r="B60" s="3" t="s">
        <v>107</v>
      </c>
      <c r="C60" s="3"/>
      <c r="G60" s="8">
        <v>92.8</v>
      </c>
      <c r="I60" s="10"/>
      <c r="K60" s="11">
        <v>3.1</v>
      </c>
    </row>
    <row r="61" spans="2:11" ht="12.75">
      <c r="B61" s="3" t="s">
        <v>150</v>
      </c>
      <c r="C61" s="3"/>
      <c r="G61" s="8">
        <v>89.7</v>
      </c>
      <c r="I61" s="10"/>
      <c r="K61" s="10">
        <v>2.9</v>
      </c>
    </row>
    <row r="62" spans="2:11" ht="12.75">
      <c r="B62" s="3" t="s">
        <v>151</v>
      </c>
      <c r="C62" s="3"/>
      <c r="G62" s="8">
        <v>86.8</v>
      </c>
      <c r="I62" s="10"/>
      <c r="K62" s="10">
        <v>86.8</v>
      </c>
    </row>
    <row r="63" spans="2:11" ht="12.75">
      <c r="B63" s="3"/>
      <c r="C63" s="3"/>
      <c r="G63" s="3"/>
      <c r="I63" s="10"/>
      <c r="K63" s="10"/>
    </row>
    <row r="66" spans="2:3" ht="12.75">
      <c r="B66" s="7"/>
      <c r="C66" s="7"/>
    </row>
    <row r="67" spans="2:5" ht="12.75">
      <c r="B67" s="3"/>
      <c r="C67" s="3"/>
      <c r="D67" s="16"/>
      <c r="E67" s="16"/>
    </row>
    <row r="68" spans="2:3" ht="12.75">
      <c r="B68" s="3"/>
      <c r="C68" s="3"/>
    </row>
    <row r="69" spans="2:3" ht="12.75">
      <c r="B69" s="3"/>
      <c r="C69" s="3"/>
    </row>
    <row r="70" spans="2:3" ht="12.75">
      <c r="B70" s="3"/>
      <c r="C70" s="3"/>
    </row>
    <row r="71" spans="2:3" ht="12.75">
      <c r="B71" s="3"/>
      <c r="C71" s="3"/>
    </row>
    <row r="72" spans="2:3" ht="12.75">
      <c r="B72" s="3"/>
      <c r="C72" s="3"/>
    </row>
    <row r="73" spans="2:3" ht="12.75">
      <c r="B73" s="3"/>
      <c r="C73" s="3"/>
    </row>
    <row r="74" spans="2:3" ht="12.75">
      <c r="B74" s="3"/>
      <c r="C74" s="3"/>
    </row>
    <row r="75" spans="2:3" ht="12.75">
      <c r="B75" s="3"/>
      <c r="C75" s="3"/>
    </row>
    <row r="76" spans="2:3" ht="12.75">
      <c r="B76" s="3"/>
      <c r="C76" s="3"/>
    </row>
    <row r="77" spans="2:3" ht="12.75">
      <c r="B77" s="3"/>
      <c r="C77" s="3"/>
    </row>
    <row r="78" spans="2:3" ht="12.75">
      <c r="B78" s="3"/>
      <c r="C78" s="3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2.75">
      <c r="B84" s="3"/>
      <c r="C84" s="3"/>
    </row>
    <row r="85" spans="2:3" ht="12.75">
      <c r="B85" s="3"/>
      <c r="C85" s="3"/>
    </row>
    <row r="86" spans="2:3" ht="12.75">
      <c r="B86" s="3"/>
      <c r="C86" s="3"/>
    </row>
    <row r="88" spans="2:3" ht="12.75">
      <c r="B88" s="3"/>
      <c r="C88" s="3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2.75">
      <c r="B92" s="3"/>
      <c r="C92" s="3"/>
    </row>
    <row r="95" spans="2:3" ht="12.75">
      <c r="B95" s="7"/>
      <c r="C95" s="7"/>
    </row>
    <row r="96" spans="2:5" ht="12.75">
      <c r="B96" s="3"/>
      <c r="C96" s="3"/>
      <c r="D96" s="16"/>
      <c r="E96" s="16"/>
    </row>
    <row r="97" spans="2:3" ht="12.75">
      <c r="B97" s="3"/>
      <c r="C97" s="3"/>
    </row>
    <row r="98" spans="2:3" ht="12.75">
      <c r="B98" s="3"/>
      <c r="C98" s="3"/>
    </row>
    <row r="99" spans="2:3" ht="12.75">
      <c r="B99" s="3"/>
      <c r="C99" s="3"/>
    </row>
    <row r="100" spans="2:3" ht="12.75">
      <c r="B100" s="3"/>
      <c r="C100" s="3"/>
    </row>
    <row r="101" spans="2:3" ht="12.75">
      <c r="B101" s="3"/>
      <c r="C101" s="3"/>
    </row>
    <row r="102" spans="2:3" ht="12.75">
      <c r="B102" s="3"/>
      <c r="C102" s="3"/>
    </row>
    <row r="103" spans="2:3" ht="12.75">
      <c r="B103" s="3"/>
      <c r="C103" s="3"/>
    </row>
    <row r="104" spans="2:3" ht="12.75">
      <c r="B104" s="3"/>
      <c r="C104" s="3"/>
    </row>
    <row r="105" spans="2:3" ht="12.75">
      <c r="B105" s="3"/>
      <c r="C105" s="3"/>
    </row>
    <row r="106" spans="2:3" ht="12.75">
      <c r="B106" s="3"/>
      <c r="C106" s="3"/>
    </row>
    <row r="107" spans="2:3" ht="12.75">
      <c r="B107" s="3"/>
      <c r="C107" s="3"/>
    </row>
    <row r="108" spans="2:3" ht="12.75">
      <c r="B108" s="3"/>
      <c r="C108" s="3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100"/>
  <sheetViews>
    <sheetView zoomScale="75" zoomScaleNormal="75" workbookViewId="0" topLeftCell="B1">
      <selection activeCell="B2" sqref="B2"/>
    </sheetView>
  </sheetViews>
  <sheetFormatPr defaultColWidth="9.140625" defaultRowHeight="12.75"/>
  <cols>
    <col min="1" max="1" width="9.140625" style="4" hidden="1" customWidth="1"/>
    <col min="2" max="2" width="19.7109375" style="3" customWidth="1"/>
    <col min="3" max="3" width="10.00390625" style="3" customWidth="1"/>
    <col min="4" max="4" width="8.57421875" style="3" customWidth="1"/>
    <col min="5" max="5" width="4.28125" style="5" customWidth="1"/>
    <col min="6" max="6" width="10.140625" style="5" customWidth="1"/>
    <col min="7" max="7" width="3.8515625" style="5" customWidth="1"/>
    <col min="8" max="8" width="12.00390625" style="5" customWidth="1"/>
    <col min="9" max="9" width="4.28125" style="5" customWidth="1"/>
    <col min="10" max="10" width="10.421875" style="5" customWidth="1"/>
    <col min="11" max="11" width="3.28125" style="5" customWidth="1"/>
    <col min="12" max="12" width="9.7109375" style="6" customWidth="1"/>
    <col min="13" max="13" width="4.140625" style="4" customWidth="1"/>
    <col min="14" max="14" width="12.28125" style="4" customWidth="1"/>
    <col min="15" max="15" width="3.8515625" style="4" customWidth="1"/>
    <col min="16" max="16" width="13.28125" style="4" customWidth="1"/>
    <col min="17" max="17" width="4.140625" style="4" customWidth="1"/>
    <col min="18" max="18" width="13.28125" style="4" customWidth="1"/>
    <col min="19" max="19" width="4.140625" style="4" customWidth="1"/>
    <col min="20" max="20" width="10.7109375" style="4" customWidth="1"/>
    <col min="21" max="21" width="4.28125" style="4" customWidth="1"/>
    <col min="22" max="22" width="10.7109375" style="4" customWidth="1"/>
    <col min="23" max="23" width="3.7109375" style="4" customWidth="1"/>
    <col min="24" max="24" width="10.7109375" style="4" customWidth="1"/>
    <col min="25" max="25" width="3.7109375" style="4" customWidth="1"/>
    <col min="26" max="26" width="10.7109375" style="4" customWidth="1"/>
    <col min="27" max="27" width="4.00390625" style="4" customWidth="1"/>
    <col min="28" max="28" width="10.7109375" style="4" customWidth="1"/>
    <col min="29" max="29" width="3.8515625" style="4" customWidth="1"/>
    <col min="30" max="30" width="10.28125" style="4" customWidth="1"/>
    <col min="31" max="31" width="3.8515625" style="4" customWidth="1"/>
    <col min="32" max="32" width="11.140625" style="4" customWidth="1"/>
    <col min="33" max="33" width="4.00390625" style="4" customWidth="1"/>
    <col min="34" max="34" width="12.00390625" style="4" customWidth="1"/>
    <col min="35" max="35" width="3.8515625" style="4" customWidth="1"/>
    <col min="36" max="36" width="10.7109375" style="4" customWidth="1"/>
    <col min="37" max="37" width="9.28125" style="4" customWidth="1"/>
    <col min="38" max="16384" width="8.8515625" style="4" customWidth="1"/>
  </cols>
  <sheetData>
    <row r="1" spans="2:3" ht="12.75">
      <c r="B1" s="7" t="s">
        <v>121</v>
      </c>
      <c r="C1" s="7"/>
    </row>
    <row r="4" spans="1:36" ht="12.75">
      <c r="A4" s="4" t="s">
        <v>167</v>
      </c>
      <c r="B4" s="7" t="s">
        <v>111</v>
      </c>
      <c r="C4" s="7"/>
      <c r="F4" s="5" t="s">
        <v>177</v>
      </c>
      <c r="H4" s="5" t="s">
        <v>178</v>
      </c>
      <c r="J4" s="5" t="s">
        <v>179</v>
      </c>
      <c r="L4" s="6" t="s">
        <v>28</v>
      </c>
      <c r="N4" s="5" t="s">
        <v>177</v>
      </c>
      <c r="O4" s="5"/>
      <c r="P4" s="5" t="s">
        <v>178</v>
      </c>
      <c r="Q4" s="5"/>
      <c r="R4" s="5" t="s">
        <v>179</v>
      </c>
      <c r="S4" s="5"/>
      <c r="T4" s="6" t="s">
        <v>28</v>
      </c>
      <c r="U4" s="6"/>
      <c r="V4" s="5" t="s">
        <v>177</v>
      </c>
      <c r="W4" s="5"/>
      <c r="X4" s="5" t="s">
        <v>178</v>
      </c>
      <c r="Y4" s="5"/>
      <c r="Z4" s="5" t="s">
        <v>179</v>
      </c>
      <c r="AA4" s="5"/>
      <c r="AB4" s="6" t="s">
        <v>28</v>
      </c>
      <c r="AD4" s="5" t="s">
        <v>177</v>
      </c>
      <c r="AE4" s="5"/>
      <c r="AF4" s="5" t="s">
        <v>178</v>
      </c>
      <c r="AG4" s="5"/>
      <c r="AH4" s="5" t="s">
        <v>179</v>
      </c>
      <c r="AI4" s="5"/>
      <c r="AJ4" s="6" t="s">
        <v>28</v>
      </c>
    </row>
    <row r="5" spans="2:36" ht="12.75">
      <c r="B5" s="3" t="s">
        <v>195</v>
      </c>
      <c r="C5" s="7"/>
      <c r="F5" s="5" t="s">
        <v>197</v>
      </c>
      <c r="H5" s="5" t="s">
        <v>197</v>
      </c>
      <c r="J5" s="5" t="s">
        <v>197</v>
      </c>
      <c r="L5" s="5" t="s">
        <v>197</v>
      </c>
      <c r="N5" s="5" t="s">
        <v>199</v>
      </c>
      <c r="P5" s="5" t="s">
        <v>199</v>
      </c>
      <c r="R5" s="5" t="s">
        <v>199</v>
      </c>
      <c r="T5" s="5" t="s">
        <v>199</v>
      </c>
      <c r="U5" s="5"/>
      <c r="V5" s="5"/>
      <c r="W5" s="5"/>
      <c r="X5" s="5"/>
      <c r="Y5" s="5"/>
      <c r="Z5" s="5"/>
      <c r="AA5" s="5"/>
      <c r="AB5" s="5"/>
      <c r="AD5" s="4" t="s">
        <v>200</v>
      </c>
      <c r="AF5" s="4" t="s">
        <v>200</v>
      </c>
      <c r="AH5" s="4" t="s">
        <v>200</v>
      </c>
      <c r="AJ5" s="4" t="s">
        <v>200</v>
      </c>
    </row>
    <row r="6" spans="2:36" ht="12.75">
      <c r="B6" s="3" t="s">
        <v>196</v>
      </c>
      <c r="C6" s="7"/>
      <c r="F6" s="5" t="s">
        <v>198</v>
      </c>
      <c r="H6" s="5" t="s">
        <v>198</v>
      </c>
      <c r="J6" s="5" t="s">
        <v>198</v>
      </c>
      <c r="L6" s="5" t="s">
        <v>198</v>
      </c>
      <c r="N6" s="5" t="s">
        <v>198</v>
      </c>
      <c r="P6" s="5" t="s">
        <v>198</v>
      </c>
      <c r="R6" s="5" t="s">
        <v>198</v>
      </c>
      <c r="T6" s="5" t="s">
        <v>198</v>
      </c>
      <c r="U6" s="5"/>
      <c r="V6" s="5"/>
      <c r="W6" s="5"/>
      <c r="X6" s="5"/>
      <c r="Y6" s="5"/>
      <c r="Z6" s="5"/>
      <c r="AA6" s="5"/>
      <c r="AB6" s="5"/>
      <c r="AD6" s="4" t="s">
        <v>68</v>
      </c>
      <c r="AF6" s="4" t="s">
        <v>68</v>
      </c>
      <c r="AH6" s="4" t="s">
        <v>68</v>
      </c>
      <c r="AJ6" s="4" t="s">
        <v>68</v>
      </c>
    </row>
    <row r="7" spans="2:36" ht="12.75">
      <c r="B7" s="3" t="s">
        <v>201</v>
      </c>
      <c r="C7" s="7"/>
      <c r="L7" s="5"/>
      <c r="N7" s="5"/>
      <c r="P7" s="5"/>
      <c r="R7" s="5"/>
      <c r="T7" s="5"/>
      <c r="U7" s="5"/>
      <c r="V7" s="5" t="s">
        <v>49</v>
      </c>
      <c r="W7" s="5"/>
      <c r="X7" s="5" t="s">
        <v>49</v>
      </c>
      <c r="Y7" s="5"/>
      <c r="Z7" s="5" t="s">
        <v>49</v>
      </c>
      <c r="AA7" s="5"/>
      <c r="AB7" s="5" t="s">
        <v>49</v>
      </c>
      <c r="AD7" s="4" t="s">
        <v>68</v>
      </c>
      <c r="AF7" s="4" t="s">
        <v>68</v>
      </c>
      <c r="AH7" s="4" t="s">
        <v>68</v>
      </c>
      <c r="AJ7" s="4" t="s">
        <v>68</v>
      </c>
    </row>
    <row r="8" spans="2:28" ht="12.75">
      <c r="B8" s="3" t="s">
        <v>166</v>
      </c>
      <c r="C8" s="7"/>
      <c r="F8" s="5" t="s">
        <v>130</v>
      </c>
      <c r="H8" s="5" t="s">
        <v>130</v>
      </c>
      <c r="J8" s="5" t="s">
        <v>130</v>
      </c>
      <c r="L8" s="5" t="s">
        <v>130</v>
      </c>
      <c r="M8" s="5"/>
      <c r="N8" s="5" t="s">
        <v>130</v>
      </c>
      <c r="O8" s="5"/>
      <c r="P8" s="5" t="s">
        <v>130</v>
      </c>
      <c r="Q8" s="5"/>
      <c r="R8" s="5" t="s">
        <v>130</v>
      </c>
      <c r="S8" s="5"/>
      <c r="T8" s="5" t="s">
        <v>130</v>
      </c>
      <c r="U8" s="5"/>
      <c r="V8" s="5"/>
      <c r="W8" s="5"/>
      <c r="X8" s="5"/>
      <c r="Y8" s="5"/>
      <c r="Z8" s="5"/>
      <c r="AA8" s="5"/>
      <c r="AB8" s="5"/>
    </row>
    <row r="9" spans="6:37" ht="12.75">
      <c r="F9" s="6" t="s">
        <v>62</v>
      </c>
      <c r="H9" s="6" t="s">
        <v>62</v>
      </c>
      <c r="J9" s="6" t="s">
        <v>62</v>
      </c>
      <c r="L9" s="6" t="s">
        <v>62</v>
      </c>
      <c r="M9" s="6"/>
      <c r="N9" s="6" t="s">
        <v>126</v>
      </c>
      <c r="O9" s="6"/>
      <c r="P9" s="6" t="s">
        <v>126</v>
      </c>
      <c r="Q9" s="6"/>
      <c r="R9" s="6" t="s">
        <v>126</v>
      </c>
      <c r="S9" s="6"/>
      <c r="T9" s="6" t="s">
        <v>126</v>
      </c>
      <c r="U9" s="6"/>
      <c r="V9" s="6"/>
      <c r="W9" s="6"/>
      <c r="X9" s="6"/>
      <c r="Y9" s="6"/>
      <c r="Z9" s="6"/>
      <c r="AA9" s="6"/>
      <c r="AB9" s="6"/>
      <c r="AC9" s="6"/>
      <c r="AD9" s="6" t="s">
        <v>68</v>
      </c>
      <c r="AE9" s="6"/>
      <c r="AF9" s="6" t="s">
        <v>68</v>
      </c>
      <c r="AG9" s="6"/>
      <c r="AH9" s="6" t="s">
        <v>68</v>
      </c>
      <c r="AI9" s="6"/>
      <c r="AJ9" s="6" t="s">
        <v>68</v>
      </c>
      <c r="AK9" s="6"/>
    </row>
    <row r="10" spans="2:28" ht="12.75">
      <c r="B10" s="3" t="s">
        <v>170</v>
      </c>
      <c r="D10" s="3" t="s">
        <v>30</v>
      </c>
      <c r="F10" s="6">
        <v>2374898</v>
      </c>
      <c r="G10" s="6"/>
      <c r="H10" s="6">
        <v>2132923</v>
      </c>
      <c r="I10" s="6"/>
      <c r="J10" s="6">
        <v>2186246</v>
      </c>
      <c r="L10" s="13">
        <v>2231356</v>
      </c>
      <c r="N10" s="4">
        <v>2034816</v>
      </c>
      <c r="P10" s="4">
        <v>1980312</v>
      </c>
      <c r="R10" s="4">
        <v>1998480</v>
      </c>
      <c r="T10" s="13">
        <v>2004536</v>
      </c>
      <c r="U10" s="13"/>
      <c r="V10" s="13"/>
      <c r="W10" s="13"/>
      <c r="X10" s="13"/>
      <c r="Y10" s="13"/>
      <c r="Z10" s="13"/>
      <c r="AA10" s="13"/>
      <c r="AB10" s="13"/>
    </row>
    <row r="11" spans="2:36" ht="12.75">
      <c r="B11" s="3" t="s">
        <v>43</v>
      </c>
      <c r="D11" s="3" t="s">
        <v>31</v>
      </c>
      <c r="F11" s="4">
        <v>12933</v>
      </c>
      <c r="H11" s="4">
        <v>12933</v>
      </c>
      <c r="J11" s="4">
        <v>12933</v>
      </c>
      <c r="L11" s="4">
        <v>12933</v>
      </c>
      <c r="N11" s="13">
        <v>6260</v>
      </c>
      <c r="P11" s="13">
        <v>6260</v>
      </c>
      <c r="R11" s="13">
        <v>6260</v>
      </c>
      <c r="T11" s="13">
        <v>6260</v>
      </c>
      <c r="U11" s="13"/>
      <c r="V11" s="13"/>
      <c r="W11" s="13"/>
      <c r="X11" s="13"/>
      <c r="Y11" s="13"/>
      <c r="Z11" s="13"/>
      <c r="AA11" s="13"/>
      <c r="AB11" s="13"/>
      <c r="AJ11" s="12"/>
    </row>
    <row r="12" spans="2:36" ht="12.75">
      <c r="B12" s="3" t="s">
        <v>33</v>
      </c>
      <c r="D12" s="3" t="s">
        <v>34</v>
      </c>
      <c r="F12" s="4">
        <v>2.81</v>
      </c>
      <c r="H12" s="4">
        <v>2.81</v>
      </c>
      <c r="J12" s="4">
        <v>2.81</v>
      </c>
      <c r="L12" s="4">
        <v>2.81</v>
      </c>
      <c r="N12" s="4">
        <v>2.56</v>
      </c>
      <c r="P12" s="4">
        <v>2.56</v>
      </c>
      <c r="R12" s="4">
        <v>2.56</v>
      </c>
      <c r="T12" s="4">
        <v>2.56</v>
      </c>
      <c r="AJ12" s="12"/>
    </row>
    <row r="13" spans="2:36" ht="12.75">
      <c r="B13" s="3" t="s">
        <v>35</v>
      </c>
      <c r="D13" s="3" t="s">
        <v>36</v>
      </c>
      <c r="F13" s="14">
        <v>0.84</v>
      </c>
      <c r="H13" s="14">
        <v>0.84</v>
      </c>
      <c r="J13" s="14">
        <v>0.84</v>
      </c>
      <c r="L13" s="14">
        <v>0.84</v>
      </c>
      <c r="N13" s="14">
        <v>1.1</v>
      </c>
      <c r="P13" s="14">
        <v>1.1</v>
      </c>
      <c r="R13" s="14">
        <v>1.1</v>
      </c>
      <c r="T13" s="14">
        <v>1.1</v>
      </c>
      <c r="U13" s="14"/>
      <c r="V13" s="14"/>
      <c r="W13" s="14"/>
      <c r="X13" s="14"/>
      <c r="Y13" s="14"/>
      <c r="Z13" s="14"/>
      <c r="AA13" s="14"/>
      <c r="AB13" s="14"/>
      <c r="AJ13" s="12"/>
    </row>
    <row r="14" spans="2:36" ht="12.75">
      <c r="B14" s="3" t="s">
        <v>37</v>
      </c>
      <c r="D14" s="3" t="s">
        <v>30</v>
      </c>
      <c r="E14" s="5" t="s">
        <v>32</v>
      </c>
      <c r="F14" s="6">
        <v>237</v>
      </c>
      <c r="G14" s="6" t="s">
        <v>32</v>
      </c>
      <c r="H14" s="6">
        <v>213</v>
      </c>
      <c r="I14" s="6" t="s">
        <v>32</v>
      </c>
      <c r="J14" s="6">
        <v>219</v>
      </c>
      <c r="K14" s="6"/>
      <c r="L14" s="6">
        <f>223</f>
        <v>223</v>
      </c>
      <c r="M14" s="6"/>
      <c r="N14" s="6">
        <v>17499</v>
      </c>
      <c r="O14" s="5"/>
      <c r="P14" s="6">
        <v>5941</v>
      </c>
      <c r="Q14" s="6"/>
      <c r="R14" s="6">
        <v>7594</v>
      </c>
      <c r="S14" s="5"/>
      <c r="T14" s="13">
        <v>10345</v>
      </c>
      <c r="U14" s="13"/>
      <c r="V14" s="13"/>
      <c r="W14" s="13"/>
      <c r="X14" s="13"/>
      <c r="Y14" s="13"/>
      <c r="Z14" s="13"/>
      <c r="AA14" s="13"/>
      <c r="AB14" s="13"/>
      <c r="AC14" s="5"/>
      <c r="AD14" s="5"/>
      <c r="AE14" s="5"/>
      <c r="AF14" s="5"/>
      <c r="AG14" s="5"/>
      <c r="AH14" s="5"/>
      <c r="AI14" s="5"/>
      <c r="AJ14" s="12"/>
    </row>
    <row r="15" spans="2:36" ht="12.75">
      <c r="B15" s="3" t="s">
        <v>38</v>
      </c>
      <c r="D15" s="3" t="s">
        <v>30</v>
      </c>
      <c r="F15" s="6">
        <v>325</v>
      </c>
      <c r="G15" s="6"/>
      <c r="H15" s="6">
        <v>348</v>
      </c>
      <c r="I15" s="6"/>
      <c r="J15" s="6">
        <v>363</v>
      </c>
      <c r="K15" s="6"/>
      <c r="L15" s="6">
        <v>345</v>
      </c>
      <c r="M15" s="6" t="s">
        <v>32</v>
      </c>
      <c r="N15" s="6">
        <v>20</v>
      </c>
      <c r="O15" s="5" t="s">
        <v>32</v>
      </c>
      <c r="P15" s="6">
        <v>20</v>
      </c>
      <c r="Q15" s="6" t="s">
        <v>32</v>
      </c>
      <c r="R15" s="6">
        <v>20</v>
      </c>
      <c r="S15" s="5"/>
      <c r="T15" s="4">
        <f>20</f>
        <v>20</v>
      </c>
      <c r="AC15" s="5"/>
      <c r="AD15" s="5"/>
      <c r="AE15" s="5"/>
      <c r="AF15" s="5"/>
      <c r="AG15" s="5"/>
      <c r="AH15" s="5"/>
      <c r="AI15" s="5"/>
      <c r="AJ15" s="12"/>
    </row>
    <row r="16" spans="2:36" ht="12.75">
      <c r="B16" s="3" t="s">
        <v>161</v>
      </c>
      <c r="D16" s="3" t="s">
        <v>30</v>
      </c>
      <c r="E16" s="5" t="s">
        <v>32</v>
      </c>
      <c r="F16" s="6">
        <v>0.66</v>
      </c>
      <c r="G16" s="6" t="s">
        <v>32</v>
      </c>
      <c r="H16" s="6">
        <v>0.6</v>
      </c>
      <c r="I16" s="6" t="s">
        <v>32</v>
      </c>
      <c r="J16" s="6">
        <v>0.61</v>
      </c>
      <c r="K16" s="6"/>
      <c r="L16" s="26">
        <f>0.62</f>
        <v>0.62</v>
      </c>
      <c r="M16" s="6" t="s">
        <v>32</v>
      </c>
      <c r="N16" s="6">
        <v>0.57</v>
      </c>
      <c r="O16" s="5" t="s">
        <v>32</v>
      </c>
      <c r="P16" s="6">
        <v>0.55</v>
      </c>
      <c r="Q16" s="6" t="s">
        <v>32</v>
      </c>
      <c r="R16" s="6">
        <v>0.56</v>
      </c>
      <c r="S16" s="5"/>
      <c r="T16" s="14">
        <f>0.56</f>
        <v>0.56</v>
      </c>
      <c r="U16" s="14"/>
      <c r="V16" s="14"/>
      <c r="W16" s="14"/>
      <c r="X16" s="14"/>
      <c r="Y16" s="14"/>
      <c r="Z16" s="14"/>
      <c r="AA16" s="14"/>
      <c r="AB16" s="14"/>
      <c r="AC16" s="5"/>
      <c r="AD16" s="5"/>
      <c r="AE16" s="5"/>
      <c r="AF16" s="5"/>
      <c r="AG16" s="5"/>
      <c r="AH16" s="5"/>
      <c r="AI16" s="5"/>
      <c r="AJ16" s="12"/>
    </row>
    <row r="17" spans="2:36" ht="12.75">
      <c r="B17" s="3" t="s">
        <v>157</v>
      </c>
      <c r="D17" s="3" t="s">
        <v>30</v>
      </c>
      <c r="E17" s="5" t="s">
        <v>32</v>
      </c>
      <c r="F17" s="6">
        <v>0.9</v>
      </c>
      <c r="G17" s="6" t="s">
        <v>32</v>
      </c>
      <c r="H17" s="6">
        <v>0.9</v>
      </c>
      <c r="I17" s="6" t="s">
        <v>32</v>
      </c>
      <c r="J17" s="6">
        <v>0.9</v>
      </c>
      <c r="K17" s="6"/>
      <c r="L17" s="26">
        <f>0.9</f>
        <v>0.9</v>
      </c>
      <c r="M17" s="6" t="s">
        <v>32</v>
      </c>
      <c r="N17" s="6">
        <v>0.8</v>
      </c>
      <c r="O17" s="5" t="s">
        <v>32</v>
      </c>
      <c r="P17" s="6">
        <v>0.8</v>
      </c>
      <c r="Q17" s="6" t="s">
        <v>32</v>
      </c>
      <c r="R17" s="6">
        <v>0.8</v>
      </c>
      <c r="S17" s="5"/>
      <c r="T17" s="14">
        <f>0.8</f>
        <v>0.8</v>
      </c>
      <c r="U17" s="14"/>
      <c r="V17" s="14"/>
      <c r="W17" s="14"/>
      <c r="X17" s="14"/>
      <c r="Y17" s="14"/>
      <c r="Z17" s="14"/>
      <c r="AA17" s="14"/>
      <c r="AB17" s="14"/>
      <c r="AC17" s="5"/>
      <c r="AD17" s="5"/>
      <c r="AE17" s="5"/>
      <c r="AF17" s="5"/>
      <c r="AG17" s="5"/>
      <c r="AH17" s="5"/>
      <c r="AI17" s="5"/>
      <c r="AJ17" s="12"/>
    </row>
    <row r="18" spans="2:36" ht="12.75">
      <c r="B18" s="3" t="s">
        <v>158</v>
      </c>
      <c r="D18" s="3" t="s">
        <v>30</v>
      </c>
      <c r="E18" s="5" t="s">
        <v>32</v>
      </c>
      <c r="F18" s="6">
        <v>2</v>
      </c>
      <c r="G18" s="6" t="s">
        <v>32</v>
      </c>
      <c r="H18" s="6">
        <v>2</v>
      </c>
      <c r="I18" s="6" t="s">
        <v>32</v>
      </c>
      <c r="J18" s="6">
        <v>2</v>
      </c>
      <c r="K18" s="6"/>
      <c r="L18" s="26">
        <f>2</f>
        <v>2</v>
      </c>
      <c r="M18" s="6" t="s">
        <v>32</v>
      </c>
      <c r="N18" s="6">
        <v>2</v>
      </c>
      <c r="O18" s="5" t="s">
        <v>32</v>
      </c>
      <c r="P18" s="6">
        <v>2</v>
      </c>
      <c r="Q18" s="6" t="s">
        <v>32</v>
      </c>
      <c r="R18" s="6">
        <v>2</v>
      </c>
      <c r="S18" s="5"/>
      <c r="T18" s="14">
        <f>2</f>
        <v>2</v>
      </c>
      <c r="U18" s="14"/>
      <c r="V18" s="14"/>
      <c r="W18" s="14"/>
      <c r="X18" s="14"/>
      <c r="Y18" s="14"/>
      <c r="Z18" s="14"/>
      <c r="AA18" s="14"/>
      <c r="AB18" s="14"/>
      <c r="AC18" s="5"/>
      <c r="AD18" s="5"/>
      <c r="AE18" s="5"/>
      <c r="AF18" s="5"/>
      <c r="AG18" s="5"/>
      <c r="AH18" s="5"/>
      <c r="AI18" s="5"/>
      <c r="AJ18" s="12"/>
    </row>
    <row r="19" spans="2:36" ht="12.75">
      <c r="B19" s="3" t="s">
        <v>159</v>
      </c>
      <c r="D19" s="3" t="s">
        <v>30</v>
      </c>
      <c r="E19" s="5" t="s">
        <v>32</v>
      </c>
      <c r="F19" s="6">
        <v>0.5</v>
      </c>
      <c r="G19" s="6" t="s">
        <v>32</v>
      </c>
      <c r="H19" s="6">
        <v>0.4</v>
      </c>
      <c r="I19" s="6" t="s">
        <v>32</v>
      </c>
      <c r="J19" s="6">
        <v>0.4</v>
      </c>
      <c r="K19" s="6"/>
      <c r="L19" s="26">
        <f>0.4</f>
        <v>0.4</v>
      </c>
      <c r="M19" s="6" t="s">
        <v>32</v>
      </c>
      <c r="N19" s="6">
        <v>0.4</v>
      </c>
      <c r="O19" s="5" t="s">
        <v>32</v>
      </c>
      <c r="P19" s="6">
        <v>0.4</v>
      </c>
      <c r="Q19" s="6" t="s">
        <v>32</v>
      </c>
      <c r="R19" s="6">
        <v>0.4</v>
      </c>
      <c r="S19" s="5"/>
      <c r="T19" s="14">
        <f>0.4</f>
        <v>0.4</v>
      </c>
      <c r="U19" s="14"/>
      <c r="V19" s="14"/>
      <c r="W19" s="14"/>
      <c r="X19" s="14"/>
      <c r="Y19" s="14"/>
      <c r="Z19" s="14"/>
      <c r="AA19" s="14"/>
      <c r="AB19" s="14"/>
      <c r="AC19" s="5"/>
      <c r="AD19" s="5"/>
      <c r="AE19" s="5"/>
      <c r="AF19" s="5"/>
      <c r="AG19" s="5"/>
      <c r="AH19" s="5"/>
      <c r="AI19" s="5"/>
      <c r="AJ19" s="12"/>
    </row>
    <row r="20" spans="2:36" ht="12.75">
      <c r="B20" s="3" t="s">
        <v>163</v>
      </c>
      <c r="D20" s="3" t="s">
        <v>30</v>
      </c>
      <c r="E20" s="5" t="s">
        <v>32</v>
      </c>
      <c r="F20" s="6">
        <v>0.5</v>
      </c>
      <c r="G20" s="6" t="s">
        <v>32</v>
      </c>
      <c r="H20" s="6">
        <v>0.4</v>
      </c>
      <c r="I20" s="6" t="s">
        <v>32</v>
      </c>
      <c r="J20" s="6">
        <v>0.4</v>
      </c>
      <c r="K20" s="6"/>
      <c r="L20" s="26">
        <f>0.4</f>
        <v>0.4</v>
      </c>
      <c r="M20" s="6" t="s">
        <v>32</v>
      </c>
      <c r="N20" s="6">
        <v>0.4</v>
      </c>
      <c r="O20" s="5" t="s">
        <v>32</v>
      </c>
      <c r="P20" s="6">
        <v>0.4</v>
      </c>
      <c r="Q20" s="6" t="s">
        <v>32</v>
      </c>
      <c r="R20" s="6">
        <v>0.4</v>
      </c>
      <c r="S20" s="5"/>
      <c r="T20" s="14">
        <f>0.4</f>
        <v>0.4</v>
      </c>
      <c r="U20" s="14"/>
      <c r="V20" s="14"/>
      <c r="W20" s="14"/>
      <c r="X20" s="14"/>
      <c r="Y20" s="14"/>
      <c r="Z20" s="14"/>
      <c r="AA20" s="14"/>
      <c r="AB20" s="14"/>
      <c r="AC20" s="5"/>
      <c r="AD20" s="5"/>
      <c r="AE20" s="5"/>
      <c r="AF20" s="5"/>
      <c r="AG20" s="5"/>
      <c r="AH20" s="5"/>
      <c r="AI20" s="5"/>
      <c r="AJ20" s="12"/>
    </row>
    <row r="21" spans="2:36" ht="12.75">
      <c r="B21" s="3" t="s">
        <v>165</v>
      </c>
      <c r="D21" s="3" t="s">
        <v>30</v>
      </c>
      <c r="E21" s="5" t="s">
        <v>32</v>
      </c>
      <c r="F21" s="6">
        <v>0.5</v>
      </c>
      <c r="G21" s="6" t="s">
        <v>32</v>
      </c>
      <c r="H21" s="6">
        <v>0.4</v>
      </c>
      <c r="I21" s="6" t="s">
        <v>32</v>
      </c>
      <c r="J21" s="6">
        <v>0.4</v>
      </c>
      <c r="K21" s="6"/>
      <c r="L21" s="26">
        <f>0.4</f>
        <v>0.4</v>
      </c>
      <c r="M21" s="6"/>
      <c r="N21" s="6">
        <v>11.9</v>
      </c>
      <c r="O21" s="5"/>
      <c r="P21" s="6">
        <v>11.3</v>
      </c>
      <c r="Q21" s="6"/>
      <c r="R21" s="6">
        <v>10.3</v>
      </c>
      <c r="S21" s="5"/>
      <c r="T21" s="14">
        <f>11.2</f>
        <v>11.2</v>
      </c>
      <c r="U21" s="14"/>
      <c r="V21" s="14"/>
      <c r="W21" s="14"/>
      <c r="X21" s="14"/>
      <c r="Y21" s="14"/>
      <c r="Z21" s="14"/>
      <c r="AA21" s="14"/>
      <c r="AB21" s="14"/>
      <c r="AC21" s="5"/>
      <c r="AD21" s="5"/>
      <c r="AE21" s="5"/>
      <c r="AF21" s="5"/>
      <c r="AG21" s="5"/>
      <c r="AH21" s="5"/>
      <c r="AI21" s="5"/>
      <c r="AJ21" s="12"/>
    </row>
    <row r="22" spans="2:36" ht="12.75">
      <c r="B22" s="3" t="s">
        <v>162</v>
      </c>
      <c r="D22" s="3" t="s">
        <v>30</v>
      </c>
      <c r="E22" s="5" t="s">
        <v>32</v>
      </c>
      <c r="F22" s="6">
        <v>5</v>
      </c>
      <c r="G22" s="6" t="s">
        <v>32</v>
      </c>
      <c r="H22" s="6">
        <v>4</v>
      </c>
      <c r="I22" s="6" t="s">
        <v>32</v>
      </c>
      <c r="J22" s="6">
        <v>4</v>
      </c>
      <c r="K22" s="6"/>
      <c r="L22" s="26">
        <f>4</f>
        <v>4</v>
      </c>
      <c r="M22" s="6" t="s">
        <v>32</v>
      </c>
      <c r="N22" s="6">
        <v>4</v>
      </c>
      <c r="O22" s="5" t="s">
        <v>32</v>
      </c>
      <c r="P22" s="6">
        <v>4</v>
      </c>
      <c r="Q22" s="6" t="s">
        <v>32</v>
      </c>
      <c r="R22" s="6">
        <v>4</v>
      </c>
      <c r="S22" s="5"/>
      <c r="T22" s="14">
        <f>4</f>
        <v>4</v>
      </c>
      <c r="U22" s="14"/>
      <c r="V22" s="14"/>
      <c r="W22" s="14"/>
      <c r="X22" s="14"/>
      <c r="Y22" s="14"/>
      <c r="Z22" s="14"/>
      <c r="AA22" s="14"/>
      <c r="AB22" s="14"/>
      <c r="AC22" s="5"/>
      <c r="AD22" s="5"/>
      <c r="AE22" s="5"/>
      <c r="AF22" s="5"/>
      <c r="AG22" s="5"/>
      <c r="AH22" s="5"/>
      <c r="AI22" s="5"/>
      <c r="AJ22" s="12"/>
    </row>
    <row r="23" spans="2:36" ht="12.75">
      <c r="B23" s="3" t="s">
        <v>169</v>
      </c>
      <c r="D23" s="3" t="s">
        <v>30</v>
      </c>
      <c r="F23" s="6">
        <v>0.11</v>
      </c>
      <c r="G23" s="6" t="s">
        <v>32</v>
      </c>
      <c r="H23" s="6">
        <v>0.09</v>
      </c>
      <c r="I23" s="6" t="s">
        <v>32</v>
      </c>
      <c r="J23" s="6">
        <v>0.09</v>
      </c>
      <c r="K23" s="6"/>
      <c r="L23" s="26">
        <f>0.1</f>
        <v>0.1</v>
      </c>
      <c r="M23" s="6" t="s">
        <v>32</v>
      </c>
      <c r="N23" s="6">
        <v>0.08</v>
      </c>
      <c r="O23" s="5" t="s">
        <v>32</v>
      </c>
      <c r="P23" s="6">
        <v>0.08</v>
      </c>
      <c r="Q23" s="6" t="s">
        <v>32</v>
      </c>
      <c r="R23" s="6">
        <v>0.08</v>
      </c>
      <c r="S23" s="5"/>
      <c r="T23" s="14">
        <f>0.08</f>
        <v>0.08</v>
      </c>
      <c r="U23" s="14"/>
      <c r="V23" s="14"/>
      <c r="W23" s="14"/>
      <c r="X23" s="14"/>
      <c r="Y23" s="14"/>
      <c r="Z23" s="14"/>
      <c r="AA23" s="14"/>
      <c r="AB23" s="14"/>
      <c r="AC23" s="5"/>
      <c r="AD23" s="5"/>
      <c r="AE23" s="5"/>
      <c r="AF23" s="5"/>
      <c r="AG23" s="5"/>
      <c r="AH23" s="5"/>
      <c r="AI23" s="5"/>
      <c r="AJ23" s="12"/>
    </row>
    <row r="24" spans="2:36" ht="12.75">
      <c r="B24" s="3" t="s">
        <v>164</v>
      </c>
      <c r="D24" s="3" t="s">
        <v>30</v>
      </c>
      <c r="E24" s="5" t="s">
        <v>32</v>
      </c>
      <c r="F24" s="6">
        <v>0.2</v>
      </c>
      <c r="G24" s="6" t="s">
        <v>32</v>
      </c>
      <c r="H24" s="6">
        <v>0.2</v>
      </c>
      <c r="I24" s="6" t="s">
        <v>32</v>
      </c>
      <c r="J24" s="6">
        <v>0.2</v>
      </c>
      <c r="K24" s="6"/>
      <c r="L24" s="26">
        <f>0.2</f>
        <v>0.2</v>
      </c>
      <c r="M24" s="6"/>
      <c r="N24" s="6">
        <v>0.224</v>
      </c>
      <c r="O24" s="5"/>
      <c r="P24" s="6">
        <v>0.248</v>
      </c>
      <c r="Q24" s="6"/>
      <c r="R24" s="6">
        <v>0.218</v>
      </c>
      <c r="S24" s="5"/>
      <c r="T24" s="14">
        <v>0.23</v>
      </c>
      <c r="U24" s="14"/>
      <c r="V24" s="14"/>
      <c r="W24" s="14"/>
      <c r="X24" s="14"/>
      <c r="Y24" s="14"/>
      <c r="Z24" s="14"/>
      <c r="AA24" s="14"/>
      <c r="AB24" s="14"/>
      <c r="AC24" s="5"/>
      <c r="AD24" s="5"/>
      <c r="AE24" s="5"/>
      <c r="AF24" s="5"/>
      <c r="AG24" s="5"/>
      <c r="AH24" s="5"/>
      <c r="AI24" s="5"/>
      <c r="AJ24" s="12"/>
    </row>
    <row r="25" spans="2:36" ht="12.75">
      <c r="B25" s="3" t="s">
        <v>160</v>
      </c>
      <c r="D25" s="3" t="s">
        <v>30</v>
      </c>
      <c r="E25" s="5" t="s">
        <v>32</v>
      </c>
      <c r="F25" s="6">
        <v>0.28</v>
      </c>
      <c r="G25" s="6" t="s">
        <v>32</v>
      </c>
      <c r="H25" s="6">
        <v>0.26</v>
      </c>
      <c r="I25" s="6" t="s">
        <v>32</v>
      </c>
      <c r="J25" s="6">
        <v>0.26</v>
      </c>
      <c r="K25" s="6"/>
      <c r="L25" s="26">
        <f>0.27</f>
        <v>0.27</v>
      </c>
      <c r="M25" s="6" t="s">
        <v>32</v>
      </c>
      <c r="N25" s="6">
        <v>0.24</v>
      </c>
      <c r="O25" s="5" t="s">
        <v>32</v>
      </c>
      <c r="P25" s="6">
        <v>0.24</v>
      </c>
      <c r="Q25" s="6" t="s">
        <v>32</v>
      </c>
      <c r="R25" s="6">
        <v>0.24</v>
      </c>
      <c r="S25" s="5"/>
      <c r="T25" s="14">
        <f>0.24</f>
        <v>0.24</v>
      </c>
      <c r="U25" s="14"/>
      <c r="V25" s="14"/>
      <c r="W25" s="14"/>
      <c r="X25" s="14"/>
      <c r="Y25" s="14"/>
      <c r="Z25" s="14"/>
      <c r="AA25" s="14"/>
      <c r="AB25" s="14"/>
      <c r="AC25" s="5"/>
      <c r="AD25" s="5"/>
      <c r="AE25" s="5"/>
      <c r="AF25" s="5"/>
      <c r="AG25" s="5"/>
      <c r="AH25" s="5"/>
      <c r="AI25" s="5"/>
      <c r="AJ25" s="12"/>
    </row>
    <row r="26" spans="13:36" ht="12.75">
      <c r="M26" s="5"/>
      <c r="N26" s="5"/>
      <c r="O26" s="5"/>
      <c r="P26" s="5"/>
      <c r="Q26" s="5"/>
      <c r="R26" s="5"/>
      <c r="S26" s="5"/>
      <c r="AC26" s="5"/>
      <c r="AD26" s="5"/>
      <c r="AE26" s="5"/>
      <c r="AF26" s="5"/>
      <c r="AG26" s="5"/>
      <c r="AH26" s="5"/>
      <c r="AI26" s="5"/>
      <c r="AJ26" s="12"/>
    </row>
    <row r="27" spans="2:36" ht="12.75">
      <c r="B27" s="3" t="s">
        <v>44</v>
      </c>
      <c r="D27" s="3" t="s">
        <v>25</v>
      </c>
      <c r="E27" s="6"/>
      <c r="F27" s="6">
        <f>emiss!$G$12</f>
        <v>85204</v>
      </c>
      <c r="G27" s="6"/>
      <c r="H27" s="9">
        <f>emiss!$I$12</f>
        <v>82056</v>
      </c>
      <c r="I27" s="6"/>
      <c r="J27" s="6">
        <f>emiss!$K$12</f>
        <v>84158</v>
      </c>
      <c r="K27" s="6"/>
      <c r="L27" s="8">
        <f>emiss!$M$12</f>
        <v>83806</v>
      </c>
      <c r="M27" s="6"/>
      <c r="N27" s="6">
        <f>emiss!$G$12</f>
        <v>85204</v>
      </c>
      <c r="O27" s="6"/>
      <c r="P27" s="9">
        <f>emiss!$I$12</f>
        <v>82056</v>
      </c>
      <c r="Q27" s="6"/>
      <c r="R27" s="6">
        <f>emiss!$K$12</f>
        <v>84158</v>
      </c>
      <c r="S27" s="6"/>
      <c r="T27" s="8">
        <f>emiss!$M$12</f>
        <v>83806</v>
      </c>
      <c r="U27" s="8"/>
      <c r="V27" s="8"/>
      <c r="W27" s="8"/>
      <c r="X27" s="8"/>
      <c r="Y27" s="8"/>
      <c r="Z27" s="8"/>
      <c r="AA27" s="8"/>
      <c r="AB27" s="8"/>
      <c r="AC27" s="6"/>
      <c r="AD27" s="6">
        <f>emiss!$G$12</f>
        <v>85204</v>
      </c>
      <c r="AE27" s="6"/>
      <c r="AF27" s="9">
        <f>emiss!$I$12</f>
        <v>82056</v>
      </c>
      <c r="AG27" s="6"/>
      <c r="AH27" s="6">
        <f>emiss!$K$12</f>
        <v>84158</v>
      </c>
      <c r="AI27" s="6"/>
      <c r="AJ27" s="8">
        <f>emiss!$M$12</f>
        <v>83806</v>
      </c>
    </row>
    <row r="28" spans="2:36" ht="12.75">
      <c r="B28" s="3" t="s">
        <v>45</v>
      </c>
      <c r="D28" s="3" t="s">
        <v>26</v>
      </c>
      <c r="E28" s="6"/>
      <c r="F28" s="6">
        <f>emiss!$G$13</f>
        <v>5.7</v>
      </c>
      <c r="G28" s="6"/>
      <c r="H28" s="6">
        <f>emiss!$I$13</f>
        <v>5.6</v>
      </c>
      <c r="I28" s="6"/>
      <c r="J28" s="6">
        <f>emiss!$K$13</f>
        <v>5.6</v>
      </c>
      <c r="K28" s="6"/>
      <c r="L28" s="8">
        <f>emiss!$M$13</f>
        <v>5.633333333333333</v>
      </c>
      <c r="M28" s="8"/>
      <c r="N28" s="6">
        <f>emiss!$G$13</f>
        <v>5.7</v>
      </c>
      <c r="O28" s="6"/>
      <c r="P28" s="6">
        <f>emiss!$I$13</f>
        <v>5.6</v>
      </c>
      <c r="Q28" s="6"/>
      <c r="R28" s="6">
        <f>emiss!$K$13</f>
        <v>5.6</v>
      </c>
      <c r="S28" s="6"/>
      <c r="T28" s="8">
        <f>emiss!$M$13</f>
        <v>5.633333333333333</v>
      </c>
      <c r="U28" s="8"/>
      <c r="V28" s="8"/>
      <c r="W28" s="8"/>
      <c r="X28" s="8"/>
      <c r="Y28" s="8"/>
      <c r="Z28" s="8"/>
      <c r="AA28" s="8"/>
      <c r="AB28" s="8"/>
      <c r="AC28" s="8"/>
      <c r="AD28" s="6">
        <f>emiss!$G$13</f>
        <v>5.7</v>
      </c>
      <c r="AE28" s="6"/>
      <c r="AF28" s="6">
        <f>emiss!$I$13</f>
        <v>5.6</v>
      </c>
      <c r="AG28" s="6"/>
      <c r="AH28" s="6">
        <f>emiss!$K$13</f>
        <v>5.6</v>
      </c>
      <c r="AI28" s="6"/>
      <c r="AJ28" s="8">
        <f>emiss!$M$13</f>
        <v>5.633333333333333</v>
      </c>
    </row>
    <row r="29" spans="13:36" ht="12.75">
      <c r="M29" s="5"/>
      <c r="N29" s="5"/>
      <c r="O29" s="5"/>
      <c r="P29" s="5"/>
      <c r="Q29" s="5"/>
      <c r="R29" s="5"/>
      <c r="S29" s="5"/>
      <c r="AC29" s="5"/>
      <c r="AD29" s="5"/>
      <c r="AE29" s="5"/>
      <c r="AF29" s="5"/>
      <c r="AG29" s="5"/>
      <c r="AH29" s="5"/>
      <c r="AI29" s="5"/>
      <c r="AJ29" s="12"/>
    </row>
    <row r="30" spans="2:36" ht="12.75">
      <c r="B30" s="3" t="s">
        <v>168</v>
      </c>
      <c r="D30" s="3" t="s">
        <v>42</v>
      </c>
      <c r="F30" s="8">
        <f>F10*F11/454/1000000</f>
        <v>67.65320668281939</v>
      </c>
      <c r="H30" s="8">
        <f>H10*H11/454/1000000</f>
        <v>60.76011709030837</v>
      </c>
      <c r="J30" s="8">
        <f>J10*J11/454/1000000</f>
        <v>62.27911788105727</v>
      </c>
      <c r="L30" s="8">
        <f>L10*L11/454/1000000</f>
        <v>63.56415671365639</v>
      </c>
      <c r="M30" s="5"/>
      <c r="N30" s="8">
        <f>N10*N11/454/1000000</f>
        <v>28.057154537444934</v>
      </c>
      <c r="O30" s="5"/>
      <c r="P30" s="8">
        <f>P10*P11/454/1000000</f>
        <v>27.305623612334802</v>
      </c>
      <c r="Q30" s="5"/>
      <c r="R30" s="8">
        <f>R10*R11/454/1000000</f>
        <v>27.556133920704845</v>
      </c>
      <c r="S30" s="5"/>
      <c r="T30" s="8">
        <f>T10*T11/454/1000000</f>
        <v>27.639637356828192</v>
      </c>
      <c r="U30" s="8"/>
      <c r="V30" s="8">
        <f>F30+N30</f>
        <v>95.71036122026432</v>
      </c>
      <c r="W30" s="8"/>
      <c r="X30" s="8">
        <f>H30+P30</f>
        <v>88.06574070264317</v>
      </c>
      <c r="Y30" s="8"/>
      <c r="Z30" s="8">
        <f>J30+R30</f>
        <v>89.83525180176211</v>
      </c>
      <c r="AA30" s="8"/>
      <c r="AB30" s="8">
        <f>L30+T30</f>
        <v>91.20379407048458</v>
      </c>
      <c r="AC30" s="5"/>
      <c r="AD30" s="12">
        <f>SUM(N30,F30)</f>
        <v>95.71036122026432</v>
      </c>
      <c r="AE30" s="5"/>
      <c r="AF30" s="12">
        <f>SUM(P30,H30)</f>
        <v>88.06574070264317</v>
      </c>
      <c r="AG30" s="5"/>
      <c r="AH30" s="12">
        <f>SUM(R30,J30)</f>
        <v>89.83525180176211</v>
      </c>
      <c r="AI30" s="5"/>
      <c r="AJ30" s="12">
        <f>SUM(T30,L30)</f>
        <v>91.20379407048458</v>
      </c>
    </row>
    <row r="31" spans="2:36" ht="12.75">
      <c r="B31" s="3" t="s">
        <v>202</v>
      </c>
      <c r="D31" s="3" t="s">
        <v>42</v>
      </c>
      <c r="F31" s="28"/>
      <c r="L31" s="28"/>
      <c r="M31" s="5"/>
      <c r="N31" s="5"/>
      <c r="O31" s="5"/>
      <c r="P31" s="5"/>
      <c r="Q31" s="5"/>
      <c r="R31" s="5"/>
      <c r="S31" s="5"/>
      <c r="T31" s="28"/>
      <c r="U31" s="28"/>
      <c r="V31" s="28"/>
      <c r="W31" s="28"/>
      <c r="X31" s="28"/>
      <c r="Y31" s="28"/>
      <c r="Z31" s="28"/>
      <c r="AA31" s="28"/>
      <c r="AB31" s="28"/>
      <c r="AC31" s="5"/>
      <c r="AD31" s="12">
        <f>AD27/9000*(21-AD28)/21*60</f>
        <v>413.84799999999996</v>
      </c>
      <c r="AE31" s="5"/>
      <c r="AF31" s="12">
        <f>AF27/9000*(21-AF28)/21*60</f>
        <v>401.16266666666667</v>
      </c>
      <c r="AG31" s="5"/>
      <c r="AH31" s="12">
        <f>AH27/9000*(21-AH28)/21*60</f>
        <v>411.43911111111106</v>
      </c>
      <c r="AI31" s="5"/>
      <c r="AJ31" s="12">
        <f>AJ27/9000*(21-AJ28)/21*60</f>
        <v>408.83138624338625</v>
      </c>
    </row>
    <row r="32" spans="6:36" ht="12.75">
      <c r="F32" s="28"/>
      <c r="L32" s="28"/>
      <c r="M32" s="5"/>
      <c r="N32" s="5"/>
      <c r="O32" s="5"/>
      <c r="P32" s="5"/>
      <c r="Q32" s="5"/>
      <c r="R32" s="5"/>
      <c r="S32" s="5"/>
      <c r="T32" s="28"/>
      <c r="U32" s="28"/>
      <c r="V32" s="28"/>
      <c r="W32" s="28"/>
      <c r="X32" s="28"/>
      <c r="Y32" s="28"/>
      <c r="Z32" s="28"/>
      <c r="AA32" s="28"/>
      <c r="AB32" s="28"/>
      <c r="AC32" s="5"/>
      <c r="AD32" s="5"/>
      <c r="AE32" s="5"/>
      <c r="AF32" s="5"/>
      <c r="AG32" s="5"/>
      <c r="AH32" s="5"/>
      <c r="AI32" s="5"/>
      <c r="AJ32" s="12"/>
    </row>
    <row r="33" spans="2:36" ht="12.75">
      <c r="B33" s="46" t="s">
        <v>131</v>
      </c>
      <c r="C33" s="46"/>
      <c r="F33" s="28"/>
      <c r="L33" s="28"/>
      <c r="M33" s="5"/>
      <c r="N33" s="5"/>
      <c r="O33" s="5"/>
      <c r="P33" s="5"/>
      <c r="Q33" s="5"/>
      <c r="R33" s="5"/>
      <c r="S33" s="5"/>
      <c r="T33" s="28"/>
      <c r="U33" s="28"/>
      <c r="V33" s="28"/>
      <c r="W33" s="28"/>
      <c r="X33" s="28"/>
      <c r="Y33" s="28"/>
      <c r="Z33" s="28"/>
      <c r="AA33" s="28"/>
      <c r="AB33" s="28"/>
      <c r="AC33" s="5"/>
      <c r="AD33" s="5"/>
      <c r="AE33" s="5"/>
      <c r="AF33" s="5"/>
      <c r="AG33" s="5"/>
      <c r="AH33" s="5"/>
      <c r="AI33" s="5"/>
      <c r="AJ33" s="12"/>
    </row>
    <row r="34" spans="2:36" ht="12.75">
      <c r="B34" s="3" t="s">
        <v>37</v>
      </c>
      <c r="D34" s="3" t="s">
        <v>46</v>
      </c>
      <c r="E34" s="5">
        <v>100</v>
      </c>
      <c r="F34" s="8">
        <f>F14/F27/60/0.0283*1000*(21-7)/(21-F28)</f>
        <v>1.4989504652427275</v>
      </c>
      <c r="G34" s="5">
        <v>100</v>
      </c>
      <c r="H34" s="8">
        <f>H14/H27/60/0.0283*1000*(21-7)/(21-H28)</f>
        <v>1.389757062948964</v>
      </c>
      <c r="I34" s="5">
        <v>100</v>
      </c>
      <c r="J34" s="8">
        <f>J14/J27/60/0.0283*1000*(21-7)/(21-J28)</f>
        <v>1.3932156292349223</v>
      </c>
      <c r="L34" s="8">
        <f>AVERAGE(F34,H34,J34)</f>
        <v>1.4273077191422046</v>
      </c>
      <c r="M34" s="5"/>
      <c r="N34" s="8">
        <f>N14/N27/60/0.0283*1000*(21-7)/(21-N28)</f>
        <v>110.67567169317506</v>
      </c>
      <c r="O34" s="5"/>
      <c r="P34" s="8">
        <f>P14/P27/60/0.0283*1000*(21-7)/(21-P28)</f>
        <v>38.76313009849669</v>
      </c>
      <c r="Q34" s="5"/>
      <c r="R34" s="8">
        <f>R14/R27/60/0.0283*1000*(21-7)/(21-R28)</f>
        <v>48.31086524388128</v>
      </c>
      <c r="S34" s="5"/>
      <c r="T34" s="8">
        <f>AVERAGE(N34,P34,R34)</f>
        <v>65.91655567851768</v>
      </c>
      <c r="U34" s="9">
        <f aca="true" t="shared" si="0" ref="U34:U45">(E34*F34+M34*N34)/V34</f>
        <v>1.3362652232746954</v>
      </c>
      <c r="V34" s="8">
        <f>F34+N34</f>
        <v>112.17462215841779</v>
      </c>
      <c r="W34" s="9">
        <f aca="true" t="shared" si="1" ref="W34:W45">(G34*H34+O34*P34)/X34</f>
        <v>3.4611634709132266</v>
      </c>
      <c r="X34" s="8">
        <f>H34+P34</f>
        <v>40.152887161445655</v>
      </c>
      <c r="Y34" s="9">
        <f aca="true" t="shared" si="2" ref="Y34:Y45">(I34*J34+Q34*R34)/Z34</f>
        <v>2.803020606681172</v>
      </c>
      <c r="Z34" s="8">
        <f>J34+R34</f>
        <v>49.704080873116204</v>
      </c>
      <c r="AA34" s="9">
        <f>AVERAGE(U34*V34,W34*X34,Y34*Z34)/AB34</f>
        <v>2.119432487432554</v>
      </c>
      <c r="AB34" s="8">
        <f>L34+T34</f>
        <v>67.34386339765989</v>
      </c>
      <c r="AC34" s="9">
        <f aca="true" t="shared" si="3" ref="AC34:AJ34">U34</f>
        <v>1.3362652232746954</v>
      </c>
      <c r="AD34" s="8">
        <f t="shared" si="3"/>
        <v>112.17462215841779</v>
      </c>
      <c r="AE34" s="9">
        <f t="shared" si="3"/>
        <v>3.4611634709132266</v>
      </c>
      <c r="AF34" s="8">
        <f t="shared" si="3"/>
        <v>40.152887161445655</v>
      </c>
      <c r="AG34" s="9">
        <f t="shared" si="3"/>
        <v>2.803020606681172</v>
      </c>
      <c r="AH34" s="8">
        <f t="shared" si="3"/>
        <v>49.704080873116204</v>
      </c>
      <c r="AI34" s="9">
        <f t="shared" si="3"/>
        <v>2.119432487432554</v>
      </c>
      <c r="AJ34" s="8">
        <f t="shared" si="3"/>
        <v>67.34386339765989</v>
      </c>
    </row>
    <row r="35" spans="2:36" ht="12.75">
      <c r="B35" s="3" t="s">
        <v>38</v>
      </c>
      <c r="D35" s="3" t="s">
        <v>47</v>
      </c>
      <c r="F35" s="8">
        <f aca="true" t="shared" si="4" ref="F35:F45">F15/F$27/60/0.0283*1000000*(21-7)/(21-F$28)</f>
        <v>2055.5227898898165</v>
      </c>
      <c r="H35" s="8">
        <f aca="true" t="shared" si="5" ref="H35:H45">H15/H$27/60/0.0283*1000000*(21-7)/(21-H$28)</f>
        <v>2270.5890042546457</v>
      </c>
      <c r="J35" s="8">
        <f aca="true" t="shared" si="6" ref="J35:J45">J15/J$27/60/0.0283*1000000*(21-7)/(21-J$28)</f>
        <v>2309.3026183208985</v>
      </c>
      <c r="L35" s="8">
        <f aca="true" t="shared" si="7" ref="L35:L45">AVERAGE(F35,H35,J35)</f>
        <v>2211.8048041551206</v>
      </c>
      <c r="M35" s="5">
        <v>100</v>
      </c>
      <c r="N35" s="8">
        <f aca="true" t="shared" si="8" ref="N35:N45">N15/N$27/60/0.0283*1000000*(21-7)/(21-N$28)</f>
        <v>126.49371014706558</v>
      </c>
      <c r="O35" s="5">
        <v>100</v>
      </c>
      <c r="P35" s="8">
        <f aca="true" t="shared" si="9" ref="P35:P45">P15/P$27/60/0.0283*1000000*(21-7)/(21-P$28)</f>
        <v>130.49362093417503</v>
      </c>
      <c r="Q35" s="5">
        <v>100</v>
      </c>
      <c r="R35" s="8">
        <f aca="true" t="shared" si="10" ref="R35:R45">R15/R$27/60/0.0283*1000000*(21-7)/(21-R$28)</f>
        <v>127.23430403971895</v>
      </c>
      <c r="S35" s="5"/>
      <c r="T35" s="8">
        <f aca="true" t="shared" si="11" ref="T35:T45">AVERAGE(N35,P35,R35)</f>
        <v>128.07387837365317</v>
      </c>
      <c r="U35" s="9">
        <f t="shared" si="0"/>
        <v>5.7971014492753605</v>
      </c>
      <c r="V35" s="8">
        <f aca="true" t="shared" si="12" ref="V35:Z45">F35+N35</f>
        <v>2182.016500036882</v>
      </c>
      <c r="W35" s="9">
        <f t="shared" si="1"/>
        <v>5.434782608695652</v>
      </c>
      <c r="X35" s="8">
        <f t="shared" si="12"/>
        <v>2401.0826251888207</v>
      </c>
      <c r="Y35" s="9">
        <f t="shared" si="2"/>
        <v>5.221932114882508</v>
      </c>
      <c r="Z35" s="8">
        <f t="shared" si="12"/>
        <v>2436.5369223606176</v>
      </c>
      <c r="AA35" s="9">
        <f aca="true" t="shared" si="13" ref="AA35:AA45">AVERAGE(U35*V35,W35*X35,Y35*Z35)/AB35</f>
        <v>5.473526440919582</v>
      </c>
      <c r="AB35" s="8">
        <f aca="true" t="shared" si="14" ref="AB35:AB48">L35+T35</f>
        <v>2339.878682528774</v>
      </c>
      <c r="AC35" s="9">
        <f aca="true" t="shared" si="15" ref="AC35:AC45">U35</f>
        <v>5.7971014492753605</v>
      </c>
      <c r="AD35" s="8">
        <f aca="true" t="shared" si="16" ref="AD35:AJ48">V35</f>
        <v>2182.016500036882</v>
      </c>
      <c r="AE35" s="9">
        <f aca="true" t="shared" si="17" ref="AE35:AE45">W35</f>
        <v>5.434782608695652</v>
      </c>
      <c r="AF35" s="8">
        <f t="shared" si="16"/>
        <v>2401.0826251888207</v>
      </c>
      <c r="AG35" s="9">
        <f aca="true" t="shared" si="18" ref="AG35:AG45">Y35</f>
        <v>5.221932114882508</v>
      </c>
      <c r="AH35" s="8">
        <f t="shared" si="16"/>
        <v>2436.5369223606176</v>
      </c>
      <c r="AI35" s="9">
        <f aca="true" t="shared" si="19" ref="AI35:AI45">AA35</f>
        <v>5.473526440919582</v>
      </c>
      <c r="AJ35" s="8">
        <f t="shared" si="16"/>
        <v>2339.878682528774</v>
      </c>
    </row>
    <row r="36" spans="2:36" ht="12.75">
      <c r="B36" s="3" t="s">
        <v>161</v>
      </c>
      <c r="D36" s="3" t="s">
        <v>47</v>
      </c>
      <c r="E36" s="5">
        <v>100</v>
      </c>
      <c r="F36" s="8">
        <f t="shared" si="4"/>
        <v>4.174292434853165</v>
      </c>
      <c r="G36" s="5">
        <v>100</v>
      </c>
      <c r="H36" s="8">
        <f t="shared" si="5"/>
        <v>3.914808628025251</v>
      </c>
      <c r="I36" s="5">
        <v>100</v>
      </c>
      <c r="J36" s="8">
        <f t="shared" si="6"/>
        <v>3.8806462732114277</v>
      </c>
      <c r="L36" s="8">
        <f t="shared" si="7"/>
        <v>3.9899157786966146</v>
      </c>
      <c r="M36" s="5">
        <v>100</v>
      </c>
      <c r="N36" s="8">
        <f t="shared" si="8"/>
        <v>3.6050707391913694</v>
      </c>
      <c r="O36" s="5">
        <v>100</v>
      </c>
      <c r="P36" s="8">
        <f t="shared" si="9"/>
        <v>3.5885745756898135</v>
      </c>
      <c r="Q36" s="5">
        <v>100</v>
      </c>
      <c r="R36" s="8">
        <f t="shared" si="10"/>
        <v>3.5625605131121305</v>
      </c>
      <c r="S36" s="5"/>
      <c r="T36" s="8">
        <f t="shared" si="11"/>
        <v>3.5854019426644377</v>
      </c>
      <c r="U36" s="9">
        <f t="shared" si="0"/>
        <v>99.99999999999999</v>
      </c>
      <c r="V36" s="8">
        <f t="shared" si="12"/>
        <v>7.779363174044535</v>
      </c>
      <c r="W36" s="9">
        <f t="shared" si="1"/>
        <v>100</v>
      </c>
      <c r="X36" s="8">
        <f t="shared" si="12"/>
        <v>7.503383203715065</v>
      </c>
      <c r="Y36" s="9">
        <f t="shared" si="2"/>
        <v>100</v>
      </c>
      <c r="Z36" s="8">
        <f t="shared" si="12"/>
        <v>7.443206786323558</v>
      </c>
      <c r="AA36" s="9">
        <f t="shared" si="13"/>
        <v>100</v>
      </c>
      <c r="AB36" s="8">
        <f t="shared" si="14"/>
        <v>7.575317721361053</v>
      </c>
      <c r="AC36" s="9">
        <f t="shared" si="15"/>
        <v>99.99999999999999</v>
      </c>
      <c r="AD36" s="8">
        <f t="shared" si="16"/>
        <v>7.779363174044535</v>
      </c>
      <c r="AE36" s="9">
        <f t="shared" si="17"/>
        <v>100</v>
      </c>
      <c r="AF36" s="8">
        <f t="shared" si="16"/>
        <v>7.503383203715065</v>
      </c>
      <c r="AG36" s="9">
        <f t="shared" si="18"/>
        <v>100</v>
      </c>
      <c r="AH36" s="8">
        <f t="shared" si="16"/>
        <v>7.443206786323558</v>
      </c>
      <c r="AI36" s="9">
        <f t="shared" si="19"/>
        <v>100</v>
      </c>
      <c r="AJ36" s="8">
        <f t="shared" si="16"/>
        <v>7.575317721361053</v>
      </c>
    </row>
    <row r="37" spans="2:36" ht="12.75">
      <c r="B37" s="3" t="s">
        <v>157</v>
      </c>
      <c r="D37" s="3" t="s">
        <v>47</v>
      </c>
      <c r="E37" s="5">
        <v>100</v>
      </c>
      <c r="F37" s="8">
        <f t="shared" si="4"/>
        <v>5.692216956617953</v>
      </c>
      <c r="G37" s="5">
        <v>100</v>
      </c>
      <c r="H37" s="8">
        <f t="shared" si="5"/>
        <v>5.872212942037876</v>
      </c>
      <c r="I37" s="5">
        <v>100</v>
      </c>
      <c r="J37" s="8">
        <f t="shared" si="6"/>
        <v>5.725543681787352</v>
      </c>
      <c r="L37" s="8">
        <f t="shared" si="7"/>
        <v>5.763324526814394</v>
      </c>
      <c r="M37" s="5">
        <v>100</v>
      </c>
      <c r="N37" s="8">
        <f t="shared" si="8"/>
        <v>5.059748405882625</v>
      </c>
      <c r="O37" s="5">
        <v>100</v>
      </c>
      <c r="P37" s="8">
        <f t="shared" si="9"/>
        <v>5.219744837367</v>
      </c>
      <c r="Q37" s="5">
        <v>100</v>
      </c>
      <c r="R37" s="8">
        <f t="shared" si="10"/>
        <v>5.0893721615887575</v>
      </c>
      <c r="S37" s="5"/>
      <c r="T37" s="8">
        <f t="shared" si="11"/>
        <v>5.122955134946127</v>
      </c>
      <c r="U37" s="9">
        <f t="shared" si="0"/>
        <v>100</v>
      </c>
      <c r="V37" s="8">
        <f t="shared" si="12"/>
        <v>10.751965362500577</v>
      </c>
      <c r="W37" s="9">
        <f t="shared" si="1"/>
        <v>100.00000000000001</v>
      </c>
      <c r="X37" s="8">
        <f t="shared" si="12"/>
        <v>11.091957779404876</v>
      </c>
      <c r="Y37" s="9">
        <f t="shared" si="2"/>
        <v>100</v>
      </c>
      <c r="Z37" s="8">
        <f t="shared" si="12"/>
        <v>10.81491584337611</v>
      </c>
      <c r="AA37" s="9">
        <f t="shared" si="13"/>
        <v>99.99999999999999</v>
      </c>
      <c r="AB37" s="8">
        <f t="shared" si="14"/>
        <v>10.886279661760522</v>
      </c>
      <c r="AC37" s="9">
        <f t="shared" si="15"/>
        <v>100</v>
      </c>
      <c r="AD37" s="8">
        <f t="shared" si="16"/>
        <v>10.751965362500577</v>
      </c>
      <c r="AE37" s="9">
        <f t="shared" si="17"/>
        <v>100.00000000000001</v>
      </c>
      <c r="AF37" s="8">
        <f t="shared" si="16"/>
        <v>11.091957779404876</v>
      </c>
      <c r="AG37" s="9">
        <f t="shared" si="18"/>
        <v>100</v>
      </c>
      <c r="AH37" s="8">
        <f t="shared" si="16"/>
        <v>10.81491584337611</v>
      </c>
      <c r="AI37" s="9">
        <f t="shared" si="19"/>
        <v>99.99999999999999</v>
      </c>
      <c r="AJ37" s="8">
        <f t="shared" si="16"/>
        <v>10.886279661760522</v>
      </c>
    </row>
    <row r="38" spans="2:36" ht="12.75">
      <c r="B38" s="3" t="s">
        <v>158</v>
      </c>
      <c r="D38" s="3" t="s">
        <v>47</v>
      </c>
      <c r="E38" s="5">
        <v>100</v>
      </c>
      <c r="F38" s="8">
        <f t="shared" si="4"/>
        <v>12.649371014706562</v>
      </c>
      <c r="G38" s="5">
        <v>100</v>
      </c>
      <c r="H38" s="8">
        <f t="shared" si="5"/>
        <v>13.049362093417502</v>
      </c>
      <c r="I38" s="5">
        <v>100</v>
      </c>
      <c r="J38" s="8">
        <f t="shared" si="6"/>
        <v>12.723430403971893</v>
      </c>
      <c r="L38" s="8">
        <f t="shared" si="7"/>
        <v>12.807387837365319</v>
      </c>
      <c r="M38" s="5">
        <v>100</v>
      </c>
      <c r="N38" s="8">
        <f t="shared" si="8"/>
        <v>12.649371014706562</v>
      </c>
      <c r="O38" s="5">
        <v>100</v>
      </c>
      <c r="P38" s="8">
        <f t="shared" si="9"/>
        <v>13.049362093417502</v>
      </c>
      <c r="Q38" s="5">
        <v>100</v>
      </c>
      <c r="R38" s="8">
        <f t="shared" si="10"/>
        <v>12.723430403971893</v>
      </c>
      <c r="S38" s="5"/>
      <c r="T38" s="8">
        <f t="shared" si="11"/>
        <v>12.807387837365319</v>
      </c>
      <c r="U38" s="9">
        <f t="shared" si="0"/>
        <v>100</v>
      </c>
      <c r="V38" s="8">
        <f t="shared" si="12"/>
        <v>25.298742029413123</v>
      </c>
      <c r="W38" s="9">
        <f t="shared" si="1"/>
        <v>100</v>
      </c>
      <c r="X38" s="8">
        <f t="shared" si="12"/>
        <v>26.098724186835003</v>
      </c>
      <c r="Y38" s="9">
        <f t="shared" si="2"/>
        <v>100</v>
      </c>
      <c r="Z38" s="8">
        <f t="shared" si="12"/>
        <v>25.446860807943786</v>
      </c>
      <c r="AA38" s="9">
        <f t="shared" si="13"/>
        <v>100</v>
      </c>
      <c r="AB38" s="8">
        <f t="shared" si="14"/>
        <v>25.614775674730637</v>
      </c>
      <c r="AC38" s="9">
        <f t="shared" si="15"/>
        <v>100</v>
      </c>
      <c r="AD38" s="8">
        <f t="shared" si="16"/>
        <v>25.298742029413123</v>
      </c>
      <c r="AE38" s="9">
        <f t="shared" si="17"/>
        <v>100</v>
      </c>
      <c r="AF38" s="8">
        <f t="shared" si="16"/>
        <v>26.098724186835003</v>
      </c>
      <c r="AG38" s="9">
        <f t="shared" si="18"/>
        <v>100</v>
      </c>
      <c r="AH38" s="8">
        <f t="shared" si="16"/>
        <v>25.446860807943786</v>
      </c>
      <c r="AI38" s="9">
        <f t="shared" si="19"/>
        <v>100</v>
      </c>
      <c r="AJ38" s="8">
        <f t="shared" si="16"/>
        <v>25.614775674730637</v>
      </c>
    </row>
    <row r="39" spans="2:36" ht="12.75">
      <c r="B39" s="3" t="s">
        <v>159</v>
      </c>
      <c r="D39" s="3" t="s">
        <v>47</v>
      </c>
      <c r="E39" s="5">
        <v>100</v>
      </c>
      <c r="F39" s="8">
        <f t="shared" si="4"/>
        <v>3.1623427536766404</v>
      </c>
      <c r="G39" s="5">
        <v>100</v>
      </c>
      <c r="H39" s="8">
        <f t="shared" si="5"/>
        <v>2.6098724186835</v>
      </c>
      <c r="I39" s="5">
        <v>100</v>
      </c>
      <c r="J39" s="8">
        <f t="shared" si="6"/>
        <v>2.5446860807943787</v>
      </c>
      <c r="L39" s="8">
        <f t="shared" si="7"/>
        <v>2.772300417718173</v>
      </c>
      <c r="M39" s="5">
        <v>100</v>
      </c>
      <c r="N39" s="8">
        <f t="shared" si="8"/>
        <v>2.5298742029413126</v>
      </c>
      <c r="O39" s="5">
        <v>100</v>
      </c>
      <c r="P39" s="8">
        <f t="shared" si="9"/>
        <v>2.6098724186835</v>
      </c>
      <c r="Q39" s="5">
        <v>100</v>
      </c>
      <c r="R39" s="8">
        <f t="shared" si="10"/>
        <v>2.5446860807943787</v>
      </c>
      <c r="S39" s="5"/>
      <c r="T39" s="8">
        <f t="shared" si="11"/>
        <v>2.5614775674730637</v>
      </c>
      <c r="U39" s="9">
        <f t="shared" si="0"/>
        <v>100.00000000000001</v>
      </c>
      <c r="V39" s="8">
        <f t="shared" si="12"/>
        <v>5.692216956617953</v>
      </c>
      <c r="W39" s="9">
        <f t="shared" si="1"/>
        <v>100</v>
      </c>
      <c r="X39" s="8">
        <f t="shared" si="12"/>
        <v>5.219744837367</v>
      </c>
      <c r="Y39" s="9">
        <f t="shared" si="2"/>
        <v>100</v>
      </c>
      <c r="Z39" s="8">
        <f t="shared" si="12"/>
        <v>5.0893721615887575</v>
      </c>
      <c r="AA39" s="9">
        <f t="shared" si="13"/>
        <v>100.00000000000001</v>
      </c>
      <c r="AB39" s="8">
        <f t="shared" si="14"/>
        <v>5.333777985191237</v>
      </c>
      <c r="AC39" s="9">
        <f t="shared" si="15"/>
        <v>100.00000000000001</v>
      </c>
      <c r="AD39" s="8">
        <f t="shared" si="16"/>
        <v>5.692216956617953</v>
      </c>
      <c r="AE39" s="9">
        <f t="shared" si="17"/>
        <v>100</v>
      </c>
      <c r="AF39" s="8">
        <f t="shared" si="16"/>
        <v>5.219744837367</v>
      </c>
      <c r="AG39" s="9">
        <f t="shared" si="18"/>
        <v>100</v>
      </c>
      <c r="AH39" s="8">
        <f t="shared" si="16"/>
        <v>5.0893721615887575</v>
      </c>
      <c r="AI39" s="9">
        <f t="shared" si="19"/>
        <v>100.00000000000001</v>
      </c>
      <c r="AJ39" s="8">
        <f t="shared" si="16"/>
        <v>5.333777985191237</v>
      </c>
    </row>
    <row r="40" spans="2:36" ht="12.75">
      <c r="B40" s="3" t="s">
        <v>163</v>
      </c>
      <c r="D40" s="3" t="s">
        <v>47</v>
      </c>
      <c r="E40" s="5">
        <v>100</v>
      </c>
      <c r="F40" s="8">
        <f t="shared" si="4"/>
        <v>3.1623427536766404</v>
      </c>
      <c r="G40" s="5">
        <v>100</v>
      </c>
      <c r="H40" s="8">
        <f t="shared" si="5"/>
        <v>2.6098724186835</v>
      </c>
      <c r="I40" s="5">
        <v>100</v>
      </c>
      <c r="J40" s="8">
        <f t="shared" si="6"/>
        <v>2.5446860807943787</v>
      </c>
      <c r="L40" s="8">
        <f t="shared" si="7"/>
        <v>2.772300417718173</v>
      </c>
      <c r="M40" s="5">
        <v>100</v>
      </c>
      <c r="N40" s="8">
        <f t="shared" si="8"/>
        <v>2.5298742029413126</v>
      </c>
      <c r="O40" s="5">
        <v>100</v>
      </c>
      <c r="P40" s="8">
        <f t="shared" si="9"/>
        <v>2.6098724186835</v>
      </c>
      <c r="Q40" s="5">
        <v>100</v>
      </c>
      <c r="R40" s="8">
        <f t="shared" si="10"/>
        <v>2.5446860807943787</v>
      </c>
      <c r="S40" s="5"/>
      <c r="T40" s="8">
        <f t="shared" si="11"/>
        <v>2.5614775674730637</v>
      </c>
      <c r="U40" s="9">
        <f t="shared" si="0"/>
        <v>100.00000000000001</v>
      </c>
      <c r="V40" s="8">
        <f t="shared" si="12"/>
        <v>5.692216956617953</v>
      </c>
      <c r="W40" s="9">
        <f t="shared" si="1"/>
        <v>100</v>
      </c>
      <c r="X40" s="8">
        <f t="shared" si="12"/>
        <v>5.219744837367</v>
      </c>
      <c r="Y40" s="9">
        <f t="shared" si="2"/>
        <v>100</v>
      </c>
      <c r="Z40" s="8">
        <f t="shared" si="12"/>
        <v>5.0893721615887575</v>
      </c>
      <c r="AA40" s="9">
        <f t="shared" si="13"/>
        <v>100.00000000000001</v>
      </c>
      <c r="AB40" s="8">
        <f t="shared" si="14"/>
        <v>5.333777985191237</v>
      </c>
      <c r="AC40" s="9">
        <f t="shared" si="15"/>
        <v>100.00000000000001</v>
      </c>
      <c r="AD40" s="8">
        <f t="shared" si="16"/>
        <v>5.692216956617953</v>
      </c>
      <c r="AE40" s="9">
        <f t="shared" si="17"/>
        <v>100</v>
      </c>
      <c r="AF40" s="8">
        <f t="shared" si="16"/>
        <v>5.219744837367</v>
      </c>
      <c r="AG40" s="9">
        <f t="shared" si="18"/>
        <v>100</v>
      </c>
      <c r="AH40" s="8">
        <f t="shared" si="16"/>
        <v>5.0893721615887575</v>
      </c>
      <c r="AI40" s="9">
        <f t="shared" si="19"/>
        <v>100.00000000000001</v>
      </c>
      <c r="AJ40" s="8">
        <f t="shared" si="16"/>
        <v>5.333777985191237</v>
      </c>
    </row>
    <row r="41" spans="2:36" ht="12.75">
      <c r="B41" s="3" t="s">
        <v>165</v>
      </c>
      <c r="D41" s="3" t="s">
        <v>47</v>
      </c>
      <c r="E41" s="5">
        <v>100</v>
      </c>
      <c r="F41" s="8">
        <f t="shared" si="4"/>
        <v>3.1623427536766404</v>
      </c>
      <c r="G41" s="5">
        <v>100</v>
      </c>
      <c r="H41" s="8">
        <f t="shared" si="5"/>
        <v>2.6098724186835</v>
      </c>
      <c r="I41" s="5">
        <v>100</v>
      </c>
      <c r="J41" s="8">
        <f t="shared" si="6"/>
        <v>2.5446860807943787</v>
      </c>
      <c r="L41" s="8">
        <f t="shared" si="7"/>
        <v>2.772300417718173</v>
      </c>
      <c r="M41" s="5"/>
      <c r="N41" s="8">
        <f t="shared" si="8"/>
        <v>75.26375753750405</v>
      </c>
      <c r="O41" s="5"/>
      <c r="P41" s="8">
        <f t="shared" si="9"/>
        <v>73.7288958278089</v>
      </c>
      <c r="Q41" s="5"/>
      <c r="R41" s="8">
        <f t="shared" si="10"/>
        <v>65.52566658045527</v>
      </c>
      <c r="S41" s="5"/>
      <c r="T41" s="8">
        <f t="shared" si="11"/>
        <v>71.50610664858941</v>
      </c>
      <c r="U41" s="9">
        <f t="shared" si="0"/>
        <v>4.032258064516129</v>
      </c>
      <c r="V41" s="8">
        <f t="shared" si="12"/>
        <v>78.42610029118069</v>
      </c>
      <c r="W41" s="9">
        <f t="shared" si="1"/>
        <v>3.4188034188034178</v>
      </c>
      <c r="X41" s="8">
        <f t="shared" si="12"/>
        <v>76.33876824649239</v>
      </c>
      <c r="Y41" s="9">
        <f t="shared" si="2"/>
        <v>3.738317757009345</v>
      </c>
      <c r="Z41" s="8">
        <f t="shared" si="12"/>
        <v>68.07035266124964</v>
      </c>
      <c r="AA41" s="9">
        <f>AVERAGE(U41*V41,W41*X41,Y41*Z41)/AB41</f>
        <v>3.732310003960328</v>
      </c>
      <c r="AB41" s="8">
        <f t="shared" si="14"/>
        <v>74.27840706630758</v>
      </c>
      <c r="AC41" s="9">
        <f t="shared" si="15"/>
        <v>4.032258064516129</v>
      </c>
      <c r="AD41" s="8">
        <f t="shared" si="16"/>
        <v>78.42610029118069</v>
      </c>
      <c r="AE41" s="9">
        <f t="shared" si="17"/>
        <v>3.4188034188034178</v>
      </c>
      <c r="AF41" s="8">
        <f t="shared" si="16"/>
        <v>76.33876824649239</v>
      </c>
      <c r="AG41" s="9">
        <f t="shared" si="18"/>
        <v>3.738317757009345</v>
      </c>
      <c r="AH41" s="8">
        <f t="shared" si="16"/>
        <v>68.07035266124964</v>
      </c>
      <c r="AI41" s="9">
        <f t="shared" si="19"/>
        <v>3.732310003960328</v>
      </c>
      <c r="AJ41" s="8">
        <f t="shared" si="16"/>
        <v>74.27840706630758</v>
      </c>
    </row>
    <row r="42" spans="2:36" ht="12.75">
      <c r="B42" s="3" t="s">
        <v>162</v>
      </c>
      <c r="D42" s="3" t="s">
        <v>47</v>
      </c>
      <c r="E42" s="5">
        <v>100</v>
      </c>
      <c r="F42" s="8">
        <f t="shared" si="4"/>
        <v>31.623427536766396</v>
      </c>
      <c r="G42" s="5">
        <v>100</v>
      </c>
      <c r="H42" s="8">
        <f t="shared" si="5"/>
        <v>26.098724186835003</v>
      </c>
      <c r="I42" s="5">
        <v>100</v>
      </c>
      <c r="J42" s="8">
        <f t="shared" si="6"/>
        <v>25.446860807943786</v>
      </c>
      <c r="L42" s="8">
        <f t="shared" si="7"/>
        <v>27.723004177181725</v>
      </c>
      <c r="M42" s="5">
        <v>100</v>
      </c>
      <c r="N42" s="8">
        <f t="shared" si="8"/>
        <v>25.298742029413123</v>
      </c>
      <c r="O42" s="5">
        <v>100</v>
      </c>
      <c r="P42" s="8">
        <f t="shared" si="9"/>
        <v>26.098724186835003</v>
      </c>
      <c r="Q42" s="5">
        <v>100</v>
      </c>
      <c r="R42" s="8">
        <f t="shared" si="10"/>
        <v>25.446860807943786</v>
      </c>
      <c r="S42" s="5"/>
      <c r="T42" s="8">
        <f t="shared" si="11"/>
        <v>25.614775674730637</v>
      </c>
      <c r="U42" s="9">
        <f t="shared" si="0"/>
        <v>100</v>
      </c>
      <c r="V42" s="8">
        <f t="shared" si="12"/>
        <v>56.92216956617952</v>
      </c>
      <c r="W42" s="9">
        <f t="shared" si="1"/>
        <v>100</v>
      </c>
      <c r="X42" s="8">
        <f t="shared" si="12"/>
        <v>52.19744837367001</v>
      </c>
      <c r="Y42" s="9">
        <f t="shared" si="2"/>
        <v>100</v>
      </c>
      <c r="Z42" s="8">
        <f t="shared" si="12"/>
        <v>50.89372161588757</v>
      </c>
      <c r="AA42" s="9">
        <f t="shared" si="13"/>
        <v>100.00000000000001</v>
      </c>
      <c r="AB42" s="8">
        <f t="shared" si="14"/>
        <v>53.33777985191236</v>
      </c>
      <c r="AC42" s="9">
        <f t="shared" si="15"/>
        <v>100</v>
      </c>
      <c r="AD42" s="8">
        <f t="shared" si="16"/>
        <v>56.92216956617952</v>
      </c>
      <c r="AE42" s="9">
        <f t="shared" si="17"/>
        <v>100</v>
      </c>
      <c r="AF42" s="8">
        <f t="shared" si="16"/>
        <v>52.19744837367001</v>
      </c>
      <c r="AG42" s="9">
        <f t="shared" si="18"/>
        <v>100</v>
      </c>
      <c r="AH42" s="8">
        <f t="shared" si="16"/>
        <v>50.89372161588757</v>
      </c>
      <c r="AI42" s="9">
        <f t="shared" si="19"/>
        <v>100.00000000000001</v>
      </c>
      <c r="AJ42" s="8">
        <f t="shared" si="16"/>
        <v>53.33777985191236</v>
      </c>
    </row>
    <row r="43" spans="2:36" ht="12.75">
      <c r="B43" s="3" t="s">
        <v>169</v>
      </c>
      <c r="D43" s="3" t="s">
        <v>47</v>
      </c>
      <c r="F43" s="8">
        <f t="shared" si="4"/>
        <v>0.6957154058088609</v>
      </c>
      <c r="G43" s="5">
        <v>100</v>
      </c>
      <c r="H43" s="8">
        <f t="shared" si="5"/>
        <v>0.5872212942037877</v>
      </c>
      <c r="I43" s="5">
        <v>100</v>
      </c>
      <c r="J43" s="8">
        <f t="shared" si="6"/>
        <v>0.5725543681787351</v>
      </c>
      <c r="L43" s="8">
        <f t="shared" si="7"/>
        <v>0.6184970227304613</v>
      </c>
      <c r="M43" s="5">
        <v>100</v>
      </c>
      <c r="N43" s="8">
        <f t="shared" si="8"/>
        <v>0.5059748405882624</v>
      </c>
      <c r="O43" s="5">
        <v>100</v>
      </c>
      <c r="P43" s="8">
        <f t="shared" si="9"/>
        <v>0.5219744837367001</v>
      </c>
      <c r="Q43" s="5">
        <v>100</v>
      </c>
      <c r="R43" s="8">
        <f t="shared" si="10"/>
        <v>0.5089372161588758</v>
      </c>
      <c r="S43" s="5"/>
      <c r="T43" s="8">
        <f t="shared" si="11"/>
        <v>0.5122955134946127</v>
      </c>
      <c r="U43" s="9">
        <f t="shared" si="0"/>
        <v>42.10526315789473</v>
      </c>
      <c r="V43" s="8">
        <f t="shared" si="12"/>
        <v>1.2016902463971233</v>
      </c>
      <c r="W43" s="9">
        <f t="shared" si="1"/>
        <v>99.99999999999999</v>
      </c>
      <c r="X43" s="8">
        <f t="shared" si="12"/>
        <v>1.1091957779404877</v>
      </c>
      <c r="Y43" s="9">
        <f t="shared" si="2"/>
        <v>100</v>
      </c>
      <c r="Z43" s="8">
        <f t="shared" si="12"/>
        <v>1.081491584337611</v>
      </c>
      <c r="AA43" s="9">
        <f t="shared" si="13"/>
        <v>79.4918052745741</v>
      </c>
      <c r="AB43" s="8">
        <f t="shared" si="14"/>
        <v>1.130792536225074</v>
      </c>
      <c r="AC43" s="9">
        <f t="shared" si="15"/>
        <v>42.10526315789473</v>
      </c>
      <c r="AD43" s="8">
        <f t="shared" si="16"/>
        <v>1.2016902463971233</v>
      </c>
      <c r="AE43" s="9">
        <f t="shared" si="17"/>
        <v>99.99999999999999</v>
      </c>
      <c r="AF43" s="8">
        <f t="shared" si="16"/>
        <v>1.1091957779404877</v>
      </c>
      <c r="AG43" s="9">
        <f t="shared" si="18"/>
        <v>100</v>
      </c>
      <c r="AH43" s="8">
        <f t="shared" si="16"/>
        <v>1.081491584337611</v>
      </c>
      <c r="AI43" s="9">
        <f t="shared" si="19"/>
        <v>79.4918052745741</v>
      </c>
      <c r="AJ43" s="8">
        <f t="shared" si="16"/>
        <v>1.130792536225074</v>
      </c>
    </row>
    <row r="44" spans="2:36" ht="12.75">
      <c r="B44" s="3" t="s">
        <v>164</v>
      </c>
      <c r="D44" s="3" t="s">
        <v>47</v>
      </c>
      <c r="E44" s="5">
        <v>100</v>
      </c>
      <c r="F44" s="8">
        <f t="shared" si="4"/>
        <v>1.2649371014706563</v>
      </c>
      <c r="G44" s="5">
        <v>100</v>
      </c>
      <c r="H44" s="8">
        <f t="shared" si="5"/>
        <v>1.30493620934175</v>
      </c>
      <c r="I44" s="5">
        <v>100</v>
      </c>
      <c r="J44" s="8">
        <f t="shared" si="6"/>
        <v>1.2723430403971894</v>
      </c>
      <c r="L44" s="8">
        <f t="shared" si="7"/>
        <v>1.2807387837365318</v>
      </c>
      <c r="M44" s="5"/>
      <c r="N44" s="8">
        <f t="shared" si="8"/>
        <v>1.4167295536471347</v>
      </c>
      <c r="O44" s="5"/>
      <c r="P44" s="8">
        <f t="shared" si="9"/>
        <v>1.6181208995837704</v>
      </c>
      <c r="Q44" s="5"/>
      <c r="R44" s="8">
        <f t="shared" si="10"/>
        <v>1.3868539140329368</v>
      </c>
      <c r="S44" s="5"/>
      <c r="T44" s="8">
        <f t="shared" si="11"/>
        <v>1.473901455754614</v>
      </c>
      <c r="U44" s="9">
        <f t="shared" si="0"/>
        <v>47.169811320754725</v>
      </c>
      <c r="V44" s="8">
        <f t="shared" si="12"/>
        <v>2.681666655117791</v>
      </c>
      <c r="W44" s="9">
        <f t="shared" si="1"/>
        <v>44.64285714285714</v>
      </c>
      <c r="X44" s="8">
        <f t="shared" si="12"/>
        <v>2.92305710892552</v>
      </c>
      <c r="Y44" s="9">
        <f t="shared" si="2"/>
        <v>47.846889952153106</v>
      </c>
      <c r="Z44" s="8">
        <f t="shared" si="12"/>
        <v>2.659196954430126</v>
      </c>
      <c r="AA44" s="9">
        <f t="shared" si="13"/>
        <v>46.49386752489748</v>
      </c>
      <c r="AB44" s="8">
        <f t="shared" si="14"/>
        <v>2.754640239491146</v>
      </c>
      <c r="AC44" s="9">
        <f t="shared" si="15"/>
        <v>47.169811320754725</v>
      </c>
      <c r="AD44" s="8">
        <f t="shared" si="16"/>
        <v>2.681666655117791</v>
      </c>
      <c r="AE44" s="9">
        <f t="shared" si="17"/>
        <v>44.64285714285714</v>
      </c>
      <c r="AF44" s="8">
        <f t="shared" si="16"/>
        <v>2.92305710892552</v>
      </c>
      <c r="AG44" s="9">
        <f t="shared" si="18"/>
        <v>47.846889952153106</v>
      </c>
      <c r="AH44" s="8">
        <f t="shared" si="16"/>
        <v>2.659196954430126</v>
      </c>
      <c r="AI44" s="9">
        <f t="shared" si="19"/>
        <v>46.49386752489748</v>
      </c>
      <c r="AJ44" s="8">
        <f t="shared" si="16"/>
        <v>2.754640239491146</v>
      </c>
    </row>
    <row r="45" spans="2:36" ht="12.75">
      <c r="B45" s="3" t="s">
        <v>160</v>
      </c>
      <c r="D45" s="3" t="s">
        <v>47</v>
      </c>
      <c r="E45" s="5">
        <v>100</v>
      </c>
      <c r="F45" s="8">
        <f t="shared" si="4"/>
        <v>1.7709119420589183</v>
      </c>
      <c r="G45" s="5">
        <v>100</v>
      </c>
      <c r="H45" s="8">
        <f t="shared" si="5"/>
        <v>1.6964170721442755</v>
      </c>
      <c r="I45" s="5">
        <v>100</v>
      </c>
      <c r="J45" s="8">
        <f t="shared" si="6"/>
        <v>1.6540459525163462</v>
      </c>
      <c r="L45" s="8">
        <f t="shared" si="7"/>
        <v>1.7071249889065132</v>
      </c>
      <c r="M45" s="5">
        <v>100</v>
      </c>
      <c r="N45" s="8">
        <f t="shared" si="8"/>
        <v>1.5179245217647874</v>
      </c>
      <c r="O45" s="5">
        <v>100</v>
      </c>
      <c r="P45" s="8">
        <f t="shared" si="9"/>
        <v>1.5659234512101001</v>
      </c>
      <c r="Q45" s="5">
        <v>100</v>
      </c>
      <c r="R45" s="8">
        <f t="shared" si="10"/>
        <v>1.5268116484766272</v>
      </c>
      <c r="S45" s="5"/>
      <c r="T45" s="8">
        <f t="shared" si="11"/>
        <v>1.5368865404838383</v>
      </c>
      <c r="U45" s="9">
        <f t="shared" si="0"/>
        <v>100</v>
      </c>
      <c r="V45" s="8">
        <f t="shared" si="12"/>
        <v>3.2888364638237055</v>
      </c>
      <c r="W45" s="9">
        <f t="shared" si="1"/>
        <v>100</v>
      </c>
      <c r="X45" s="8">
        <f t="shared" si="12"/>
        <v>3.262340523354376</v>
      </c>
      <c r="Y45" s="9">
        <f t="shared" si="2"/>
        <v>100</v>
      </c>
      <c r="Z45" s="8">
        <f t="shared" si="12"/>
        <v>3.180857600992973</v>
      </c>
      <c r="AA45" s="9">
        <f t="shared" si="13"/>
        <v>100</v>
      </c>
      <c r="AB45" s="8">
        <f t="shared" si="14"/>
        <v>3.2440115293903515</v>
      </c>
      <c r="AC45" s="9">
        <f t="shared" si="15"/>
        <v>100</v>
      </c>
      <c r="AD45" s="8">
        <f t="shared" si="16"/>
        <v>3.2888364638237055</v>
      </c>
      <c r="AE45" s="9">
        <f t="shared" si="17"/>
        <v>100</v>
      </c>
      <c r="AF45" s="8">
        <f t="shared" si="16"/>
        <v>3.262340523354376</v>
      </c>
      <c r="AG45" s="9">
        <f t="shared" si="18"/>
        <v>100</v>
      </c>
      <c r="AH45" s="8">
        <f t="shared" si="16"/>
        <v>3.180857600992973</v>
      </c>
      <c r="AI45" s="9">
        <f t="shared" si="19"/>
        <v>100</v>
      </c>
      <c r="AJ45" s="8">
        <f t="shared" si="16"/>
        <v>3.2440115293903515</v>
      </c>
    </row>
    <row r="46" spans="6:36" ht="12.75">
      <c r="F46" s="8"/>
      <c r="H46" s="8"/>
      <c r="J46" s="8"/>
      <c r="L46" s="8"/>
      <c r="M46" s="5"/>
      <c r="N46" s="8"/>
      <c r="O46" s="5"/>
      <c r="P46" s="8"/>
      <c r="Q46" s="5"/>
      <c r="R46" s="8"/>
      <c r="S46" s="5"/>
      <c r="T46" s="8"/>
      <c r="U46" s="8"/>
      <c r="V46" s="8"/>
      <c r="W46" s="8"/>
      <c r="X46" s="8"/>
      <c r="Y46" s="8"/>
      <c r="Z46" s="8"/>
      <c r="AA46" s="8"/>
      <c r="AB46" s="8"/>
      <c r="AC46" s="5"/>
      <c r="AD46" s="8">
        <f t="shared" si="16"/>
        <v>0</v>
      </c>
      <c r="AE46" s="5"/>
      <c r="AF46" s="8">
        <f t="shared" si="16"/>
        <v>0</v>
      </c>
      <c r="AG46" s="5"/>
      <c r="AH46" s="8">
        <f t="shared" si="16"/>
        <v>0</v>
      </c>
      <c r="AI46" s="5"/>
      <c r="AJ46" s="8">
        <f t="shared" si="16"/>
        <v>0</v>
      </c>
    </row>
    <row r="47" spans="2:36" ht="12.75">
      <c r="B47" s="3" t="s">
        <v>50</v>
      </c>
      <c r="D47" s="3" t="s">
        <v>47</v>
      </c>
      <c r="F47" s="8">
        <f>(F42+F40)</f>
        <v>34.78577029044304</v>
      </c>
      <c r="H47" s="8">
        <f>(H42+H40)</f>
        <v>28.708596605518505</v>
      </c>
      <c r="J47" s="8">
        <f>(J42+J40)</f>
        <v>27.991546888738164</v>
      </c>
      <c r="L47" s="8">
        <f>AVERAGE(F47,H47,J47)</f>
        <v>30.495304594899903</v>
      </c>
      <c r="M47" s="9"/>
      <c r="N47" s="8">
        <f>(N42+N40)</f>
        <v>27.828616232354435</v>
      </c>
      <c r="O47" s="9"/>
      <c r="P47" s="8">
        <f>(P42+P40)</f>
        <v>28.708596605518505</v>
      </c>
      <c r="Q47" s="9"/>
      <c r="R47" s="8">
        <f>(R42+R40)</f>
        <v>27.991546888738164</v>
      </c>
      <c r="S47" s="9"/>
      <c r="T47" s="8">
        <f>AVERAGE(N47,P47,R47)</f>
        <v>28.1762532422037</v>
      </c>
      <c r="U47" s="9">
        <f>(U42*V42+U40*V40)/V47</f>
        <v>99.99999999999999</v>
      </c>
      <c r="V47" s="8">
        <f>(V42+V40)</f>
        <v>62.614386522797474</v>
      </c>
      <c r="W47" s="9">
        <f>(W42*X42+W40*X40)/X47</f>
        <v>99.99999999999999</v>
      </c>
      <c r="X47" s="8">
        <f>(X42+X40)</f>
        <v>57.41719321103701</v>
      </c>
      <c r="Y47" s="9">
        <f>(Y42*Z42+Y40*Z40)/Z47</f>
        <v>100</v>
      </c>
      <c r="Z47" s="8">
        <f>(Z42+Z40)</f>
        <v>55.98309377747633</v>
      </c>
      <c r="AA47" s="9">
        <f>(AA42*AB42+AA40*AB40)/AB47</f>
        <v>99.99999999999999</v>
      </c>
      <c r="AB47" s="8">
        <f t="shared" si="14"/>
        <v>58.671557837103606</v>
      </c>
      <c r="AC47" s="9">
        <f>U47</f>
        <v>99.99999999999999</v>
      </c>
      <c r="AD47" s="8">
        <f t="shared" si="16"/>
        <v>62.614386522797474</v>
      </c>
      <c r="AE47" s="9">
        <f>W47</f>
        <v>99.99999999999999</v>
      </c>
      <c r="AF47" s="8">
        <f t="shared" si="16"/>
        <v>57.41719321103701</v>
      </c>
      <c r="AG47" s="9">
        <f>Y47</f>
        <v>100</v>
      </c>
      <c r="AH47" s="8">
        <f t="shared" si="16"/>
        <v>55.98309377747633</v>
      </c>
      <c r="AI47" s="9">
        <f>AA47</f>
        <v>99.99999999999999</v>
      </c>
      <c r="AJ47" s="8">
        <f t="shared" si="16"/>
        <v>58.671557837103606</v>
      </c>
    </row>
    <row r="48" spans="2:36" ht="12.75">
      <c r="B48" s="3" t="s">
        <v>51</v>
      </c>
      <c r="D48" s="3" t="s">
        <v>47</v>
      </c>
      <c r="F48" s="8">
        <f>(F37+F39+F41)</f>
        <v>12.016902463971233</v>
      </c>
      <c r="H48" s="8">
        <f>(H37+H39+H41)</f>
        <v>11.091957779404876</v>
      </c>
      <c r="J48" s="8">
        <f>(J37+J39+J41)</f>
        <v>10.81491584337611</v>
      </c>
      <c r="L48" s="8">
        <f>AVERAGE(F48,H48,J48)</f>
        <v>11.307925362250737</v>
      </c>
      <c r="M48" s="9"/>
      <c r="N48" s="8">
        <f>(N37+N39+N41)</f>
        <v>82.85338014632799</v>
      </c>
      <c r="O48" s="9"/>
      <c r="P48" s="8">
        <f>(P37+P39+P41)</f>
        <v>81.5585130838594</v>
      </c>
      <c r="Q48" s="9"/>
      <c r="R48" s="8">
        <f>(R37+R39+R41)</f>
        <v>73.1597248228384</v>
      </c>
      <c r="S48" s="9"/>
      <c r="T48" s="8">
        <f>AVERAGE(N48,P48,R48)</f>
        <v>79.1905393510086</v>
      </c>
      <c r="U48" s="9">
        <f>(U37*V37+U39*V39+U41*V41)/V48</f>
        <v>20.666666666666664</v>
      </c>
      <c r="V48" s="8">
        <f>(V37+V39+V41)</f>
        <v>94.87028261029923</v>
      </c>
      <c r="W48" s="9">
        <f>(W37*X37+W39*X39+W41*X41)/X48</f>
        <v>20.4225352112676</v>
      </c>
      <c r="X48" s="8">
        <f>(X37+X39+X41)</f>
        <v>92.65047086326427</v>
      </c>
      <c r="Y48" s="9">
        <f>(Y37*Z37+Y39*Z39+Y41*Z41)/Z48</f>
        <v>21.969696969696965</v>
      </c>
      <c r="Z48" s="8">
        <f>(Z37+Z39+Z41)</f>
        <v>83.97464066621451</v>
      </c>
      <c r="AA48" s="9">
        <f>(AA37*AB37+AA39*AB39+AA41*AB41)/AB48</f>
        <v>20.986387034129734</v>
      </c>
      <c r="AB48" s="8">
        <f t="shared" si="14"/>
        <v>90.49846471325934</v>
      </c>
      <c r="AC48" s="9">
        <f>U48</f>
        <v>20.666666666666664</v>
      </c>
      <c r="AD48" s="8">
        <f t="shared" si="16"/>
        <v>94.87028261029923</v>
      </c>
      <c r="AE48" s="9">
        <f>W48</f>
        <v>20.4225352112676</v>
      </c>
      <c r="AF48" s="8">
        <f t="shared" si="16"/>
        <v>92.65047086326427</v>
      </c>
      <c r="AG48" s="9">
        <f>Y48</f>
        <v>21.969696969696965</v>
      </c>
      <c r="AH48" s="8">
        <f t="shared" si="16"/>
        <v>83.97464066621451</v>
      </c>
      <c r="AI48" s="9">
        <f>AA48</f>
        <v>20.986387034129734</v>
      </c>
      <c r="AJ48" s="8">
        <f t="shared" si="16"/>
        <v>90.49846471325934</v>
      </c>
    </row>
    <row r="49" spans="12:36" ht="12.75">
      <c r="L49" s="8"/>
      <c r="M49" s="5"/>
      <c r="N49" s="5"/>
      <c r="O49" s="5"/>
      <c r="P49" s="5"/>
      <c r="Q49" s="5"/>
      <c r="R49" s="5"/>
      <c r="S49" s="5"/>
      <c r="T49" s="8"/>
      <c r="U49" s="8"/>
      <c r="V49" s="8"/>
      <c r="W49" s="8"/>
      <c r="X49" s="8"/>
      <c r="Y49" s="8"/>
      <c r="Z49" s="8"/>
      <c r="AA49" s="8"/>
      <c r="AB49" s="8"/>
      <c r="AC49" s="5"/>
      <c r="AD49" s="5"/>
      <c r="AE49" s="5"/>
      <c r="AF49" s="5"/>
      <c r="AG49" s="5"/>
      <c r="AH49" s="5"/>
      <c r="AI49" s="5"/>
      <c r="AJ49" s="12"/>
    </row>
    <row r="50" spans="12:36" ht="12.75">
      <c r="L50" s="8"/>
      <c r="M50" s="5"/>
      <c r="N50" s="5"/>
      <c r="O50" s="5"/>
      <c r="P50" s="5"/>
      <c r="Q50" s="5"/>
      <c r="R50" s="5"/>
      <c r="S50" s="5"/>
      <c r="T50" s="8"/>
      <c r="U50" s="8"/>
      <c r="V50" s="8"/>
      <c r="W50" s="8"/>
      <c r="X50" s="8"/>
      <c r="Y50" s="8"/>
      <c r="Z50" s="8"/>
      <c r="AA50" s="8"/>
      <c r="AB50" s="8"/>
      <c r="AC50" s="5"/>
      <c r="AD50" s="5"/>
      <c r="AE50" s="5"/>
      <c r="AF50" s="5"/>
      <c r="AG50" s="5"/>
      <c r="AH50" s="5"/>
      <c r="AI50" s="5"/>
      <c r="AJ50" s="12"/>
    </row>
    <row r="51" spans="1:36" ht="12.75">
      <c r="A51" s="4" t="s">
        <v>167</v>
      </c>
      <c r="B51" s="7" t="s">
        <v>112</v>
      </c>
      <c r="C51" s="7"/>
      <c r="F51" s="5" t="s">
        <v>177</v>
      </c>
      <c r="H51" s="5" t="s">
        <v>178</v>
      </c>
      <c r="J51" s="5" t="s">
        <v>179</v>
      </c>
      <c r="L51" s="6" t="s">
        <v>28</v>
      </c>
      <c r="N51" s="5" t="s">
        <v>177</v>
      </c>
      <c r="O51" s="5"/>
      <c r="P51" s="5" t="s">
        <v>178</v>
      </c>
      <c r="Q51" s="5"/>
      <c r="R51" s="5" t="s">
        <v>179</v>
      </c>
      <c r="S51" s="5"/>
      <c r="T51" s="6" t="s">
        <v>28</v>
      </c>
      <c r="U51" s="6"/>
      <c r="V51" s="5" t="s">
        <v>177</v>
      </c>
      <c r="W51" s="5"/>
      <c r="X51" s="5" t="s">
        <v>178</v>
      </c>
      <c r="Y51" s="5"/>
      <c r="Z51" s="5" t="s">
        <v>179</v>
      </c>
      <c r="AA51" s="5"/>
      <c r="AB51" s="6" t="s">
        <v>28</v>
      </c>
      <c r="AD51" s="5" t="s">
        <v>177</v>
      </c>
      <c r="AE51" s="5"/>
      <c r="AF51" s="5" t="s">
        <v>178</v>
      </c>
      <c r="AG51" s="5"/>
      <c r="AH51" s="5" t="s">
        <v>179</v>
      </c>
      <c r="AI51" s="5"/>
      <c r="AJ51" s="6" t="s">
        <v>28</v>
      </c>
    </row>
    <row r="52" spans="2:36" ht="12.75">
      <c r="B52" s="7"/>
      <c r="C52" s="7"/>
      <c r="AJ52" s="12"/>
    </row>
    <row r="53" spans="2:36" ht="12.75">
      <c r="B53" s="3" t="s">
        <v>195</v>
      </c>
      <c r="C53" s="7"/>
      <c r="F53" s="5" t="s">
        <v>197</v>
      </c>
      <c r="H53" s="5" t="s">
        <v>197</v>
      </c>
      <c r="J53" s="5" t="s">
        <v>197</v>
      </c>
      <c r="L53" s="5" t="s">
        <v>197</v>
      </c>
      <c r="N53" s="5" t="s">
        <v>199</v>
      </c>
      <c r="P53" s="5" t="s">
        <v>199</v>
      </c>
      <c r="R53" s="5" t="s">
        <v>199</v>
      </c>
      <c r="T53" s="5" t="s">
        <v>199</v>
      </c>
      <c r="U53" s="5"/>
      <c r="V53" s="5"/>
      <c r="W53" s="5"/>
      <c r="X53" s="5"/>
      <c r="Y53" s="5"/>
      <c r="Z53" s="5"/>
      <c r="AA53" s="5"/>
      <c r="AB53" s="5"/>
      <c r="AD53" s="4" t="s">
        <v>200</v>
      </c>
      <c r="AF53" s="4" t="s">
        <v>200</v>
      </c>
      <c r="AH53" s="4" t="s">
        <v>200</v>
      </c>
      <c r="AJ53" s="4" t="s">
        <v>200</v>
      </c>
    </row>
    <row r="54" spans="2:36" ht="12.75">
      <c r="B54" s="3" t="s">
        <v>196</v>
      </c>
      <c r="C54" s="7"/>
      <c r="F54" s="5" t="s">
        <v>198</v>
      </c>
      <c r="H54" s="5" t="s">
        <v>198</v>
      </c>
      <c r="J54" s="5" t="s">
        <v>198</v>
      </c>
      <c r="L54" s="5" t="s">
        <v>198</v>
      </c>
      <c r="N54" s="5" t="s">
        <v>198</v>
      </c>
      <c r="P54" s="5" t="s">
        <v>198</v>
      </c>
      <c r="R54" s="5" t="s">
        <v>198</v>
      </c>
      <c r="T54" s="5" t="s">
        <v>198</v>
      </c>
      <c r="U54" s="5"/>
      <c r="V54" s="5"/>
      <c r="W54" s="5"/>
      <c r="X54" s="5"/>
      <c r="Y54" s="5"/>
      <c r="Z54" s="5"/>
      <c r="AA54" s="5"/>
      <c r="AB54" s="5"/>
      <c r="AD54" s="4" t="s">
        <v>68</v>
      </c>
      <c r="AF54" s="4" t="s">
        <v>68</v>
      </c>
      <c r="AH54" s="4" t="s">
        <v>68</v>
      </c>
      <c r="AJ54" s="4" t="s">
        <v>68</v>
      </c>
    </row>
    <row r="55" spans="2:36" ht="12.75">
      <c r="B55" s="3" t="s">
        <v>201</v>
      </c>
      <c r="C55" s="7"/>
      <c r="L55" s="5"/>
      <c r="N55" s="5"/>
      <c r="P55" s="5"/>
      <c r="R55" s="5"/>
      <c r="T55" s="5"/>
      <c r="U55" s="5"/>
      <c r="V55" s="5" t="s">
        <v>49</v>
      </c>
      <c r="W55" s="5"/>
      <c r="X55" s="5" t="s">
        <v>49</v>
      </c>
      <c r="Y55" s="5"/>
      <c r="Z55" s="5" t="s">
        <v>49</v>
      </c>
      <c r="AA55" s="5"/>
      <c r="AB55" s="5" t="s">
        <v>49</v>
      </c>
      <c r="AD55" s="4" t="s">
        <v>68</v>
      </c>
      <c r="AF55" s="4" t="s">
        <v>68</v>
      </c>
      <c r="AH55" s="4" t="s">
        <v>68</v>
      </c>
      <c r="AJ55" s="4" t="s">
        <v>68</v>
      </c>
    </row>
    <row r="56" spans="2:37" ht="12.75">
      <c r="B56" s="3" t="s">
        <v>166</v>
      </c>
      <c r="F56" s="6" t="s">
        <v>62</v>
      </c>
      <c r="H56" s="6" t="s">
        <v>62</v>
      </c>
      <c r="J56" s="6" t="s">
        <v>62</v>
      </c>
      <c r="L56" s="6" t="s">
        <v>62</v>
      </c>
      <c r="M56" s="6"/>
      <c r="N56" s="6" t="s">
        <v>126</v>
      </c>
      <c r="O56" s="6"/>
      <c r="P56" s="6" t="s">
        <v>126</v>
      </c>
      <c r="Q56" s="6"/>
      <c r="R56" s="6" t="s">
        <v>126</v>
      </c>
      <c r="S56" s="6"/>
      <c r="T56" s="6" t="s">
        <v>126</v>
      </c>
      <c r="U56" s="6"/>
      <c r="V56" s="6"/>
      <c r="W56" s="6"/>
      <c r="X56" s="6"/>
      <c r="Y56" s="6"/>
      <c r="Z56" s="6"/>
      <c r="AA56" s="6"/>
      <c r="AB56" s="6"/>
      <c r="AC56" s="6"/>
      <c r="AD56" s="8" t="s">
        <v>68</v>
      </c>
      <c r="AE56" s="6"/>
      <c r="AF56" s="8" t="s">
        <v>68</v>
      </c>
      <c r="AG56" s="6"/>
      <c r="AH56" s="8" t="s">
        <v>68</v>
      </c>
      <c r="AI56" s="6"/>
      <c r="AJ56" s="8" t="s">
        <v>68</v>
      </c>
      <c r="AK56" s="6"/>
    </row>
    <row r="57" spans="2:36" ht="12.75">
      <c r="B57" s="3" t="s">
        <v>170</v>
      </c>
      <c r="D57" s="3" t="s">
        <v>30</v>
      </c>
      <c r="F57" s="13">
        <v>478136</v>
      </c>
      <c r="H57" s="13">
        <v>479213</v>
      </c>
      <c r="J57" s="13">
        <v>504253</v>
      </c>
      <c r="L57" s="13">
        <v>493201</v>
      </c>
      <c r="N57" s="4">
        <v>466009</v>
      </c>
      <c r="P57" s="4">
        <v>464987</v>
      </c>
      <c r="R57" s="4">
        <v>481475</v>
      </c>
      <c r="T57" s="13">
        <v>470824</v>
      </c>
      <c r="U57" s="13"/>
      <c r="V57" s="13"/>
      <c r="W57" s="13"/>
      <c r="X57" s="13"/>
      <c r="Y57" s="13"/>
      <c r="Z57" s="13"/>
      <c r="AA57" s="13"/>
      <c r="AB57" s="13"/>
      <c r="AD57" s="12">
        <f>SUM(F57,N57)</f>
        <v>944145</v>
      </c>
      <c r="AF57" s="12">
        <f>SUM(H57,P57)</f>
        <v>944200</v>
      </c>
      <c r="AH57" s="12">
        <f>SUM(J57,R57)</f>
        <v>985728</v>
      </c>
      <c r="AJ57" s="12">
        <f>SUM(L57,T57)</f>
        <v>964025</v>
      </c>
    </row>
    <row r="58" spans="2:36" ht="12.75">
      <c r="B58" s="7"/>
      <c r="C58" s="7"/>
      <c r="AJ58" s="12"/>
    </row>
    <row r="59" spans="2:36" ht="12.75">
      <c r="B59" s="7"/>
      <c r="C59" s="7"/>
      <c r="AJ59" s="12"/>
    </row>
    <row r="60" spans="1:36" ht="12.75">
      <c r="A60" s="4" t="s">
        <v>167</v>
      </c>
      <c r="B60" s="7" t="s">
        <v>113</v>
      </c>
      <c r="C60" s="7"/>
      <c r="F60" s="5" t="s">
        <v>177</v>
      </c>
      <c r="H60" s="5" t="s">
        <v>178</v>
      </c>
      <c r="J60" s="5" t="s">
        <v>179</v>
      </c>
      <c r="L60" s="6" t="s">
        <v>28</v>
      </c>
      <c r="N60" s="5" t="s">
        <v>177</v>
      </c>
      <c r="O60" s="5"/>
      <c r="P60" s="5" t="s">
        <v>178</v>
      </c>
      <c r="Q60" s="5"/>
      <c r="R60" s="5" t="s">
        <v>179</v>
      </c>
      <c r="S60" s="5"/>
      <c r="T60" s="6" t="s">
        <v>28</v>
      </c>
      <c r="U60" s="6"/>
      <c r="V60" s="5" t="s">
        <v>177</v>
      </c>
      <c r="W60" s="5"/>
      <c r="X60" s="5" t="s">
        <v>178</v>
      </c>
      <c r="Y60" s="5"/>
      <c r="Z60" s="5" t="s">
        <v>179</v>
      </c>
      <c r="AA60" s="5"/>
      <c r="AB60" s="6" t="s">
        <v>28</v>
      </c>
      <c r="AD60" s="5" t="s">
        <v>177</v>
      </c>
      <c r="AE60" s="5"/>
      <c r="AF60" s="5" t="s">
        <v>178</v>
      </c>
      <c r="AG60" s="5"/>
      <c r="AH60" s="5" t="s">
        <v>179</v>
      </c>
      <c r="AI60" s="5"/>
      <c r="AJ60" s="6" t="s">
        <v>28</v>
      </c>
    </row>
    <row r="61" spans="2:36" ht="12.75">
      <c r="B61" s="7"/>
      <c r="C61" s="7"/>
      <c r="AJ61" s="12"/>
    </row>
    <row r="62" spans="2:36" ht="12.75">
      <c r="B62" s="3" t="s">
        <v>195</v>
      </c>
      <c r="C62" s="7"/>
      <c r="F62" s="5" t="s">
        <v>197</v>
      </c>
      <c r="H62" s="5" t="s">
        <v>197</v>
      </c>
      <c r="J62" s="5" t="s">
        <v>197</v>
      </c>
      <c r="L62" s="5" t="s">
        <v>197</v>
      </c>
      <c r="N62" s="5" t="s">
        <v>199</v>
      </c>
      <c r="P62" s="5" t="s">
        <v>199</v>
      </c>
      <c r="R62" s="5" t="s">
        <v>199</v>
      </c>
      <c r="T62" s="5" t="s">
        <v>199</v>
      </c>
      <c r="U62" s="5"/>
      <c r="V62" s="5"/>
      <c r="W62" s="5"/>
      <c r="X62" s="5"/>
      <c r="Y62" s="5"/>
      <c r="Z62" s="5"/>
      <c r="AA62" s="5"/>
      <c r="AB62" s="5"/>
      <c r="AD62" s="4" t="s">
        <v>200</v>
      </c>
      <c r="AF62" s="4" t="s">
        <v>200</v>
      </c>
      <c r="AH62" s="4" t="s">
        <v>200</v>
      </c>
      <c r="AJ62" s="4" t="s">
        <v>200</v>
      </c>
    </row>
    <row r="63" spans="2:36" ht="12.75">
      <c r="B63" s="3" t="s">
        <v>196</v>
      </c>
      <c r="C63" s="7"/>
      <c r="F63" s="5" t="s">
        <v>198</v>
      </c>
      <c r="H63" s="5" t="s">
        <v>198</v>
      </c>
      <c r="J63" s="5" t="s">
        <v>198</v>
      </c>
      <c r="L63" s="5" t="s">
        <v>198</v>
      </c>
      <c r="N63" s="5" t="s">
        <v>198</v>
      </c>
      <c r="P63" s="5" t="s">
        <v>198</v>
      </c>
      <c r="R63" s="5" t="s">
        <v>198</v>
      </c>
      <c r="T63" s="5" t="s">
        <v>198</v>
      </c>
      <c r="U63" s="5"/>
      <c r="V63" s="5"/>
      <c r="W63" s="5"/>
      <c r="X63" s="5"/>
      <c r="Y63" s="5"/>
      <c r="Z63" s="5"/>
      <c r="AA63" s="5"/>
      <c r="AB63" s="5"/>
      <c r="AD63" s="4" t="s">
        <v>68</v>
      </c>
      <c r="AF63" s="4" t="s">
        <v>68</v>
      </c>
      <c r="AH63" s="4" t="s">
        <v>68</v>
      </c>
      <c r="AJ63" s="4" t="s">
        <v>68</v>
      </c>
    </row>
    <row r="64" spans="2:36" ht="12.75">
      <c r="B64" s="3" t="s">
        <v>201</v>
      </c>
      <c r="C64" s="7"/>
      <c r="L64" s="5"/>
      <c r="N64" s="5"/>
      <c r="P64" s="5"/>
      <c r="R64" s="5"/>
      <c r="T64" s="5"/>
      <c r="U64" s="5"/>
      <c r="V64" s="5" t="s">
        <v>49</v>
      </c>
      <c r="W64" s="5"/>
      <c r="X64" s="5" t="s">
        <v>49</v>
      </c>
      <c r="Y64" s="5"/>
      <c r="Z64" s="5" t="s">
        <v>49</v>
      </c>
      <c r="AA64" s="5"/>
      <c r="AB64" s="5" t="s">
        <v>49</v>
      </c>
      <c r="AD64" s="4" t="s">
        <v>68</v>
      </c>
      <c r="AF64" s="4" t="s">
        <v>68</v>
      </c>
      <c r="AH64" s="4" t="s">
        <v>68</v>
      </c>
      <c r="AJ64" s="4" t="s">
        <v>68</v>
      </c>
    </row>
    <row r="65" spans="2:36" ht="12.75">
      <c r="B65" s="3" t="s">
        <v>166</v>
      </c>
      <c r="F65" s="6" t="s">
        <v>62</v>
      </c>
      <c r="H65" s="6" t="s">
        <v>62</v>
      </c>
      <c r="J65" s="6" t="s">
        <v>62</v>
      </c>
      <c r="L65" s="6" t="s">
        <v>62</v>
      </c>
      <c r="M65" s="6"/>
      <c r="N65" s="6" t="s">
        <v>126</v>
      </c>
      <c r="O65" s="6"/>
      <c r="P65" s="6" t="s">
        <v>126</v>
      </c>
      <c r="Q65" s="6"/>
      <c r="R65" s="6" t="s">
        <v>126</v>
      </c>
      <c r="S65" s="6"/>
      <c r="T65" s="6" t="s">
        <v>126</v>
      </c>
      <c r="U65" s="6"/>
      <c r="V65" s="6"/>
      <c r="W65" s="6"/>
      <c r="X65" s="6"/>
      <c r="Y65" s="6"/>
      <c r="Z65" s="6"/>
      <c r="AA65" s="6"/>
      <c r="AB65" s="6"/>
      <c r="AC65" s="6"/>
      <c r="AD65" s="6" t="s">
        <v>68</v>
      </c>
      <c r="AE65" s="6"/>
      <c r="AF65" s="6" t="s">
        <v>68</v>
      </c>
      <c r="AG65" s="6"/>
      <c r="AH65" s="6" t="s">
        <v>68</v>
      </c>
      <c r="AI65" s="6"/>
      <c r="AJ65" s="6" t="s">
        <v>68</v>
      </c>
    </row>
    <row r="66" spans="2:36" ht="12.75">
      <c r="B66" s="3" t="s">
        <v>170</v>
      </c>
      <c r="D66" s="3" t="s">
        <v>30</v>
      </c>
      <c r="F66" s="5">
        <v>1714787</v>
      </c>
      <c r="H66" s="5">
        <v>1718693</v>
      </c>
      <c r="J66" s="5">
        <v>1738678</v>
      </c>
      <c r="L66" s="13">
        <v>1724052</v>
      </c>
      <c r="N66" s="4">
        <v>995788</v>
      </c>
      <c r="P66" s="4">
        <v>977348</v>
      </c>
      <c r="R66" s="4">
        <v>1040300</v>
      </c>
      <c r="T66" s="13">
        <v>1004478</v>
      </c>
      <c r="U66" s="13"/>
      <c r="V66" s="13"/>
      <c r="W66" s="13"/>
      <c r="X66" s="13"/>
      <c r="Y66" s="13"/>
      <c r="Z66" s="13"/>
      <c r="AA66" s="13"/>
      <c r="AB66" s="13"/>
      <c r="AJ66" s="12">
        <f>SUM(L66,T66)</f>
        <v>2728530</v>
      </c>
    </row>
    <row r="67" spans="2:36" ht="12.75">
      <c r="B67" s="3" t="s">
        <v>43</v>
      </c>
      <c r="D67" s="3" t="s">
        <v>31</v>
      </c>
      <c r="F67" s="4">
        <v>12933</v>
      </c>
      <c r="H67" s="4">
        <v>12933</v>
      </c>
      <c r="J67" s="4">
        <v>12933</v>
      </c>
      <c r="L67" s="4">
        <v>12933</v>
      </c>
      <c r="N67" s="13">
        <v>6260</v>
      </c>
      <c r="P67" s="13">
        <v>6260</v>
      </c>
      <c r="R67" s="13">
        <v>6260</v>
      </c>
      <c r="T67" s="13">
        <v>6260</v>
      </c>
      <c r="U67" s="13"/>
      <c r="V67" s="13"/>
      <c r="W67" s="13"/>
      <c r="X67" s="13"/>
      <c r="Y67" s="13"/>
      <c r="Z67" s="13"/>
      <c r="AA67" s="13"/>
      <c r="AB67" s="13"/>
      <c r="AJ67" s="12"/>
    </row>
    <row r="68" spans="2:36" ht="12.75">
      <c r="B68" s="3" t="s">
        <v>38</v>
      </c>
      <c r="D68" s="3" t="s">
        <v>30</v>
      </c>
      <c r="F68" s="5">
        <v>235</v>
      </c>
      <c r="H68" s="5">
        <v>311</v>
      </c>
      <c r="J68" s="5">
        <v>202</v>
      </c>
      <c r="L68" s="4">
        <v>249</v>
      </c>
      <c r="M68" s="5" t="s">
        <v>32</v>
      </c>
      <c r="N68" s="5">
        <v>10</v>
      </c>
      <c r="O68" s="5" t="s">
        <v>32</v>
      </c>
      <c r="P68" s="5">
        <v>10</v>
      </c>
      <c r="Q68" s="5" t="s">
        <v>32</v>
      </c>
      <c r="R68" s="5">
        <v>10</v>
      </c>
      <c r="S68" s="5"/>
      <c r="T68" s="4">
        <v>10</v>
      </c>
      <c r="AC68" s="5"/>
      <c r="AD68" s="5"/>
      <c r="AE68" s="5"/>
      <c r="AF68" s="5"/>
      <c r="AG68" s="5"/>
      <c r="AH68" s="5"/>
      <c r="AI68" s="5"/>
      <c r="AJ68" s="12"/>
    </row>
    <row r="69" spans="2:36" ht="12.75">
      <c r="B69" s="3" t="s">
        <v>161</v>
      </c>
      <c r="D69" s="3" t="s">
        <v>30</v>
      </c>
      <c r="E69" s="5" t="s">
        <v>32</v>
      </c>
      <c r="F69" s="5">
        <v>0.48</v>
      </c>
      <c r="G69" s="5" t="s">
        <v>32</v>
      </c>
      <c r="H69" s="5">
        <v>0.48</v>
      </c>
      <c r="I69" s="5" t="s">
        <v>32</v>
      </c>
      <c r="J69" s="5">
        <v>0.49</v>
      </c>
      <c r="L69" s="14">
        <f>0.48</f>
        <v>0.48</v>
      </c>
      <c r="M69" s="5" t="s">
        <v>32</v>
      </c>
      <c r="N69" s="5">
        <v>0.28</v>
      </c>
      <c r="O69" s="5" t="s">
        <v>32</v>
      </c>
      <c r="P69" s="5">
        <v>0.27</v>
      </c>
      <c r="Q69" s="5" t="s">
        <v>32</v>
      </c>
      <c r="R69" s="5">
        <v>0.29</v>
      </c>
      <c r="S69" s="5"/>
      <c r="T69" s="14">
        <f>0.28</f>
        <v>0.28</v>
      </c>
      <c r="U69" s="14"/>
      <c r="V69" s="14"/>
      <c r="W69" s="14"/>
      <c r="X69" s="14"/>
      <c r="Y69" s="14"/>
      <c r="Z69" s="14"/>
      <c r="AA69" s="14"/>
      <c r="AB69" s="14"/>
      <c r="AC69" s="5"/>
      <c r="AD69" s="5"/>
      <c r="AE69" s="5"/>
      <c r="AF69" s="5"/>
      <c r="AG69" s="5"/>
      <c r="AH69" s="5"/>
      <c r="AI69" s="5"/>
      <c r="AJ69" s="12"/>
    </row>
    <row r="70" spans="2:36" ht="12.75">
      <c r="B70" s="3" t="s">
        <v>157</v>
      </c>
      <c r="D70" s="3" t="s">
        <v>30</v>
      </c>
      <c r="E70" s="5" t="s">
        <v>32</v>
      </c>
      <c r="F70" s="5">
        <v>0.7</v>
      </c>
      <c r="G70" s="5" t="s">
        <v>32</v>
      </c>
      <c r="H70" s="5">
        <v>0.7</v>
      </c>
      <c r="I70" s="5" t="s">
        <v>32</v>
      </c>
      <c r="J70" s="5">
        <v>0.7</v>
      </c>
      <c r="L70" s="14">
        <f>0.7</f>
        <v>0.7</v>
      </c>
      <c r="M70" s="5" t="s">
        <v>32</v>
      </c>
      <c r="N70" s="5">
        <v>0.4</v>
      </c>
      <c r="O70" s="5" t="s">
        <v>32</v>
      </c>
      <c r="P70" s="5">
        <v>0.4</v>
      </c>
      <c r="Q70" s="5" t="s">
        <v>32</v>
      </c>
      <c r="R70" s="5">
        <v>0.4</v>
      </c>
      <c r="S70" s="5"/>
      <c r="T70" s="14">
        <f>0.4</f>
        <v>0.4</v>
      </c>
      <c r="U70" s="14"/>
      <c r="V70" s="14"/>
      <c r="W70" s="14"/>
      <c r="X70" s="14"/>
      <c r="Y70" s="14"/>
      <c r="Z70" s="14"/>
      <c r="AA70" s="14"/>
      <c r="AB70" s="14"/>
      <c r="AC70" s="5"/>
      <c r="AD70" s="5"/>
      <c r="AE70" s="5"/>
      <c r="AF70" s="5"/>
      <c r="AG70" s="5"/>
      <c r="AH70" s="5"/>
      <c r="AI70" s="5"/>
      <c r="AJ70" s="12"/>
    </row>
    <row r="71" spans="2:36" ht="12.75">
      <c r="B71" s="3" t="s">
        <v>158</v>
      </c>
      <c r="D71" s="3" t="s">
        <v>30</v>
      </c>
      <c r="E71" s="5" t="s">
        <v>32</v>
      </c>
      <c r="F71" s="5">
        <v>1</v>
      </c>
      <c r="G71" s="5" t="s">
        <v>32</v>
      </c>
      <c r="H71" s="5">
        <v>1</v>
      </c>
      <c r="I71" s="5" t="s">
        <v>32</v>
      </c>
      <c r="J71" s="5">
        <v>1</v>
      </c>
      <c r="L71" s="14">
        <f>1</f>
        <v>1</v>
      </c>
      <c r="M71" s="5" t="s">
        <v>32</v>
      </c>
      <c r="N71" s="5">
        <v>0.8</v>
      </c>
      <c r="O71" s="5" t="s">
        <v>32</v>
      </c>
      <c r="P71" s="5">
        <v>0.8</v>
      </c>
      <c r="Q71" s="5" t="s">
        <v>32</v>
      </c>
      <c r="R71" s="5">
        <v>0.8</v>
      </c>
      <c r="S71" s="5"/>
      <c r="T71" s="14">
        <f>0.8</f>
        <v>0.8</v>
      </c>
      <c r="U71" s="14"/>
      <c r="V71" s="14"/>
      <c r="W71" s="14"/>
      <c r="X71" s="14"/>
      <c r="Y71" s="14"/>
      <c r="Z71" s="14"/>
      <c r="AA71" s="14"/>
      <c r="AB71" s="14"/>
      <c r="AC71" s="5"/>
      <c r="AD71" s="5"/>
      <c r="AE71" s="5"/>
      <c r="AF71" s="5"/>
      <c r="AG71" s="5"/>
      <c r="AH71" s="5"/>
      <c r="AI71" s="5"/>
      <c r="AJ71" s="12"/>
    </row>
    <row r="72" spans="2:36" ht="12.75">
      <c r="B72" s="3" t="s">
        <v>159</v>
      </c>
      <c r="D72" s="3" t="s">
        <v>30</v>
      </c>
      <c r="E72" s="5" t="s">
        <v>32</v>
      </c>
      <c r="F72" s="5">
        <v>0.3</v>
      </c>
      <c r="G72" s="5" t="s">
        <v>32</v>
      </c>
      <c r="H72" s="5">
        <v>0.3</v>
      </c>
      <c r="I72" s="5" t="s">
        <v>32</v>
      </c>
      <c r="J72" s="5">
        <v>0.3</v>
      </c>
      <c r="L72" s="14">
        <f>0.3</f>
        <v>0.3</v>
      </c>
      <c r="M72" s="5" t="s">
        <v>32</v>
      </c>
      <c r="N72" s="5">
        <v>0.2</v>
      </c>
      <c r="O72" s="5" t="s">
        <v>32</v>
      </c>
      <c r="P72" s="5">
        <v>0.2</v>
      </c>
      <c r="Q72" s="5" t="s">
        <v>32</v>
      </c>
      <c r="R72" s="5">
        <v>0.2</v>
      </c>
      <c r="S72" s="5"/>
      <c r="T72" s="14">
        <f>0.2</f>
        <v>0.2</v>
      </c>
      <c r="U72" s="14"/>
      <c r="V72" s="14"/>
      <c r="W72" s="14"/>
      <c r="X72" s="14"/>
      <c r="Y72" s="14"/>
      <c r="Z72" s="14"/>
      <c r="AA72" s="14"/>
      <c r="AB72" s="14"/>
      <c r="AC72" s="5"/>
      <c r="AD72" s="5"/>
      <c r="AE72" s="5"/>
      <c r="AF72" s="5"/>
      <c r="AG72" s="5"/>
      <c r="AH72" s="5"/>
      <c r="AI72" s="5"/>
      <c r="AJ72" s="12"/>
    </row>
    <row r="73" spans="2:36" ht="12.75">
      <c r="B73" s="3" t="s">
        <v>163</v>
      </c>
      <c r="D73" s="3" t="s">
        <v>30</v>
      </c>
      <c r="E73" s="5" t="s">
        <v>32</v>
      </c>
      <c r="F73" s="5">
        <v>0.3</v>
      </c>
      <c r="G73" s="5" t="s">
        <v>32</v>
      </c>
      <c r="H73" s="5">
        <v>0.3</v>
      </c>
      <c r="I73" s="5" t="s">
        <v>32</v>
      </c>
      <c r="J73" s="5">
        <v>0.3</v>
      </c>
      <c r="L73" s="14">
        <f>0.3</f>
        <v>0.3</v>
      </c>
      <c r="M73" s="5" t="s">
        <v>32</v>
      </c>
      <c r="N73" s="5">
        <v>0.2</v>
      </c>
      <c r="O73" s="5" t="s">
        <v>32</v>
      </c>
      <c r="P73" s="5">
        <v>0.2</v>
      </c>
      <c r="Q73" s="5" t="s">
        <v>32</v>
      </c>
      <c r="R73" s="5">
        <v>0.2</v>
      </c>
      <c r="S73" s="5"/>
      <c r="T73" s="14">
        <f>0.2</f>
        <v>0.2</v>
      </c>
      <c r="U73" s="14"/>
      <c r="V73" s="14"/>
      <c r="W73" s="14"/>
      <c r="X73" s="14"/>
      <c r="Y73" s="14"/>
      <c r="Z73" s="14"/>
      <c r="AA73" s="14"/>
      <c r="AB73" s="14"/>
      <c r="AC73" s="5"/>
      <c r="AD73" s="5"/>
      <c r="AE73" s="5"/>
      <c r="AF73" s="5"/>
      <c r="AG73" s="5"/>
      <c r="AH73" s="5"/>
      <c r="AI73" s="5"/>
      <c r="AJ73" s="12"/>
    </row>
    <row r="74" spans="2:36" ht="12.75">
      <c r="B74" s="3" t="s">
        <v>165</v>
      </c>
      <c r="D74" s="3" t="s">
        <v>30</v>
      </c>
      <c r="E74" s="5" t="s">
        <v>32</v>
      </c>
      <c r="F74" s="5">
        <v>0.3</v>
      </c>
      <c r="G74" s="5" t="s">
        <v>32</v>
      </c>
      <c r="H74" s="5">
        <v>0.3</v>
      </c>
      <c r="I74" s="5" t="s">
        <v>32</v>
      </c>
      <c r="J74" s="5">
        <v>0.3</v>
      </c>
      <c r="L74" s="14">
        <f>0.3</f>
        <v>0.3</v>
      </c>
      <c r="M74" s="5"/>
      <c r="N74" s="5">
        <v>5</v>
      </c>
      <c r="O74" s="5"/>
      <c r="P74" s="5">
        <v>4.88</v>
      </c>
      <c r="Q74" s="5"/>
      <c r="R74" s="5">
        <v>5</v>
      </c>
      <c r="S74" s="5"/>
      <c r="T74" s="14">
        <v>4.96</v>
      </c>
      <c r="U74" s="14"/>
      <c r="V74" s="14"/>
      <c r="W74" s="14"/>
      <c r="X74" s="14"/>
      <c r="Y74" s="14"/>
      <c r="Z74" s="14"/>
      <c r="AA74" s="14"/>
      <c r="AB74" s="14"/>
      <c r="AC74" s="5"/>
      <c r="AD74" s="5"/>
      <c r="AE74" s="5"/>
      <c r="AF74" s="5"/>
      <c r="AG74" s="5"/>
      <c r="AH74" s="5"/>
      <c r="AI74" s="5"/>
      <c r="AJ74" s="12"/>
    </row>
    <row r="75" spans="2:36" ht="12.75">
      <c r="B75" s="3" t="s">
        <v>162</v>
      </c>
      <c r="D75" s="3" t="s">
        <v>30</v>
      </c>
      <c r="E75" s="5" t="s">
        <v>32</v>
      </c>
      <c r="F75" s="5">
        <v>3</v>
      </c>
      <c r="G75" s="5" t="s">
        <v>32</v>
      </c>
      <c r="H75" s="5">
        <v>3</v>
      </c>
      <c r="I75" s="5" t="s">
        <v>32</v>
      </c>
      <c r="J75" s="5">
        <v>3</v>
      </c>
      <c r="L75" s="14">
        <f>3</f>
        <v>3</v>
      </c>
      <c r="M75" s="5" t="s">
        <v>32</v>
      </c>
      <c r="N75" s="5">
        <v>2</v>
      </c>
      <c r="O75" s="5" t="s">
        <v>32</v>
      </c>
      <c r="P75" s="5">
        <v>2</v>
      </c>
      <c r="Q75" s="5" t="s">
        <v>32</v>
      </c>
      <c r="R75" s="5">
        <v>2</v>
      </c>
      <c r="S75" s="5"/>
      <c r="T75" s="14">
        <f>2</f>
        <v>2</v>
      </c>
      <c r="U75" s="14"/>
      <c r="V75" s="14"/>
      <c r="W75" s="14"/>
      <c r="X75" s="14"/>
      <c r="Y75" s="14"/>
      <c r="Z75" s="14"/>
      <c r="AA75" s="14"/>
      <c r="AB75" s="14"/>
      <c r="AC75" s="5"/>
      <c r="AD75" s="5"/>
      <c r="AE75" s="5"/>
      <c r="AF75" s="5"/>
      <c r="AG75" s="5"/>
      <c r="AH75" s="5"/>
      <c r="AI75" s="5"/>
      <c r="AJ75" s="12"/>
    </row>
    <row r="76" spans="2:36" ht="12.75">
      <c r="B76" s="3" t="s">
        <v>169</v>
      </c>
      <c r="D76" s="3" t="s">
        <v>30</v>
      </c>
      <c r="E76" s="5" t="s">
        <v>32</v>
      </c>
      <c r="F76" s="5">
        <v>0.07</v>
      </c>
      <c r="G76" s="5" t="s">
        <v>32</v>
      </c>
      <c r="H76" s="5">
        <v>0.07</v>
      </c>
      <c r="I76" s="5" t="s">
        <v>32</v>
      </c>
      <c r="J76" s="5">
        <v>0.07</v>
      </c>
      <c r="L76" s="14">
        <f>0.07</f>
        <v>0.07</v>
      </c>
      <c r="M76" s="5" t="s">
        <v>32</v>
      </c>
      <c r="N76" s="5">
        <v>0.04</v>
      </c>
      <c r="O76" s="5" t="s">
        <v>32</v>
      </c>
      <c r="P76" s="5">
        <v>0.04</v>
      </c>
      <c r="Q76" s="5" t="s">
        <v>32</v>
      </c>
      <c r="R76" s="5">
        <v>0.04</v>
      </c>
      <c r="S76" s="5"/>
      <c r="T76" s="14">
        <f>0.04</f>
        <v>0.04</v>
      </c>
      <c r="U76" s="14"/>
      <c r="V76" s="14"/>
      <c r="W76" s="14"/>
      <c r="X76" s="14"/>
      <c r="Y76" s="14"/>
      <c r="Z76" s="14"/>
      <c r="AA76" s="14"/>
      <c r="AB76" s="14"/>
      <c r="AC76" s="5"/>
      <c r="AD76" s="5"/>
      <c r="AE76" s="5"/>
      <c r="AF76" s="5"/>
      <c r="AG76" s="5"/>
      <c r="AH76" s="5"/>
      <c r="AI76" s="5"/>
      <c r="AJ76" s="12"/>
    </row>
    <row r="77" spans="2:36" ht="12.75">
      <c r="B77" s="3" t="s">
        <v>164</v>
      </c>
      <c r="D77" s="3" t="s">
        <v>30</v>
      </c>
      <c r="E77" s="5" t="s">
        <v>32</v>
      </c>
      <c r="F77" s="5">
        <v>0.1</v>
      </c>
      <c r="G77" s="5" t="s">
        <v>32</v>
      </c>
      <c r="H77" s="5">
        <v>0.1</v>
      </c>
      <c r="I77" s="5" t="s">
        <v>32</v>
      </c>
      <c r="J77" s="5">
        <v>0.1</v>
      </c>
      <c r="L77" s="14">
        <f>0.1</f>
        <v>0.1</v>
      </c>
      <c r="M77" s="5" t="s">
        <v>32</v>
      </c>
      <c r="N77" s="5">
        <v>0.08</v>
      </c>
      <c r="O77" s="5" t="s">
        <v>32</v>
      </c>
      <c r="P77" s="5">
        <v>0.08</v>
      </c>
      <c r="Q77" s="5" t="s">
        <v>32</v>
      </c>
      <c r="R77" s="5">
        <v>0.08</v>
      </c>
      <c r="S77" s="5"/>
      <c r="T77" s="14">
        <f>0.08</f>
        <v>0.08</v>
      </c>
      <c r="U77" s="14"/>
      <c r="V77" s="14"/>
      <c r="W77" s="14"/>
      <c r="X77" s="14"/>
      <c r="Y77" s="14"/>
      <c r="Z77" s="14"/>
      <c r="AA77" s="14"/>
      <c r="AB77" s="14"/>
      <c r="AC77" s="5"/>
      <c r="AD77" s="5"/>
      <c r="AE77" s="5"/>
      <c r="AF77" s="5"/>
      <c r="AG77" s="5"/>
      <c r="AH77" s="5"/>
      <c r="AI77" s="5"/>
      <c r="AJ77" s="12"/>
    </row>
    <row r="78" spans="2:36" ht="12.75">
      <c r="B78" s="3" t="s">
        <v>160</v>
      </c>
      <c r="D78" s="3" t="s">
        <v>30</v>
      </c>
      <c r="E78" s="5" t="s">
        <v>32</v>
      </c>
      <c r="F78" s="5">
        <v>0.21</v>
      </c>
      <c r="G78" s="5" t="s">
        <v>32</v>
      </c>
      <c r="H78" s="5">
        <v>0.21</v>
      </c>
      <c r="I78" s="5" t="s">
        <v>32</v>
      </c>
      <c r="J78" s="5">
        <v>0.21</v>
      </c>
      <c r="L78" s="14">
        <f>0.21</f>
        <v>0.21</v>
      </c>
      <c r="M78" s="5" t="s">
        <v>32</v>
      </c>
      <c r="N78" s="5">
        <v>0.12</v>
      </c>
      <c r="O78" s="5" t="s">
        <v>32</v>
      </c>
      <c r="P78" s="5">
        <v>0.12</v>
      </c>
      <c r="Q78" s="5" t="s">
        <v>32</v>
      </c>
      <c r="R78" s="5">
        <v>0.12</v>
      </c>
      <c r="S78" s="5"/>
      <c r="T78" s="14">
        <f>0.12</f>
        <v>0.12</v>
      </c>
      <c r="U78" s="14"/>
      <c r="V78" s="14"/>
      <c r="W78" s="14"/>
      <c r="X78" s="14"/>
      <c r="Y78" s="14"/>
      <c r="Z78" s="14"/>
      <c r="AA78" s="14"/>
      <c r="AB78" s="14"/>
      <c r="AC78" s="5"/>
      <c r="AD78" s="5"/>
      <c r="AE78" s="5"/>
      <c r="AF78" s="5"/>
      <c r="AG78" s="5"/>
      <c r="AH78" s="5"/>
      <c r="AI78" s="5"/>
      <c r="AJ78" s="12"/>
    </row>
    <row r="79" spans="13:36" ht="12.75">
      <c r="M79" s="5"/>
      <c r="N79" s="5"/>
      <c r="O79" s="5"/>
      <c r="P79" s="5"/>
      <c r="Q79" s="5"/>
      <c r="R79" s="5"/>
      <c r="S79" s="5"/>
      <c r="AC79" s="5"/>
      <c r="AD79" s="5"/>
      <c r="AE79" s="5"/>
      <c r="AF79" s="5"/>
      <c r="AG79" s="5"/>
      <c r="AH79" s="5"/>
      <c r="AI79" s="5"/>
      <c r="AJ79" s="6"/>
    </row>
    <row r="80" spans="2:36" ht="12.75">
      <c r="B80" s="3" t="s">
        <v>44</v>
      </c>
      <c r="D80" s="3" t="s">
        <v>25</v>
      </c>
      <c r="F80" s="6">
        <f>emiss!$G$47</f>
        <v>81629</v>
      </c>
      <c r="H80" s="9">
        <f>emiss!$I$47</f>
        <v>84820</v>
      </c>
      <c r="J80" s="6">
        <f>emiss!$K$47</f>
        <v>80204</v>
      </c>
      <c r="L80" s="8">
        <f>emiss!$M$47</f>
        <v>82217.66666666667</v>
      </c>
      <c r="M80" s="5"/>
      <c r="N80" s="6">
        <f>emiss!$G$47</f>
        <v>81629</v>
      </c>
      <c r="O80" s="5"/>
      <c r="P80" s="9">
        <f>emiss!$I$47</f>
        <v>84820</v>
      </c>
      <c r="Q80" s="5"/>
      <c r="R80" s="6">
        <f>emiss!$K$47</f>
        <v>80204</v>
      </c>
      <c r="S80" s="5"/>
      <c r="T80" s="8">
        <f>emiss!$M$47</f>
        <v>82217.66666666667</v>
      </c>
      <c r="U80" s="8"/>
      <c r="V80" s="8"/>
      <c r="W80" s="8"/>
      <c r="X80" s="8"/>
      <c r="Y80" s="8"/>
      <c r="Z80" s="8"/>
      <c r="AA80" s="8"/>
      <c r="AB80" s="8"/>
      <c r="AC80" s="5"/>
      <c r="AD80" s="6">
        <f>emiss!$G$47</f>
        <v>81629</v>
      </c>
      <c r="AE80" s="5"/>
      <c r="AF80" s="9">
        <f>emiss!$I$47</f>
        <v>84820</v>
      </c>
      <c r="AG80" s="5"/>
      <c r="AH80" s="6">
        <f>emiss!$K$47</f>
        <v>80204</v>
      </c>
      <c r="AI80" s="5"/>
      <c r="AJ80" s="8">
        <f>emiss!$M$47</f>
        <v>82217.66666666667</v>
      </c>
    </row>
    <row r="81" spans="2:36" ht="12.75">
      <c r="B81" s="3" t="s">
        <v>45</v>
      </c>
      <c r="D81" s="3" t="s">
        <v>26</v>
      </c>
      <c r="F81" s="6">
        <f>emiss!$G$48</f>
        <v>6.1</v>
      </c>
      <c r="H81" s="6">
        <f>emiss!$I$48</f>
        <v>6.8</v>
      </c>
      <c r="J81" s="6">
        <f>emiss!$K$48</f>
        <v>6.5</v>
      </c>
      <c r="L81" s="8">
        <f>emiss!$M$48</f>
        <v>6.466666666666666</v>
      </c>
      <c r="M81" s="5"/>
      <c r="N81" s="6">
        <f>emiss!$G$48</f>
        <v>6.1</v>
      </c>
      <c r="O81" s="5"/>
      <c r="P81" s="6">
        <f>emiss!$I$48</f>
        <v>6.8</v>
      </c>
      <c r="Q81" s="5"/>
      <c r="R81" s="6">
        <f>emiss!$K$48</f>
        <v>6.5</v>
      </c>
      <c r="S81" s="5"/>
      <c r="T81" s="8">
        <f>emiss!$M$48</f>
        <v>6.466666666666666</v>
      </c>
      <c r="U81" s="8"/>
      <c r="V81" s="8"/>
      <c r="W81" s="8"/>
      <c r="X81" s="8"/>
      <c r="Y81" s="8"/>
      <c r="Z81" s="8"/>
      <c r="AA81" s="8"/>
      <c r="AB81" s="8"/>
      <c r="AC81" s="5"/>
      <c r="AD81" s="6">
        <f>emiss!$G$48</f>
        <v>6.1</v>
      </c>
      <c r="AE81" s="5"/>
      <c r="AF81" s="6">
        <f>emiss!$I$48</f>
        <v>6.8</v>
      </c>
      <c r="AG81" s="5"/>
      <c r="AH81" s="6">
        <f>emiss!$K$48</f>
        <v>6.5</v>
      </c>
      <c r="AI81" s="5"/>
      <c r="AJ81" s="8">
        <f>emiss!$M$48</f>
        <v>6.466666666666666</v>
      </c>
    </row>
    <row r="82" spans="13:36" ht="12.75">
      <c r="M82" s="5"/>
      <c r="N82" s="5"/>
      <c r="O82" s="5"/>
      <c r="P82" s="5"/>
      <c r="Q82" s="5"/>
      <c r="R82" s="5"/>
      <c r="S82" s="5"/>
      <c r="AC82" s="5"/>
      <c r="AD82" s="5"/>
      <c r="AE82" s="5"/>
      <c r="AF82" s="5"/>
      <c r="AG82" s="5"/>
      <c r="AH82" s="5"/>
      <c r="AI82" s="5"/>
      <c r="AJ82" s="6"/>
    </row>
    <row r="83" spans="2:36" ht="12.75">
      <c r="B83" s="3" t="s">
        <v>168</v>
      </c>
      <c r="D83" s="3" t="s">
        <v>42</v>
      </c>
      <c r="F83" s="8">
        <f>F66*F67/454/1000000</f>
        <v>48.848767116740085</v>
      </c>
      <c r="H83" s="8">
        <f>H66*H67/454/1000000</f>
        <v>48.96003649559471</v>
      </c>
      <c r="J83" s="8">
        <f>J66*J67/454/1000000</f>
        <v>49.52934487665198</v>
      </c>
      <c r="L83" s="8">
        <f>L66*L67/454/1000000</f>
        <v>49.11269717180616</v>
      </c>
      <c r="M83" s="5"/>
      <c r="N83" s="8">
        <f>N66*N67/454/1000000</f>
        <v>13.730468898678415</v>
      </c>
      <c r="O83" s="5"/>
      <c r="P83" s="8">
        <f>P66*P67/454/1000000</f>
        <v>13.476208105726872</v>
      </c>
      <c r="Q83" s="5"/>
      <c r="R83" s="8">
        <f>R66*R67/454/1000000</f>
        <v>14.344224669603525</v>
      </c>
      <c r="S83" s="5"/>
      <c r="T83" s="8">
        <f>T66*T67/454/1000000</f>
        <v>13.850291365638766</v>
      </c>
      <c r="U83" s="8"/>
      <c r="V83" s="8">
        <f>F83+N83</f>
        <v>62.5792360154185</v>
      </c>
      <c r="W83" s="8"/>
      <c r="X83" s="8">
        <f>H83+P83</f>
        <v>62.436244601321576</v>
      </c>
      <c r="Y83" s="8"/>
      <c r="Z83" s="8">
        <f>J83+R83</f>
        <v>63.87356954625551</v>
      </c>
      <c r="AA83" s="8"/>
      <c r="AB83" s="8">
        <f>L83+T83</f>
        <v>62.96298853744493</v>
      </c>
      <c r="AC83" s="5"/>
      <c r="AD83" s="8">
        <f>SUM(N83,F83)</f>
        <v>62.5792360154185</v>
      </c>
      <c r="AE83" s="5"/>
      <c r="AF83" s="8">
        <f>SUM(P83,H83)</f>
        <v>62.436244601321576</v>
      </c>
      <c r="AG83" s="5"/>
      <c r="AH83" s="8">
        <f>SUM(R83,J83)</f>
        <v>63.87356954625551</v>
      </c>
      <c r="AI83" s="5"/>
      <c r="AJ83" s="8">
        <f>SUM(T83,L83)</f>
        <v>62.96298853744493</v>
      </c>
    </row>
    <row r="84" spans="2:36" ht="12.75">
      <c r="B84" s="3" t="s">
        <v>202</v>
      </c>
      <c r="D84" s="3" t="s">
        <v>42</v>
      </c>
      <c r="F84" s="12"/>
      <c r="H84" s="12"/>
      <c r="J84" s="12"/>
      <c r="L84" s="12"/>
      <c r="M84" s="5"/>
      <c r="N84" s="12"/>
      <c r="O84" s="5"/>
      <c r="P84" s="12"/>
      <c r="Q84" s="5"/>
      <c r="R84" s="12"/>
      <c r="S84" s="5"/>
      <c r="T84" s="12"/>
      <c r="U84" s="12"/>
      <c r="V84" s="12"/>
      <c r="W84" s="12"/>
      <c r="X84" s="12"/>
      <c r="Y84" s="12"/>
      <c r="Z84" s="12"/>
      <c r="AA84" s="12"/>
      <c r="AB84" s="12"/>
      <c r="AC84" s="5"/>
      <c r="AD84" s="12">
        <f>AD80/9000*(21-AD81)/21*60</f>
        <v>386.11812698412695</v>
      </c>
      <c r="AE84" s="5"/>
      <c r="AF84" s="12">
        <f>AF80/9000*(21-AF81)/21*60</f>
        <v>382.3631746031746</v>
      </c>
      <c r="AG84" s="5"/>
      <c r="AH84" s="12">
        <f>AH80/9000*(21-AH81)/21*60</f>
        <v>369.19301587301584</v>
      </c>
      <c r="AI84" s="5"/>
      <c r="AJ84" s="12">
        <f>AJ80/9000*(21-AJ81)/21*60</f>
        <v>379.33230335097005</v>
      </c>
    </row>
    <row r="85" spans="6:36" ht="12.75">
      <c r="F85" s="12"/>
      <c r="H85" s="12"/>
      <c r="J85" s="12"/>
      <c r="L85" s="12"/>
      <c r="M85" s="5"/>
      <c r="N85" s="12"/>
      <c r="O85" s="5"/>
      <c r="P85" s="12"/>
      <c r="Q85" s="5"/>
      <c r="R85" s="12"/>
      <c r="S85" s="5"/>
      <c r="T85" s="12"/>
      <c r="U85" s="12"/>
      <c r="V85" s="12"/>
      <c r="W85" s="12"/>
      <c r="X85" s="12"/>
      <c r="Y85" s="12"/>
      <c r="Z85" s="12"/>
      <c r="AA85" s="12"/>
      <c r="AB85" s="12"/>
      <c r="AC85" s="5"/>
      <c r="AD85" s="5"/>
      <c r="AE85" s="5"/>
      <c r="AF85" s="5"/>
      <c r="AG85" s="5"/>
      <c r="AH85" s="5"/>
      <c r="AI85" s="5"/>
      <c r="AJ85" s="12"/>
    </row>
    <row r="86" spans="2:36" ht="12.75">
      <c r="B86" s="46" t="s">
        <v>131</v>
      </c>
      <c r="C86" s="46"/>
      <c r="F86" s="12"/>
      <c r="H86" s="12"/>
      <c r="J86" s="12"/>
      <c r="L86" s="12"/>
      <c r="M86" s="5"/>
      <c r="N86" s="12"/>
      <c r="O86" s="5"/>
      <c r="P86" s="12"/>
      <c r="Q86" s="5"/>
      <c r="R86" s="12"/>
      <c r="S86" s="5"/>
      <c r="T86" s="12"/>
      <c r="U86" s="12"/>
      <c r="V86" s="12"/>
      <c r="W86" s="12"/>
      <c r="X86" s="12"/>
      <c r="Y86" s="12"/>
      <c r="Z86" s="12"/>
      <c r="AA86" s="12"/>
      <c r="AB86" s="12"/>
      <c r="AC86" s="5"/>
      <c r="AD86" s="5"/>
      <c r="AE86" s="5"/>
      <c r="AF86" s="5"/>
      <c r="AG86" s="5"/>
      <c r="AH86" s="5"/>
      <c r="AI86" s="5"/>
      <c r="AJ86" s="12"/>
    </row>
    <row r="87" spans="2:36" ht="12.75">
      <c r="B87" s="3" t="s">
        <v>38</v>
      </c>
      <c r="D87" s="3" t="s">
        <v>47</v>
      </c>
      <c r="F87" s="8">
        <f aca="true" t="shared" si="20" ref="F87:H97">F68/F$80/60/0.0283*1000000*(21-7)/(21-F$81)</f>
        <v>1593.04288573161</v>
      </c>
      <c r="H87" s="8">
        <f t="shared" si="20"/>
        <v>2128.9434531065385</v>
      </c>
      <c r="J87" s="8">
        <f aca="true" t="shared" si="21" ref="J87:J97">J68/J$80/60/0.0283*1000000*(21-7)/(21-J$81)</f>
        <v>1432.1143243050358</v>
      </c>
      <c r="L87" s="8">
        <f>AVERAGE(F87,H87,J87)</f>
        <v>1718.0335543810615</v>
      </c>
      <c r="M87" s="5">
        <v>100</v>
      </c>
      <c r="N87" s="8">
        <f aca="true" t="shared" si="22" ref="N87:P97">N68/N$80/60/0.0283*1000000*(21-7)/(21-N$81)</f>
        <v>67.78905896730257</v>
      </c>
      <c r="O87" s="5">
        <v>100</v>
      </c>
      <c r="P87" s="8">
        <f t="shared" si="22"/>
        <v>68.4547734117858</v>
      </c>
      <c r="Q87" s="5">
        <v>100</v>
      </c>
      <c r="R87" s="8">
        <f aca="true" t="shared" si="23" ref="R87:R97">R68/R$80/60/0.0283*1000000*(21-7)/(21-R$81)</f>
        <v>70.89674872797207</v>
      </c>
      <c r="S87" s="5"/>
      <c r="T87" s="8">
        <f>AVERAGE(N87,P87,R87)</f>
        <v>69.04686036902014</v>
      </c>
      <c r="U87" s="9">
        <f>(E87*F87+M87*N87)/V87</f>
        <v>4.081632653061225</v>
      </c>
      <c r="V87" s="8">
        <f>F87+N87</f>
        <v>1660.8319446989126</v>
      </c>
      <c r="W87" s="9">
        <f>(G87*H87+O87*P87)/X87</f>
        <v>3.115264797507787</v>
      </c>
      <c r="X87" s="8">
        <f>H87+P87</f>
        <v>2197.3982265183245</v>
      </c>
      <c r="Y87" s="9">
        <f>(I87*J87+Q87*R87)/Z87</f>
        <v>4.716981132075471</v>
      </c>
      <c r="Z87" s="8">
        <f>J87+R87</f>
        <v>1503.011073033008</v>
      </c>
      <c r="AA87" s="9">
        <f>AVERAGE(U87*V87,W87*X87,Y87*Z87)/AB87</f>
        <v>3.8636683497354625</v>
      </c>
      <c r="AB87" s="8">
        <f>L87+T87</f>
        <v>1787.0804147500817</v>
      </c>
      <c r="AC87" s="9">
        <f aca="true" t="shared" si="24" ref="AC87:AJ87">U87</f>
        <v>4.081632653061225</v>
      </c>
      <c r="AD87" s="8">
        <f t="shared" si="24"/>
        <v>1660.8319446989126</v>
      </c>
      <c r="AE87" s="9">
        <f t="shared" si="24"/>
        <v>3.115264797507787</v>
      </c>
      <c r="AF87" s="8">
        <f t="shared" si="24"/>
        <v>2197.3982265183245</v>
      </c>
      <c r="AG87" s="9">
        <f t="shared" si="24"/>
        <v>4.716981132075471</v>
      </c>
      <c r="AH87" s="8">
        <f t="shared" si="24"/>
        <v>1503.011073033008</v>
      </c>
      <c r="AI87" s="9">
        <f t="shared" si="24"/>
        <v>3.8636683497354625</v>
      </c>
      <c r="AJ87" s="8">
        <f t="shared" si="24"/>
        <v>1787.0804147500817</v>
      </c>
    </row>
    <row r="88" spans="2:36" ht="12.75">
      <c r="B88" s="3" t="s">
        <v>161</v>
      </c>
      <c r="D88" s="3" t="s">
        <v>47</v>
      </c>
      <c r="E88" s="5">
        <v>100</v>
      </c>
      <c r="F88" s="8">
        <f t="shared" si="20"/>
        <v>3.2538748304305227</v>
      </c>
      <c r="G88" s="5">
        <v>100</v>
      </c>
      <c r="H88" s="8">
        <f t="shared" si="20"/>
        <v>3.2858291237657182</v>
      </c>
      <c r="I88" s="5">
        <v>100</v>
      </c>
      <c r="J88" s="8">
        <f t="shared" si="21"/>
        <v>3.4739406876706305</v>
      </c>
      <c r="L88" s="8">
        <f>AVERAGE(F88,H88,J88)</f>
        <v>3.337881547288957</v>
      </c>
      <c r="M88" s="5">
        <v>100</v>
      </c>
      <c r="N88" s="8">
        <f t="shared" si="22"/>
        <v>1.8980936510844721</v>
      </c>
      <c r="O88" s="5">
        <v>100</v>
      </c>
      <c r="P88" s="8">
        <f t="shared" si="22"/>
        <v>1.8482788821182168</v>
      </c>
      <c r="Q88" s="5">
        <v>100</v>
      </c>
      <c r="R88" s="8">
        <f t="shared" si="23"/>
        <v>2.0560057131111895</v>
      </c>
      <c r="S88" s="5"/>
      <c r="T88" s="8">
        <f aca="true" t="shared" si="25" ref="T88:T97">AVERAGE(N88,P88,R88)</f>
        <v>1.9341260821046262</v>
      </c>
      <c r="U88" s="9">
        <f aca="true" t="shared" si="26" ref="U88:Y97">(E88*F88+M88*N88)/V88</f>
        <v>99.99999999999999</v>
      </c>
      <c r="V88" s="8">
        <f aca="true" t="shared" si="27" ref="V88:Z97">F88+N88</f>
        <v>5.151968481514995</v>
      </c>
      <c r="W88" s="9">
        <f t="shared" si="26"/>
        <v>100.00000000000001</v>
      </c>
      <c r="X88" s="8">
        <f t="shared" si="27"/>
        <v>5.134108005883935</v>
      </c>
      <c r="Y88" s="9">
        <f t="shared" si="26"/>
        <v>100</v>
      </c>
      <c r="Z88" s="8">
        <f t="shared" si="27"/>
        <v>5.52994640078182</v>
      </c>
      <c r="AA88" s="9">
        <f aca="true" t="shared" si="28" ref="AA88:AA97">AVERAGE(U88*V88,W88*X88,Y88*Z88)/AB88</f>
        <v>100.00000000000001</v>
      </c>
      <c r="AB88" s="8">
        <f aca="true" t="shared" si="29" ref="AB88:AB97">L88+T88</f>
        <v>5.272007629393583</v>
      </c>
      <c r="AC88" s="9">
        <f aca="true" t="shared" si="30" ref="AC88:AI100">U88</f>
        <v>99.99999999999999</v>
      </c>
      <c r="AD88" s="8">
        <f aca="true" t="shared" si="31" ref="AD88:AJ100">V88</f>
        <v>5.151968481514995</v>
      </c>
      <c r="AE88" s="9">
        <f t="shared" si="30"/>
        <v>100.00000000000001</v>
      </c>
      <c r="AF88" s="8">
        <f t="shared" si="31"/>
        <v>5.134108005883935</v>
      </c>
      <c r="AG88" s="9">
        <f t="shared" si="30"/>
        <v>100</v>
      </c>
      <c r="AH88" s="8">
        <f t="shared" si="31"/>
        <v>5.52994640078182</v>
      </c>
      <c r="AI88" s="9">
        <f t="shared" si="30"/>
        <v>100.00000000000001</v>
      </c>
      <c r="AJ88" s="8">
        <f t="shared" si="31"/>
        <v>5.272007629393583</v>
      </c>
    </row>
    <row r="89" spans="2:36" ht="12.75">
      <c r="B89" s="3" t="s">
        <v>157</v>
      </c>
      <c r="D89" s="3" t="s">
        <v>47</v>
      </c>
      <c r="E89" s="5">
        <v>100</v>
      </c>
      <c r="F89" s="8">
        <f t="shared" si="20"/>
        <v>4.745234127711179</v>
      </c>
      <c r="G89" s="5">
        <v>100</v>
      </c>
      <c r="H89" s="8">
        <f t="shared" si="20"/>
        <v>4.791834138825005</v>
      </c>
      <c r="I89" s="5">
        <v>100</v>
      </c>
      <c r="J89" s="8">
        <f t="shared" si="21"/>
        <v>4.962772410958044</v>
      </c>
      <c r="L89" s="8">
        <f aca="true" t="shared" si="32" ref="L89:L97">AVERAGE(F89,H89,J89)</f>
        <v>4.83328022583141</v>
      </c>
      <c r="M89" s="5">
        <v>100</v>
      </c>
      <c r="N89" s="8">
        <f t="shared" si="22"/>
        <v>2.711562358692103</v>
      </c>
      <c r="O89" s="5">
        <v>100</v>
      </c>
      <c r="P89" s="8">
        <f t="shared" si="22"/>
        <v>2.738190936471432</v>
      </c>
      <c r="Q89" s="5">
        <v>100</v>
      </c>
      <c r="R89" s="8">
        <f t="shared" si="23"/>
        <v>2.8358699491188823</v>
      </c>
      <c r="S89" s="5"/>
      <c r="T89" s="8">
        <f t="shared" si="25"/>
        <v>2.761874414760806</v>
      </c>
      <c r="U89" s="9">
        <f t="shared" si="26"/>
        <v>99.99999999999999</v>
      </c>
      <c r="V89" s="8">
        <f t="shared" si="27"/>
        <v>7.456796486403283</v>
      </c>
      <c r="W89" s="9">
        <f t="shared" si="26"/>
        <v>99.99999999999999</v>
      </c>
      <c r="X89" s="8">
        <f t="shared" si="27"/>
        <v>7.530025075296438</v>
      </c>
      <c r="Y89" s="9">
        <f t="shared" si="26"/>
        <v>100.00000000000001</v>
      </c>
      <c r="Z89" s="8">
        <f t="shared" si="27"/>
        <v>7.798642360076926</v>
      </c>
      <c r="AA89" s="9">
        <f t="shared" si="28"/>
        <v>99.99999999999999</v>
      </c>
      <c r="AB89" s="8">
        <f t="shared" si="29"/>
        <v>7.595154640592216</v>
      </c>
      <c r="AC89" s="9">
        <f t="shared" si="30"/>
        <v>99.99999999999999</v>
      </c>
      <c r="AD89" s="8">
        <f t="shared" si="31"/>
        <v>7.456796486403283</v>
      </c>
      <c r="AE89" s="9">
        <f t="shared" si="30"/>
        <v>99.99999999999999</v>
      </c>
      <c r="AF89" s="8">
        <f t="shared" si="31"/>
        <v>7.530025075296438</v>
      </c>
      <c r="AG89" s="9">
        <f t="shared" si="30"/>
        <v>100.00000000000001</v>
      </c>
      <c r="AH89" s="8">
        <f t="shared" si="31"/>
        <v>7.798642360076926</v>
      </c>
      <c r="AI89" s="9">
        <f t="shared" si="30"/>
        <v>99.99999999999999</v>
      </c>
      <c r="AJ89" s="8">
        <f t="shared" si="31"/>
        <v>7.595154640592216</v>
      </c>
    </row>
    <row r="90" spans="2:36" ht="12.75">
      <c r="B90" s="3" t="s">
        <v>158</v>
      </c>
      <c r="D90" s="3" t="s">
        <v>47</v>
      </c>
      <c r="E90" s="5">
        <v>100</v>
      </c>
      <c r="F90" s="8">
        <f t="shared" si="20"/>
        <v>6.778905896730257</v>
      </c>
      <c r="G90" s="5">
        <v>100</v>
      </c>
      <c r="H90" s="8">
        <f t="shared" si="20"/>
        <v>6.845477341178579</v>
      </c>
      <c r="I90" s="5">
        <v>100</v>
      </c>
      <c r="J90" s="8">
        <f t="shared" si="21"/>
        <v>7.089674872797206</v>
      </c>
      <c r="L90" s="8">
        <f t="shared" si="32"/>
        <v>6.904686036902014</v>
      </c>
      <c r="M90" s="5">
        <v>100</v>
      </c>
      <c r="N90" s="8">
        <f t="shared" si="22"/>
        <v>5.423124717384206</v>
      </c>
      <c r="O90" s="5">
        <v>100</v>
      </c>
      <c r="P90" s="8">
        <f t="shared" si="22"/>
        <v>5.476381872942864</v>
      </c>
      <c r="Q90" s="5">
        <v>100</v>
      </c>
      <c r="R90" s="8">
        <f t="shared" si="23"/>
        <v>5.671739898237765</v>
      </c>
      <c r="S90" s="5"/>
      <c r="T90" s="8">
        <f t="shared" si="25"/>
        <v>5.523748829521612</v>
      </c>
      <c r="U90" s="9">
        <f t="shared" si="26"/>
        <v>100.00000000000001</v>
      </c>
      <c r="V90" s="8">
        <f t="shared" si="27"/>
        <v>12.202030614114463</v>
      </c>
      <c r="W90" s="9">
        <f t="shared" si="26"/>
        <v>100.00000000000001</v>
      </c>
      <c r="X90" s="8">
        <f t="shared" si="27"/>
        <v>12.321859214121442</v>
      </c>
      <c r="Y90" s="9">
        <f t="shared" si="26"/>
        <v>99.99999999999999</v>
      </c>
      <c r="Z90" s="8">
        <f t="shared" si="27"/>
        <v>12.761414771034971</v>
      </c>
      <c r="AA90" s="9">
        <f t="shared" si="28"/>
        <v>99.99999999999999</v>
      </c>
      <c r="AB90" s="8">
        <f t="shared" si="29"/>
        <v>12.428434866423625</v>
      </c>
      <c r="AC90" s="9">
        <f t="shared" si="30"/>
        <v>100.00000000000001</v>
      </c>
      <c r="AD90" s="8">
        <f t="shared" si="31"/>
        <v>12.202030614114463</v>
      </c>
      <c r="AE90" s="9">
        <f t="shared" si="30"/>
        <v>100.00000000000001</v>
      </c>
      <c r="AF90" s="8">
        <f t="shared" si="31"/>
        <v>12.321859214121442</v>
      </c>
      <c r="AG90" s="9">
        <f t="shared" si="30"/>
        <v>99.99999999999999</v>
      </c>
      <c r="AH90" s="8">
        <f t="shared" si="31"/>
        <v>12.761414771034971</v>
      </c>
      <c r="AI90" s="9">
        <f t="shared" si="30"/>
        <v>99.99999999999999</v>
      </c>
      <c r="AJ90" s="8">
        <f t="shared" si="31"/>
        <v>12.428434866423625</v>
      </c>
    </row>
    <row r="91" spans="2:36" ht="12.75">
      <c r="B91" s="3" t="s">
        <v>159</v>
      </c>
      <c r="D91" s="3" t="s">
        <v>47</v>
      </c>
      <c r="E91" s="5">
        <v>100</v>
      </c>
      <c r="F91" s="8">
        <f t="shared" si="20"/>
        <v>2.033671769019077</v>
      </c>
      <c r="G91" s="5">
        <v>100</v>
      </c>
      <c r="H91" s="8">
        <f t="shared" si="20"/>
        <v>2.0536432023535736</v>
      </c>
      <c r="I91" s="5">
        <v>100</v>
      </c>
      <c r="J91" s="8">
        <f t="shared" si="21"/>
        <v>2.1269024618391614</v>
      </c>
      <c r="L91" s="8">
        <f t="shared" si="32"/>
        <v>2.0714058110706044</v>
      </c>
      <c r="M91" s="5">
        <v>100</v>
      </c>
      <c r="N91" s="8">
        <f t="shared" si="22"/>
        <v>1.3557811793460515</v>
      </c>
      <c r="O91" s="5">
        <v>100</v>
      </c>
      <c r="P91" s="8">
        <f t="shared" si="22"/>
        <v>1.369095468235716</v>
      </c>
      <c r="Q91" s="5">
        <v>100</v>
      </c>
      <c r="R91" s="8">
        <f t="shared" si="23"/>
        <v>1.4179349745594412</v>
      </c>
      <c r="S91" s="5"/>
      <c r="T91" s="8">
        <f t="shared" si="25"/>
        <v>1.380937207380403</v>
      </c>
      <c r="U91" s="9">
        <f t="shared" si="26"/>
        <v>100.00000000000001</v>
      </c>
      <c r="V91" s="8">
        <f t="shared" si="27"/>
        <v>3.389452948365128</v>
      </c>
      <c r="W91" s="9">
        <f t="shared" si="26"/>
        <v>99.99999999999999</v>
      </c>
      <c r="X91" s="8">
        <f t="shared" si="27"/>
        <v>3.4227386705892897</v>
      </c>
      <c r="Y91" s="9">
        <f t="shared" si="26"/>
        <v>99.99999999999999</v>
      </c>
      <c r="Z91" s="8">
        <f t="shared" si="27"/>
        <v>3.544837436398603</v>
      </c>
      <c r="AA91" s="9">
        <f t="shared" si="28"/>
        <v>99.99999999999999</v>
      </c>
      <c r="AB91" s="8">
        <f t="shared" si="29"/>
        <v>3.4523430184510073</v>
      </c>
      <c r="AC91" s="9">
        <f t="shared" si="30"/>
        <v>100.00000000000001</v>
      </c>
      <c r="AD91" s="8">
        <f t="shared" si="31"/>
        <v>3.389452948365128</v>
      </c>
      <c r="AE91" s="9">
        <f t="shared" si="30"/>
        <v>99.99999999999999</v>
      </c>
      <c r="AF91" s="8">
        <f t="shared" si="31"/>
        <v>3.4227386705892897</v>
      </c>
      <c r="AG91" s="9">
        <f t="shared" si="30"/>
        <v>99.99999999999999</v>
      </c>
      <c r="AH91" s="8">
        <f t="shared" si="31"/>
        <v>3.544837436398603</v>
      </c>
      <c r="AI91" s="9">
        <f t="shared" si="30"/>
        <v>99.99999999999999</v>
      </c>
      <c r="AJ91" s="8">
        <f t="shared" si="31"/>
        <v>3.4523430184510073</v>
      </c>
    </row>
    <row r="92" spans="2:36" ht="12.75">
      <c r="B92" s="3" t="s">
        <v>163</v>
      </c>
      <c r="D92" s="3" t="s">
        <v>47</v>
      </c>
      <c r="E92" s="5">
        <v>100</v>
      </c>
      <c r="F92" s="8">
        <f t="shared" si="20"/>
        <v>2.033671769019077</v>
      </c>
      <c r="G92" s="5">
        <v>100</v>
      </c>
      <c r="H92" s="8">
        <f t="shared" si="20"/>
        <v>2.0536432023535736</v>
      </c>
      <c r="I92" s="5">
        <v>100</v>
      </c>
      <c r="J92" s="8">
        <f t="shared" si="21"/>
        <v>2.1269024618391614</v>
      </c>
      <c r="L92" s="8">
        <f t="shared" si="32"/>
        <v>2.0714058110706044</v>
      </c>
      <c r="M92" s="5">
        <v>100</v>
      </c>
      <c r="N92" s="8">
        <f t="shared" si="22"/>
        <v>1.3557811793460515</v>
      </c>
      <c r="O92" s="5">
        <v>100</v>
      </c>
      <c r="P92" s="8">
        <f t="shared" si="22"/>
        <v>1.369095468235716</v>
      </c>
      <c r="Q92" s="5">
        <v>100</v>
      </c>
      <c r="R92" s="8">
        <f t="shared" si="23"/>
        <v>1.4179349745594412</v>
      </c>
      <c r="S92" s="5"/>
      <c r="T92" s="8">
        <f t="shared" si="25"/>
        <v>1.380937207380403</v>
      </c>
      <c r="U92" s="9">
        <f t="shared" si="26"/>
        <v>100.00000000000001</v>
      </c>
      <c r="V92" s="8">
        <f t="shared" si="27"/>
        <v>3.389452948365128</v>
      </c>
      <c r="W92" s="9">
        <f t="shared" si="26"/>
        <v>99.99999999999999</v>
      </c>
      <c r="X92" s="8">
        <f t="shared" si="27"/>
        <v>3.4227386705892897</v>
      </c>
      <c r="Y92" s="9">
        <f t="shared" si="26"/>
        <v>99.99999999999999</v>
      </c>
      <c r="Z92" s="8">
        <f t="shared" si="27"/>
        <v>3.544837436398603</v>
      </c>
      <c r="AA92" s="9">
        <f t="shared" si="28"/>
        <v>99.99999999999999</v>
      </c>
      <c r="AB92" s="8">
        <f t="shared" si="29"/>
        <v>3.4523430184510073</v>
      </c>
      <c r="AC92" s="9">
        <f t="shared" si="30"/>
        <v>100.00000000000001</v>
      </c>
      <c r="AD92" s="8">
        <f t="shared" si="31"/>
        <v>3.389452948365128</v>
      </c>
      <c r="AE92" s="9">
        <f t="shared" si="30"/>
        <v>99.99999999999999</v>
      </c>
      <c r="AF92" s="8">
        <f t="shared" si="31"/>
        <v>3.4227386705892897</v>
      </c>
      <c r="AG92" s="9">
        <f t="shared" si="30"/>
        <v>99.99999999999999</v>
      </c>
      <c r="AH92" s="8">
        <f t="shared" si="31"/>
        <v>3.544837436398603</v>
      </c>
      <c r="AI92" s="9">
        <f t="shared" si="30"/>
        <v>99.99999999999999</v>
      </c>
      <c r="AJ92" s="8">
        <f t="shared" si="31"/>
        <v>3.4523430184510073</v>
      </c>
    </row>
    <row r="93" spans="2:36" ht="12.75">
      <c r="B93" s="3" t="s">
        <v>165</v>
      </c>
      <c r="D93" s="3" t="s">
        <v>47</v>
      </c>
      <c r="E93" s="5">
        <v>100</v>
      </c>
      <c r="F93" s="8">
        <f t="shared" si="20"/>
        <v>2.033671769019077</v>
      </c>
      <c r="G93" s="5">
        <v>100</v>
      </c>
      <c r="H93" s="8">
        <f t="shared" si="20"/>
        <v>2.0536432023535736</v>
      </c>
      <c r="I93" s="5">
        <v>100</v>
      </c>
      <c r="J93" s="8">
        <f t="shared" si="21"/>
        <v>2.1269024618391614</v>
      </c>
      <c r="L93" s="8">
        <f t="shared" si="32"/>
        <v>2.0714058110706044</v>
      </c>
      <c r="M93" s="5"/>
      <c r="N93" s="8">
        <f t="shared" si="22"/>
        <v>33.89452948365128</v>
      </c>
      <c r="O93" s="5"/>
      <c r="P93" s="8">
        <f t="shared" si="22"/>
        <v>33.40592942495146</v>
      </c>
      <c r="Q93" s="5"/>
      <c r="R93" s="8">
        <f t="shared" si="23"/>
        <v>35.448374363986034</v>
      </c>
      <c r="S93" s="5"/>
      <c r="T93" s="8">
        <f t="shared" si="25"/>
        <v>34.24961109086292</v>
      </c>
      <c r="U93" s="9">
        <f t="shared" si="26"/>
        <v>5.660377358490566</v>
      </c>
      <c r="V93" s="8">
        <f t="shared" si="27"/>
        <v>35.92820125267036</v>
      </c>
      <c r="W93" s="9">
        <f t="shared" si="26"/>
        <v>5.7915057915057915</v>
      </c>
      <c r="X93" s="8">
        <f t="shared" si="27"/>
        <v>35.459572627305036</v>
      </c>
      <c r="Y93" s="9">
        <f t="shared" si="26"/>
        <v>5.660377358490565</v>
      </c>
      <c r="Z93" s="8">
        <f t="shared" si="27"/>
        <v>37.57527682582519</v>
      </c>
      <c r="AA93" s="9">
        <f t="shared" si="28"/>
        <v>5.703050155956217</v>
      </c>
      <c r="AB93" s="8">
        <f t="shared" si="29"/>
        <v>36.321016901933525</v>
      </c>
      <c r="AC93" s="9">
        <f t="shared" si="30"/>
        <v>5.660377358490566</v>
      </c>
      <c r="AD93" s="8">
        <f t="shared" si="31"/>
        <v>35.92820125267036</v>
      </c>
      <c r="AE93" s="9">
        <f t="shared" si="30"/>
        <v>5.7915057915057915</v>
      </c>
      <c r="AF93" s="8">
        <f t="shared" si="31"/>
        <v>35.459572627305036</v>
      </c>
      <c r="AG93" s="9">
        <f t="shared" si="30"/>
        <v>5.660377358490565</v>
      </c>
      <c r="AH93" s="8">
        <f t="shared" si="31"/>
        <v>37.57527682582519</v>
      </c>
      <c r="AI93" s="9">
        <f t="shared" si="30"/>
        <v>5.703050155956217</v>
      </c>
      <c r="AJ93" s="8">
        <f t="shared" si="31"/>
        <v>36.321016901933525</v>
      </c>
    </row>
    <row r="94" spans="2:36" ht="12.75">
      <c r="B94" s="3" t="s">
        <v>162</v>
      </c>
      <c r="D94" s="3" t="s">
        <v>47</v>
      </c>
      <c r="E94" s="5">
        <v>100</v>
      </c>
      <c r="F94" s="8">
        <f t="shared" si="20"/>
        <v>20.336717690190774</v>
      </c>
      <c r="G94" s="5">
        <v>100</v>
      </c>
      <c r="H94" s="8">
        <f t="shared" si="20"/>
        <v>20.53643202353574</v>
      </c>
      <c r="I94" s="5">
        <v>100</v>
      </c>
      <c r="J94" s="8">
        <f t="shared" si="21"/>
        <v>21.26902461839161</v>
      </c>
      <c r="L94" s="8">
        <f t="shared" si="32"/>
        <v>20.71405811070604</v>
      </c>
      <c r="M94" s="5">
        <v>100</v>
      </c>
      <c r="N94" s="8">
        <f t="shared" si="22"/>
        <v>13.557811793460514</v>
      </c>
      <c r="O94" s="5">
        <v>100</v>
      </c>
      <c r="P94" s="8">
        <f t="shared" si="22"/>
        <v>13.690954682357159</v>
      </c>
      <c r="Q94" s="5">
        <v>100</v>
      </c>
      <c r="R94" s="8">
        <f t="shared" si="23"/>
        <v>14.179349745594411</v>
      </c>
      <c r="S94" s="5"/>
      <c r="T94" s="8">
        <f t="shared" si="25"/>
        <v>13.809372073804028</v>
      </c>
      <c r="U94" s="9">
        <f t="shared" si="26"/>
        <v>99.99999999999999</v>
      </c>
      <c r="V94" s="8">
        <f t="shared" si="27"/>
        <v>33.89452948365129</v>
      </c>
      <c r="W94" s="9">
        <f t="shared" si="26"/>
        <v>100.00000000000001</v>
      </c>
      <c r="X94" s="8">
        <f t="shared" si="27"/>
        <v>34.2273867058929</v>
      </c>
      <c r="Y94" s="9">
        <f t="shared" si="26"/>
        <v>100.00000000000001</v>
      </c>
      <c r="Z94" s="8">
        <f t="shared" si="27"/>
        <v>35.44837436398602</v>
      </c>
      <c r="AA94" s="9">
        <f t="shared" si="28"/>
        <v>100</v>
      </c>
      <c r="AB94" s="8">
        <f t="shared" si="29"/>
        <v>34.52343018451007</v>
      </c>
      <c r="AC94" s="9">
        <f t="shared" si="30"/>
        <v>99.99999999999999</v>
      </c>
      <c r="AD94" s="8">
        <f t="shared" si="31"/>
        <v>33.89452948365129</v>
      </c>
      <c r="AE94" s="9">
        <f t="shared" si="30"/>
        <v>100.00000000000001</v>
      </c>
      <c r="AF94" s="8">
        <f t="shared" si="31"/>
        <v>34.2273867058929</v>
      </c>
      <c r="AG94" s="9">
        <f t="shared" si="30"/>
        <v>100.00000000000001</v>
      </c>
      <c r="AH94" s="8">
        <f t="shared" si="31"/>
        <v>35.44837436398602</v>
      </c>
      <c r="AI94" s="9">
        <f t="shared" si="30"/>
        <v>100</v>
      </c>
      <c r="AJ94" s="8">
        <f t="shared" si="31"/>
        <v>34.52343018451007</v>
      </c>
    </row>
    <row r="95" spans="2:36" ht="12.75">
      <c r="B95" s="3" t="s">
        <v>169</v>
      </c>
      <c r="D95" s="3" t="s">
        <v>47</v>
      </c>
      <c r="E95" s="5">
        <v>100</v>
      </c>
      <c r="F95" s="8">
        <f t="shared" si="20"/>
        <v>0.47452341277111804</v>
      </c>
      <c r="G95" s="5">
        <v>100</v>
      </c>
      <c r="H95" s="8">
        <f t="shared" si="20"/>
        <v>0.47918341388250063</v>
      </c>
      <c r="I95" s="5">
        <v>100</v>
      </c>
      <c r="J95" s="8">
        <f t="shared" si="21"/>
        <v>0.49627724109580446</v>
      </c>
      <c r="L95" s="8">
        <f t="shared" si="32"/>
        <v>0.48332802258314106</v>
      </c>
      <c r="M95" s="5">
        <v>100</v>
      </c>
      <c r="N95" s="8">
        <f t="shared" si="22"/>
        <v>0.2711562358692102</v>
      </c>
      <c r="O95" s="5">
        <v>100</v>
      </c>
      <c r="P95" s="8">
        <f t="shared" si="22"/>
        <v>0.2738190936471432</v>
      </c>
      <c r="Q95" s="5">
        <v>100</v>
      </c>
      <c r="R95" s="8">
        <f t="shared" si="23"/>
        <v>0.28358699491188827</v>
      </c>
      <c r="S95" s="5"/>
      <c r="T95" s="8">
        <f t="shared" si="25"/>
        <v>0.27618744147608054</v>
      </c>
      <c r="U95" s="9">
        <f t="shared" si="26"/>
        <v>100</v>
      </c>
      <c r="V95" s="8">
        <f t="shared" si="27"/>
        <v>0.7456796486403283</v>
      </c>
      <c r="W95" s="9">
        <f t="shared" si="26"/>
        <v>100.00000000000001</v>
      </c>
      <c r="X95" s="8">
        <f t="shared" si="27"/>
        <v>0.7530025075296438</v>
      </c>
      <c r="Y95" s="9">
        <f t="shared" si="26"/>
        <v>100</v>
      </c>
      <c r="Z95" s="8">
        <f t="shared" si="27"/>
        <v>0.7798642360076927</v>
      </c>
      <c r="AA95" s="9">
        <f t="shared" si="28"/>
        <v>99.99999999999999</v>
      </c>
      <c r="AB95" s="8">
        <f t="shared" si="29"/>
        <v>0.7595154640592217</v>
      </c>
      <c r="AC95" s="9">
        <f t="shared" si="30"/>
        <v>100</v>
      </c>
      <c r="AD95" s="8">
        <f t="shared" si="31"/>
        <v>0.7456796486403283</v>
      </c>
      <c r="AE95" s="9">
        <f t="shared" si="30"/>
        <v>100.00000000000001</v>
      </c>
      <c r="AF95" s="8">
        <f t="shared" si="31"/>
        <v>0.7530025075296438</v>
      </c>
      <c r="AG95" s="9">
        <f t="shared" si="30"/>
        <v>100</v>
      </c>
      <c r="AH95" s="8">
        <f t="shared" si="31"/>
        <v>0.7798642360076927</v>
      </c>
      <c r="AI95" s="9">
        <f t="shared" si="30"/>
        <v>99.99999999999999</v>
      </c>
      <c r="AJ95" s="8">
        <f t="shared" si="31"/>
        <v>0.7595154640592217</v>
      </c>
    </row>
    <row r="96" spans="2:36" ht="12.75">
      <c r="B96" s="3" t="s">
        <v>164</v>
      </c>
      <c r="D96" s="3" t="s">
        <v>47</v>
      </c>
      <c r="E96" s="5">
        <v>100</v>
      </c>
      <c r="F96" s="8">
        <f t="shared" si="20"/>
        <v>0.6778905896730257</v>
      </c>
      <c r="G96" s="5">
        <v>100</v>
      </c>
      <c r="H96" s="8">
        <f t="shared" si="20"/>
        <v>0.684547734117858</v>
      </c>
      <c r="I96" s="5">
        <v>100</v>
      </c>
      <c r="J96" s="8">
        <f t="shared" si="21"/>
        <v>0.7089674872797206</v>
      </c>
      <c r="L96" s="8">
        <f t="shared" si="32"/>
        <v>0.6904686036902015</v>
      </c>
      <c r="M96" s="5">
        <v>100</v>
      </c>
      <c r="N96" s="8">
        <f t="shared" si="22"/>
        <v>0.5423124717384205</v>
      </c>
      <c r="O96" s="5">
        <v>100</v>
      </c>
      <c r="P96" s="8">
        <f t="shared" si="22"/>
        <v>0.5476381872942864</v>
      </c>
      <c r="Q96" s="5">
        <v>100</v>
      </c>
      <c r="R96" s="8">
        <f t="shared" si="23"/>
        <v>0.5671739898237765</v>
      </c>
      <c r="S96" s="5"/>
      <c r="T96" s="8">
        <f t="shared" si="25"/>
        <v>0.5523748829521611</v>
      </c>
      <c r="U96" s="9">
        <f t="shared" si="26"/>
        <v>100</v>
      </c>
      <c r="V96" s="8">
        <f t="shared" si="27"/>
        <v>1.2202030614114463</v>
      </c>
      <c r="W96" s="9">
        <f t="shared" si="26"/>
        <v>100</v>
      </c>
      <c r="X96" s="8">
        <f t="shared" si="27"/>
        <v>1.2321859214121442</v>
      </c>
      <c r="Y96" s="9">
        <f t="shared" si="26"/>
        <v>99.99999999999999</v>
      </c>
      <c r="Z96" s="8">
        <f t="shared" si="27"/>
        <v>1.2761414771034971</v>
      </c>
      <c r="AA96" s="9">
        <f t="shared" si="28"/>
        <v>100</v>
      </c>
      <c r="AB96" s="8">
        <f t="shared" si="29"/>
        <v>1.2428434866423625</v>
      </c>
      <c r="AC96" s="9">
        <f t="shared" si="30"/>
        <v>100</v>
      </c>
      <c r="AD96" s="8">
        <f t="shared" si="31"/>
        <v>1.2202030614114463</v>
      </c>
      <c r="AE96" s="9">
        <f t="shared" si="30"/>
        <v>100</v>
      </c>
      <c r="AF96" s="8">
        <f t="shared" si="31"/>
        <v>1.2321859214121442</v>
      </c>
      <c r="AG96" s="9">
        <f t="shared" si="30"/>
        <v>99.99999999999999</v>
      </c>
      <c r="AH96" s="8">
        <f t="shared" si="31"/>
        <v>1.2761414771034971</v>
      </c>
      <c r="AI96" s="9">
        <f t="shared" si="30"/>
        <v>100</v>
      </c>
      <c r="AJ96" s="8">
        <f t="shared" si="31"/>
        <v>1.2428434866423625</v>
      </c>
    </row>
    <row r="97" spans="2:36" ht="12.75">
      <c r="B97" s="3" t="s">
        <v>160</v>
      </c>
      <c r="D97" s="3" t="s">
        <v>47</v>
      </c>
      <c r="E97" s="5">
        <v>100</v>
      </c>
      <c r="F97" s="8">
        <f t="shared" si="20"/>
        <v>1.4235702383133542</v>
      </c>
      <c r="G97" s="5">
        <v>100</v>
      </c>
      <c r="H97" s="8">
        <f t="shared" si="20"/>
        <v>1.437550241647502</v>
      </c>
      <c r="I97" s="5">
        <v>100</v>
      </c>
      <c r="J97" s="8">
        <f t="shared" si="21"/>
        <v>1.488831723287413</v>
      </c>
      <c r="L97" s="8">
        <f t="shared" si="32"/>
        <v>1.449984067749423</v>
      </c>
      <c r="M97" s="5">
        <v>100</v>
      </c>
      <c r="N97" s="8">
        <f t="shared" si="22"/>
        <v>0.8134687076076307</v>
      </c>
      <c r="O97" s="5">
        <v>100</v>
      </c>
      <c r="P97" s="8">
        <f t="shared" si="22"/>
        <v>0.8214572809414296</v>
      </c>
      <c r="Q97" s="5">
        <v>100</v>
      </c>
      <c r="R97" s="8">
        <f t="shared" si="23"/>
        <v>0.8507609847356647</v>
      </c>
      <c r="S97" s="5"/>
      <c r="T97" s="8">
        <f t="shared" si="25"/>
        <v>0.8285623244282417</v>
      </c>
      <c r="U97" s="9">
        <f t="shared" si="26"/>
        <v>100.00000000000001</v>
      </c>
      <c r="V97" s="8">
        <f t="shared" si="27"/>
        <v>2.2370389459209847</v>
      </c>
      <c r="W97" s="9">
        <f t="shared" si="26"/>
        <v>99.99999999999999</v>
      </c>
      <c r="X97" s="8">
        <f t="shared" si="27"/>
        <v>2.2590075225889317</v>
      </c>
      <c r="Y97" s="9">
        <f t="shared" si="26"/>
        <v>99.99999999999999</v>
      </c>
      <c r="Z97" s="8">
        <f t="shared" si="27"/>
        <v>2.339592708023078</v>
      </c>
      <c r="AA97" s="9">
        <f t="shared" si="28"/>
        <v>100.00000000000001</v>
      </c>
      <c r="AB97" s="8">
        <f t="shared" si="29"/>
        <v>2.2785463921776645</v>
      </c>
      <c r="AC97" s="9">
        <f t="shared" si="30"/>
        <v>100.00000000000001</v>
      </c>
      <c r="AD97" s="8">
        <f t="shared" si="31"/>
        <v>2.2370389459209847</v>
      </c>
      <c r="AE97" s="9">
        <f t="shared" si="30"/>
        <v>99.99999999999999</v>
      </c>
      <c r="AF97" s="8">
        <f t="shared" si="31"/>
        <v>2.2590075225889317</v>
      </c>
      <c r="AG97" s="9">
        <f t="shared" si="30"/>
        <v>99.99999999999999</v>
      </c>
      <c r="AH97" s="8">
        <f t="shared" si="31"/>
        <v>2.339592708023078</v>
      </c>
      <c r="AI97" s="9">
        <f t="shared" si="30"/>
        <v>100.00000000000001</v>
      </c>
      <c r="AJ97" s="8">
        <f t="shared" si="31"/>
        <v>2.2785463921776645</v>
      </c>
    </row>
    <row r="98" spans="6:36" ht="12.75">
      <c r="F98" s="8"/>
      <c r="H98" s="8"/>
      <c r="J98" s="8"/>
      <c r="L98" s="8"/>
      <c r="M98" s="5"/>
      <c r="N98" s="8"/>
      <c r="O98" s="5"/>
      <c r="P98" s="8"/>
      <c r="Q98" s="5"/>
      <c r="R98" s="8"/>
      <c r="S98" s="5"/>
      <c r="T98" s="8"/>
      <c r="U98" s="8"/>
      <c r="V98" s="8"/>
      <c r="W98" s="8"/>
      <c r="X98" s="8"/>
      <c r="Y98" s="8"/>
      <c r="Z98" s="8"/>
      <c r="AA98" s="8"/>
      <c r="AB98" s="8"/>
      <c r="AC98" s="5"/>
      <c r="AD98" s="8"/>
      <c r="AE98" s="5"/>
      <c r="AF98" s="8"/>
      <c r="AG98" s="5"/>
      <c r="AH98" s="8"/>
      <c r="AI98" s="5"/>
      <c r="AJ98" s="8"/>
    </row>
    <row r="99" spans="2:36" ht="12.75">
      <c r="B99" s="3" t="s">
        <v>50</v>
      </c>
      <c r="D99" s="3" t="s">
        <v>47</v>
      </c>
      <c r="F99" s="8">
        <f>(F94+F92)</f>
        <v>22.37038945920985</v>
      </c>
      <c r="H99" s="8">
        <f>(H94+H92)</f>
        <v>22.59007522588931</v>
      </c>
      <c r="J99" s="8">
        <f>(J94+J92)</f>
        <v>23.395927080230773</v>
      </c>
      <c r="L99" s="8">
        <f>AVERAGE(F99,H99,J99)</f>
        <v>22.785463921776643</v>
      </c>
      <c r="M99" s="5"/>
      <c r="N99" s="8">
        <f>(N94+N92)</f>
        <v>14.913592972806565</v>
      </c>
      <c r="O99" s="5"/>
      <c r="P99" s="8">
        <f>(P94+P92)</f>
        <v>15.060050150592875</v>
      </c>
      <c r="Q99" s="5"/>
      <c r="R99" s="8">
        <f>(R94+R92)</f>
        <v>15.597284720153853</v>
      </c>
      <c r="S99" s="5"/>
      <c r="T99" s="8">
        <f>AVERAGE(N99,P99,R99)</f>
        <v>15.190309281184431</v>
      </c>
      <c r="U99" s="9">
        <f>(U94*V94+U92*V92)/V99</f>
        <v>100</v>
      </c>
      <c r="V99" s="8">
        <f>(V94+V92)</f>
        <v>37.283982432016415</v>
      </c>
      <c r="W99" s="9">
        <f>(W94*X94+W92*X92)/X99</f>
        <v>100</v>
      </c>
      <c r="X99" s="8">
        <f>(X94+X92)</f>
        <v>37.65012537648219</v>
      </c>
      <c r="Y99" s="9">
        <f>(Y94*Z94+Y92*Z92)/Z99</f>
        <v>100.00000000000001</v>
      </c>
      <c r="Z99" s="8">
        <f>(Z94+Z92)</f>
        <v>38.99321180038462</v>
      </c>
      <c r="AA99" s="9">
        <f>(AA94*AB94+AA92*AB92)/AB99</f>
        <v>100.00000000000001</v>
      </c>
      <c r="AB99" s="8">
        <f>L99+T99</f>
        <v>37.97577320296107</v>
      </c>
      <c r="AC99" s="9">
        <f t="shared" si="30"/>
        <v>100</v>
      </c>
      <c r="AD99" s="8">
        <f t="shared" si="31"/>
        <v>37.283982432016415</v>
      </c>
      <c r="AE99" s="9">
        <f t="shared" si="30"/>
        <v>100</v>
      </c>
      <c r="AF99" s="8">
        <f t="shared" si="31"/>
        <v>37.65012537648219</v>
      </c>
      <c r="AG99" s="9">
        <f t="shared" si="30"/>
        <v>100.00000000000001</v>
      </c>
      <c r="AH99" s="8">
        <f t="shared" si="31"/>
        <v>38.99321180038462</v>
      </c>
      <c r="AI99" s="9">
        <f t="shared" si="30"/>
        <v>100.00000000000001</v>
      </c>
      <c r="AJ99" s="8">
        <f t="shared" si="31"/>
        <v>37.97577320296107</v>
      </c>
    </row>
    <row r="100" spans="2:36" ht="12.75">
      <c r="B100" s="3" t="s">
        <v>51</v>
      </c>
      <c r="D100" s="3" t="s">
        <v>47</v>
      </c>
      <c r="F100" s="8">
        <f>(F89+F91+F93)</f>
        <v>8.812577665749334</v>
      </c>
      <c r="H100" s="8">
        <f>(H89+H91+H93)</f>
        <v>8.899120543532153</v>
      </c>
      <c r="J100" s="8">
        <f>(J89+J91+J93)</f>
        <v>9.216577334636368</v>
      </c>
      <c r="L100" s="8">
        <f>AVERAGE(F100,H100,J100)</f>
        <v>8.976091847972619</v>
      </c>
      <c r="M100" s="5"/>
      <c r="N100" s="8">
        <f>(N89+N91+N93)</f>
        <v>37.961873021689435</v>
      </c>
      <c r="O100" s="5"/>
      <c r="P100" s="8">
        <f>(P89+P91+P93)</f>
        <v>37.513215829658606</v>
      </c>
      <c r="Q100" s="5"/>
      <c r="R100" s="8">
        <f>(R89+R91+R93)</f>
        <v>39.70217928766436</v>
      </c>
      <c r="S100" s="5"/>
      <c r="T100" s="8">
        <f>AVERAGE(N100,P100,R100)</f>
        <v>38.39242271300413</v>
      </c>
      <c r="U100" s="9">
        <f>(U89*V89+U91*V91+U93*V93)/V100</f>
        <v>27.53623188405797</v>
      </c>
      <c r="V100" s="8">
        <f>(V89+V91+V93)</f>
        <v>46.77445068743877</v>
      </c>
      <c r="W100" s="9">
        <f>(W89*X89+W91*X91+W93*X93)/X100</f>
        <v>28.023598820059</v>
      </c>
      <c r="X100" s="8">
        <f>(X89+X91+X93)</f>
        <v>46.41233637319076</v>
      </c>
      <c r="Y100" s="9">
        <f>(Y89*Z89+Y91*Z91+Y93*Z93)/Z100</f>
        <v>27.53623188405797</v>
      </c>
      <c r="Z100" s="8">
        <f>(Z89+Z91+Z93)</f>
        <v>48.91875662230072</v>
      </c>
      <c r="AA100" s="9">
        <f>(AA89*AB89+AA91*AB91+AA93*AB93)/AB100</f>
        <v>27.695408208813614</v>
      </c>
      <c r="AB100" s="8">
        <f>L100+T100</f>
        <v>47.36851456097675</v>
      </c>
      <c r="AC100" s="9">
        <f t="shared" si="30"/>
        <v>27.53623188405797</v>
      </c>
      <c r="AD100" s="8">
        <f t="shared" si="31"/>
        <v>46.77445068743877</v>
      </c>
      <c r="AE100" s="9">
        <f t="shared" si="30"/>
        <v>28.023598820059</v>
      </c>
      <c r="AF100" s="8">
        <f t="shared" si="31"/>
        <v>46.41233637319076</v>
      </c>
      <c r="AG100" s="9">
        <f t="shared" si="30"/>
        <v>27.53623188405797</v>
      </c>
      <c r="AH100" s="8">
        <f t="shared" si="31"/>
        <v>48.91875662230072</v>
      </c>
      <c r="AI100" s="9">
        <f t="shared" si="30"/>
        <v>27.695408208813614</v>
      </c>
      <c r="AJ100" s="8">
        <f t="shared" si="31"/>
        <v>47.36851456097675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40" sqref="B40"/>
    </sheetView>
  </sheetViews>
  <sheetFormatPr defaultColWidth="9.140625" defaultRowHeight="12.75"/>
  <cols>
    <col min="1" max="1" width="25.00390625" style="16" bestFit="1" customWidth="1"/>
    <col min="2" max="16384" width="9.140625" style="16" customWidth="1"/>
  </cols>
  <sheetData>
    <row r="1" ht="12.75">
      <c r="A1" s="15" t="s">
        <v>40</v>
      </c>
    </row>
    <row r="2" ht="12.75">
      <c r="C2" s="16" t="s">
        <v>28</v>
      </c>
    </row>
    <row r="3" ht="12.75">
      <c r="A3" s="15" t="s">
        <v>111</v>
      </c>
    </row>
    <row r="4" ht="12.75">
      <c r="A4" s="15"/>
    </row>
    <row r="5" spans="1:3" ht="12.75">
      <c r="A5" s="16" t="s">
        <v>122</v>
      </c>
      <c r="B5" s="16" t="s">
        <v>61</v>
      </c>
      <c r="C5" s="16">
        <v>292.03</v>
      </c>
    </row>
    <row r="6" spans="1:2" ht="12.75">
      <c r="A6" s="16" t="s">
        <v>123</v>
      </c>
      <c r="B6" s="16" t="s">
        <v>27</v>
      </c>
    </row>
    <row r="8" ht="12.75">
      <c r="A8" s="15" t="s">
        <v>112</v>
      </c>
    </row>
    <row r="10" spans="1:3" ht="12.75">
      <c r="A10" s="16" t="s">
        <v>122</v>
      </c>
      <c r="B10" s="16" t="s">
        <v>61</v>
      </c>
      <c r="C10" s="27">
        <f>AVERAGE(165.82,166.78,167.33)</f>
        <v>166.64333333333335</v>
      </c>
    </row>
    <row r="11" spans="1:3" ht="12.75">
      <c r="A11" s="16" t="s">
        <v>123</v>
      </c>
      <c r="B11" s="16" t="s">
        <v>27</v>
      </c>
      <c r="C11" s="16">
        <v>556</v>
      </c>
    </row>
    <row r="13" ht="12.75">
      <c r="A13" s="15" t="s">
        <v>113</v>
      </c>
    </row>
    <row r="15" spans="1:3" ht="12.75">
      <c r="A15" s="16" t="s">
        <v>122</v>
      </c>
      <c r="B15" s="16" t="s">
        <v>61</v>
      </c>
      <c r="C15" s="16">
        <v>253.25</v>
      </c>
    </row>
    <row r="16" spans="1:3" ht="12.75">
      <c r="A16" s="16" t="s">
        <v>123</v>
      </c>
      <c r="B16" s="16" t="s">
        <v>27</v>
      </c>
      <c r="C16" s="16">
        <v>628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E1" sqref="E1"/>
    </sheetView>
  </sheetViews>
  <sheetFormatPr defaultColWidth="9.140625" defaultRowHeight="12.75"/>
  <cols>
    <col min="1" max="1" width="1.7109375" style="31" customWidth="1"/>
    <col min="2" max="2" width="25.8515625" style="31" customWidth="1"/>
    <col min="3" max="3" width="7.8515625" style="31" customWidth="1"/>
    <col min="4" max="4" width="5.57421875" style="32" customWidth="1"/>
    <col min="5" max="5" width="7.421875" style="33" customWidth="1"/>
    <col min="6" max="6" width="8.140625" style="34" customWidth="1"/>
    <col min="7" max="7" width="7.8515625" style="33" customWidth="1"/>
    <col min="8" max="8" width="8.140625" style="34" customWidth="1"/>
    <col min="9" max="9" width="5.28125" style="35" customWidth="1"/>
    <col min="10" max="10" width="7.00390625" style="33" customWidth="1"/>
    <col min="11" max="11" width="8.7109375" style="33" customWidth="1"/>
    <col min="12" max="12" width="7.8515625" style="33" customWidth="1"/>
    <col min="13" max="13" width="8.7109375" style="33" customWidth="1"/>
    <col min="14" max="14" width="5.140625" style="35" customWidth="1"/>
    <col min="15" max="15" width="7.8515625" style="33" customWidth="1"/>
    <col min="16" max="16" width="8.00390625" style="33" customWidth="1"/>
    <col min="17" max="17" width="8.7109375" style="33" customWidth="1"/>
    <col min="18" max="18" width="8.00390625" style="33" customWidth="1"/>
    <col min="19" max="19" width="7.7109375" style="31" customWidth="1"/>
    <col min="20" max="20" width="7.8515625" style="31" customWidth="1"/>
    <col min="21" max="21" width="7.7109375" style="31" customWidth="1"/>
    <col min="22" max="22" width="7.00390625" style="31" customWidth="1"/>
    <col min="23" max="23" width="7.421875" style="31" customWidth="1"/>
    <col min="24" max="16384" width="10.8515625" style="31" customWidth="1"/>
  </cols>
  <sheetData>
    <row r="1" ht="12.75">
      <c r="A1" s="30" t="s">
        <v>125</v>
      </c>
    </row>
    <row r="2" ht="12.75">
      <c r="A2" s="31" t="s">
        <v>212</v>
      </c>
    </row>
    <row r="3" spans="1:3" ht="12.75">
      <c r="A3" s="31" t="s">
        <v>205</v>
      </c>
      <c r="C3" s="55" t="s">
        <v>55</v>
      </c>
    </row>
    <row r="4" spans="1:18" ht="12.75">
      <c r="A4" s="31" t="s">
        <v>206</v>
      </c>
      <c r="C4" s="55" t="s">
        <v>113</v>
      </c>
      <c r="E4" s="36"/>
      <c r="F4" s="37"/>
      <c r="G4" s="36"/>
      <c r="H4" s="37"/>
      <c r="J4" s="36"/>
      <c r="K4" s="36"/>
      <c r="L4" s="36"/>
      <c r="M4" s="36"/>
      <c r="O4" s="36"/>
      <c r="P4" s="36"/>
      <c r="Q4" s="36"/>
      <c r="R4" s="36"/>
    </row>
    <row r="5" spans="1:3" ht="12.75">
      <c r="A5" s="31" t="s">
        <v>207</v>
      </c>
      <c r="C5" s="55" t="s">
        <v>208</v>
      </c>
    </row>
    <row r="6" spans="5:17" ht="12.75">
      <c r="E6" s="35"/>
      <c r="G6" s="35"/>
      <c r="J6" s="35"/>
      <c r="L6" s="35"/>
      <c r="O6" s="35"/>
      <c r="Q6" s="35"/>
    </row>
    <row r="7" spans="2:18" ht="12.75">
      <c r="B7" s="7" t="s">
        <v>113</v>
      </c>
      <c r="C7" s="32" t="s">
        <v>63</v>
      </c>
      <c r="E7" s="38" t="s">
        <v>64</v>
      </c>
      <c r="F7" s="38"/>
      <c r="G7" s="38"/>
      <c r="H7" s="38"/>
      <c r="I7" s="39"/>
      <c r="J7" s="38" t="s">
        <v>65</v>
      </c>
      <c r="K7" s="38"/>
      <c r="L7" s="38"/>
      <c r="M7" s="38"/>
      <c r="N7" s="39"/>
      <c r="O7" s="38" t="s">
        <v>66</v>
      </c>
      <c r="P7" s="38"/>
      <c r="Q7" s="38"/>
      <c r="R7" s="38"/>
    </row>
    <row r="8" spans="3:18" ht="12.75">
      <c r="C8" s="32" t="s">
        <v>67</v>
      </c>
      <c r="E8" s="35" t="s">
        <v>68</v>
      </c>
      <c r="F8" s="37" t="s">
        <v>69</v>
      </c>
      <c r="G8" s="35" t="s">
        <v>68</v>
      </c>
      <c r="H8" s="37" t="s">
        <v>69</v>
      </c>
      <c r="J8" s="35" t="s">
        <v>68</v>
      </c>
      <c r="K8" s="35" t="s">
        <v>70</v>
      </c>
      <c r="L8" s="35" t="s">
        <v>68</v>
      </c>
      <c r="M8" s="35" t="s">
        <v>70</v>
      </c>
      <c r="O8" s="35" t="s">
        <v>68</v>
      </c>
      <c r="P8" s="35" t="s">
        <v>70</v>
      </c>
      <c r="Q8" s="35" t="s">
        <v>68</v>
      </c>
      <c r="R8" s="35" t="s">
        <v>70</v>
      </c>
    </row>
    <row r="9" spans="3:18" ht="12.75">
      <c r="C9" s="32"/>
      <c r="E9" s="57" t="s">
        <v>210</v>
      </c>
      <c r="F9" s="57" t="s">
        <v>210</v>
      </c>
      <c r="G9" s="35" t="s">
        <v>124</v>
      </c>
      <c r="H9" s="37" t="s">
        <v>124</v>
      </c>
      <c r="J9" s="57" t="s">
        <v>210</v>
      </c>
      <c r="K9" s="57" t="s">
        <v>210</v>
      </c>
      <c r="L9" s="35" t="s">
        <v>124</v>
      </c>
      <c r="M9" s="37" t="s">
        <v>124</v>
      </c>
      <c r="O9" s="57" t="s">
        <v>210</v>
      </c>
      <c r="P9" s="57" t="s">
        <v>210</v>
      </c>
      <c r="Q9" s="35" t="s">
        <v>124</v>
      </c>
      <c r="R9" s="37" t="s">
        <v>124</v>
      </c>
    </row>
    <row r="10" ht="13.5" customHeight="1">
      <c r="A10" s="31" t="s">
        <v>71</v>
      </c>
    </row>
    <row r="11" spans="2:18" ht="12.75">
      <c r="B11" s="31" t="s">
        <v>72</v>
      </c>
      <c r="C11" s="32">
        <v>1</v>
      </c>
      <c r="E11" s="34">
        <v>0.013</v>
      </c>
      <c r="F11" s="34">
        <f>IF(E11="","",E11*$C11)</f>
        <v>0.013</v>
      </c>
      <c r="G11" s="34">
        <f>IF(E11=0,"",IF(D11="nd",E11/2,E11))</f>
        <v>0.013</v>
      </c>
      <c r="H11" s="34">
        <f>IF(G11="","",G11*$C11)</f>
        <v>0.013</v>
      </c>
      <c r="I11" s="37"/>
      <c r="J11" s="32">
        <v>0.013</v>
      </c>
      <c r="K11" s="34">
        <f>IF(J11="","",J11*$C11)</f>
        <v>0.013</v>
      </c>
      <c r="L11" s="34">
        <f>IF(J11=0,"",IF(I11="nd",J11/2,J11))</f>
        <v>0.013</v>
      </c>
      <c r="M11" s="34">
        <f>IF(L11="","",L11*$C11)</f>
        <v>0.013</v>
      </c>
      <c r="N11" s="37"/>
      <c r="O11" s="40">
        <v>0.015</v>
      </c>
      <c r="P11" s="34">
        <f>IF(O11="","",O11*$C11)</f>
        <v>0.015</v>
      </c>
      <c r="Q11" s="34">
        <f>IF(O11=0,"",IF(N11="nd",O11/2,O11))</f>
        <v>0.015</v>
      </c>
      <c r="R11" s="34">
        <f>IF(Q11="","",Q11*$C11)</f>
        <v>0.015</v>
      </c>
    </row>
    <row r="12" spans="2:18" ht="12.75">
      <c r="B12" s="31" t="s">
        <v>73</v>
      </c>
      <c r="C12" s="32">
        <v>0</v>
      </c>
      <c r="E12" s="34">
        <f>E11</f>
        <v>0.013</v>
      </c>
      <c r="F12" s="34">
        <f>IF(E12="","",E12*$C12)</f>
        <v>0</v>
      </c>
      <c r="G12" s="34">
        <f aca="true" t="shared" si="0" ref="G12:G35">IF(E12=0,"",IF(D12="nd",E12/2,E12))</f>
        <v>0.013</v>
      </c>
      <c r="H12" s="34">
        <f>IF(G12="","",G12*$C12)</f>
        <v>0</v>
      </c>
      <c r="I12" s="37"/>
      <c r="J12" s="32">
        <f>J11</f>
        <v>0.013</v>
      </c>
      <c r="K12" s="34">
        <f>IF(J12="","",J12*$C12)</f>
        <v>0</v>
      </c>
      <c r="L12" s="34">
        <f aca="true" t="shared" si="1" ref="L12:L35">IF(J12=0,"",IF(I12="nd",J12/2,J12))</f>
        <v>0.013</v>
      </c>
      <c r="M12" s="34">
        <f>IF(L12="","",L12*$C12)</f>
        <v>0</v>
      </c>
      <c r="N12" s="37"/>
      <c r="O12" s="40">
        <f>O11</f>
        <v>0.015</v>
      </c>
      <c r="P12" s="34">
        <f>IF(O12="","",O12*$C12)</f>
        <v>0</v>
      </c>
      <c r="Q12" s="34">
        <f aca="true" t="shared" si="2" ref="Q12:Q35">IF(O12=0,"",IF(N12="nd",O12/2,O12))</f>
        <v>0.015</v>
      </c>
      <c r="R12" s="34">
        <f>IF(Q12="","",Q12*$C12)</f>
        <v>0</v>
      </c>
    </row>
    <row r="13" spans="2:18" ht="12.75">
      <c r="B13" s="31" t="s">
        <v>74</v>
      </c>
      <c r="C13" s="32">
        <v>0.5</v>
      </c>
      <c r="D13" s="32" t="s">
        <v>32</v>
      </c>
      <c r="E13" s="34">
        <f>0.003</f>
        <v>0.003</v>
      </c>
      <c r="F13" s="34">
        <f aca="true" t="shared" si="3" ref="F13:H35">IF(E13="","",E13*$C13)</f>
        <v>0.0015</v>
      </c>
      <c r="G13" s="34">
        <f t="shared" si="0"/>
        <v>0.0015</v>
      </c>
      <c r="H13" s="34">
        <f t="shared" si="3"/>
        <v>0.00075</v>
      </c>
      <c r="I13" s="37" t="s">
        <v>32</v>
      </c>
      <c r="J13" s="32">
        <f>0.0025</f>
        <v>0.0025</v>
      </c>
      <c r="K13" s="34">
        <f aca="true" t="shared" si="4" ref="K13:M28">IF(J13="","",J13*$C13)</f>
        <v>0.00125</v>
      </c>
      <c r="L13" s="34">
        <f t="shared" si="1"/>
        <v>0.00125</v>
      </c>
      <c r="M13" s="34">
        <f t="shared" si="4"/>
        <v>0.000625</v>
      </c>
      <c r="N13" s="37" t="s">
        <v>32</v>
      </c>
      <c r="O13" s="40">
        <f>0.0027</f>
        <v>0.0027</v>
      </c>
      <c r="P13" s="34">
        <f aca="true" t="shared" si="5" ref="P13:R28">IF(O13="","",O13*$C13)</f>
        <v>0.00135</v>
      </c>
      <c r="Q13" s="34">
        <f t="shared" si="2"/>
        <v>0.00135</v>
      </c>
      <c r="R13" s="34">
        <f t="shared" si="5"/>
        <v>0.000675</v>
      </c>
    </row>
    <row r="14" spans="2:18" ht="12.75">
      <c r="B14" s="31" t="s">
        <v>75</v>
      </c>
      <c r="C14" s="32">
        <v>0</v>
      </c>
      <c r="D14" s="32" t="s">
        <v>32</v>
      </c>
      <c r="E14" s="34">
        <f>E13</f>
        <v>0.003</v>
      </c>
      <c r="F14" s="34">
        <f t="shared" si="3"/>
        <v>0</v>
      </c>
      <c r="G14" s="34">
        <f t="shared" si="0"/>
        <v>0.0015</v>
      </c>
      <c r="H14" s="34">
        <f t="shared" si="3"/>
        <v>0</v>
      </c>
      <c r="I14" s="37" t="s">
        <v>32</v>
      </c>
      <c r="J14" s="32">
        <f>J13</f>
        <v>0.0025</v>
      </c>
      <c r="K14" s="34">
        <f t="shared" si="4"/>
        <v>0</v>
      </c>
      <c r="L14" s="34">
        <f t="shared" si="1"/>
        <v>0.00125</v>
      </c>
      <c r="M14" s="34">
        <f t="shared" si="4"/>
        <v>0</v>
      </c>
      <c r="N14" s="37" t="s">
        <v>32</v>
      </c>
      <c r="O14" s="40">
        <f>O13</f>
        <v>0.0027</v>
      </c>
      <c r="P14" s="34">
        <f t="shared" si="5"/>
        <v>0</v>
      </c>
      <c r="Q14" s="34">
        <f t="shared" si="2"/>
        <v>0.00135</v>
      </c>
      <c r="R14" s="34">
        <f t="shared" si="5"/>
        <v>0</v>
      </c>
    </row>
    <row r="15" spans="2:18" ht="12.75">
      <c r="B15" s="31" t="s">
        <v>76</v>
      </c>
      <c r="C15" s="32">
        <v>0.1</v>
      </c>
      <c r="D15" s="32" t="s">
        <v>32</v>
      </c>
      <c r="E15" s="34">
        <f>0.0031</f>
        <v>0.0031</v>
      </c>
      <c r="F15" s="34">
        <f t="shared" si="3"/>
        <v>0.00031</v>
      </c>
      <c r="G15" s="34">
        <f t="shared" si="0"/>
        <v>0.00155</v>
      </c>
      <c r="H15" s="34">
        <f t="shared" si="3"/>
        <v>0.000155</v>
      </c>
      <c r="I15" s="37" t="s">
        <v>32</v>
      </c>
      <c r="J15" s="32">
        <f>0.0049</f>
        <v>0.0049</v>
      </c>
      <c r="K15" s="34">
        <f t="shared" si="4"/>
        <v>0.00049</v>
      </c>
      <c r="L15" s="34">
        <f t="shared" si="1"/>
        <v>0.00245</v>
      </c>
      <c r="M15" s="34">
        <f t="shared" si="4"/>
        <v>0.000245</v>
      </c>
      <c r="N15" s="37" t="s">
        <v>32</v>
      </c>
      <c r="O15" s="40">
        <f>0.0039</f>
        <v>0.0039</v>
      </c>
      <c r="P15" s="34">
        <f t="shared" si="5"/>
        <v>0.00039</v>
      </c>
      <c r="Q15" s="34">
        <f t="shared" si="2"/>
        <v>0.00195</v>
      </c>
      <c r="R15" s="34">
        <f t="shared" si="5"/>
        <v>0.000195</v>
      </c>
    </row>
    <row r="16" spans="2:18" ht="12.75">
      <c r="B16" s="31" t="s">
        <v>77</v>
      </c>
      <c r="C16" s="32">
        <v>0.1</v>
      </c>
      <c r="D16" s="32" t="s">
        <v>32</v>
      </c>
      <c r="E16" s="34">
        <f>0.0026</f>
        <v>0.0026</v>
      </c>
      <c r="F16" s="34">
        <f t="shared" si="3"/>
        <v>0.00026</v>
      </c>
      <c r="G16" s="34">
        <f t="shared" si="0"/>
        <v>0.0013</v>
      </c>
      <c r="H16" s="34">
        <f t="shared" si="3"/>
        <v>0.00013</v>
      </c>
      <c r="I16" s="37" t="s">
        <v>32</v>
      </c>
      <c r="J16" s="32">
        <f>0.0042</f>
        <v>0.0042</v>
      </c>
      <c r="K16" s="34">
        <f t="shared" si="4"/>
        <v>0.00042</v>
      </c>
      <c r="L16" s="34">
        <f t="shared" si="1"/>
        <v>0.0021</v>
      </c>
      <c r="M16" s="34">
        <f t="shared" si="4"/>
        <v>0.00021</v>
      </c>
      <c r="N16" s="37" t="s">
        <v>32</v>
      </c>
      <c r="O16" s="40">
        <f>0.0033</f>
        <v>0.0033</v>
      </c>
      <c r="P16" s="34">
        <f t="shared" si="5"/>
        <v>0.00033</v>
      </c>
      <c r="Q16" s="34">
        <f t="shared" si="2"/>
        <v>0.00165</v>
      </c>
      <c r="R16" s="34">
        <f t="shared" si="5"/>
        <v>0.000165</v>
      </c>
    </row>
    <row r="17" spans="2:18" ht="12.75">
      <c r="B17" s="31" t="s">
        <v>78</v>
      </c>
      <c r="C17" s="32">
        <v>0.1</v>
      </c>
      <c r="D17" s="32" t="s">
        <v>32</v>
      </c>
      <c r="E17" s="34">
        <f>0.0028</f>
        <v>0.0028</v>
      </c>
      <c r="F17" s="34">
        <f t="shared" si="3"/>
        <v>0.00028000000000000003</v>
      </c>
      <c r="G17" s="34">
        <f t="shared" si="0"/>
        <v>0.0014</v>
      </c>
      <c r="H17" s="34">
        <f t="shared" si="3"/>
        <v>0.00014000000000000001</v>
      </c>
      <c r="I17" s="37" t="s">
        <v>32</v>
      </c>
      <c r="J17" s="32">
        <f>0.0045</f>
        <v>0.0045</v>
      </c>
      <c r="K17" s="34">
        <f t="shared" si="4"/>
        <v>0.00045</v>
      </c>
      <c r="L17" s="34">
        <f t="shared" si="1"/>
        <v>0.00225</v>
      </c>
      <c r="M17" s="34">
        <f t="shared" si="4"/>
        <v>0.000225</v>
      </c>
      <c r="N17" s="37" t="s">
        <v>32</v>
      </c>
      <c r="O17" s="40">
        <f>0.0036</f>
        <v>0.0036</v>
      </c>
      <c r="P17" s="34">
        <f t="shared" si="5"/>
        <v>0.00036</v>
      </c>
      <c r="Q17" s="34">
        <f t="shared" si="2"/>
        <v>0.0018</v>
      </c>
      <c r="R17" s="34">
        <f t="shared" si="5"/>
        <v>0.00018</v>
      </c>
    </row>
    <row r="18" spans="2:18" ht="12.75">
      <c r="B18" s="31" t="s">
        <v>79</v>
      </c>
      <c r="C18" s="32">
        <v>0</v>
      </c>
      <c r="D18" s="32" t="s">
        <v>32</v>
      </c>
      <c r="E18" s="34">
        <f>SUM(E15:E17)</f>
        <v>0.0085</v>
      </c>
      <c r="F18" s="34">
        <f t="shared" si="3"/>
        <v>0</v>
      </c>
      <c r="G18" s="34">
        <f t="shared" si="0"/>
        <v>0.00425</v>
      </c>
      <c r="H18" s="34">
        <f t="shared" si="3"/>
        <v>0</v>
      </c>
      <c r="I18" s="37" t="s">
        <v>32</v>
      </c>
      <c r="J18" s="32">
        <f>SUM(J15:J17)</f>
        <v>0.013600000000000001</v>
      </c>
      <c r="K18" s="34">
        <f t="shared" si="4"/>
        <v>0</v>
      </c>
      <c r="L18" s="34">
        <f t="shared" si="1"/>
        <v>0.0068000000000000005</v>
      </c>
      <c r="M18" s="34">
        <f t="shared" si="4"/>
        <v>0</v>
      </c>
      <c r="N18" s="37" t="s">
        <v>32</v>
      </c>
      <c r="O18" s="40">
        <f>SUM(O15:O17)</f>
        <v>0.0108</v>
      </c>
      <c r="P18" s="34">
        <f t="shared" si="5"/>
        <v>0</v>
      </c>
      <c r="Q18" s="34">
        <f t="shared" si="2"/>
        <v>0.0054</v>
      </c>
      <c r="R18" s="34">
        <f t="shared" si="5"/>
        <v>0</v>
      </c>
    </row>
    <row r="19" spans="2:18" ht="12.75">
      <c r="B19" s="31" t="s">
        <v>80</v>
      </c>
      <c r="C19" s="32">
        <v>0.01</v>
      </c>
      <c r="E19" s="34">
        <v>0.011</v>
      </c>
      <c r="F19" s="34">
        <f t="shared" si="3"/>
        <v>0.00010999999999999999</v>
      </c>
      <c r="G19" s="34">
        <f t="shared" si="0"/>
        <v>0.011</v>
      </c>
      <c r="H19" s="34">
        <f t="shared" si="3"/>
        <v>0.00010999999999999999</v>
      </c>
      <c r="I19" s="37"/>
      <c r="J19" s="32">
        <v>0.01</v>
      </c>
      <c r="K19" s="34">
        <f t="shared" si="4"/>
        <v>0.0001</v>
      </c>
      <c r="L19" s="34">
        <f t="shared" si="1"/>
        <v>0.01</v>
      </c>
      <c r="M19" s="34">
        <f t="shared" si="4"/>
        <v>0.0001</v>
      </c>
      <c r="N19" s="37"/>
      <c r="O19" s="40">
        <v>0.0092</v>
      </c>
      <c r="P19" s="34">
        <f t="shared" si="5"/>
        <v>9.2E-05</v>
      </c>
      <c r="Q19" s="34">
        <f t="shared" si="2"/>
        <v>0.0092</v>
      </c>
      <c r="R19" s="34">
        <f t="shared" si="5"/>
        <v>9.2E-05</v>
      </c>
    </row>
    <row r="20" spans="2:18" ht="12.75">
      <c r="B20" s="31" t="s">
        <v>81</v>
      </c>
      <c r="C20" s="32">
        <v>0</v>
      </c>
      <c r="E20" s="34">
        <f>E19</f>
        <v>0.011</v>
      </c>
      <c r="F20" s="34">
        <f t="shared" si="3"/>
        <v>0</v>
      </c>
      <c r="G20" s="34">
        <f t="shared" si="0"/>
        <v>0.011</v>
      </c>
      <c r="H20" s="34">
        <f t="shared" si="3"/>
        <v>0</v>
      </c>
      <c r="I20" s="37"/>
      <c r="J20" s="32">
        <f>J19</f>
        <v>0.01</v>
      </c>
      <c r="K20" s="34">
        <f t="shared" si="4"/>
        <v>0</v>
      </c>
      <c r="L20" s="34">
        <f t="shared" si="1"/>
        <v>0.01</v>
      </c>
      <c r="M20" s="34">
        <f t="shared" si="4"/>
        <v>0</v>
      </c>
      <c r="N20" s="37"/>
      <c r="O20" s="40">
        <f>O19</f>
        <v>0.0092</v>
      </c>
      <c r="P20" s="34">
        <f t="shared" si="5"/>
        <v>0</v>
      </c>
      <c r="Q20" s="34">
        <f t="shared" si="2"/>
        <v>0.0092</v>
      </c>
      <c r="R20" s="34">
        <f t="shared" si="5"/>
        <v>0</v>
      </c>
    </row>
    <row r="21" spans="2:18" ht="12.75">
      <c r="B21" s="31" t="s">
        <v>82</v>
      </c>
      <c r="C21" s="32">
        <v>0.001</v>
      </c>
      <c r="E21" s="34">
        <v>0.032</v>
      </c>
      <c r="F21" s="34">
        <f t="shared" si="3"/>
        <v>3.2E-05</v>
      </c>
      <c r="G21" s="34">
        <f t="shared" si="0"/>
        <v>0.032</v>
      </c>
      <c r="H21" s="34">
        <f t="shared" si="3"/>
        <v>3.2E-05</v>
      </c>
      <c r="I21" s="37"/>
      <c r="J21" s="32">
        <v>0.027</v>
      </c>
      <c r="K21" s="34">
        <f t="shared" si="4"/>
        <v>2.7E-05</v>
      </c>
      <c r="L21" s="34">
        <f t="shared" si="1"/>
        <v>0.027</v>
      </c>
      <c r="M21" s="34">
        <f t="shared" si="4"/>
        <v>2.7E-05</v>
      </c>
      <c r="N21" s="37"/>
      <c r="O21" s="40">
        <v>0.029</v>
      </c>
      <c r="P21" s="34">
        <f t="shared" si="5"/>
        <v>2.9000000000000004E-05</v>
      </c>
      <c r="Q21" s="34">
        <f t="shared" si="2"/>
        <v>0.029</v>
      </c>
      <c r="R21" s="34">
        <f t="shared" si="5"/>
        <v>2.9000000000000004E-05</v>
      </c>
    </row>
    <row r="22" spans="2:18" ht="12.75">
      <c r="B22" s="31" t="s">
        <v>83</v>
      </c>
      <c r="C22" s="32">
        <v>0.1</v>
      </c>
      <c r="E22" s="34">
        <v>0.0045</v>
      </c>
      <c r="F22" s="34">
        <f t="shared" si="3"/>
        <v>0.00045</v>
      </c>
      <c r="G22" s="34">
        <f t="shared" si="0"/>
        <v>0.0045</v>
      </c>
      <c r="H22" s="34">
        <f t="shared" si="3"/>
        <v>0.00045</v>
      </c>
      <c r="I22" s="37"/>
      <c r="J22" s="32">
        <v>0.0055</v>
      </c>
      <c r="K22" s="34">
        <f t="shared" si="4"/>
        <v>0.00055</v>
      </c>
      <c r="L22" s="34">
        <f t="shared" si="1"/>
        <v>0.0055</v>
      </c>
      <c r="M22" s="34">
        <f t="shared" si="4"/>
        <v>0.00055</v>
      </c>
      <c r="N22" s="37"/>
      <c r="O22" s="40">
        <v>0.0057</v>
      </c>
      <c r="P22" s="34">
        <f t="shared" si="5"/>
        <v>0.0005700000000000001</v>
      </c>
      <c r="Q22" s="34">
        <f t="shared" si="2"/>
        <v>0.0057</v>
      </c>
      <c r="R22" s="34">
        <f t="shared" si="5"/>
        <v>0.0005700000000000001</v>
      </c>
    </row>
    <row r="23" spans="2:18" ht="12.75">
      <c r="B23" s="31" t="s">
        <v>84</v>
      </c>
      <c r="C23" s="32">
        <v>0</v>
      </c>
      <c r="E23" s="34">
        <f>E22</f>
        <v>0.0045</v>
      </c>
      <c r="F23" s="34">
        <f t="shared" si="3"/>
        <v>0</v>
      </c>
      <c r="G23" s="34">
        <f t="shared" si="0"/>
        <v>0.0045</v>
      </c>
      <c r="H23" s="34">
        <f t="shared" si="3"/>
        <v>0</v>
      </c>
      <c r="I23" s="37"/>
      <c r="J23" s="32">
        <f>J22</f>
        <v>0.0055</v>
      </c>
      <c r="K23" s="34">
        <f t="shared" si="4"/>
        <v>0</v>
      </c>
      <c r="L23" s="34">
        <f t="shared" si="1"/>
        <v>0.0055</v>
      </c>
      <c r="M23" s="34">
        <f t="shared" si="4"/>
        <v>0</v>
      </c>
      <c r="N23" s="37"/>
      <c r="O23" s="40">
        <f>O22</f>
        <v>0.0057</v>
      </c>
      <c r="P23" s="34">
        <f t="shared" si="5"/>
        <v>0</v>
      </c>
      <c r="Q23" s="34">
        <f t="shared" si="2"/>
        <v>0.0057</v>
      </c>
      <c r="R23" s="34">
        <f t="shared" si="5"/>
        <v>0</v>
      </c>
    </row>
    <row r="24" spans="2:18" ht="12.75">
      <c r="B24" s="31" t="s">
        <v>85</v>
      </c>
      <c r="C24" s="32">
        <v>0.05</v>
      </c>
      <c r="D24" s="32" t="s">
        <v>32</v>
      </c>
      <c r="E24" s="34">
        <f>0.0026</f>
        <v>0.0026</v>
      </c>
      <c r="F24" s="34">
        <f t="shared" si="3"/>
        <v>0.00013</v>
      </c>
      <c r="G24" s="34">
        <f t="shared" si="0"/>
        <v>0.0013</v>
      </c>
      <c r="H24" s="34">
        <f t="shared" si="3"/>
        <v>6.5E-05</v>
      </c>
      <c r="I24" s="37" t="s">
        <v>32</v>
      </c>
      <c r="J24" s="32">
        <f>0.0027</f>
        <v>0.0027</v>
      </c>
      <c r="K24" s="34">
        <f t="shared" si="4"/>
        <v>0.000135</v>
      </c>
      <c r="L24" s="34">
        <f t="shared" si="1"/>
        <v>0.00135</v>
      </c>
      <c r="M24" s="34">
        <f t="shared" si="4"/>
        <v>6.75E-05</v>
      </c>
      <c r="N24" s="37"/>
      <c r="O24" s="40">
        <v>0.0016</v>
      </c>
      <c r="P24" s="34">
        <f t="shared" si="5"/>
        <v>8E-05</v>
      </c>
      <c r="Q24" s="34">
        <f t="shared" si="2"/>
        <v>0.0016</v>
      </c>
      <c r="R24" s="34">
        <f t="shared" si="5"/>
        <v>8E-05</v>
      </c>
    </row>
    <row r="25" spans="2:18" ht="12.75">
      <c r="B25" s="31" t="s">
        <v>86</v>
      </c>
      <c r="C25" s="32">
        <v>0.5</v>
      </c>
      <c r="E25" s="34">
        <v>0.0034</v>
      </c>
      <c r="F25" s="34">
        <f t="shared" si="3"/>
        <v>0.0017</v>
      </c>
      <c r="G25" s="34">
        <f t="shared" si="0"/>
        <v>0.0034</v>
      </c>
      <c r="H25" s="34">
        <f t="shared" si="3"/>
        <v>0.0017</v>
      </c>
      <c r="I25" s="37"/>
      <c r="J25" s="32">
        <v>0.0029</v>
      </c>
      <c r="K25" s="34">
        <f t="shared" si="4"/>
        <v>0.00145</v>
      </c>
      <c r="L25" s="34">
        <f t="shared" si="1"/>
        <v>0.0029</v>
      </c>
      <c r="M25" s="34">
        <f t="shared" si="4"/>
        <v>0.00145</v>
      </c>
      <c r="N25" s="37" t="s">
        <v>32</v>
      </c>
      <c r="O25" s="40">
        <f>0.0025</f>
        <v>0.0025</v>
      </c>
      <c r="P25" s="34">
        <f t="shared" si="5"/>
        <v>0.00125</v>
      </c>
      <c r="Q25" s="34">
        <f t="shared" si="2"/>
        <v>0.00125</v>
      </c>
      <c r="R25" s="34">
        <f t="shared" si="5"/>
        <v>0.000625</v>
      </c>
    </row>
    <row r="26" spans="2:18" ht="12.75">
      <c r="B26" s="31" t="s">
        <v>87</v>
      </c>
      <c r="C26" s="32">
        <v>0</v>
      </c>
      <c r="D26" s="32" t="s">
        <v>32</v>
      </c>
      <c r="E26" s="34">
        <f>SUM(E24:E25)</f>
        <v>0.006</v>
      </c>
      <c r="F26" s="34">
        <f t="shared" si="3"/>
        <v>0</v>
      </c>
      <c r="G26" s="34">
        <f t="shared" si="0"/>
        <v>0.003</v>
      </c>
      <c r="H26" s="34">
        <f t="shared" si="3"/>
        <v>0</v>
      </c>
      <c r="I26" s="37" t="s">
        <v>32</v>
      </c>
      <c r="J26" s="32">
        <f>SUM(J24:J25)</f>
        <v>0.0056</v>
      </c>
      <c r="K26" s="34">
        <f t="shared" si="4"/>
        <v>0</v>
      </c>
      <c r="L26" s="34">
        <f t="shared" si="1"/>
        <v>0.0028</v>
      </c>
      <c r="M26" s="34">
        <f t="shared" si="4"/>
        <v>0</v>
      </c>
      <c r="N26" s="37" t="s">
        <v>32</v>
      </c>
      <c r="O26" s="40">
        <f>SUM(O24:O25)</f>
        <v>0.0041</v>
      </c>
      <c r="P26" s="34">
        <f t="shared" si="5"/>
        <v>0</v>
      </c>
      <c r="Q26" s="34">
        <f t="shared" si="2"/>
        <v>0.00205</v>
      </c>
      <c r="R26" s="34">
        <f t="shared" si="5"/>
        <v>0</v>
      </c>
    </row>
    <row r="27" spans="2:18" ht="12.75">
      <c r="B27" s="31" t="s">
        <v>88</v>
      </c>
      <c r="C27" s="32">
        <v>0.1</v>
      </c>
      <c r="E27" s="34">
        <v>0.0079</v>
      </c>
      <c r="F27" s="34">
        <f t="shared" si="3"/>
        <v>0.0007900000000000001</v>
      </c>
      <c r="G27" s="34">
        <f t="shared" si="0"/>
        <v>0.0079</v>
      </c>
      <c r="H27" s="34">
        <f t="shared" si="3"/>
        <v>0.0007900000000000001</v>
      </c>
      <c r="I27" s="37"/>
      <c r="J27" s="32">
        <v>0.0077</v>
      </c>
      <c r="K27" s="34">
        <f t="shared" si="4"/>
        <v>0.0007700000000000001</v>
      </c>
      <c r="L27" s="34">
        <f t="shared" si="1"/>
        <v>0.0077</v>
      </c>
      <c r="M27" s="34">
        <f t="shared" si="4"/>
        <v>0.0007700000000000001</v>
      </c>
      <c r="N27" s="37"/>
      <c r="O27" s="40">
        <v>0.0065</v>
      </c>
      <c r="P27" s="34">
        <f t="shared" si="5"/>
        <v>0.00065</v>
      </c>
      <c r="Q27" s="34">
        <f t="shared" si="2"/>
        <v>0.0065</v>
      </c>
      <c r="R27" s="34">
        <f t="shared" si="5"/>
        <v>0.00065</v>
      </c>
    </row>
    <row r="28" spans="2:18" ht="12.75">
      <c r="B28" s="31" t="s">
        <v>89</v>
      </c>
      <c r="C28" s="32">
        <v>0.1</v>
      </c>
      <c r="E28" s="34">
        <v>0.0027</v>
      </c>
      <c r="F28" s="34">
        <f t="shared" si="3"/>
        <v>0.00027</v>
      </c>
      <c r="G28" s="34">
        <f t="shared" si="0"/>
        <v>0.0027</v>
      </c>
      <c r="H28" s="34">
        <f t="shared" si="3"/>
        <v>0.00027</v>
      </c>
      <c r="I28" s="37"/>
      <c r="J28" s="32">
        <v>0.003</v>
      </c>
      <c r="K28" s="34">
        <f t="shared" si="4"/>
        <v>0.00030000000000000003</v>
      </c>
      <c r="L28" s="34">
        <f t="shared" si="1"/>
        <v>0.003</v>
      </c>
      <c r="M28" s="34">
        <f t="shared" si="4"/>
        <v>0.00030000000000000003</v>
      </c>
      <c r="N28" s="37"/>
      <c r="O28" s="40">
        <v>0.0027</v>
      </c>
      <c r="P28" s="34">
        <f t="shared" si="5"/>
        <v>0.00027</v>
      </c>
      <c r="Q28" s="34">
        <f t="shared" si="2"/>
        <v>0.0027</v>
      </c>
      <c r="R28" s="34">
        <f t="shared" si="5"/>
        <v>0.00027</v>
      </c>
    </row>
    <row r="29" spans="2:18" ht="12.75">
      <c r="B29" s="31" t="s">
        <v>90</v>
      </c>
      <c r="C29" s="32">
        <v>0.1</v>
      </c>
      <c r="D29" s="32" t="s">
        <v>32</v>
      </c>
      <c r="E29" s="34">
        <f>0.0034</f>
        <v>0.0034</v>
      </c>
      <c r="F29" s="34">
        <f t="shared" si="3"/>
        <v>0.00034</v>
      </c>
      <c r="G29" s="34">
        <f t="shared" si="0"/>
        <v>0.0017</v>
      </c>
      <c r="H29" s="34">
        <f t="shared" si="3"/>
        <v>0.00017</v>
      </c>
      <c r="I29" s="37"/>
      <c r="J29" s="32">
        <v>0.0024</v>
      </c>
      <c r="K29" s="34">
        <f aca="true" t="shared" si="6" ref="K29:M35">IF(J29="","",J29*$C29)</f>
        <v>0.00023999999999999998</v>
      </c>
      <c r="L29" s="34">
        <f t="shared" si="1"/>
        <v>0.0024</v>
      </c>
      <c r="M29" s="34">
        <f t="shared" si="6"/>
        <v>0.00023999999999999998</v>
      </c>
      <c r="N29" s="37" t="s">
        <v>32</v>
      </c>
      <c r="O29" s="40">
        <f>0.0033</f>
        <v>0.0033</v>
      </c>
      <c r="P29" s="34">
        <f aca="true" t="shared" si="7" ref="P29:R35">IF(O29="","",O29*$C29)</f>
        <v>0.00033</v>
      </c>
      <c r="Q29" s="34">
        <f t="shared" si="2"/>
        <v>0.00165</v>
      </c>
      <c r="R29" s="34">
        <f t="shared" si="7"/>
        <v>0.000165</v>
      </c>
    </row>
    <row r="30" spans="2:18" ht="12.75">
      <c r="B30" s="31" t="s">
        <v>91</v>
      </c>
      <c r="C30" s="32">
        <v>0.1</v>
      </c>
      <c r="D30" s="32" t="s">
        <v>32</v>
      </c>
      <c r="E30" s="34">
        <f>0.0034</f>
        <v>0.0034</v>
      </c>
      <c r="F30" s="34">
        <f t="shared" si="3"/>
        <v>0.00034</v>
      </c>
      <c r="G30" s="34">
        <f t="shared" si="0"/>
        <v>0.0017</v>
      </c>
      <c r="H30" s="34">
        <f t="shared" si="3"/>
        <v>0.00017</v>
      </c>
      <c r="I30" s="37" t="s">
        <v>32</v>
      </c>
      <c r="J30" s="32">
        <f>0.0033</f>
        <v>0.0033</v>
      </c>
      <c r="K30" s="34">
        <f t="shared" si="6"/>
        <v>0.00033</v>
      </c>
      <c r="L30" s="34">
        <f t="shared" si="1"/>
        <v>0.00165</v>
      </c>
      <c r="M30" s="34">
        <f t="shared" si="6"/>
        <v>0.000165</v>
      </c>
      <c r="N30" s="37" t="s">
        <v>32</v>
      </c>
      <c r="O30" s="40">
        <f>0.0033</f>
        <v>0.0033</v>
      </c>
      <c r="P30" s="34">
        <f t="shared" si="7"/>
        <v>0.00033</v>
      </c>
      <c r="Q30" s="34">
        <f t="shared" si="2"/>
        <v>0.00165</v>
      </c>
      <c r="R30" s="34">
        <f t="shared" si="7"/>
        <v>0.000165</v>
      </c>
    </row>
    <row r="31" spans="2:18" ht="12.75">
      <c r="B31" s="31" t="s">
        <v>92</v>
      </c>
      <c r="C31" s="32">
        <v>0</v>
      </c>
      <c r="D31" s="32" t="s">
        <v>32</v>
      </c>
      <c r="E31" s="34">
        <f>SUM(E27:E30)</f>
        <v>0.017400000000000002</v>
      </c>
      <c r="F31" s="34">
        <f t="shared" si="3"/>
        <v>0</v>
      </c>
      <c r="G31" s="34">
        <f t="shared" si="0"/>
        <v>0.008700000000000001</v>
      </c>
      <c r="H31" s="34">
        <f t="shared" si="3"/>
        <v>0</v>
      </c>
      <c r="I31" s="37"/>
      <c r="J31" s="32">
        <f>SUM(J27:J30)</f>
        <v>0.0164</v>
      </c>
      <c r="K31" s="34">
        <f t="shared" si="6"/>
        <v>0</v>
      </c>
      <c r="L31" s="34">
        <f t="shared" si="1"/>
        <v>0.0164</v>
      </c>
      <c r="M31" s="34">
        <f t="shared" si="6"/>
        <v>0</v>
      </c>
      <c r="N31" s="37"/>
      <c r="O31" s="40">
        <f>SUM(O27:O30)</f>
        <v>0.0158</v>
      </c>
      <c r="P31" s="34">
        <f t="shared" si="7"/>
        <v>0</v>
      </c>
      <c r="Q31" s="34">
        <f t="shared" si="2"/>
        <v>0.0158</v>
      </c>
      <c r="R31" s="34">
        <f t="shared" si="7"/>
        <v>0</v>
      </c>
    </row>
    <row r="32" spans="2:18" ht="12.75">
      <c r="B32" s="31" t="s">
        <v>93</v>
      </c>
      <c r="C32" s="32">
        <v>0.01</v>
      </c>
      <c r="E32" s="34">
        <v>0.022</v>
      </c>
      <c r="F32" s="34">
        <f t="shared" si="3"/>
        <v>0.00021999999999999998</v>
      </c>
      <c r="G32" s="34">
        <f t="shared" si="0"/>
        <v>0.022</v>
      </c>
      <c r="H32" s="34">
        <f t="shared" si="3"/>
        <v>0.00021999999999999998</v>
      </c>
      <c r="I32" s="37"/>
      <c r="J32" s="32">
        <v>0.013</v>
      </c>
      <c r="K32" s="34">
        <f t="shared" si="6"/>
        <v>0.00013</v>
      </c>
      <c r="L32" s="34">
        <f t="shared" si="1"/>
        <v>0.013</v>
      </c>
      <c r="M32" s="34">
        <f t="shared" si="6"/>
        <v>0.00013</v>
      </c>
      <c r="N32" s="37" t="s">
        <v>32</v>
      </c>
      <c r="O32" s="40">
        <f>0.007</f>
        <v>0.007</v>
      </c>
      <c r="P32" s="34">
        <f t="shared" si="7"/>
        <v>7.000000000000001E-05</v>
      </c>
      <c r="Q32" s="34">
        <f t="shared" si="2"/>
        <v>0.0035</v>
      </c>
      <c r="R32" s="34">
        <f t="shared" si="7"/>
        <v>3.5000000000000004E-05</v>
      </c>
    </row>
    <row r="33" spans="2:18" ht="12.75">
      <c r="B33" s="31" t="s">
        <v>94</v>
      </c>
      <c r="C33" s="32">
        <v>0.01</v>
      </c>
      <c r="D33" s="32" t="s">
        <v>32</v>
      </c>
      <c r="E33" s="34">
        <f>0.025</f>
        <v>0.025</v>
      </c>
      <c r="F33" s="34">
        <f t="shared" si="3"/>
        <v>0.00025</v>
      </c>
      <c r="G33" s="34">
        <f t="shared" si="0"/>
        <v>0.0125</v>
      </c>
      <c r="H33" s="34">
        <f t="shared" si="3"/>
        <v>0.000125</v>
      </c>
      <c r="I33" s="37" t="s">
        <v>32</v>
      </c>
      <c r="J33" s="32">
        <f>0.0048</f>
        <v>0.0048</v>
      </c>
      <c r="K33" s="34">
        <f t="shared" si="6"/>
        <v>4.7999999999999994E-05</v>
      </c>
      <c r="L33" s="34">
        <f t="shared" si="1"/>
        <v>0.0024</v>
      </c>
      <c r="M33" s="34">
        <f t="shared" si="6"/>
        <v>2.3999999999999997E-05</v>
      </c>
      <c r="N33" s="37" t="s">
        <v>32</v>
      </c>
      <c r="O33" s="40">
        <f>0.0046</f>
        <v>0.0046</v>
      </c>
      <c r="P33" s="34">
        <f t="shared" si="7"/>
        <v>4.6E-05</v>
      </c>
      <c r="Q33" s="34">
        <f t="shared" si="2"/>
        <v>0.0023</v>
      </c>
      <c r="R33" s="34">
        <f t="shared" si="7"/>
        <v>2.3E-05</v>
      </c>
    </row>
    <row r="34" spans="2:18" ht="12.75">
      <c r="B34" s="31" t="s">
        <v>95</v>
      </c>
      <c r="C34" s="32">
        <v>0</v>
      </c>
      <c r="D34" s="32" t="s">
        <v>32</v>
      </c>
      <c r="E34" s="34">
        <f>SUM(E32:E33)</f>
        <v>0.047</v>
      </c>
      <c r="F34" s="34">
        <f t="shared" si="3"/>
        <v>0</v>
      </c>
      <c r="G34" s="34">
        <f t="shared" si="0"/>
        <v>0.0235</v>
      </c>
      <c r="H34" s="34">
        <f t="shared" si="3"/>
        <v>0</v>
      </c>
      <c r="I34" s="37" t="s">
        <v>32</v>
      </c>
      <c r="J34" s="32">
        <f>SUM(J32:J33)</f>
        <v>0.0178</v>
      </c>
      <c r="K34" s="34">
        <f t="shared" si="6"/>
        <v>0</v>
      </c>
      <c r="L34" s="34">
        <f t="shared" si="1"/>
        <v>0.0089</v>
      </c>
      <c r="M34" s="34">
        <f t="shared" si="6"/>
        <v>0</v>
      </c>
      <c r="N34" s="37" t="s">
        <v>32</v>
      </c>
      <c r="O34" s="40">
        <f>SUM(O32:O33)</f>
        <v>0.0116</v>
      </c>
      <c r="P34" s="34">
        <f t="shared" si="7"/>
        <v>0</v>
      </c>
      <c r="Q34" s="34">
        <f t="shared" si="2"/>
        <v>0.0058</v>
      </c>
      <c r="R34" s="34">
        <f t="shared" si="7"/>
        <v>0</v>
      </c>
    </row>
    <row r="35" spans="2:18" ht="12.75">
      <c r="B35" s="31" t="s">
        <v>96</v>
      </c>
      <c r="C35" s="32">
        <v>0.001</v>
      </c>
      <c r="E35" s="34">
        <v>0.016</v>
      </c>
      <c r="F35" s="34">
        <f t="shared" si="3"/>
        <v>1.6E-05</v>
      </c>
      <c r="G35" s="34">
        <f t="shared" si="0"/>
        <v>0.016</v>
      </c>
      <c r="H35" s="34">
        <f t="shared" si="3"/>
        <v>1.6E-05</v>
      </c>
      <c r="I35" s="37"/>
      <c r="J35" s="32">
        <v>0.012</v>
      </c>
      <c r="K35" s="34">
        <f t="shared" si="6"/>
        <v>1.2E-05</v>
      </c>
      <c r="L35" s="34">
        <f t="shared" si="1"/>
        <v>0.012</v>
      </c>
      <c r="M35" s="34">
        <f t="shared" si="6"/>
        <v>1.2E-05</v>
      </c>
      <c r="N35" s="37"/>
      <c r="O35" s="40">
        <v>0.01</v>
      </c>
      <c r="P35" s="34">
        <f t="shared" si="7"/>
        <v>1E-05</v>
      </c>
      <c r="Q35" s="34">
        <f t="shared" si="2"/>
        <v>0.01</v>
      </c>
      <c r="R35" s="34">
        <f t="shared" si="7"/>
        <v>1E-05</v>
      </c>
    </row>
    <row r="36" spans="5:17" ht="12.75">
      <c r="E36" s="41"/>
      <c r="G36" s="41"/>
      <c r="I36" s="42"/>
      <c r="J36" s="41"/>
      <c r="K36" s="41"/>
      <c r="L36" s="41"/>
      <c r="M36" s="41"/>
      <c r="N36" s="42"/>
      <c r="O36" s="41"/>
      <c r="Q36" s="41"/>
    </row>
    <row r="37" spans="2:21" ht="12.75">
      <c r="B37" s="31" t="s">
        <v>97</v>
      </c>
      <c r="E37" s="41">
        <v>154.151</v>
      </c>
      <c r="F37" s="41">
        <v>154.151</v>
      </c>
      <c r="G37" s="41">
        <v>154.151</v>
      </c>
      <c r="H37" s="41">
        <v>154.151</v>
      </c>
      <c r="I37" s="42"/>
      <c r="J37" s="41">
        <v>157.702</v>
      </c>
      <c r="K37" s="41">
        <v>157.702</v>
      </c>
      <c r="L37" s="41">
        <v>157.702</v>
      </c>
      <c r="M37" s="41">
        <v>157.702</v>
      </c>
      <c r="N37" s="42"/>
      <c r="O37" s="41">
        <v>159.497</v>
      </c>
      <c r="P37" s="41">
        <v>159.497</v>
      </c>
      <c r="Q37" s="41">
        <v>159.497</v>
      </c>
      <c r="R37" s="41">
        <v>159.497</v>
      </c>
      <c r="T37" s="41"/>
      <c r="U37" s="41"/>
    </row>
    <row r="38" spans="2:21" ht="12.75">
      <c r="B38" s="31" t="s">
        <v>98</v>
      </c>
      <c r="E38" s="41">
        <v>6.1</v>
      </c>
      <c r="F38" s="41">
        <v>6.1</v>
      </c>
      <c r="G38" s="41">
        <v>6.1</v>
      </c>
      <c r="H38" s="41">
        <v>6.1</v>
      </c>
      <c r="I38" s="42"/>
      <c r="J38" s="41">
        <v>6.8</v>
      </c>
      <c r="K38" s="41">
        <v>6.8</v>
      </c>
      <c r="L38" s="41">
        <v>6.8</v>
      </c>
      <c r="M38" s="41">
        <v>6.8</v>
      </c>
      <c r="N38" s="42"/>
      <c r="O38" s="41">
        <v>6.5</v>
      </c>
      <c r="P38" s="41">
        <v>6.5</v>
      </c>
      <c r="Q38" s="41">
        <v>6.5</v>
      </c>
      <c r="R38" s="41">
        <v>6.5</v>
      </c>
      <c r="T38" s="41"/>
      <c r="U38" s="41"/>
    </row>
    <row r="39" spans="5:18" ht="12.75">
      <c r="E39" s="41"/>
      <c r="F39" s="40"/>
      <c r="G39" s="41"/>
      <c r="H39" s="40"/>
      <c r="I39" s="43"/>
      <c r="J39" s="41"/>
      <c r="K39" s="40"/>
      <c r="L39" s="41"/>
      <c r="M39" s="40"/>
      <c r="N39" s="42"/>
      <c r="O39" s="41"/>
      <c r="P39" s="41"/>
      <c r="Q39" s="41"/>
      <c r="R39" s="41"/>
    </row>
    <row r="40" spans="2:21" ht="12" customHeight="1">
      <c r="B40" s="31" t="s">
        <v>99</v>
      </c>
      <c r="C40" s="34"/>
      <c r="D40" s="37"/>
      <c r="E40" s="34">
        <f>SUM(E35,E34,E31,E26,E23,E21,E20,E18,E14,E12)</f>
        <v>0.15840000000000004</v>
      </c>
      <c r="F40" s="34">
        <f>SUM(F11:F35)</f>
        <v>0.019998000000000002</v>
      </c>
      <c r="G40" s="34">
        <f>SUM(G35,G34,G31,G26,G23,G21,G20,G18,G14,G12)</f>
        <v>0.11745</v>
      </c>
      <c r="H40" s="34">
        <f>SUM(H11:H35)</f>
        <v>0.018293</v>
      </c>
      <c r="I40" s="37"/>
      <c r="J40" s="34">
        <f>SUM(J35,J34,J31,J26,J23,J21,J20,J18,J14,J12)</f>
        <v>0.1234</v>
      </c>
      <c r="K40" s="34">
        <f>SUM(K11:K35)</f>
        <v>0.019702000000000004</v>
      </c>
      <c r="L40" s="34">
        <f>SUM(L35,L34,L31,L26,L23,L21,L20,L18,L14,L12)</f>
        <v>0.10364999999999999</v>
      </c>
      <c r="M40" s="34">
        <f>SUM(M11:M35)</f>
        <v>0.018140500000000004</v>
      </c>
      <c r="N40" s="37"/>
      <c r="O40" s="34">
        <f>SUM(O35,O34,O31,O26,O23,O21,O20,O18,O14,O12)</f>
        <v>0.1139</v>
      </c>
      <c r="P40" s="34">
        <f>SUM(P11:P35)</f>
        <v>0.021157000000000006</v>
      </c>
      <c r="Q40" s="34">
        <f>SUM(Q35,Q34,Q31,Q26,Q23,Q21,Q20,Q18,Q14,Q12)</f>
        <v>0.09930000000000001</v>
      </c>
      <c r="R40" s="34">
        <f>SUM(R11:R35)</f>
        <v>0.018928999999999994</v>
      </c>
      <c r="T40" s="34"/>
      <c r="U40" s="34"/>
    </row>
    <row r="41" spans="2:21" ht="12.75">
      <c r="B41" s="31" t="s">
        <v>100</v>
      </c>
      <c r="C41" s="34"/>
      <c r="D41" s="56">
        <f>(F41-H41)*2/F41*100</f>
        <v>17.051705170517074</v>
      </c>
      <c r="E41" s="34">
        <f>E40/E37/0.0283*(21-7)/(21-E38)</f>
        <v>0.034116475799427975</v>
      </c>
      <c r="F41" s="34">
        <f>F40/F37/0.0283*(21-7)/(21-F38)</f>
        <v>0.0043072050696777815</v>
      </c>
      <c r="G41" s="34">
        <f>G40/G37/0.0283*(21-7)/(21-G38)</f>
        <v>0.02529659143082585</v>
      </c>
      <c r="H41" s="34">
        <f>H40/H37/0.0283*(21-7)/(21-H38)</f>
        <v>0.003939979114892272</v>
      </c>
      <c r="I41" s="56">
        <f>(K41-M41)*2/K41*100</f>
        <v>15.851182621053681</v>
      </c>
      <c r="J41" s="34">
        <f>J40/J37/0.0283*(21-7)/(21-J38)</f>
        <v>0.02726033661802128</v>
      </c>
      <c r="K41" s="34">
        <f>K40/K37/0.0283*(21-7)/(21-K38)</f>
        <v>0.004352375624378082</v>
      </c>
      <c r="L41" s="34">
        <f>L40/L37/0.0283*(21-7)/(21-L38)</f>
        <v>0.022897357297065685</v>
      </c>
      <c r="M41" s="34">
        <f>M40/M37/0.0283*(21-7)/(21-M38)</f>
        <v>0.004007424120090884</v>
      </c>
      <c r="N41" s="56">
        <f>(P41-R41)*2/P41*100</f>
        <v>21.0615871815476</v>
      </c>
      <c r="O41" s="34">
        <f>O40/O37/0.0283*(21-7)/(21-O38)</f>
        <v>0.02436378751590406</v>
      </c>
      <c r="P41" s="34">
        <f>P40/P37/0.0283*(21-7)/(21-P38)</f>
        <v>0.004525589573959459</v>
      </c>
      <c r="Q41" s="34">
        <f>Q40/Q37/0.0283*(21-7)/(21-Q38)</f>
        <v>0.02124077348840451</v>
      </c>
      <c r="R41" s="34">
        <f>R40/R37/0.0283*(21-7)/(21-R38)</f>
        <v>0.004049009077160209</v>
      </c>
      <c r="S41" s="34"/>
      <c r="T41" s="34"/>
      <c r="U41" s="34"/>
    </row>
    <row r="42" spans="5:17" ht="12.75">
      <c r="E42" s="44"/>
      <c r="G42" s="44"/>
      <c r="I42" s="45"/>
      <c r="J42" s="44"/>
      <c r="K42" s="44"/>
      <c r="L42" s="44"/>
      <c r="M42" s="44"/>
      <c r="N42" s="45"/>
      <c r="O42" s="44"/>
      <c r="Q42" s="44"/>
    </row>
    <row r="43" spans="2:23" s="41" customFormat="1" ht="12.75">
      <c r="B43" s="41" t="s">
        <v>128</v>
      </c>
      <c r="C43" s="34">
        <f>AVERAGE(H41,M41,R41)</f>
        <v>0.0039988041040477885</v>
      </c>
      <c r="D43" s="42"/>
      <c r="F43" s="34"/>
      <c r="H43" s="34"/>
      <c r="I43" s="42"/>
      <c r="N43" s="42"/>
      <c r="P43" s="33"/>
      <c r="R43" s="33"/>
      <c r="S43" s="31"/>
      <c r="T43" s="31"/>
      <c r="U43" s="31"/>
      <c r="V43" s="31"/>
      <c r="W43" s="31"/>
    </row>
    <row r="44" spans="2:3" ht="12.75">
      <c r="B44" s="31" t="s">
        <v>129</v>
      </c>
      <c r="C44" s="34">
        <f>AVERAGE(G41,L41,Q41)</f>
        <v>0.023144907405432014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2004-02-20T22:28:35Z</cp:lastPrinted>
  <dcterms:created xsi:type="dcterms:W3CDTF">2000-01-10T00:44:42Z</dcterms:created>
  <dcterms:modified xsi:type="dcterms:W3CDTF">2004-02-20T22:28:46Z</dcterms:modified>
  <cp:category/>
  <cp:version/>
  <cp:contentType/>
  <cp:contentStatus/>
</cp:coreProperties>
</file>