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<sst xmlns="http://schemas.openxmlformats.org/spreadsheetml/2006/main" count="420" uniqueCount="160">
  <si>
    <t>Stack Gas Emissions</t>
  </si>
  <si>
    <t>HW</t>
  </si>
  <si>
    <t>PM</t>
  </si>
  <si>
    <t>HCl</t>
  </si>
  <si>
    <t>Cl2</t>
  </si>
  <si>
    <t>SVM</t>
  </si>
  <si>
    <t>LVM</t>
  </si>
  <si>
    <t>CO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</si>
  <si>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</si>
  <si>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</si>
  <si>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</si>
  <si>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</si>
  <si>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</si>
  <si>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</si>
  <si>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</si>
  <si>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</si>
  <si>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</si>
  <si>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</si>
  <si>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</si>
  <si>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</si>
  <si>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</si>
  <si>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</si>
  <si>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</si>
  <si>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</si>
  <si>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</si>
  <si>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</si>
  <si>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</si>
  <si>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</si>
  <si>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Testing Dates</t>
  </si>
  <si>
    <t xml:space="preserve">     Content</t>
  </si>
  <si>
    <t xml:space="preserve">     Report Prepar</t>
  </si>
  <si>
    <t xml:space="preserve">     Testing Firm</t>
  </si>
  <si>
    <t>Units</t>
  </si>
  <si>
    <t>Cond Avg</t>
  </si>
  <si>
    <t xml:space="preserve">   Stack Gas Flowrate</t>
  </si>
  <si>
    <t xml:space="preserve">   Temperature</t>
  </si>
  <si>
    <t>y</t>
  </si>
  <si>
    <t>Btu/lb</t>
  </si>
  <si>
    <t>Chlorine</t>
  </si>
  <si>
    <t>Stack Gas Flowrate</t>
  </si>
  <si>
    <t>Process Information</t>
  </si>
  <si>
    <t>Total</t>
  </si>
  <si>
    <t>F</t>
  </si>
  <si>
    <t>n</t>
  </si>
  <si>
    <t>Eastman Chemical Co</t>
  </si>
  <si>
    <t>kW</t>
  </si>
  <si>
    <t>TND003376928</t>
  </si>
  <si>
    <t>Eastman Chemicals Co. - Tennessee Eastman Div</t>
  </si>
  <si>
    <t>Kingsport</t>
  </si>
  <si>
    <t>TN</t>
  </si>
  <si>
    <t>14 Blrs (# 11 - 24) exhaust to one common breeching interconnected to 3 stacks</t>
  </si>
  <si>
    <t>sootblow</t>
  </si>
  <si>
    <t>ft/min</t>
  </si>
  <si>
    <t>klb/hr</t>
  </si>
  <si>
    <t>Recertification of Compliance for Tennessee Eastman Division Boilers 23 and 24; dated September 1, 1998</t>
  </si>
  <si>
    <t>Buell, 2 fields; 24,000 ft2 plate area for 240 kacfm @ 380 F, SCA=100 ft2/kacfm</t>
  </si>
  <si>
    <t>Mixed and unmixed solvents, biosludge</t>
  </si>
  <si>
    <t>failed leak check</t>
  </si>
  <si>
    <t>Coal</t>
  </si>
  <si>
    <t>Biosludge</t>
  </si>
  <si>
    <t>HW liquid</t>
  </si>
  <si>
    <t>June 23-25, 1998</t>
  </si>
  <si>
    <t>CoC; max feedrates</t>
  </si>
  <si>
    <t xml:space="preserve">CoC; min combustion temperature </t>
  </si>
  <si>
    <t xml:space="preserve">PM, metals, CO, HCl/Cl2; feed analysis for metals, ash, HCl/Cl2 </t>
  </si>
  <si>
    <t>ESP</t>
  </si>
  <si>
    <t>Hazardous Wastes</t>
  </si>
  <si>
    <t>Liq, sludge</t>
  </si>
  <si>
    <t>Haz Waste Description</t>
  </si>
  <si>
    <t>719C11</t>
  </si>
  <si>
    <t>Feedstreams</t>
  </si>
  <si>
    <t>Boiler No. 24</t>
  </si>
  <si>
    <t>Boiler No. 23</t>
  </si>
  <si>
    <t>nd</t>
  </si>
  <si>
    <t>Capacity (MMBtu/hr)</t>
  </si>
  <si>
    <t>Feedrate MTEC Calculations</t>
  </si>
  <si>
    <t>No information</t>
  </si>
  <si>
    <t>Combustion Engineering, coal-fired spreader stoker watertube boiler, 501 MMBtu/hr, comb chamber dimensions (ft): 33 w, 19 l, 40 h</t>
  </si>
  <si>
    <t>Supplemental Fuel</t>
  </si>
  <si>
    <t xml:space="preserve">BIF Interim Status Tier III for metals, HCl/Cl2 </t>
  </si>
  <si>
    <t>ESP Operation</t>
  </si>
  <si>
    <t xml:space="preserve">     ESP Air Flow (Velocity)</t>
  </si>
  <si>
    <t>Comb Chamber Outlet Temperature</t>
  </si>
  <si>
    <t>Steam Flow</t>
  </si>
  <si>
    <t>Comb Chamber Temperature</t>
  </si>
  <si>
    <t xml:space="preserve">     ESP Inlet Temperature</t>
  </si>
  <si>
    <t xml:space="preserve">     ESP Power</t>
  </si>
  <si>
    <t>Phase II ID No.</t>
  </si>
  <si>
    <t>Source Description</t>
  </si>
  <si>
    <t xml:space="preserve">     Cond Description</t>
  </si>
  <si>
    <t>ESP Air Flow (Velocity)</t>
  </si>
  <si>
    <t>7% O2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</si>
  <si>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</si>
  <si>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</si>
  <si>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</si>
  <si>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</si>
  <si>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</si>
  <si>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</si>
  <si>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</si>
  <si>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Mercury</t>
  </si>
  <si>
    <t>Lead</t>
  </si>
  <si>
    <t>Cadmium</t>
  </si>
  <si>
    <t>Arsenic</t>
  </si>
  <si>
    <t>Beryllium</t>
  </si>
  <si>
    <t>Antimony</t>
  </si>
  <si>
    <t>Comments</t>
  </si>
  <si>
    <t xml:space="preserve">(PM, HCl/Cl2) </t>
  </si>
  <si>
    <t>(Metals)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</si>
  <si>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</si>
  <si>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</si>
  <si>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</si>
  <si>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</si>
  <si>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</si>
  <si>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</si>
  <si>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</si>
  <si>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719C10</t>
  </si>
  <si>
    <t>*</t>
  </si>
  <si>
    <t>Thermal Feedrate</t>
  </si>
  <si>
    <t>Feed Rate</t>
  </si>
  <si>
    <t>Feedstream Description</t>
  </si>
  <si>
    <t xml:space="preserve">   Sample Volume</t>
  </si>
  <si>
    <t>HWC Burn Status (Date if Terminated)</t>
  </si>
  <si>
    <t>Barium</t>
  </si>
  <si>
    <t>Silver</t>
  </si>
  <si>
    <t>Thallium</t>
  </si>
  <si>
    <t>lb/hr</t>
  </si>
  <si>
    <t xml:space="preserve">     Cond Dates</t>
  </si>
  <si>
    <t>Coal-fired boiler</t>
  </si>
  <si>
    <t>Cond Description</t>
  </si>
  <si>
    <t>Combustor Type</t>
  </si>
  <si>
    <t>Combustor Class</t>
  </si>
  <si>
    <t>Stoker</t>
  </si>
  <si>
    <t>Number of Sister Facilities</t>
  </si>
  <si>
    <t>APCS Detailed Acronym</t>
  </si>
  <si>
    <t>APCS General Class</t>
  </si>
  <si>
    <t>R1</t>
  </si>
  <si>
    <t>R2</t>
  </si>
  <si>
    <t>R3</t>
  </si>
  <si>
    <t>E1</t>
  </si>
  <si>
    <t>E2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</si>
  <si>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</si>
  <si>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</si>
  <si>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</si>
  <si>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</si>
  <si>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</si>
  <si>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</si>
  <si>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</si>
  <si>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</si>
  <si>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Sludge HW</t>
  </si>
  <si>
    <t>F2</t>
  </si>
  <si>
    <t>F3</t>
  </si>
  <si>
    <t>Liq HW</t>
  </si>
  <si>
    <t>F4</t>
  </si>
  <si>
    <t>F5</t>
  </si>
  <si>
    <t>MMBtu/hr</t>
  </si>
  <si>
    <t>Feed Class 2</t>
  </si>
  <si>
    <t>Estimated Firing Rate</t>
  </si>
  <si>
    <t>dscf</t>
  </si>
  <si>
    <t>Yes</t>
  </si>
  <si>
    <t>Heating Value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</si>
</sst>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#,##0.0"/>
    <numFmt numFmtId="172" formatCode="0.000E+00"/>
    <numFmt numFmtId="173" formatCode="0.000000000"/>
    <numFmt numFmtId="174" formatCode="0.0000000000"/>
    <numFmt numFmtId="175" formatCode="0.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16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140</v>
      </c>
    </row>
    <row r="2" ht="12.75">
      <c r="A2" t="s">
        <v>141</v>
      </c>
    </row>
    <row r="3" ht="12.75">
      <c r="A3" t="s">
        <v>142</v>
      </c>
    </row>
    <row r="4" ht="12.75">
      <c r="A4" t="s">
        <v>143</v>
      </c>
    </row>
    <row r="5" ht="12.75">
      <c r="A5" t="s">
        <v>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" sqref="C1"/>
    </sheetView>
  </sheetViews>
  <sheetFormatPr defaultColWidth="9.140625" defaultRowHeight="12.75"/>
  <cols>
    <col min="1" max="1" width="5.421875" style="1" hidden="1" customWidth="1"/>
    <col min="2" max="2" width="25.8515625" style="1" customWidth="1"/>
    <col min="3" max="3" width="60.57421875" style="1" customWidth="1"/>
    <col min="4" max="4" width="9.00390625" style="1" customWidth="1"/>
    <col min="5" max="16384" width="11.421875" style="1" customWidth="1"/>
  </cols>
  <sheetData>
    <row r="1" ht="12.75">
      <c r="B1" s="13" t="s">
        <v>88</v>
      </c>
    </row>
    <row r="3" spans="2:3" ht="12.75">
      <c r="B3" s="1" t="s">
        <v>87</v>
      </c>
      <c r="C3" s="3">
        <v>719</v>
      </c>
    </row>
    <row r="4" spans="2:3" ht="12.75">
      <c r="B4" s="1" t="s">
        <v>18</v>
      </c>
      <c r="C4" s="1" t="s">
        <v>46</v>
      </c>
    </row>
    <row r="5" spans="2:3" ht="12.75">
      <c r="B5" s="1" t="s">
        <v>19</v>
      </c>
      <c r="C5" s="1" t="s">
        <v>47</v>
      </c>
    </row>
    <row r="6" ht="12.75">
      <c r="B6" s="1" t="s">
        <v>20</v>
      </c>
    </row>
    <row r="7" spans="2:3" ht="12.75">
      <c r="B7" s="1" t="s">
        <v>93</v>
      </c>
      <c r="C7" s="1" t="s">
        <v>48</v>
      </c>
    </row>
    <row r="8" spans="2:3" ht="12.75">
      <c r="B8" s="1" t="s">
        <v>94</v>
      </c>
      <c r="C8" s="1" t="s">
        <v>49</v>
      </c>
    </row>
    <row r="9" spans="2:3" ht="12.75">
      <c r="B9" s="1" t="s">
        <v>21</v>
      </c>
      <c r="C9" s="1" t="s">
        <v>71</v>
      </c>
    </row>
    <row r="10" spans="2:3" ht="12.75">
      <c r="B10" s="1" t="s">
        <v>22</v>
      </c>
      <c r="C10" s="1" t="s">
        <v>72</v>
      </c>
    </row>
    <row r="11" spans="2:3" ht="12.75">
      <c r="B11" s="1" t="s">
        <v>132</v>
      </c>
      <c r="C11" s="3">
        <v>1</v>
      </c>
    </row>
    <row r="12" spans="2:3" ht="12.75">
      <c r="B12" s="1" t="s">
        <v>130</v>
      </c>
      <c r="C12" s="1" t="s">
        <v>127</v>
      </c>
    </row>
    <row r="13" spans="2:3" ht="12.75">
      <c r="B13" s="1" t="s">
        <v>129</v>
      </c>
      <c r="C13" s="1" t="s">
        <v>131</v>
      </c>
    </row>
    <row r="14" spans="2:3" s="14" customFormat="1" ht="25.5">
      <c r="B14" s="14" t="s">
        <v>23</v>
      </c>
      <c r="C14" s="14" t="s">
        <v>77</v>
      </c>
    </row>
    <row r="15" spans="2:3" s="14" customFormat="1" ht="12.75">
      <c r="B15" s="14" t="s">
        <v>74</v>
      </c>
      <c r="C15" s="24">
        <v>501</v>
      </c>
    </row>
    <row r="16" spans="2:3" s="14" customFormat="1" ht="12.75">
      <c r="B16" s="14" t="s">
        <v>92</v>
      </c>
      <c r="C16" s="24" t="s">
        <v>158</v>
      </c>
    </row>
    <row r="17" spans="2:3" s="14" customFormat="1" ht="12.75">
      <c r="B17" s="14" t="s">
        <v>133</v>
      </c>
      <c r="C17" s="14" t="s">
        <v>65</v>
      </c>
    </row>
    <row r="18" spans="2:3" s="14" customFormat="1" ht="12.75">
      <c r="B18" s="14" t="s">
        <v>134</v>
      </c>
      <c r="C18" s="14" t="s">
        <v>65</v>
      </c>
    </row>
    <row r="19" spans="2:3" s="14" customFormat="1" ht="25.5">
      <c r="B19" s="14" t="s">
        <v>24</v>
      </c>
      <c r="C19" s="14" t="s">
        <v>55</v>
      </c>
    </row>
    <row r="20" spans="2:3" s="14" customFormat="1" ht="12.75">
      <c r="B20" s="14" t="s">
        <v>66</v>
      </c>
      <c r="C20" s="14" t="s">
        <v>67</v>
      </c>
    </row>
    <row r="21" spans="2:3" s="14" customFormat="1" ht="12.75">
      <c r="B21" s="14" t="s">
        <v>68</v>
      </c>
      <c r="C21" s="14" t="s">
        <v>56</v>
      </c>
    </row>
    <row r="22" spans="2:3" s="14" customFormat="1" ht="12.75">
      <c r="B22" s="14" t="s">
        <v>78</v>
      </c>
      <c r="C22" s="14" t="s">
        <v>58</v>
      </c>
    </row>
    <row r="23" s="14" customFormat="1" ht="12.75" customHeight="1"/>
    <row r="24" spans="2:3" s="14" customFormat="1" ht="25.5">
      <c r="B24" s="14" t="s">
        <v>25</v>
      </c>
      <c r="C24" s="14" t="s">
        <v>50</v>
      </c>
    </row>
    <row r="25" spans="2:3" ht="12.75">
      <c r="B25" s="1" t="s">
        <v>95</v>
      </c>
      <c r="C25" s="15"/>
    </row>
    <row r="26" spans="2:3" ht="12.75">
      <c r="B26" s="1" t="s">
        <v>96</v>
      </c>
      <c r="C26" s="3">
        <v>225</v>
      </c>
    </row>
    <row r="27" spans="2:3" ht="12.75">
      <c r="B27" s="1" t="s">
        <v>97</v>
      </c>
      <c r="C27" s="3">
        <f>3000/60</f>
        <v>50</v>
      </c>
    </row>
    <row r="28" spans="2:3" ht="12.75">
      <c r="B28" s="1" t="s">
        <v>98</v>
      </c>
      <c r="C28" s="3">
        <v>350</v>
      </c>
    </row>
    <row r="29" ht="12.75" customHeight="1"/>
    <row r="30" spans="2:3" ht="12.75">
      <c r="B30" s="1" t="s">
        <v>26</v>
      </c>
      <c r="C30" s="1" t="s">
        <v>79</v>
      </c>
    </row>
    <row r="31" s="35" customFormat="1" ht="25.5">
      <c r="B31" s="35" t="s">
        <v>121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3.57421875" style="1" hidden="1" customWidth="1"/>
    <col min="2" max="2" width="25.8515625" style="1" customWidth="1"/>
    <col min="3" max="3" width="61.57421875" style="1" customWidth="1"/>
    <col min="4" max="16384" width="9.140625" style="1" customWidth="1"/>
  </cols>
  <sheetData>
    <row r="1" ht="12.75">
      <c r="B1" s="13" t="s">
        <v>128</v>
      </c>
    </row>
    <row r="3" ht="12.75">
      <c r="B3" s="34" t="s">
        <v>115</v>
      </c>
    </row>
    <row r="4" ht="12.75">
      <c r="B4" s="34"/>
    </row>
    <row r="5" spans="2:3" s="14" customFormat="1" ht="25.5">
      <c r="B5" s="14" t="s">
        <v>27</v>
      </c>
      <c r="C5" s="14" t="s">
        <v>54</v>
      </c>
    </row>
    <row r="6" spans="2:3" ht="12.75">
      <c r="B6" s="1" t="s">
        <v>30</v>
      </c>
      <c r="C6" s="1" t="s">
        <v>44</v>
      </c>
    </row>
    <row r="7" spans="2:3" ht="12.75">
      <c r="B7" s="1" t="s">
        <v>31</v>
      </c>
      <c r="C7" s="1" t="s">
        <v>44</v>
      </c>
    </row>
    <row r="8" spans="2:3" ht="12.75">
      <c r="B8" s="1" t="s">
        <v>28</v>
      </c>
      <c r="C8" s="16" t="s">
        <v>61</v>
      </c>
    </row>
    <row r="9" spans="2:3" ht="12.75">
      <c r="B9" s="1" t="s">
        <v>126</v>
      </c>
      <c r="C9" s="33">
        <v>34485</v>
      </c>
    </row>
    <row r="10" spans="2:3" ht="12.75">
      <c r="B10" s="1" t="s">
        <v>89</v>
      </c>
      <c r="C10" s="1" t="s">
        <v>62</v>
      </c>
    </row>
    <row r="11" spans="2:3" ht="12.75">
      <c r="B11" s="1" t="s">
        <v>29</v>
      </c>
      <c r="C11" s="1" t="s">
        <v>64</v>
      </c>
    </row>
    <row r="13" ht="12.75">
      <c r="B13" s="34" t="s">
        <v>69</v>
      </c>
    </row>
    <row r="14" ht="12.75">
      <c r="B14" s="34"/>
    </row>
    <row r="15" spans="2:3" s="14" customFormat="1" ht="25.5">
      <c r="B15" s="14" t="s">
        <v>27</v>
      </c>
      <c r="C15" s="14" t="s">
        <v>54</v>
      </c>
    </row>
    <row r="16" spans="2:3" ht="12.75">
      <c r="B16" s="1" t="s">
        <v>30</v>
      </c>
      <c r="C16" s="1" t="s">
        <v>44</v>
      </c>
    </row>
    <row r="17" spans="2:3" ht="12.75">
      <c r="B17" s="1" t="s">
        <v>31</v>
      </c>
      <c r="C17" s="1" t="s">
        <v>44</v>
      </c>
    </row>
    <row r="18" spans="2:3" ht="12.75">
      <c r="B18" s="1" t="s">
        <v>28</v>
      </c>
      <c r="C18" s="16" t="s">
        <v>61</v>
      </c>
    </row>
    <row r="19" spans="2:3" ht="12.75">
      <c r="B19" s="1" t="s">
        <v>126</v>
      </c>
      <c r="C19" s="33">
        <v>34485</v>
      </c>
    </row>
    <row r="20" spans="2:3" ht="12.75">
      <c r="B20" s="1" t="s">
        <v>89</v>
      </c>
      <c r="C20" s="1" t="s">
        <v>63</v>
      </c>
    </row>
    <row r="21" spans="2:3" ht="12.75">
      <c r="B21" s="1" t="s">
        <v>29</v>
      </c>
      <c r="C21" s="1" t="s">
        <v>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75" zoomScaleNormal="75" workbookViewId="0" topLeftCell="B1">
      <selection activeCell="B3" sqref="B3"/>
    </sheetView>
  </sheetViews>
  <sheetFormatPr defaultColWidth="9.140625" defaultRowHeight="12.75"/>
  <cols>
    <col min="1" max="1" width="9.140625" style="1" hidden="1" customWidth="1"/>
    <col min="2" max="2" width="24.57421875" style="1" customWidth="1"/>
    <col min="3" max="3" width="13.7109375" style="1" customWidth="1"/>
    <col min="4" max="4" width="8.7109375" style="1" customWidth="1"/>
    <col min="5" max="5" width="5.7109375" style="1" customWidth="1"/>
    <col min="6" max="6" width="3.28125" style="1" customWidth="1"/>
    <col min="7" max="7" width="8.7109375" style="1" customWidth="1"/>
    <col min="8" max="8" width="2.8515625" style="2" customWidth="1"/>
    <col min="9" max="9" width="10.140625" style="1" customWidth="1"/>
    <col min="10" max="10" width="3.00390625" style="2" customWidth="1"/>
    <col min="11" max="11" width="9.421875" style="1" customWidth="1"/>
    <col min="12" max="12" width="2.421875" style="1" customWidth="1"/>
    <col min="13" max="13" width="9.57421875" style="1" customWidth="1"/>
    <col min="14" max="14" width="2.8515625" style="1" customWidth="1"/>
    <col min="15" max="15" width="9.140625" style="1" customWidth="1"/>
    <col min="16" max="16" width="2.7109375" style="1" customWidth="1"/>
    <col min="17" max="17" width="7.8515625" style="1" customWidth="1"/>
    <col min="18" max="18" width="8.00390625" style="1" customWidth="1"/>
    <col min="19" max="16384" width="11.421875" style="1" customWidth="1"/>
  </cols>
  <sheetData>
    <row r="1" spans="2:3" ht="12.75">
      <c r="B1" s="13" t="s">
        <v>0</v>
      </c>
      <c r="C1" s="13"/>
    </row>
    <row r="2" ht="12" customHeight="1"/>
    <row r="3" spans="3:17" ht="12.75">
      <c r="C3" s="1" t="s">
        <v>105</v>
      </c>
      <c r="D3" s="1" t="s">
        <v>32</v>
      </c>
      <c r="E3" s="1" t="s">
        <v>91</v>
      </c>
      <c r="N3" s="2"/>
      <c r="O3" s="2"/>
      <c r="P3" s="2"/>
      <c r="Q3" s="2"/>
    </row>
    <row r="4" spans="14:17" ht="12.75">
      <c r="N4" s="2"/>
      <c r="O4" s="2"/>
      <c r="P4" s="2"/>
      <c r="Q4" s="2"/>
    </row>
    <row r="5" spans="7:17" ht="12.75">
      <c r="G5" s="2" t="s">
        <v>57</v>
      </c>
      <c r="I5" s="2"/>
      <c r="K5" s="2" t="s">
        <v>51</v>
      </c>
      <c r="L5" s="2"/>
      <c r="N5" s="2"/>
      <c r="O5" s="2"/>
      <c r="P5" s="2"/>
      <c r="Q5" s="2"/>
    </row>
    <row r="6" spans="1:17" ht="12.75">
      <c r="A6" s="1">
        <v>10</v>
      </c>
      <c r="B6" s="13" t="s">
        <v>115</v>
      </c>
      <c r="C6" s="13"/>
      <c r="G6" s="2" t="s">
        <v>137</v>
      </c>
      <c r="I6" s="2" t="s">
        <v>135</v>
      </c>
      <c r="K6" s="2" t="s">
        <v>136</v>
      </c>
      <c r="L6" s="4"/>
      <c r="M6" s="2" t="s">
        <v>33</v>
      </c>
      <c r="N6" s="2"/>
      <c r="O6" s="2"/>
      <c r="P6" s="2"/>
      <c r="Q6" s="2"/>
    </row>
    <row r="7" spans="2:12" ht="12.75">
      <c r="B7" s="13"/>
      <c r="C7" s="13"/>
      <c r="G7" s="2"/>
      <c r="I7" s="2"/>
      <c r="K7" s="2"/>
      <c r="L7" s="2"/>
    </row>
    <row r="8" spans="2:4" ht="12" customHeight="1">
      <c r="B8" s="1" t="s">
        <v>114</v>
      </c>
      <c r="C8" s="1" t="s">
        <v>106</v>
      </c>
      <c r="D8" s="1" t="s">
        <v>138</v>
      </c>
    </row>
    <row r="9" spans="2:13" ht="12.75">
      <c r="B9" s="1" t="s">
        <v>34</v>
      </c>
      <c r="D9" s="1" t="s">
        <v>15</v>
      </c>
      <c r="I9" s="1">
        <v>134858</v>
      </c>
      <c r="K9" s="1">
        <v>136049</v>
      </c>
      <c r="M9" s="7">
        <f>AVERAGE(K9,I9,G9)</f>
        <v>135453.5</v>
      </c>
    </row>
    <row r="10" spans="2:13" ht="12.75">
      <c r="B10" s="1" t="s">
        <v>108</v>
      </c>
      <c r="D10" s="1" t="s">
        <v>16</v>
      </c>
      <c r="I10" s="1">
        <v>9.7</v>
      </c>
      <c r="K10" s="1">
        <v>9.7</v>
      </c>
      <c r="M10" s="7">
        <f>AVERAGE(K10,I10,G10)</f>
        <v>9.7</v>
      </c>
    </row>
    <row r="11" spans="2:13" ht="12.75">
      <c r="B11" s="1" t="s">
        <v>109</v>
      </c>
      <c r="D11" s="1" t="s">
        <v>16</v>
      </c>
      <c r="I11" s="1">
        <v>11.53</v>
      </c>
      <c r="K11" s="1">
        <v>13.85</v>
      </c>
      <c r="M11" s="7">
        <f>AVERAGE(K11,I11,G11)</f>
        <v>12.69</v>
      </c>
    </row>
    <row r="12" spans="2:13" ht="12.75">
      <c r="B12" s="1" t="s">
        <v>35</v>
      </c>
      <c r="D12" s="1" t="s">
        <v>17</v>
      </c>
      <c r="I12" s="1">
        <v>351</v>
      </c>
      <c r="K12" s="1">
        <v>343</v>
      </c>
      <c r="M12" s="7">
        <f>AVERAGE(K12,I12,G12)</f>
        <v>347</v>
      </c>
    </row>
    <row r="13" ht="12" customHeight="1"/>
    <row r="14" spans="2:13" ht="12.75">
      <c r="B14" s="1" t="s">
        <v>3</v>
      </c>
      <c r="D14" s="1" t="s">
        <v>11</v>
      </c>
      <c r="E14" s="1" t="s">
        <v>43</v>
      </c>
      <c r="I14" s="1">
        <v>67.8</v>
      </c>
      <c r="K14" s="1">
        <v>114</v>
      </c>
      <c r="M14" s="7">
        <f>AVERAGE(K14,I14,G14)</f>
        <v>90.9</v>
      </c>
    </row>
    <row r="15" spans="2:13" ht="12.75">
      <c r="B15" s="1" t="s">
        <v>4</v>
      </c>
      <c r="D15" s="1" t="s">
        <v>11</v>
      </c>
      <c r="E15" s="1" t="s">
        <v>43</v>
      </c>
      <c r="H15" s="2" t="s">
        <v>73</v>
      </c>
      <c r="I15" s="1">
        <f>0.483</f>
        <v>0.483</v>
      </c>
      <c r="J15" s="2" t="s">
        <v>73</v>
      </c>
      <c r="K15" s="1">
        <f>0.47</f>
        <v>0.47</v>
      </c>
      <c r="M15" s="10">
        <f>AVERAGE(K15,I15,G15)</f>
        <v>0.4765</v>
      </c>
    </row>
    <row r="17" spans="2:13" ht="12.75">
      <c r="B17" s="1" t="s">
        <v>2</v>
      </c>
      <c r="C17" s="1" t="s">
        <v>138</v>
      </c>
      <c r="D17" s="1" t="s">
        <v>10</v>
      </c>
      <c r="E17" s="1" t="s">
        <v>36</v>
      </c>
      <c r="G17" s="17"/>
      <c r="I17" s="1">
        <v>0.0274</v>
      </c>
      <c r="K17" s="17">
        <v>0.0182</v>
      </c>
      <c r="M17" s="1">
        <v>0.0269</v>
      </c>
    </row>
    <row r="18" spans="2:13" ht="12.75">
      <c r="B18" s="1" t="s">
        <v>111</v>
      </c>
      <c r="C18" s="1" t="s">
        <v>138</v>
      </c>
      <c r="D18" s="1" t="s">
        <v>11</v>
      </c>
      <c r="E18" s="1" t="s">
        <v>36</v>
      </c>
      <c r="I18" s="1">
        <v>61.1</v>
      </c>
      <c r="K18" s="1">
        <v>53.9</v>
      </c>
      <c r="M18" s="7">
        <f>AVERAGE(K18,I18,G18)</f>
        <v>57.5</v>
      </c>
    </row>
    <row r="19" spans="2:13" ht="12.75">
      <c r="B19" s="1" t="s">
        <v>112</v>
      </c>
      <c r="C19" s="1" t="s">
        <v>138</v>
      </c>
      <c r="D19" s="1" t="s">
        <v>11</v>
      </c>
      <c r="E19" s="1" t="s">
        <v>36</v>
      </c>
      <c r="I19" s="1">
        <v>63.2</v>
      </c>
      <c r="K19" s="1">
        <v>55.8</v>
      </c>
      <c r="M19" s="7">
        <f>AVERAGE(K19,I19,G19)</f>
        <v>59.5</v>
      </c>
    </row>
    <row r="20" spans="2:13" ht="12.75">
      <c r="B20" s="1" t="s">
        <v>3</v>
      </c>
      <c r="C20" s="1" t="s">
        <v>138</v>
      </c>
      <c r="D20" s="1" t="s">
        <v>11</v>
      </c>
      <c r="E20" s="1" t="s">
        <v>36</v>
      </c>
      <c r="G20" s="10"/>
      <c r="H20" s="26"/>
      <c r="I20" s="7">
        <f>I14*14/(21-I10)</f>
        <v>83.99999999999999</v>
      </c>
      <c r="J20" s="25"/>
      <c r="K20" s="7">
        <f>K14*14/(21-K10)</f>
        <v>141.23893805309734</v>
      </c>
      <c r="L20" s="7"/>
      <c r="M20" s="7">
        <f>AVERAGE(K20,I20,G20)</f>
        <v>112.61946902654867</v>
      </c>
    </row>
    <row r="21" spans="2:13" ht="12.75">
      <c r="B21" s="1" t="s">
        <v>4</v>
      </c>
      <c r="C21" s="1" t="s">
        <v>138</v>
      </c>
      <c r="D21" s="1" t="s">
        <v>11</v>
      </c>
      <c r="E21" s="1" t="s">
        <v>36</v>
      </c>
      <c r="G21" s="8"/>
      <c r="H21" s="27"/>
      <c r="I21" s="7">
        <f>I15*14/(21-I10)</f>
        <v>0.5984070796460176</v>
      </c>
      <c r="J21" s="25"/>
      <c r="K21" s="7">
        <f>K15*14/(21-K10)</f>
        <v>0.5823008849557522</v>
      </c>
      <c r="L21" s="7"/>
      <c r="M21" s="7">
        <f>AVERAGE(I21,K21)</f>
        <v>0.5903539823008849</v>
      </c>
    </row>
    <row r="22" spans="2:13" ht="12.75">
      <c r="B22" s="1" t="s">
        <v>110</v>
      </c>
      <c r="C22" s="1" t="s">
        <v>138</v>
      </c>
      <c r="D22" s="1" t="s">
        <v>11</v>
      </c>
      <c r="E22" s="1" t="s">
        <v>36</v>
      </c>
      <c r="G22" s="10"/>
      <c r="H22" s="26"/>
      <c r="I22" s="7">
        <f>I20+2*I21</f>
        <v>85.19681415929202</v>
      </c>
      <c r="J22" s="25"/>
      <c r="K22" s="7">
        <f>K20+2*K21</f>
        <v>142.40353982300886</v>
      </c>
      <c r="L22" s="7"/>
      <c r="M22" s="7">
        <f>M20+2*M21</f>
        <v>113.80017699115044</v>
      </c>
    </row>
    <row r="23" spans="7:13" ht="12.75">
      <c r="G23" s="10"/>
      <c r="H23" s="26"/>
      <c r="I23" s="10"/>
      <c r="J23" s="26"/>
      <c r="K23" s="10"/>
      <c r="L23" s="10"/>
      <c r="M23" s="10"/>
    </row>
    <row r="24" spans="2:13" ht="12.75">
      <c r="B24" s="1" t="s">
        <v>114</v>
      </c>
      <c r="C24" s="1" t="s">
        <v>107</v>
      </c>
      <c r="D24" s="1" t="s">
        <v>139</v>
      </c>
      <c r="M24" s="8"/>
    </row>
    <row r="25" spans="2:13" ht="12.75">
      <c r="B25" s="1" t="s">
        <v>34</v>
      </c>
      <c r="D25" s="1" t="s">
        <v>15</v>
      </c>
      <c r="G25" s="18"/>
      <c r="H25" s="28"/>
      <c r="I25" s="6">
        <v>141089</v>
      </c>
      <c r="J25" s="9"/>
      <c r="K25" s="6">
        <v>133637</v>
      </c>
      <c r="M25" s="6">
        <f>AVERAGE(K25,I25,G25)</f>
        <v>137363</v>
      </c>
    </row>
    <row r="26" spans="2:13" ht="12.75">
      <c r="B26" s="1" t="s">
        <v>108</v>
      </c>
      <c r="D26" s="1" t="s">
        <v>16</v>
      </c>
      <c r="I26" s="1">
        <v>9.7</v>
      </c>
      <c r="K26" s="1">
        <v>9.7</v>
      </c>
      <c r="M26" s="7">
        <f>AVERAGE(K26,I26,G26)</f>
        <v>9.7</v>
      </c>
    </row>
    <row r="27" spans="2:13" ht="12.75">
      <c r="B27" s="1" t="s">
        <v>109</v>
      </c>
      <c r="D27" s="1" t="s">
        <v>16</v>
      </c>
      <c r="I27" s="1">
        <v>12.2</v>
      </c>
      <c r="K27" s="1">
        <v>12.9</v>
      </c>
      <c r="M27" s="10">
        <f>AVERAGE(K27,I27,G27)</f>
        <v>12.55</v>
      </c>
    </row>
    <row r="28" spans="2:13" ht="12.75">
      <c r="B28" s="1" t="s">
        <v>35</v>
      </c>
      <c r="D28" s="1" t="s">
        <v>17</v>
      </c>
      <c r="I28" s="1">
        <v>353</v>
      </c>
      <c r="K28" s="1">
        <v>338</v>
      </c>
      <c r="M28" s="6">
        <f>AVERAGE(K28,I28,G28)</f>
        <v>345.5</v>
      </c>
    </row>
    <row r="29" spans="2:13" ht="12.75">
      <c r="B29" s="1" t="s">
        <v>120</v>
      </c>
      <c r="D29" s="1" t="s">
        <v>157</v>
      </c>
      <c r="I29" s="1">
        <v>51.48</v>
      </c>
      <c r="K29" s="1">
        <v>48.15</v>
      </c>
      <c r="M29" s="6"/>
    </row>
    <row r="30" spans="7:13" ht="12.75">
      <c r="G30" s="10"/>
      <c r="H30" s="26"/>
      <c r="I30" s="10"/>
      <c r="J30" s="26"/>
      <c r="K30" s="10"/>
      <c r="L30" s="10"/>
      <c r="M30" s="10"/>
    </row>
    <row r="31" spans="2:13" ht="12.75">
      <c r="B31" s="1" t="s">
        <v>99</v>
      </c>
      <c r="D31" s="1" t="s">
        <v>12</v>
      </c>
      <c r="E31" s="1" t="s">
        <v>43</v>
      </c>
      <c r="I31" s="7">
        <v>8.58</v>
      </c>
      <c r="J31" s="25"/>
      <c r="K31" s="7">
        <v>10.9</v>
      </c>
      <c r="L31" s="7"/>
      <c r="M31" s="7"/>
    </row>
    <row r="32" spans="2:13" ht="12.75">
      <c r="B32" s="1" t="s">
        <v>100</v>
      </c>
      <c r="D32" s="1" t="s">
        <v>12</v>
      </c>
      <c r="E32" s="1" t="s">
        <v>43</v>
      </c>
      <c r="I32" s="31">
        <v>102</v>
      </c>
      <c r="J32" s="32"/>
      <c r="K32" s="30">
        <f>(97.25+5.18/2)/K$29*35.3145</f>
        <v>73.2253308411215</v>
      </c>
      <c r="L32" s="31"/>
      <c r="M32" s="31"/>
    </row>
    <row r="33" spans="2:13" ht="12.75">
      <c r="B33" s="1" t="s">
        <v>101</v>
      </c>
      <c r="D33" s="1" t="s">
        <v>12</v>
      </c>
      <c r="E33" s="1" t="s">
        <v>43</v>
      </c>
      <c r="I33" s="31">
        <v>24.1</v>
      </c>
      <c r="J33" s="32"/>
      <c r="K33" s="30">
        <f>(1.75/2+1.04)/K$29*35.3145</f>
        <v>1.4045123052959503</v>
      </c>
      <c r="L33" s="31"/>
      <c r="M33" s="31"/>
    </row>
    <row r="34" spans="2:13" ht="12.75">
      <c r="B34" s="1" t="s">
        <v>102</v>
      </c>
      <c r="D34" s="1" t="s">
        <v>12</v>
      </c>
      <c r="E34" s="1" t="s">
        <v>43</v>
      </c>
      <c r="I34" s="31">
        <v>43.3</v>
      </c>
      <c r="J34" s="32"/>
      <c r="K34" s="31">
        <v>48.9</v>
      </c>
      <c r="L34" s="31"/>
      <c r="M34" s="31"/>
    </row>
    <row r="35" spans="2:13" ht="12.75">
      <c r="B35" s="1" t="s">
        <v>103</v>
      </c>
      <c r="D35" s="1" t="s">
        <v>12</v>
      </c>
      <c r="E35" s="1" t="s">
        <v>43</v>
      </c>
      <c r="G35" s="10"/>
      <c r="I35" s="30">
        <f>(5.35+0.13/2)/I$29*35.3145</f>
        <v>3.714607954545455</v>
      </c>
      <c r="J35" s="32"/>
      <c r="K35" s="30">
        <f>(3+0.13/2)/K$29*35.3145</f>
        <v>2.247953115264798</v>
      </c>
      <c r="L35" s="31"/>
      <c r="M35" s="31"/>
    </row>
    <row r="36" spans="2:13" ht="12.75">
      <c r="B36" s="1" t="s">
        <v>113</v>
      </c>
      <c r="D36" s="1" t="s">
        <v>12</v>
      </c>
      <c r="E36" s="1" t="s">
        <v>43</v>
      </c>
      <c r="G36" s="10"/>
      <c r="H36" s="26"/>
      <c r="I36" s="31">
        <v>161</v>
      </c>
      <c r="J36" s="32"/>
      <c r="K36" s="30">
        <f>(117+0.91/2)/K$29*35.3145</f>
        <v>86.14464376947042</v>
      </c>
      <c r="L36" s="31"/>
      <c r="M36" s="31"/>
    </row>
    <row r="37" spans="2:13" ht="12.75">
      <c r="B37" s="1" t="s">
        <v>104</v>
      </c>
      <c r="D37" s="1" t="s">
        <v>12</v>
      </c>
      <c r="E37" s="1" t="s">
        <v>43</v>
      </c>
      <c r="G37" s="10"/>
      <c r="H37" s="26"/>
      <c r="I37" s="30">
        <f>(189+5.19/2)/I$29*35.3145</f>
        <v>131.43126704545458</v>
      </c>
      <c r="J37" s="32"/>
      <c r="K37" s="30">
        <f>(107.4+5.18/2)/K$29*35.3145</f>
        <v>80.66961277258568</v>
      </c>
      <c r="L37" s="31"/>
      <c r="M37" s="31"/>
    </row>
    <row r="38" spans="8:13" ht="12.75">
      <c r="H38" s="26"/>
      <c r="I38" s="31"/>
      <c r="J38" s="32"/>
      <c r="K38" s="31"/>
      <c r="L38" s="31"/>
      <c r="M38" s="31"/>
    </row>
    <row r="39" spans="2:13" ht="12.75">
      <c r="B39" s="1" t="s">
        <v>99</v>
      </c>
      <c r="C39" s="1" t="s">
        <v>139</v>
      </c>
      <c r="D39" s="1" t="s">
        <v>12</v>
      </c>
      <c r="E39" s="1" t="s">
        <v>36</v>
      </c>
      <c r="G39" s="10"/>
      <c r="H39" s="26"/>
      <c r="I39" s="31">
        <f aca="true" t="shared" si="0" ref="I39:I44">I31*14/(21-$I$26)</f>
        <v>10.63008849557522</v>
      </c>
      <c r="J39" s="32"/>
      <c r="K39" s="31">
        <f>K31*14/(21-$K$26)</f>
        <v>13.504424778761061</v>
      </c>
      <c r="L39" s="31"/>
      <c r="M39" s="31">
        <f>AVERAGE(G39,I39,K39)</f>
        <v>12.067256637168141</v>
      </c>
    </row>
    <row r="40" spans="2:13" ht="12.75">
      <c r="B40" s="1" t="s">
        <v>100</v>
      </c>
      <c r="C40" s="1" t="s">
        <v>139</v>
      </c>
      <c r="D40" s="1" t="s">
        <v>12</v>
      </c>
      <c r="E40" s="1" t="s">
        <v>36</v>
      </c>
      <c r="G40" s="10"/>
      <c r="H40" s="26"/>
      <c r="I40" s="31">
        <f t="shared" si="0"/>
        <v>126.37168141592919</v>
      </c>
      <c r="J40" s="32"/>
      <c r="K40" s="30">
        <f>(97.25+5.18/2)/K$29*35.3145*(21-7)/(21-K$26)</f>
        <v>90.72164882970806</v>
      </c>
      <c r="L40" s="31"/>
      <c r="M40" s="31">
        <f aca="true" t="shared" si="1" ref="M40:M45">AVERAGE(G40,I40,K40)</f>
        <v>108.54666512281862</v>
      </c>
    </row>
    <row r="41" spans="2:13" ht="12.75">
      <c r="B41" s="1" t="s">
        <v>101</v>
      </c>
      <c r="C41" s="1" t="s">
        <v>139</v>
      </c>
      <c r="D41" s="1" t="s">
        <v>12</v>
      </c>
      <c r="E41" s="1" t="s">
        <v>36</v>
      </c>
      <c r="G41" s="10"/>
      <c r="H41" s="26"/>
      <c r="I41" s="31">
        <f t="shared" si="0"/>
        <v>29.858407079646017</v>
      </c>
      <c r="J41" s="32"/>
      <c r="K41" s="30">
        <f>(1.75/2+1.04)/K$29*35.3145*(21-7)/(21-K$26)</f>
        <v>1.7401037410746285</v>
      </c>
      <c r="L41" s="31"/>
      <c r="M41" s="31">
        <f t="shared" si="1"/>
        <v>15.799255410360322</v>
      </c>
    </row>
    <row r="42" spans="2:13" ht="12.75">
      <c r="B42" s="1" t="s">
        <v>102</v>
      </c>
      <c r="C42" s="1" t="s">
        <v>139</v>
      </c>
      <c r="D42" s="1" t="s">
        <v>12</v>
      </c>
      <c r="E42" s="1" t="s">
        <v>36</v>
      </c>
      <c r="G42" s="10"/>
      <c r="H42" s="26"/>
      <c r="I42" s="31">
        <f t="shared" si="0"/>
        <v>53.646017699115035</v>
      </c>
      <c r="J42" s="32"/>
      <c r="K42" s="31">
        <f>K34*14/(21-$K$26)</f>
        <v>60.584070796460175</v>
      </c>
      <c r="L42" s="31"/>
      <c r="M42" s="31">
        <f t="shared" si="1"/>
        <v>57.11504424778761</v>
      </c>
    </row>
    <row r="43" spans="2:13" ht="12.75">
      <c r="B43" s="1" t="s">
        <v>103</v>
      </c>
      <c r="C43" s="1" t="s">
        <v>139</v>
      </c>
      <c r="D43" s="1" t="s">
        <v>12</v>
      </c>
      <c r="E43" s="1" t="s">
        <v>36</v>
      </c>
      <c r="G43" s="10"/>
      <c r="I43" s="30">
        <f>(5.35+0.13/2)/I$29*35.3145*(21-7)/(21-I$26)</f>
        <v>4.6021691472244575</v>
      </c>
      <c r="J43" s="32"/>
      <c r="K43" s="30">
        <f>(3+0.13/2)/K$29*35.3145*(21-7)/(21-K$26)</f>
        <v>2.7850746560802806</v>
      </c>
      <c r="L43" s="31"/>
      <c r="M43" s="31">
        <f t="shared" si="1"/>
        <v>3.693621901652369</v>
      </c>
    </row>
    <row r="44" spans="2:13" ht="12.75">
      <c r="B44" s="1" t="s">
        <v>113</v>
      </c>
      <c r="C44" s="1" t="s">
        <v>139</v>
      </c>
      <c r="D44" s="1" t="s">
        <v>12</v>
      </c>
      <c r="E44" s="1" t="s">
        <v>36</v>
      </c>
      <c r="G44" s="10"/>
      <c r="H44" s="26"/>
      <c r="I44" s="31">
        <f t="shared" si="0"/>
        <v>199.46902654867256</v>
      </c>
      <c r="J44" s="32"/>
      <c r="K44" s="30">
        <f>(117+0.91/2)/K$29*35.3145*(21-7)/(21-K$26)</f>
        <v>106.72787723651201</v>
      </c>
      <c r="L44" s="31"/>
      <c r="M44" s="31">
        <f t="shared" si="1"/>
        <v>153.0984518925923</v>
      </c>
    </row>
    <row r="45" spans="2:13" ht="12.75">
      <c r="B45" s="1" t="s">
        <v>104</v>
      </c>
      <c r="C45" s="1" t="s">
        <v>139</v>
      </c>
      <c r="D45" s="1" t="s">
        <v>12</v>
      </c>
      <c r="E45" s="1" t="s">
        <v>36</v>
      </c>
      <c r="G45" s="10"/>
      <c r="H45" s="26"/>
      <c r="I45" s="30">
        <f>(189+5.19/2)/I$29*35.3145*(21-7)/(21-I$26)</f>
        <v>162.83519810941274</v>
      </c>
      <c r="J45" s="32"/>
      <c r="K45" s="30">
        <f>(107.4+5.18/2)/K$29*35.3145*(21-7)/(21-K$26)</f>
        <v>99.94465299258403</v>
      </c>
      <c r="L45" s="31"/>
      <c r="M45" s="31">
        <f t="shared" si="1"/>
        <v>131.38992555099838</v>
      </c>
    </row>
    <row r="46" spans="9:13" ht="12.75">
      <c r="I46" s="7"/>
      <c r="J46" s="25"/>
      <c r="K46" s="7"/>
      <c r="L46" s="7"/>
      <c r="M46" s="7"/>
    </row>
    <row r="47" spans="2:13" ht="12.75">
      <c r="B47" s="1" t="s">
        <v>5</v>
      </c>
      <c r="C47" s="1" t="s">
        <v>139</v>
      </c>
      <c r="D47" s="1" t="s">
        <v>12</v>
      </c>
      <c r="E47" s="1" t="s">
        <v>36</v>
      </c>
      <c r="G47" s="10"/>
      <c r="H47" s="26"/>
      <c r="I47" s="7">
        <f>I41+I40</f>
        <v>156.23008849557522</v>
      </c>
      <c r="J47" s="25"/>
      <c r="K47" s="7">
        <f>(K40+K41)</f>
        <v>92.46175257078269</v>
      </c>
      <c r="L47" s="7"/>
      <c r="M47" s="7">
        <f>AVERAGE(G47,I47,K47)</f>
        <v>124.34592053317895</v>
      </c>
    </row>
    <row r="48" spans="2:13" ht="12.75">
      <c r="B48" s="1" t="s">
        <v>6</v>
      </c>
      <c r="C48" s="1" t="s">
        <v>139</v>
      </c>
      <c r="D48" s="1" t="s">
        <v>12</v>
      </c>
      <c r="E48" s="1" t="s">
        <v>36</v>
      </c>
      <c r="G48" s="10"/>
      <c r="H48" s="26"/>
      <c r="I48" s="7">
        <f>I42+I43+I44</f>
        <v>257.71721339501204</v>
      </c>
      <c r="J48" s="25"/>
      <c r="K48" s="7">
        <f>K42+K43+K44</f>
        <v>170.09702268905247</v>
      </c>
      <c r="L48" s="7"/>
      <c r="M48" s="7">
        <f>AVERAGE(G48,I48,K48)</f>
        <v>213.90711804203227</v>
      </c>
    </row>
    <row r="50" spans="1:13" ht="12.75">
      <c r="A50" s="1">
        <v>11</v>
      </c>
      <c r="B50" s="13" t="s">
        <v>69</v>
      </c>
      <c r="C50" s="13"/>
      <c r="G50" s="2" t="s">
        <v>135</v>
      </c>
      <c r="I50" s="2" t="s">
        <v>136</v>
      </c>
      <c r="K50" s="2" t="s">
        <v>137</v>
      </c>
      <c r="L50" s="4"/>
      <c r="M50" s="2" t="s">
        <v>33</v>
      </c>
    </row>
    <row r="51" ht="12.75">
      <c r="M51" s="6"/>
    </row>
    <row r="52" spans="2:13" ht="12.75">
      <c r="B52" s="1" t="s">
        <v>111</v>
      </c>
      <c r="D52" s="1" t="s">
        <v>11</v>
      </c>
      <c r="E52" s="1" t="s">
        <v>36</v>
      </c>
      <c r="G52" s="1">
        <v>41.36</v>
      </c>
      <c r="I52" s="1">
        <v>43.27</v>
      </c>
      <c r="K52" s="1">
        <v>44.9</v>
      </c>
      <c r="M52" s="7">
        <f>AVERAGE(K52,I52,G52)</f>
        <v>43.17666666666667</v>
      </c>
    </row>
    <row r="53" spans="2:13" ht="12.75">
      <c r="B53" s="1" t="s">
        <v>112</v>
      </c>
      <c r="D53" s="1" t="s">
        <v>11</v>
      </c>
      <c r="E53" s="1" t="s">
        <v>36</v>
      </c>
      <c r="G53" s="10">
        <v>41.53</v>
      </c>
      <c r="H53" s="26"/>
      <c r="I53" s="10">
        <v>43.14</v>
      </c>
      <c r="J53" s="26"/>
      <c r="K53" s="10">
        <v>44.96</v>
      </c>
      <c r="L53" s="10"/>
      <c r="M53" s="7">
        <f>AVERAGE(K53,I53,G53)</f>
        <v>43.21</v>
      </c>
    </row>
    <row r="54" spans="7:13" ht="12.75">
      <c r="G54" s="10"/>
      <c r="H54" s="26"/>
      <c r="I54" s="10"/>
      <c r="J54" s="26"/>
      <c r="K54" s="10"/>
      <c r="L54" s="8"/>
      <c r="M54" s="8"/>
    </row>
    <row r="55" spans="7:13" ht="12.75">
      <c r="G55" s="10"/>
      <c r="H55" s="26"/>
      <c r="I55" s="10"/>
      <c r="J55" s="26"/>
      <c r="K55" s="10"/>
      <c r="L55" s="10"/>
      <c r="M55" s="10"/>
    </row>
    <row r="59" ht="12.75">
      <c r="M59" s="6"/>
    </row>
    <row r="62" spans="7:13" ht="12.75">
      <c r="G62" s="10"/>
      <c r="H62" s="26"/>
      <c r="I62" s="10"/>
      <c r="J62" s="26"/>
      <c r="K62" s="10"/>
      <c r="L62" s="10"/>
      <c r="M62" s="10"/>
    </row>
    <row r="69" spans="7:13" ht="12.75">
      <c r="G69" s="10"/>
      <c r="H69" s="26"/>
      <c r="I69" s="10"/>
      <c r="J69" s="26"/>
      <c r="K69" s="10"/>
      <c r="L69" s="8"/>
      <c r="M69" s="7"/>
    </row>
    <row r="72" ht="12.75">
      <c r="M72" s="19"/>
    </row>
    <row r="73" ht="12.75">
      <c r="M73" s="20"/>
    </row>
    <row r="74" ht="12.75">
      <c r="M74" s="19"/>
    </row>
    <row r="75" ht="12.75">
      <c r="M75" s="7"/>
    </row>
    <row r="76" ht="12.75">
      <c r="M76" s="8"/>
    </row>
    <row r="77" ht="12.75">
      <c r="M77" s="7"/>
    </row>
    <row r="78" ht="12.75">
      <c r="M78" s="7"/>
    </row>
    <row r="80" ht="12.75">
      <c r="M80" s="7"/>
    </row>
    <row r="81" ht="12.75">
      <c r="M81" s="7"/>
    </row>
    <row r="84" ht="12.75"/>
    <row r="85" ht="12.75"/>
    <row r="86" ht="12.75"/>
    <row r="87" ht="12.75"/>
    <row r="88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55"/>
  <sheetViews>
    <sheetView zoomScale="75" zoomScaleNormal="75"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18.140625" style="1" customWidth="1"/>
    <col min="3" max="3" width="2.7109375" style="1" customWidth="1"/>
    <col min="4" max="4" width="9.28125" style="1" customWidth="1"/>
    <col min="5" max="5" width="4.00390625" style="1" customWidth="1"/>
    <col min="6" max="6" width="8.8515625" style="1" customWidth="1"/>
    <col min="7" max="7" width="4.28125" style="1" customWidth="1"/>
    <col min="8" max="8" width="8.421875" style="1" customWidth="1"/>
    <col min="9" max="9" width="4.28125" style="1" customWidth="1"/>
    <col min="10" max="10" width="10.7109375" style="1" customWidth="1"/>
    <col min="11" max="11" width="3.7109375" style="1" customWidth="1"/>
    <col min="12" max="12" width="8.421875" style="1" customWidth="1"/>
    <col min="13" max="13" width="3.7109375" style="1" customWidth="1"/>
    <col min="14" max="14" width="10.28125" style="1" customWidth="1"/>
    <col min="15" max="15" width="3.8515625" style="1" customWidth="1"/>
    <col min="16" max="16" width="11.8515625" style="1" customWidth="1"/>
    <col min="17" max="17" width="4.140625" style="1" customWidth="1"/>
    <col min="18" max="18" width="11.8515625" style="1" customWidth="1"/>
    <col min="19" max="19" width="3.8515625" style="1" customWidth="1"/>
    <col min="20" max="20" width="12.00390625" style="1" customWidth="1"/>
    <col min="21" max="21" width="4.7109375" style="1" customWidth="1"/>
    <col min="22" max="22" width="9.8515625" style="1" customWidth="1"/>
    <col min="23" max="23" width="4.00390625" style="1" customWidth="1"/>
    <col min="24" max="24" width="8.57421875" style="1" customWidth="1"/>
    <col min="25" max="25" width="4.140625" style="1" customWidth="1"/>
    <col min="26" max="26" width="10.57421875" style="1" customWidth="1"/>
    <col min="27" max="27" width="3.7109375" style="1" customWidth="1"/>
    <col min="28" max="28" width="8.7109375" style="1" customWidth="1"/>
    <col min="29" max="29" width="3.7109375" style="1" customWidth="1"/>
    <col min="30" max="30" width="8.7109375" style="1" customWidth="1"/>
    <col min="31" max="31" width="2.8515625" style="1" customWidth="1"/>
    <col min="32" max="32" width="8.28125" style="1" customWidth="1"/>
    <col min="33" max="33" width="3.140625" style="1" customWidth="1"/>
    <col min="34" max="34" width="10.8515625" style="1" customWidth="1"/>
    <col min="35" max="35" width="3.421875" style="1" customWidth="1"/>
    <col min="36" max="36" width="9.28125" style="1" customWidth="1"/>
    <col min="37" max="37" width="3.421875" style="1" customWidth="1"/>
    <col min="38" max="38" width="8.140625" style="1" customWidth="1"/>
    <col min="39" max="39" width="3.421875" style="1" customWidth="1"/>
    <col min="40" max="40" width="10.28125" style="1" customWidth="1"/>
    <col min="41" max="16384" width="11.421875" style="1" customWidth="1"/>
  </cols>
  <sheetData>
    <row r="1" spans="2:3" ht="12.75">
      <c r="B1" s="13" t="s">
        <v>70</v>
      </c>
      <c r="C1" s="13"/>
    </row>
    <row r="2" ht="12.75" customHeight="1"/>
    <row r="3" ht="12.75" customHeight="1"/>
    <row r="4" spans="2:40" ht="12.75">
      <c r="B4" s="13" t="s">
        <v>115</v>
      </c>
      <c r="D4" s="1" t="s">
        <v>32</v>
      </c>
      <c r="F4" s="1" t="s">
        <v>135</v>
      </c>
      <c r="H4" s="1" t="s">
        <v>136</v>
      </c>
      <c r="J4" s="1" t="s">
        <v>33</v>
      </c>
      <c r="L4" s="1" t="s">
        <v>135</v>
      </c>
      <c r="N4" s="1" t="s">
        <v>136</v>
      </c>
      <c r="P4" s="1" t="s">
        <v>33</v>
      </c>
      <c r="R4" s="1" t="s">
        <v>135</v>
      </c>
      <c r="T4" s="1" t="s">
        <v>136</v>
      </c>
      <c r="V4" s="1" t="s">
        <v>33</v>
      </c>
      <c r="X4" s="1" t="s">
        <v>135</v>
      </c>
      <c r="Z4" s="1" t="s">
        <v>136</v>
      </c>
      <c r="AB4" s="1" t="s">
        <v>33</v>
      </c>
      <c r="AD4" s="1" t="s">
        <v>135</v>
      </c>
      <c r="AF4" s="1" t="s">
        <v>136</v>
      </c>
      <c r="AH4" s="1" t="s">
        <v>33</v>
      </c>
      <c r="AJ4" s="1" t="s">
        <v>135</v>
      </c>
      <c r="AL4" s="1" t="s">
        <v>136</v>
      </c>
      <c r="AN4" s="1" t="s">
        <v>33</v>
      </c>
    </row>
    <row r="5" spans="5:9" ht="12.75">
      <c r="E5" s="12"/>
      <c r="F5" s="12"/>
      <c r="G5" s="12"/>
      <c r="H5" s="12"/>
      <c r="I5" s="12"/>
    </row>
    <row r="6" spans="1:40" ht="12.75">
      <c r="A6" s="1" t="s">
        <v>116</v>
      </c>
      <c r="B6" s="1" t="s">
        <v>145</v>
      </c>
      <c r="C6" s="13"/>
      <c r="F6" s="2" t="s">
        <v>147</v>
      </c>
      <c r="H6" s="2" t="s">
        <v>147</v>
      </c>
      <c r="J6" s="2" t="s">
        <v>147</v>
      </c>
      <c r="L6" s="2" t="s">
        <v>149</v>
      </c>
      <c r="N6" s="2" t="s">
        <v>149</v>
      </c>
      <c r="P6" s="2" t="s">
        <v>149</v>
      </c>
      <c r="R6" s="2" t="s">
        <v>150</v>
      </c>
      <c r="T6" s="2" t="s">
        <v>150</v>
      </c>
      <c r="V6" s="2" t="s">
        <v>150</v>
      </c>
      <c r="AD6" s="2" t="s">
        <v>152</v>
      </c>
      <c r="AF6" s="2" t="s">
        <v>152</v>
      </c>
      <c r="AH6" s="2" t="s">
        <v>152</v>
      </c>
      <c r="AJ6" s="1" t="s">
        <v>153</v>
      </c>
      <c r="AL6" s="1" t="s">
        <v>153</v>
      </c>
      <c r="AN6" s="1" t="s">
        <v>153</v>
      </c>
    </row>
    <row r="7" spans="2:40" ht="12.75">
      <c r="B7" s="1" t="s">
        <v>146</v>
      </c>
      <c r="F7" s="2" t="s">
        <v>58</v>
      </c>
      <c r="H7" s="2" t="s">
        <v>58</v>
      </c>
      <c r="J7" s="2" t="s">
        <v>58</v>
      </c>
      <c r="L7" s="2" t="s">
        <v>148</v>
      </c>
      <c r="N7" s="2" t="s">
        <v>148</v>
      </c>
      <c r="P7" s="2" t="s">
        <v>148</v>
      </c>
      <c r="R7" s="2" t="s">
        <v>151</v>
      </c>
      <c r="T7" s="2" t="s">
        <v>151</v>
      </c>
      <c r="V7" s="2" t="s">
        <v>151</v>
      </c>
      <c r="AD7" s="2" t="s">
        <v>13</v>
      </c>
      <c r="AF7" s="2" t="s">
        <v>13</v>
      </c>
      <c r="AH7" s="2" t="s">
        <v>13</v>
      </c>
      <c r="AJ7" s="1" t="s">
        <v>41</v>
      </c>
      <c r="AL7" s="1" t="s">
        <v>41</v>
      </c>
      <c r="AN7" s="1" t="s">
        <v>41</v>
      </c>
    </row>
    <row r="8" spans="2:40" ht="12.75">
      <c r="B8" s="1" t="s">
        <v>155</v>
      </c>
      <c r="F8" s="2" t="s">
        <v>58</v>
      </c>
      <c r="H8" s="2" t="s">
        <v>58</v>
      </c>
      <c r="J8" s="2" t="s">
        <v>58</v>
      </c>
      <c r="L8" s="2"/>
      <c r="N8" s="2"/>
      <c r="P8" s="2"/>
      <c r="R8" s="2"/>
      <c r="T8" s="2"/>
      <c r="V8" s="2"/>
      <c r="X8" s="1" t="s">
        <v>1</v>
      </c>
      <c r="Z8" s="1" t="s">
        <v>1</v>
      </c>
      <c r="AB8" s="1" t="s">
        <v>1</v>
      </c>
      <c r="AD8" s="2" t="s">
        <v>13</v>
      </c>
      <c r="AF8" s="2" t="s">
        <v>13</v>
      </c>
      <c r="AH8" s="2" t="s">
        <v>13</v>
      </c>
      <c r="AJ8" s="1" t="s">
        <v>41</v>
      </c>
      <c r="AL8" s="1" t="s">
        <v>41</v>
      </c>
      <c r="AN8" s="1" t="s">
        <v>41</v>
      </c>
    </row>
    <row r="9" spans="2:40" ht="12.75">
      <c r="B9" s="1" t="s">
        <v>119</v>
      </c>
      <c r="F9" s="21" t="s">
        <v>58</v>
      </c>
      <c r="H9" s="21" t="s">
        <v>58</v>
      </c>
      <c r="J9" s="21" t="s">
        <v>58</v>
      </c>
      <c r="K9" s="21"/>
      <c r="L9" s="21" t="s">
        <v>59</v>
      </c>
      <c r="M9" s="21"/>
      <c r="N9" s="21" t="s">
        <v>59</v>
      </c>
      <c r="O9" s="21"/>
      <c r="P9" s="21" t="s">
        <v>59</v>
      </c>
      <c r="Q9" s="21"/>
      <c r="R9" s="21" t="s">
        <v>60</v>
      </c>
      <c r="S9" s="21"/>
      <c r="T9" s="21" t="s">
        <v>60</v>
      </c>
      <c r="U9" s="21"/>
      <c r="V9" s="21" t="s">
        <v>60</v>
      </c>
      <c r="W9" s="21"/>
      <c r="X9" s="21"/>
      <c r="Y9" s="21"/>
      <c r="Z9" s="21"/>
      <c r="AA9" s="21"/>
      <c r="AB9" s="21"/>
      <c r="AC9" s="21"/>
      <c r="AD9" s="21" t="s">
        <v>13</v>
      </c>
      <c r="AE9" s="21"/>
      <c r="AF9" s="21" t="s">
        <v>13</v>
      </c>
      <c r="AG9" s="21"/>
      <c r="AH9" s="21" t="s">
        <v>13</v>
      </c>
      <c r="AI9" s="21"/>
      <c r="AJ9" s="21" t="s">
        <v>41</v>
      </c>
      <c r="AK9" s="21"/>
      <c r="AL9" s="21" t="s">
        <v>41</v>
      </c>
      <c r="AM9" s="21"/>
      <c r="AN9" s="21" t="s">
        <v>41</v>
      </c>
    </row>
    <row r="10" spans="2:40" ht="12.75">
      <c r="B10" s="1" t="s">
        <v>118</v>
      </c>
      <c r="D10" s="1" t="s">
        <v>125</v>
      </c>
      <c r="F10" s="1">
        <v>25914</v>
      </c>
      <c r="H10" s="1">
        <v>24723</v>
      </c>
      <c r="J10" s="6">
        <f>AVERAGE(H10,F10)</f>
        <v>25318.5</v>
      </c>
      <c r="K10" s="6"/>
      <c r="L10" s="6">
        <v>19819</v>
      </c>
      <c r="M10" s="6"/>
      <c r="N10" s="6">
        <v>18998</v>
      </c>
      <c r="O10" s="6"/>
      <c r="P10" s="6">
        <f>19512</f>
        <v>19512</v>
      </c>
      <c r="Q10" s="6"/>
      <c r="R10" s="6">
        <v>3614</v>
      </c>
      <c r="S10" s="6"/>
      <c r="T10" s="6">
        <v>3971</v>
      </c>
      <c r="U10" s="6"/>
      <c r="V10" s="6">
        <f>3747</f>
        <v>3747</v>
      </c>
      <c r="W10" s="6"/>
      <c r="X10" s="6"/>
      <c r="Y10" s="6"/>
      <c r="Z10" s="6"/>
      <c r="AA10" s="6"/>
      <c r="AB10" s="6"/>
      <c r="AC10" s="6"/>
      <c r="AD10" s="6">
        <f>605.5+274.5+66</f>
        <v>946</v>
      </c>
      <c r="AE10" s="6"/>
      <c r="AF10" s="6">
        <f>600+267.9+70.8</f>
        <v>938.6999999999999</v>
      </c>
      <c r="AG10" s="6"/>
      <c r="AH10" s="22">
        <f>(67.8+272.1+603.4)</f>
        <v>943.3</v>
      </c>
      <c r="AI10" s="22"/>
      <c r="AJ10" s="22"/>
      <c r="AK10" s="22"/>
      <c r="AL10" s="22"/>
      <c r="AM10" s="22"/>
      <c r="AN10" s="6"/>
    </row>
    <row r="11" spans="2:40" ht="12.75">
      <c r="B11" s="1" t="s">
        <v>159</v>
      </c>
      <c r="D11" s="1" t="s">
        <v>37</v>
      </c>
      <c r="F11" s="1">
        <v>13139</v>
      </c>
      <c r="H11" s="1">
        <v>13252</v>
      </c>
      <c r="J11" s="6">
        <f>AVERAGE(H11,F11)</f>
        <v>13195.5</v>
      </c>
      <c r="K11" s="6"/>
      <c r="L11" s="6">
        <v>1146</v>
      </c>
      <c r="M11" s="6"/>
      <c r="N11" s="6">
        <v>1120</v>
      </c>
      <c r="O11" s="6"/>
      <c r="P11" s="6">
        <v>1133</v>
      </c>
      <c r="Q11" s="6"/>
      <c r="R11" s="6">
        <v>11990</v>
      </c>
      <c r="S11" s="6"/>
      <c r="T11" s="6">
        <v>15667</v>
      </c>
      <c r="U11" s="6"/>
      <c r="V11" s="6">
        <v>13829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22"/>
      <c r="AI11" s="22"/>
      <c r="AJ11" s="22"/>
      <c r="AK11" s="22"/>
      <c r="AL11" s="22"/>
      <c r="AM11" s="22"/>
      <c r="AN11" s="6"/>
    </row>
    <row r="12" spans="2:40" ht="12.75">
      <c r="B12" s="1" t="s">
        <v>8</v>
      </c>
      <c r="D12" s="1" t="s">
        <v>125</v>
      </c>
      <c r="F12" s="1">
        <v>2205</v>
      </c>
      <c r="H12" s="1">
        <v>2188</v>
      </c>
      <c r="J12" s="6">
        <v>2199</v>
      </c>
      <c r="K12" s="6"/>
      <c r="L12" s="6">
        <v>456</v>
      </c>
      <c r="M12" s="6"/>
      <c r="N12" s="6">
        <v>437</v>
      </c>
      <c r="O12" s="6"/>
      <c r="P12" s="6">
        <v>449</v>
      </c>
      <c r="Q12" s="6" t="s">
        <v>73</v>
      </c>
      <c r="R12" s="10">
        <v>3.61</v>
      </c>
      <c r="S12" s="6" t="s">
        <v>73</v>
      </c>
      <c r="T12" s="10">
        <v>3.97</v>
      </c>
      <c r="U12" s="6"/>
      <c r="V12" s="8">
        <f>AVERAGE(T12,R12)</f>
        <v>3.79</v>
      </c>
      <c r="W12" s="6"/>
      <c r="X12" s="6"/>
      <c r="Y12" s="6"/>
      <c r="Z12" s="6"/>
      <c r="AA12" s="6"/>
      <c r="AB12" s="6"/>
      <c r="AC12" s="6"/>
      <c r="AD12" s="6">
        <f>3270-R12-L12-F12</f>
        <v>605.3899999999999</v>
      </c>
      <c r="AE12" s="6"/>
      <c r="AF12" s="6">
        <f>3229-T12-N12-H12</f>
        <v>600.0300000000002</v>
      </c>
      <c r="AG12" s="6"/>
      <c r="AH12" s="22">
        <f>3255-J12-P12-V12</f>
        <v>603.21</v>
      </c>
      <c r="AI12" s="22"/>
      <c r="AJ12" s="22"/>
      <c r="AK12" s="22"/>
      <c r="AL12" s="22"/>
      <c r="AM12" s="22"/>
      <c r="AN12" s="6"/>
    </row>
    <row r="13" spans="2:40" ht="12.75">
      <c r="B13" s="1" t="s">
        <v>38</v>
      </c>
      <c r="D13" s="1" t="s">
        <v>125</v>
      </c>
      <c r="F13" s="1">
        <v>7.77</v>
      </c>
      <c r="H13" s="1">
        <v>7.42</v>
      </c>
      <c r="J13" s="10">
        <f aca="true" t="shared" si="0" ref="J13:J23">AVERAGE(H13,F13)</f>
        <v>7.595</v>
      </c>
      <c r="K13" s="6"/>
      <c r="L13" s="6">
        <v>1.98</v>
      </c>
      <c r="M13" s="6"/>
      <c r="N13" s="6">
        <v>3.8</v>
      </c>
      <c r="O13" s="6"/>
      <c r="P13" s="10">
        <f aca="true" t="shared" si="1" ref="P13:P23">AVERAGE(N13,L13)</f>
        <v>2.8899999999999997</v>
      </c>
      <c r="Q13" s="6"/>
      <c r="R13" s="17">
        <v>0.361</v>
      </c>
      <c r="S13" s="6"/>
      <c r="T13" s="17">
        <v>1.19</v>
      </c>
      <c r="U13" s="6"/>
      <c r="V13" s="8">
        <f aca="true" t="shared" si="2" ref="V13:V23">AVERAGE(T13,R13)</f>
        <v>0.7755</v>
      </c>
      <c r="W13" s="6"/>
      <c r="X13" s="6"/>
      <c r="Y13" s="6"/>
      <c r="Z13" s="6"/>
      <c r="AA13" s="6"/>
      <c r="AB13" s="6"/>
      <c r="AC13" s="6"/>
      <c r="AD13" s="6">
        <v>52.7</v>
      </c>
      <c r="AE13" s="6"/>
      <c r="AF13" s="6">
        <v>52.8</v>
      </c>
      <c r="AG13" s="6"/>
      <c r="AH13" s="22">
        <f>52.7</f>
        <v>52.7</v>
      </c>
      <c r="AI13" s="22"/>
      <c r="AJ13" s="22"/>
      <c r="AK13" s="22"/>
      <c r="AL13" s="22"/>
      <c r="AM13" s="22"/>
      <c r="AN13" s="6"/>
    </row>
    <row r="14" spans="2:40" ht="12.75">
      <c r="B14" s="1" t="s">
        <v>104</v>
      </c>
      <c r="D14" s="1" t="s">
        <v>125</v>
      </c>
      <c r="E14" s="1" t="s">
        <v>73</v>
      </c>
      <c r="F14" s="1">
        <v>0.0176</v>
      </c>
      <c r="G14" s="1" t="s">
        <v>73</v>
      </c>
      <c r="H14" s="1">
        <v>0.0176</v>
      </c>
      <c r="J14" s="10">
        <f t="shared" si="0"/>
        <v>0.0176</v>
      </c>
      <c r="K14" s="10"/>
      <c r="L14" s="10">
        <v>0.0935</v>
      </c>
      <c r="M14" s="10"/>
      <c r="N14" s="10">
        <v>0.0771</v>
      </c>
      <c r="O14" s="10"/>
      <c r="P14" s="10">
        <f t="shared" si="1"/>
        <v>0.0853</v>
      </c>
      <c r="Q14" s="10" t="s">
        <v>73</v>
      </c>
      <c r="R14" s="17">
        <v>0.00343</v>
      </c>
      <c r="S14" s="10" t="s">
        <v>73</v>
      </c>
      <c r="T14" s="17">
        <v>0.00377</v>
      </c>
      <c r="U14" s="10"/>
      <c r="V14" s="8">
        <f t="shared" si="2"/>
        <v>0.0036</v>
      </c>
      <c r="W14" s="10"/>
      <c r="X14" s="10"/>
      <c r="Y14" s="10"/>
      <c r="Z14" s="10"/>
      <c r="AA14" s="10"/>
      <c r="AB14" s="10"/>
      <c r="AC14" s="10"/>
      <c r="AD14" s="10">
        <v>1.33</v>
      </c>
      <c r="AE14" s="10"/>
      <c r="AF14" s="10">
        <v>1.42</v>
      </c>
      <c r="AG14" s="10"/>
      <c r="AH14" s="23">
        <f>AVERAGE(AF14,AD14)</f>
        <v>1.375</v>
      </c>
      <c r="AI14" s="23"/>
      <c r="AJ14" s="23"/>
      <c r="AK14" s="23"/>
      <c r="AL14" s="23"/>
      <c r="AM14" s="23"/>
      <c r="AN14" s="10"/>
    </row>
    <row r="15" spans="2:40" ht="12.75">
      <c r="B15" s="1" t="s">
        <v>102</v>
      </c>
      <c r="D15" s="1" t="s">
        <v>125</v>
      </c>
      <c r="F15" s="1">
        <v>0.16</v>
      </c>
      <c r="H15" s="1">
        <v>0.144</v>
      </c>
      <c r="J15" s="10">
        <f t="shared" si="0"/>
        <v>0.152</v>
      </c>
      <c r="K15" s="10"/>
      <c r="L15" s="10">
        <v>0.16</v>
      </c>
      <c r="M15" s="10"/>
      <c r="N15" s="10">
        <v>0.188</v>
      </c>
      <c r="O15" s="10"/>
      <c r="P15" s="10">
        <f t="shared" si="1"/>
        <v>0.174</v>
      </c>
      <c r="Q15" s="10" t="s">
        <v>73</v>
      </c>
      <c r="R15" s="17">
        <v>0.00343</v>
      </c>
      <c r="S15" s="10" t="s">
        <v>73</v>
      </c>
      <c r="T15" s="17">
        <v>0.00377</v>
      </c>
      <c r="U15" s="10"/>
      <c r="V15" s="8">
        <f t="shared" si="2"/>
        <v>0.0036</v>
      </c>
      <c r="W15" s="10"/>
      <c r="X15" s="10"/>
      <c r="Y15" s="10"/>
      <c r="Z15" s="10"/>
      <c r="AA15" s="10"/>
      <c r="AB15" s="10"/>
      <c r="AC15" s="10"/>
      <c r="AD15" s="10">
        <v>0.376</v>
      </c>
      <c r="AE15" s="10"/>
      <c r="AF15" s="10">
        <v>0.404</v>
      </c>
      <c r="AG15" s="10"/>
      <c r="AH15" s="23">
        <f aca="true" t="shared" si="3" ref="AH15:AH23">AVERAGE(AF15,AD15)</f>
        <v>0.39</v>
      </c>
      <c r="AI15" s="23"/>
      <c r="AJ15" s="23"/>
      <c r="AK15" s="23"/>
      <c r="AL15" s="23"/>
      <c r="AM15" s="23"/>
      <c r="AN15" s="10"/>
    </row>
    <row r="16" spans="2:40" ht="12.75">
      <c r="B16" s="1" t="s">
        <v>122</v>
      </c>
      <c r="D16" s="1" t="s">
        <v>125</v>
      </c>
      <c r="F16" s="1">
        <v>1.94</v>
      </c>
      <c r="H16" s="1">
        <v>1.93</v>
      </c>
      <c r="J16" s="10">
        <f t="shared" si="0"/>
        <v>1.935</v>
      </c>
      <c r="K16" s="10"/>
      <c r="L16" s="10">
        <v>0.335</v>
      </c>
      <c r="M16" s="10"/>
      <c r="N16" s="10">
        <v>0.33</v>
      </c>
      <c r="O16" s="10"/>
      <c r="P16" s="10">
        <f t="shared" si="1"/>
        <v>0.3325</v>
      </c>
      <c r="Q16" s="10" t="s">
        <v>73</v>
      </c>
      <c r="R16" s="17">
        <v>0.000108</v>
      </c>
      <c r="S16" s="10" t="s">
        <v>73</v>
      </c>
      <c r="T16" s="17">
        <v>0.000119</v>
      </c>
      <c r="U16" s="10"/>
      <c r="V16" s="11">
        <f t="shared" si="2"/>
        <v>0.0001135</v>
      </c>
      <c r="W16" s="10"/>
      <c r="X16" s="10"/>
      <c r="Y16" s="10"/>
      <c r="Z16" s="10"/>
      <c r="AA16" s="10"/>
      <c r="AB16" s="10"/>
      <c r="AC16" s="10"/>
      <c r="AD16" s="10">
        <v>4.67</v>
      </c>
      <c r="AE16" s="10"/>
      <c r="AF16" s="10">
        <v>5.01</v>
      </c>
      <c r="AG16" s="10"/>
      <c r="AH16" s="23">
        <f t="shared" si="3"/>
        <v>4.84</v>
      </c>
      <c r="AI16" s="23"/>
      <c r="AJ16" s="23"/>
      <c r="AK16" s="23"/>
      <c r="AL16" s="23"/>
      <c r="AM16" s="23"/>
      <c r="AN16" s="10"/>
    </row>
    <row r="17" spans="2:40" ht="12.75">
      <c r="B17" s="1" t="s">
        <v>103</v>
      </c>
      <c r="D17" s="1" t="s">
        <v>125</v>
      </c>
      <c r="F17" s="1">
        <v>0.0591</v>
      </c>
      <c r="H17" s="1">
        <v>0.0603</v>
      </c>
      <c r="J17" s="10">
        <f t="shared" si="0"/>
        <v>0.0597</v>
      </c>
      <c r="K17" s="10"/>
      <c r="L17" s="17">
        <v>0.00277</v>
      </c>
      <c r="M17" s="17"/>
      <c r="N17" s="17">
        <v>0.00247</v>
      </c>
      <c r="O17" s="17"/>
      <c r="P17" s="17">
        <f t="shared" si="1"/>
        <v>0.00262</v>
      </c>
      <c r="Q17" s="10" t="s">
        <v>73</v>
      </c>
      <c r="R17" s="17">
        <v>0.000108</v>
      </c>
      <c r="S17" s="10" t="s">
        <v>73</v>
      </c>
      <c r="T17" s="17">
        <v>0.000119</v>
      </c>
      <c r="U17" s="10"/>
      <c r="V17" s="11">
        <f t="shared" si="2"/>
        <v>0.0001135</v>
      </c>
      <c r="W17" s="10"/>
      <c r="X17" s="10"/>
      <c r="Y17" s="10"/>
      <c r="Z17" s="10"/>
      <c r="AA17" s="10"/>
      <c r="AB17" s="10"/>
      <c r="AC17" s="10"/>
      <c r="AD17" s="10">
        <v>0.0317</v>
      </c>
      <c r="AE17" s="10"/>
      <c r="AF17" s="10">
        <v>0.034</v>
      </c>
      <c r="AG17" s="10"/>
      <c r="AH17" s="23">
        <f t="shared" si="3"/>
        <v>0.032850000000000004</v>
      </c>
      <c r="AI17" s="23"/>
      <c r="AJ17" s="23"/>
      <c r="AK17" s="23"/>
      <c r="AL17" s="23"/>
      <c r="AM17" s="23"/>
      <c r="AN17" s="10"/>
    </row>
    <row r="18" spans="2:40" ht="12.75">
      <c r="B18" s="1" t="s">
        <v>101</v>
      </c>
      <c r="D18" s="1" t="s">
        <v>125</v>
      </c>
      <c r="E18" s="1" t="s">
        <v>73</v>
      </c>
      <c r="F18" s="1">
        <v>0.00077</v>
      </c>
      <c r="G18" s="1" t="s">
        <v>73</v>
      </c>
      <c r="H18" s="1">
        <v>0.000742</v>
      </c>
      <c r="J18" s="17">
        <f t="shared" si="0"/>
        <v>0.0007559999999999999</v>
      </c>
      <c r="K18" s="10"/>
      <c r="L18" s="10">
        <v>0.00634</v>
      </c>
      <c r="M18" s="10"/>
      <c r="N18" s="10">
        <v>0.00418</v>
      </c>
      <c r="O18" s="10"/>
      <c r="P18" s="10">
        <f t="shared" si="1"/>
        <v>0.00526</v>
      </c>
      <c r="Q18" s="10" t="s">
        <v>73</v>
      </c>
      <c r="R18" s="17">
        <v>0.000361</v>
      </c>
      <c r="S18" s="10" t="s">
        <v>73</v>
      </c>
      <c r="T18" s="17">
        <v>0.000397</v>
      </c>
      <c r="U18" s="10"/>
      <c r="V18" s="11">
        <f t="shared" si="2"/>
        <v>0.000379</v>
      </c>
      <c r="W18" s="10"/>
      <c r="X18" s="10"/>
      <c r="Y18" s="10"/>
      <c r="Z18" s="10"/>
      <c r="AA18" s="10"/>
      <c r="AB18" s="10"/>
      <c r="AC18" s="10"/>
      <c r="AD18" s="10">
        <v>0.0878</v>
      </c>
      <c r="AE18" s="10"/>
      <c r="AF18" s="10">
        <v>0.0942</v>
      </c>
      <c r="AG18" s="10"/>
      <c r="AH18" s="23">
        <f t="shared" si="3"/>
        <v>0.091</v>
      </c>
      <c r="AI18" s="23"/>
      <c r="AJ18" s="23"/>
      <c r="AK18" s="23"/>
      <c r="AL18" s="23"/>
      <c r="AM18" s="23"/>
      <c r="AN18" s="10"/>
    </row>
    <row r="19" spans="2:40" ht="12.75">
      <c r="B19" s="1" t="s">
        <v>113</v>
      </c>
      <c r="D19" s="1" t="s">
        <v>125</v>
      </c>
      <c r="F19" s="1">
        <v>0.404</v>
      </c>
      <c r="H19" s="1">
        <v>0.396</v>
      </c>
      <c r="J19" s="10">
        <f t="shared" si="0"/>
        <v>0.4</v>
      </c>
      <c r="K19" s="10"/>
      <c r="L19" s="10">
        <v>1.23</v>
      </c>
      <c r="M19" s="10"/>
      <c r="N19" s="10">
        <v>1.1</v>
      </c>
      <c r="O19" s="10"/>
      <c r="P19" s="10">
        <f t="shared" si="1"/>
        <v>1.165</v>
      </c>
      <c r="Q19" s="10"/>
      <c r="R19" s="17">
        <v>0.00116</v>
      </c>
      <c r="S19" s="10"/>
      <c r="T19" s="17">
        <v>0.00127</v>
      </c>
      <c r="U19" s="10"/>
      <c r="V19" s="8">
        <f t="shared" si="2"/>
        <v>0.001215</v>
      </c>
      <c r="W19" s="10"/>
      <c r="X19" s="10"/>
      <c r="Y19" s="10"/>
      <c r="Z19" s="10"/>
      <c r="AA19" s="10"/>
      <c r="AB19" s="10"/>
      <c r="AC19" s="10"/>
      <c r="AD19" s="10">
        <v>6.84</v>
      </c>
      <c r="AE19" s="10"/>
      <c r="AF19" s="10">
        <v>7.34</v>
      </c>
      <c r="AG19" s="10"/>
      <c r="AH19" s="23">
        <f t="shared" si="3"/>
        <v>7.09</v>
      </c>
      <c r="AI19" s="23"/>
      <c r="AJ19" s="23"/>
      <c r="AK19" s="23"/>
      <c r="AL19" s="23"/>
      <c r="AM19" s="23"/>
      <c r="AN19" s="10"/>
    </row>
    <row r="20" spans="2:40" ht="12.75">
      <c r="B20" s="1" t="s">
        <v>100</v>
      </c>
      <c r="D20" s="1" t="s">
        <v>125</v>
      </c>
      <c r="E20" s="1" t="s">
        <v>73</v>
      </c>
      <c r="F20" s="1">
        <v>0.0529</v>
      </c>
      <c r="G20" s="1" t="s">
        <v>73</v>
      </c>
      <c r="H20" s="1">
        <v>0.0524</v>
      </c>
      <c r="J20" s="10">
        <f t="shared" si="0"/>
        <v>0.05265</v>
      </c>
      <c r="K20" s="10"/>
      <c r="L20" s="10">
        <v>0.253</v>
      </c>
      <c r="M20" s="10"/>
      <c r="N20" s="10">
        <v>0.227</v>
      </c>
      <c r="O20" s="10"/>
      <c r="P20" s="10">
        <f t="shared" si="1"/>
        <v>0.24</v>
      </c>
      <c r="Q20" s="10" t="s">
        <v>73</v>
      </c>
      <c r="R20" s="17">
        <v>0.00343</v>
      </c>
      <c r="S20" s="10" t="s">
        <v>73</v>
      </c>
      <c r="T20" s="17">
        <v>0.00377</v>
      </c>
      <c r="U20" s="10"/>
      <c r="V20" s="8">
        <f t="shared" si="2"/>
        <v>0.0036</v>
      </c>
      <c r="W20" s="10"/>
      <c r="X20" s="10"/>
      <c r="Y20" s="10"/>
      <c r="Z20" s="10"/>
      <c r="AA20" s="10"/>
      <c r="AB20" s="10"/>
      <c r="AC20" s="10"/>
      <c r="AD20" s="10">
        <v>0.416</v>
      </c>
      <c r="AE20" s="10"/>
      <c r="AF20" s="10">
        <v>0.446</v>
      </c>
      <c r="AG20" s="10"/>
      <c r="AH20" s="23">
        <f t="shared" si="3"/>
        <v>0.431</v>
      </c>
      <c r="AI20" s="23"/>
      <c r="AJ20" s="23"/>
      <c r="AK20" s="23"/>
      <c r="AL20" s="23"/>
      <c r="AM20" s="23"/>
      <c r="AN20" s="10"/>
    </row>
    <row r="21" spans="2:40" ht="12.75">
      <c r="B21" s="1" t="s">
        <v>99</v>
      </c>
      <c r="D21" s="1" t="s">
        <v>125</v>
      </c>
      <c r="E21" s="1" t="s">
        <v>73</v>
      </c>
      <c r="F21" s="1">
        <v>0.000259</v>
      </c>
      <c r="G21" s="1" t="s">
        <v>73</v>
      </c>
      <c r="H21" s="1">
        <v>0.000247</v>
      </c>
      <c r="J21" s="11">
        <f t="shared" si="0"/>
        <v>0.00025299999999999997</v>
      </c>
      <c r="K21" s="10"/>
      <c r="L21" s="11">
        <v>0.00258</v>
      </c>
      <c r="M21" s="11"/>
      <c r="N21" s="11">
        <v>0.00228</v>
      </c>
      <c r="O21" s="11"/>
      <c r="P21" s="11">
        <f t="shared" si="1"/>
        <v>0.00243</v>
      </c>
      <c r="Q21" s="10"/>
      <c r="R21" s="17">
        <v>0.000289</v>
      </c>
      <c r="S21" s="10"/>
      <c r="T21" s="17">
        <v>0.000119</v>
      </c>
      <c r="U21" s="10"/>
      <c r="V21" s="8">
        <f t="shared" si="2"/>
        <v>0.000204</v>
      </c>
      <c r="W21" s="10"/>
      <c r="X21" s="10"/>
      <c r="Y21" s="10"/>
      <c r="Z21" s="10"/>
      <c r="AA21" s="10"/>
      <c r="AB21" s="10"/>
      <c r="AC21" s="10"/>
      <c r="AD21" s="10">
        <v>0.0244</v>
      </c>
      <c r="AE21" s="10"/>
      <c r="AF21" s="10">
        <v>0.0262</v>
      </c>
      <c r="AG21" s="10"/>
      <c r="AH21" s="23">
        <f t="shared" si="3"/>
        <v>0.025300000000000003</v>
      </c>
      <c r="AI21" s="23"/>
      <c r="AJ21" s="23"/>
      <c r="AK21" s="23"/>
      <c r="AL21" s="23"/>
      <c r="AM21" s="23"/>
      <c r="AN21" s="10"/>
    </row>
    <row r="22" spans="2:40" ht="12.75">
      <c r="B22" s="1" t="s">
        <v>123</v>
      </c>
      <c r="D22" s="1" t="s">
        <v>125</v>
      </c>
      <c r="E22" s="1" t="s">
        <v>73</v>
      </c>
      <c r="F22" s="1">
        <v>0.0441</v>
      </c>
      <c r="G22" s="1" t="s">
        <v>73</v>
      </c>
      <c r="H22" s="1">
        <v>0.0438</v>
      </c>
      <c r="J22" s="10">
        <f t="shared" si="0"/>
        <v>0.04395</v>
      </c>
      <c r="K22" s="10"/>
      <c r="L22" s="10">
        <v>0.00931</v>
      </c>
      <c r="M22" s="10"/>
      <c r="N22" s="10">
        <v>0.00513</v>
      </c>
      <c r="O22" s="10"/>
      <c r="P22" s="10">
        <f t="shared" si="1"/>
        <v>0.007220000000000001</v>
      </c>
      <c r="Q22" s="10" t="s">
        <v>73</v>
      </c>
      <c r="R22" s="17">
        <v>0.00116</v>
      </c>
      <c r="S22" s="10" t="s">
        <v>73</v>
      </c>
      <c r="T22" s="17">
        <v>0.00127</v>
      </c>
      <c r="U22" s="10"/>
      <c r="V22" s="8">
        <f t="shared" si="2"/>
        <v>0.001215</v>
      </c>
      <c r="W22" s="10"/>
      <c r="X22" s="10"/>
      <c r="Y22" s="10"/>
      <c r="Z22" s="10"/>
      <c r="AA22" s="10"/>
      <c r="AB22" s="10"/>
      <c r="AC22" s="10"/>
      <c r="AD22" s="10">
        <v>0.215</v>
      </c>
      <c r="AE22" s="10"/>
      <c r="AF22" s="10">
        <v>0.23</v>
      </c>
      <c r="AG22" s="10"/>
      <c r="AH22" s="23">
        <f t="shared" si="3"/>
        <v>0.2225</v>
      </c>
      <c r="AI22" s="23"/>
      <c r="AJ22" s="23"/>
      <c r="AK22" s="23"/>
      <c r="AL22" s="23"/>
      <c r="AM22" s="23"/>
      <c r="AN22" s="10"/>
    </row>
    <row r="23" spans="2:40" ht="12.75">
      <c r="B23" s="1" t="s">
        <v>124</v>
      </c>
      <c r="D23" s="1" t="s">
        <v>125</v>
      </c>
      <c r="E23" s="1" t="s">
        <v>73</v>
      </c>
      <c r="F23" s="1">
        <v>0.0352</v>
      </c>
      <c r="G23" s="1" t="s">
        <v>73</v>
      </c>
      <c r="H23" s="1">
        <v>0.0351</v>
      </c>
      <c r="J23" s="10">
        <f t="shared" si="0"/>
        <v>0.03515</v>
      </c>
      <c r="K23" s="10" t="s">
        <v>73</v>
      </c>
      <c r="L23" s="10">
        <v>0.0549</v>
      </c>
      <c r="M23" s="10" t="s">
        <v>73</v>
      </c>
      <c r="N23" s="10">
        <v>0.0553</v>
      </c>
      <c r="O23" s="10"/>
      <c r="P23" s="10">
        <f t="shared" si="1"/>
        <v>0.055099999999999996</v>
      </c>
      <c r="Q23" s="10" t="s">
        <v>73</v>
      </c>
      <c r="R23" s="17">
        <v>0.0103</v>
      </c>
      <c r="S23" s="10" t="s">
        <v>73</v>
      </c>
      <c r="T23" s="17">
        <v>0.0113</v>
      </c>
      <c r="U23" s="10"/>
      <c r="V23" s="8">
        <f t="shared" si="2"/>
        <v>0.0108</v>
      </c>
      <c r="W23" s="10"/>
      <c r="X23" s="10"/>
      <c r="Y23" s="10"/>
      <c r="Z23" s="10"/>
      <c r="AA23" s="10"/>
      <c r="AB23" s="10"/>
      <c r="AC23" s="10"/>
      <c r="AD23" s="10">
        <v>0.139</v>
      </c>
      <c r="AE23" s="10"/>
      <c r="AF23" s="10">
        <v>0.149</v>
      </c>
      <c r="AG23" s="10"/>
      <c r="AH23" s="23">
        <f t="shared" si="3"/>
        <v>0.14400000000000002</v>
      </c>
      <c r="AI23" s="23"/>
      <c r="AJ23" s="23"/>
      <c r="AK23" s="23"/>
      <c r="AL23" s="23"/>
      <c r="AM23" s="23"/>
      <c r="AN23" s="10"/>
    </row>
    <row r="24" ht="11.25" customHeight="1"/>
    <row r="25" spans="2:40" ht="12.75">
      <c r="B25" s="1" t="s">
        <v>39</v>
      </c>
      <c r="D25" s="1" t="s">
        <v>15</v>
      </c>
      <c r="F25" s="6">
        <f>emiss!$I$25</f>
        <v>141089</v>
      </c>
      <c r="H25" s="6">
        <f>emiss!$K$25</f>
        <v>133637</v>
      </c>
      <c r="J25" s="6">
        <f>emiss!$M$25</f>
        <v>137363</v>
      </c>
      <c r="K25" s="6"/>
      <c r="L25" s="6">
        <f>emiss!$I$25</f>
        <v>141089</v>
      </c>
      <c r="N25" s="6">
        <f>emiss!$K$25</f>
        <v>133637</v>
      </c>
      <c r="P25" s="6">
        <f>emiss!$M$25</f>
        <v>137363</v>
      </c>
      <c r="Q25" s="6"/>
      <c r="R25" s="6">
        <f>emiss!$I$25</f>
        <v>141089</v>
      </c>
      <c r="T25" s="6">
        <f>emiss!$K$25</f>
        <v>133637</v>
      </c>
      <c r="V25" s="6">
        <f>emiss!$M$25</f>
        <v>137363</v>
      </c>
      <c r="W25" s="6"/>
      <c r="X25" s="6"/>
      <c r="Y25" s="6"/>
      <c r="Z25" s="6"/>
      <c r="AA25" s="6"/>
      <c r="AB25" s="6"/>
      <c r="AC25" s="6"/>
      <c r="AD25" s="6">
        <f>emiss!$I$25</f>
        <v>141089</v>
      </c>
      <c r="AF25" s="6">
        <f>emiss!$K$25</f>
        <v>133637</v>
      </c>
      <c r="AH25" s="6">
        <f>emiss!$M$25</f>
        <v>137363</v>
      </c>
      <c r="AI25" s="6"/>
      <c r="AJ25" s="6">
        <f>emiss!$I$25</f>
        <v>141089</v>
      </c>
      <c r="AL25" s="6">
        <f>emiss!$K$25</f>
        <v>133637</v>
      </c>
      <c r="AN25" s="6">
        <f>emiss!$M$25</f>
        <v>137363</v>
      </c>
    </row>
    <row r="26" spans="2:40" ht="12.75">
      <c r="B26" s="1" t="s">
        <v>9</v>
      </c>
      <c r="D26" s="1" t="s">
        <v>16</v>
      </c>
      <c r="F26" s="1">
        <f>emiss!$I$26</f>
        <v>9.7</v>
      </c>
      <c r="H26" s="1">
        <f>emiss!$K$26</f>
        <v>9.7</v>
      </c>
      <c r="J26" s="10">
        <f>emiss!$M$26</f>
        <v>9.7</v>
      </c>
      <c r="K26" s="10"/>
      <c r="L26" s="1">
        <f>emiss!$I$26</f>
        <v>9.7</v>
      </c>
      <c r="N26" s="1">
        <f>emiss!$K$26</f>
        <v>9.7</v>
      </c>
      <c r="P26" s="10">
        <f>emiss!$M$26</f>
        <v>9.7</v>
      </c>
      <c r="Q26" s="10"/>
      <c r="R26" s="1">
        <f>emiss!$I$26</f>
        <v>9.7</v>
      </c>
      <c r="T26" s="1">
        <f>emiss!$K$26</f>
        <v>9.7</v>
      </c>
      <c r="V26" s="10">
        <f>emiss!$M$26</f>
        <v>9.7</v>
      </c>
      <c r="W26" s="10"/>
      <c r="X26" s="10"/>
      <c r="Y26" s="10"/>
      <c r="Z26" s="10"/>
      <c r="AA26" s="10"/>
      <c r="AB26" s="10"/>
      <c r="AC26" s="10"/>
      <c r="AD26" s="1">
        <f>emiss!$I$26</f>
        <v>9.7</v>
      </c>
      <c r="AF26" s="1">
        <f>emiss!$K$26</f>
        <v>9.7</v>
      </c>
      <c r="AH26" s="10">
        <f>emiss!$M$26</f>
        <v>9.7</v>
      </c>
      <c r="AI26" s="10"/>
      <c r="AJ26" s="1">
        <f>emiss!$I$26</f>
        <v>9.7</v>
      </c>
      <c r="AL26" s="1">
        <f>emiss!$K$26</f>
        <v>9.7</v>
      </c>
      <c r="AN26" s="10">
        <f>emiss!$M$26</f>
        <v>9.7</v>
      </c>
    </row>
    <row r="27" ht="12.75" customHeight="1"/>
    <row r="28" spans="6:40" ht="12.75">
      <c r="F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2:41" ht="12.75">
      <c r="B29" s="1" t="s">
        <v>117</v>
      </c>
      <c r="D29" s="1" t="s">
        <v>154</v>
      </c>
      <c r="F29" s="7">
        <f>F10*F11/1000000</f>
        <v>340.484046</v>
      </c>
      <c r="H29" s="7">
        <f>H10*H11/1000000</f>
        <v>327.629196</v>
      </c>
      <c r="J29" s="7">
        <f>J10*J11/1000000</f>
        <v>334.09026675</v>
      </c>
      <c r="K29" s="7"/>
      <c r="L29" s="7">
        <f>L10*L11/1000000</f>
        <v>22.712574</v>
      </c>
      <c r="N29" s="7">
        <f>N10*N11/1000000</f>
        <v>21.27776</v>
      </c>
      <c r="P29" s="7">
        <f>P10*P11/1000000</f>
        <v>22.107096</v>
      </c>
      <c r="Q29" s="7"/>
      <c r="R29" s="7">
        <f>R10*R11/1000000</f>
        <v>43.33186</v>
      </c>
      <c r="T29" s="7">
        <f>T10*T11/1000000</f>
        <v>62.213657</v>
      </c>
      <c r="V29" s="7">
        <f>V10*V11/1000000</f>
        <v>51.817263</v>
      </c>
      <c r="W29" s="7"/>
      <c r="X29" s="7">
        <f>L29+R29</f>
        <v>66.044434</v>
      </c>
      <c r="Y29" s="7"/>
      <c r="Z29" s="7">
        <f>N29+T29</f>
        <v>83.491417</v>
      </c>
      <c r="AA29" s="7"/>
      <c r="AB29" s="7">
        <f>AVERAGE(X29,Z29)</f>
        <v>74.76792549999999</v>
      </c>
      <c r="AC29" s="7"/>
      <c r="AD29" s="7"/>
      <c r="AE29" s="7"/>
      <c r="AF29" s="7"/>
      <c r="AG29" s="7"/>
      <c r="AH29" s="7"/>
      <c r="AI29" s="7"/>
      <c r="AJ29" s="7">
        <f>SUM(AD29,R29,L29,F29)</f>
        <v>406.52847999999994</v>
      </c>
      <c r="AK29" s="7"/>
      <c r="AL29" s="7">
        <f>SUM(AF29,T29,N29,H29)</f>
        <v>411.120613</v>
      </c>
      <c r="AM29" s="7"/>
      <c r="AN29" s="7">
        <f>SUM(AH29,V29,P29,J29)</f>
        <v>408.01462575</v>
      </c>
      <c r="AO29" s="12"/>
    </row>
    <row r="30" spans="2:40" ht="12.75">
      <c r="B30" s="1" t="s">
        <v>156</v>
      </c>
      <c r="D30" s="1" t="s">
        <v>154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>
        <f>AJ25*60/9000*(21-AJ26)/21</f>
        <v>506.12879365079374</v>
      </c>
      <c r="AK30" s="7"/>
      <c r="AL30" s="7">
        <f>AL25*60/9000*(21-AL26)/21</f>
        <v>479.3962222222222</v>
      </c>
      <c r="AM30" s="7"/>
      <c r="AN30" s="7">
        <f>AN25*60/9000*(21-AN26)/21</f>
        <v>492.762507936508</v>
      </c>
    </row>
    <row r="31" spans="10:40" ht="12.75"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2:40" ht="12.75">
      <c r="B32" s="29" t="s">
        <v>75</v>
      </c>
      <c r="C32" s="2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2:40" ht="12.75">
      <c r="B33" s="1" t="s">
        <v>8</v>
      </c>
      <c r="D33" s="1" t="s">
        <v>14</v>
      </c>
      <c r="F33" s="7">
        <f>(F12*1000/60)/F$25/0.0283*(21-7)/(21-F$26)*454</f>
        <v>5177.059991955723</v>
      </c>
      <c r="H33" s="7">
        <f>(H12*1000/60)/H$25/0.0283*(21-7)/(21-H$26)*454</f>
        <v>5423.608830360383</v>
      </c>
      <c r="J33" s="7">
        <f>AVERAGE(H33,F33)</f>
        <v>5300.334411158053</v>
      </c>
      <c r="K33" s="7"/>
      <c r="L33" s="7">
        <f>(L12*1000/60)/L$25/0.0283*(21-7)/(21-L$26)*454</f>
        <v>1070.6300935745166</v>
      </c>
      <c r="M33" s="7"/>
      <c r="N33" s="7">
        <f>(N12*1000/60)/N$25/0.0283*(21-7)/(21-N$26)*454</f>
        <v>1083.2344875994002</v>
      </c>
      <c r="O33" s="7"/>
      <c r="P33" s="7">
        <f>AVERAGE(N33,L33)</f>
        <v>1076.9322905869585</v>
      </c>
      <c r="Q33" s="6">
        <v>100</v>
      </c>
      <c r="R33" s="7">
        <f>(R12*1000/60)/R$25/0.0283*(21-7)/(21-R$26)*454</f>
        <v>8.475821574131588</v>
      </c>
      <c r="S33" s="6">
        <v>100</v>
      </c>
      <c r="T33" s="7">
        <f>(T12*1000/60)/T$25/0.0283*(21-7)/(21-T$26)*454</f>
        <v>9.840825894209653</v>
      </c>
      <c r="U33" s="6">
        <v>100</v>
      </c>
      <c r="V33" s="7">
        <f>AVERAGE(T33,R33)</f>
        <v>9.15832373417062</v>
      </c>
      <c r="W33" s="6">
        <f>(K33*L33+Q33*R33)/X33</f>
        <v>0.7854485324514261</v>
      </c>
      <c r="X33" s="7">
        <f>L33+R33</f>
        <v>1079.1059151486481</v>
      </c>
      <c r="Y33" s="6">
        <f>(M33*N33+S33*T33)/Z33</f>
        <v>0.9002880014513458</v>
      </c>
      <c r="Z33" s="7">
        <f>N33+T33</f>
        <v>1093.0753134936099</v>
      </c>
      <c r="AA33" s="6">
        <f>(O33*P33+U33*V33)/AB33</f>
        <v>0.8432375359301962</v>
      </c>
      <c r="AB33" s="7">
        <f>V33+P33</f>
        <v>1086.0906143211291</v>
      </c>
      <c r="AC33" s="7"/>
      <c r="AD33" s="7">
        <f>(AD12*1000/60)/AD$25/0.0283*(21-7)/(21-AD$26)*454</f>
        <v>1421.3788428707817</v>
      </c>
      <c r="AE33" s="7"/>
      <c r="AF33" s="7">
        <f>(AF12*1000/60)/AF$25/0.0283*(21-7)/(21-AF$26)*454</f>
        <v>1487.352836600156</v>
      </c>
      <c r="AG33" s="7"/>
      <c r="AH33" s="7">
        <f>AVERAGE(AF33,AD33)</f>
        <v>1454.3658397354689</v>
      </c>
      <c r="AI33" s="6">
        <f>(E33*F33+W33*X33+AC33*AD33)/AJ33</f>
        <v>0.11039755351681955</v>
      </c>
      <c r="AJ33" s="7">
        <f>F33+X33+AD33</f>
        <v>7677.544749975152</v>
      </c>
      <c r="AK33" s="6">
        <f>(G33*H33+Y33*Z33+AE33*AF33)/AL33</f>
        <v>0.12294828120161042</v>
      </c>
      <c r="AL33" s="7">
        <f>H33+Z33+AF33</f>
        <v>8004.036980454148</v>
      </c>
      <c r="AM33" s="6">
        <f>(I33*J33+AA33*AB33+AG33*AH33)/AN33</f>
        <v>0.1168035711142501</v>
      </c>
      <c r="AN33" s="7">
        <f>J33+AB33+AH33</f>
        <v>7840.790865214651</v>
      </c>
    </row>
    <row r="34" spans="2:40" ht="12.75">
      <c r="B34" s="1" t="s">
        <v>38</v>
      </c>
      <c r="D34" s="1" t="s">
        <v>12</v>
      </c>
      <c r="F34" s="7">
        <f>(F13*1000000/60)/F$25/0.0283*(21-7)/(21-F$26)*454</f>
        <v>18242.973304986826</v>
      </c>
      <c r="H34" s="7">
        <f>(H13*1000000/60)/H$25/0.0283*(21-7)/(21-H$26)*454</f>
        <v>18392.67711209965</v>
      </c>
      <c r="J34" s="7">
        <f aca="true" t="shared" si="4" ref="J34:J44">AVERAGE(H34,F34)</f>
        <v>18317.82520854324</v>
      </c>
      <c r="K34" s="7"/>
      <c r="L34" s="7">
        <f aca="true" t="shared" si="5" ref="L34:L44">(L13*1000000/60)/L$25/0.0283*(21-7)/(21-L$26)*454</f>
        <v>4648.788564205138</v>
      </c>
      <c r="M34" s="7"/>
      <c r="N34" s="7">
        <f aca="true" t="shared" si="6" ref="N34:N44">(N13*1000000/60)/N$25/0.0283*(21-7)/(21-N$26)*454</f>
        <v>9419.430326951304</v>
      </c>
      <c r="O34" s="7"/>
      <c r="P34" s="7">
        <f aca="true" t="shared" si="7" ref="P34:P44">AVERAGE(N34,L34)</f>
        <v>7034.10944557822</v>
      </c>
      <c r="Q34" s="6"/>
      <c r="R34" s="7">
        <f aca="true" t="shared" si="8" ref="R34:R44">(R13*1000000/60)/R$25/0.0283*(21-7)/(21-R$26)*454</f>
        <v>847.5821574131589</v>
      </c>
      <c r="S34" s="6"/>
      <c r="T34" s="7">
        <f aca="true" t="shared" si="9" ref="T34:T44">(T13*1000000/60)/T$25/0.0283*(21-7)/(21-T$26)*454</f>
        <v>2949.768970808435</v>
      </c>
      <c r="U34" s="6"/>
      <c r="V34" s="7">
        <f aca="true" t="shared" si="10" ref="V34:V44">AVERAGE(T34,R34)</f>
        <v>1898.675564110797</v>
      </c>
      <c r="W34" s="6">
        <f aca="true" t="shared" si="11" ref="W34:AA44">(K34*L34+Q34*R34)/X34</f>
        <v>0</v>
      </c>
      <c r="X34" s="7">
        <f aca="true" t="shared" si="12" ref="X34:X44">L34+R34</f>
        <v>5496.370721618297</v>
      </c>
      <c r="Y34" s="6">
        <f t="shared" si="11"/>
        <v>0</v>
      </c>
      <c r="Z34" s="7">
        <f aca="true" t="shared" si="13" ref="Z34:Z44">N34+T34</f>
        <v>12369.199297759738</v>
      </c>
      <c r="AA34" s="6">
        <f t="shared" si="11"/>
        <v>0</v>
      </c>
      <c r="AB34" s="7">
        <f aca="true" t="shared" si="14" ref="AB34:AB44">V34+P34</f>
        <v>8932.785009689018</v>
      </c>
      <c r="AC34" s="7"/>
      <c r="AD34" s="7">
        <f aca="true" t="shared" si="15" ref="AD34:AD44">(AD13*1000000/60)/AD$25/0.0283*(21-7)/(21-AD$26)*454</f>
        <v>123732.90774424789</v>
      </c>
      <c r="AE34" s="7"/>
      <c r="AF34" s="7">
        <f aca="true" t="shared" si="16" ref="AF34:AF44">(AF13*1000000/60)/AF$25/0.0283*(21-7)/(21-AF$26)*454</f>
        <v>130880.50559553392</v>
      </c>
      <c r="AG34" s="7"/>
      <c r="AH34" s="7">
        <f aca="true" t="shared" si="17" ref="AH34:AH44">AVERAGE(AF34,AD34)</f>
        <v>127306.7066698909</v>
      </c>
      <c r="AI34" s="6">
        <f aca="true" t="shared" si="18" ref="AI34:AM44">(E34*F34+W34*X34+AC34*AD34)/AJ34</f>
        <v>0</v>
      </c>
      <c r="AJ34" s="7">
        <f aca="true" t="shared" si="19" ref="AJ34:AN44">F34+X34+AD34</f>
        <v>147472.251770853</v>
      </c>
      <c r="AK34" s="6">
        <f t="shared" si="18"/>
        <v>0</v>
      </c>
      <c r="AL34" s="7">
        <f t="shared" si="19"/>
        <v>161642.3820053933</v>
      </c>
      <c r="AM34" s="6">
        <f t="shared" si="18"/>
        <v>0</v>
      </c>
      <c r="AN34" s="7">
        <f t="shared" si="19"/>
        <v>154557.31688812317</v>
      </c>
    </row>
    <row r="35" spans="2:40" ht="12.75">
      <c r="B35" s="1" t="s">
        <v>104</v>
      </c>
      <c r="D35" s="1" t="s">
        <v>12</v>
      </c>
      <c r="E35" s="1">
        <v>100</v>
      </c>
      <c r="F35" s="7">
        <f aca="true" t="shared" si="20" ref="F35:H44">(F14*1000000/60)/F$25/0.0283*(21-7)/(21-F$26)*454</f>
        <v>41.322565015156776</v>
      </c>
      <c r="G35" s="1">
        <v>100</v>
      </c>
      <c r="H35" s="7">
        <f t="shared" si="20"/>
        <v>43.626835198511294</v>
      </c>
      <c r="I35" s="1">
        <v>100</v>
      </c>
      <c r="J35" s="7">
        <f t="shared" si="4"/>
        <v>42.474700106834035</v>
      </c>
      <c r="K35" s="7"/>
      <c r="L35" s="7">
        <f t="shared" si="5"/>
        <v>219.52612664302038</v>
      </c>
      <c r="M35" s="7"/>
      <c r="N35" s="7">
        <f t="shared" si="6"/>
        <v>191.11528373893302</v>
      </c>
      <c r="O35" s="7"/>
      <c r="P35" s="7">
        <f t="shared" si="7"/>
        <v>205.3207051909767</v>
      </c>
      <c r="Q35" s="6">
        <v>100</v>
      </c>
      <c r="R35" s="7">
        <f t="shared" si="8"/>
        <v>8.053204431931121</v>
      </c>
      <c r="S35" s="6">
        <v>100</v>
      </c>
      <c r="T35" s="7">
        <f t="shared" si="9"/>
        <v>9.345066403317478</v>
      </c>
      <c r="U35" s="6">
        <v>100</v>
      </c>
      <c r="V35" s="7">
        <f t="shared" si="10"/>
        <v>8.6991354176243</v>
      </c>
      <c r="W35" s="6">
        <f t="shared" si="11"/>
        <v>3.5386361291653774</v>
      </c>
      <c r="X35" s="7">
        <f t="shared" si="12"/>
        <v>227.57933107495148</v>
      </c>
      <c r="Y35" s="6">
        <f t="shared" si="11"/>
        <v>4.6618028935328315</v>
      </c>
      <c r="Z35" s="7">
        <f t="shared" si="13"/>
        <v>200.4603501422505</v>
      </c>
      <c r="AA35" s="6">
        <f t="shared" si="11"/>
        <v>4.064639704845524</v>
      </c>
      <c r="AB35" s="7">
        <f t="shared" si="14"/>
        <v>214.019840608601</v>
      </c>
      <c r="AC35" s="7"/>
      <c r="AD35" s="7">
        <f t="shared" si="15"/>
        <v>3122.6711062590066</v>
      </c>
      <c r="AE35" s="7"/>
      <c r="AF35" s="7">
        <f t="shared" si="16"/>
        <v>3519.892385334435</v>
      </c>
      <c r="AG35" s="7"/>
      <c r="AH35" s="7">
        <f t="shared" si="17"/>
        <v>3321.2817457967208</v>
      </c>
      <c r="AI35" s="6">
        <f t="shared" si="18"/>
        <v>1.4558368465867788</v>
      </c>
      <c r="AJ35" s="7">
        <f t="shared" si="19"/>
        <v>3391.573002349115</v>
      </c>
      <c r="AK35" s="6">
        <f t="shared" si="18"/>
        <v>1.4073376490809828</v>
      </c>
      <c r="AL35" s="7">
        <f t="shared" si="19"/>
        <v>3763.9795706751966</v>
      </c>
      <c r="AM35" s="6">
        <f t="shared" si="18"/>
        <v>1.430325191582782</v>
      </c>
      <c r="AN35" s="7">
        <f t="shared" si="19"/>
        <v>3577.776286512156</v>
      </c>
    </row>
    <row r="36" spans="2:40" ht="12.75">
      <c r="B36" s="1" t="s">
        <v>102</v>
      </c>
      <c r="D36" s="1" t="s">
        <v>12</v>
      </c>
      <c r="F36" s="7">
        <f t="shared" si="20"/>
        <v>375.6596819559707</v>
      </c>
      <c r="H36" s="7">
        <f t="shared" si="20"/>
        <v>356.94683344236523</v>
      </c>
      <c r="J36" s="7">
        <f t="shared" si="4"/>
        <v>366.30325769916794</v>
      </c>
      <c r="K36" s="7"/>
      <c r="L36" s="7">
        <f t="shared" si="5"/>
        <v>375.6596819559707</v>
      </c>
      <c r="M36" s="7"/>
      <c r="N36" s="7">
        <f t="shared" si="6"/>
        <v>466.0139214386435</v>
      </c>
      <c r="O36" s="7"/>
      <c r="P36" s="7">
        <f t="shared" si="7"/>
        <v>420.8368016973071</v>
      </c>
      <c r="Q36" s="6">
        <v>100</v>
      </c>
      <c r="R36" s="7">
        <f t="shared" si="8"/>
        <v>8.053204431931121</v>
      </c>
      <c r="S36" s="6">
        <v>100</v>
      </c>
      <c r="T36" s="7">
        <f t="shared" si="9"/>
        <v>9.345066403317478</v>
      </c>
      <c r="U36" s="6">
        <v>100</v>
      </c>
      <c r="V36" s="7">
        <f t="shared" si="10"/>
        <v>8.6991354176243</v>
      </c>
      <c r="W36" s="6">
        <f t="shared" si="11"/>
        <v>2.0987578779905767</v>
      </c>
      <c r="X36" s="7">
        <f t="shared" si="12"/>
        <v>383.71288638790185</v>
      </c>
      <c r="Y36" s="6">
        <f t="shared" si="11"/>
        <v>1.965896647025082</v>
      </c>
      <c r="Z36" s="7">
        <f t="shared" si="13"/>
        <v>475.358987841961</v>
      </c>
      <c r="AA36" s="6">
        <f t="shared" si="11"/>
        <v>2.025240420173892</v>
      </c>
      <c r="AB36" s="7">
        <f t="shared" si="14"/>
        <v>429.5359371149314</v>
      </c>
      <c r="AC36" s="7"/>
      <c r="AD36" s="7">
        <f t="shared" si="15"/>
        <v>882.8002525965312</v>
      </c>
      <c r="AE36" s="7"/>
      <c r="AF36" s="7">
        <f t="shared" si="16"/>
        <v>1001.4341716021912</v>
      </c>
      <c r="AG36" s="7"/>
      <c r="AH36" s="7">
        <f t="shared" si="17"/>
        <v>942.1172120993613</v>
      </c>
      <c r="AI36" s="6">
        <f t="shared" si="18"/>
        <v>0.49039932516477697</v>
      </c>
      <c r="AJ36" s="7">
        <f t="shared" si="19"/>
        <v>1642.1728209404037</v>
      </c>
      <c r="AK36" s="6">
        <f t="shared" si="18"/>
        <v>0.5096178541979264</v>
      </c>
      <c r="AL36" s="7">
        <f t="shared" si="19"/>
        <v>1833.7399928865175</v>
      </c>
      <c r="AM36" s="6">
        <f t="shared" si="18"/>
        <v>0.5005381828347242</v>
      </c>
      <c r="AN36" s="7">
        <f t="shared" si="19"/>
        <v>1737.9564069134606</v>
      </c>
    </row>
    <row r="37" spans="2:40" ht="12.75">
      <c r="B37" s="1" t="s">
        <v>122</v>
      </c>
      <c r="D37" s="1" t="s">
        <v>12</v>
      </c>
      <c r="F37" s="7">
        <f t="shared" si="20"/>
        <v>4554.873643716145</v>
      </c>
      <c r="H37" s="7">
        <f t="shared" si="20"/>
        <v>4784.079087109478</v>
      </c>
      <c r="J37" s="7">
        <f t="shared" si="4"/>
        <v>4669.476365412811</v>
      </c>
      <c r="K37" s="7"/>
      <c r="L37" s="7">
        <f t="shared" si="5"/>
        <v>786.5374590953137</v>
      </c>
      <c r="M37" s="7"/>
      <c r="N37" s="7">
        <f t="shared" si="6"/>
        <v>818.0031599720869</v>
      </c>
      <c r="O37" s="7"/>
      <c r="P37" s="7">
        <f t="shared" si="7"/>
        <v>802.2703095337004</v>
      </c>
      <c r="Q37" s="6">
        <v>100</v>
      </c>
      <c r="R37" s="7">
        <f t="shared" si="8"/>
        <v>0.25357028532028025</v>
      </c>
      <c r="S37" s="6">
        <v>100</v>
      </c>
      <c r="T37" s="7">
        <f t="shared" si="9"/>
        <v>0.29497689708084346</v>
      </c>
      <c r="U37" s="6">
        <v>100</v>
      </c>
      <c r="V37" s="7">
        <f t="shared" si="10"/>
        <v>0.27427359120056183</v>
      </c>
      <c r="W37" s="6">
        <f t="shared" si="11"/>
        <v>0.03222841591367559</v>
      </c>
      <c r="X37" s="7">
        <f t="shared" si="12"/>
        <v>786.791029380634</v>
      </c>
      <c r="Y37" s="6">
        <f t="shared" si="11"/>
        <v>0.03604760707502446</v>
      </c>
      <c r="Z37" s="7">
        <f t="shared" si="13"/>
        <v>818.2981368691677</v>
      </c>
      <c r="AA37" s="6">
        <f t="shared" si="11"/>
        <v>0.03417549591234065</v>
      </c>
      <c r="AB37" s="7">
        <f t="shared" si="14"/>
        <v>802.5445831249009</v>
      </c>
      <c r="AC37" s="7"/>
      <c r="AD37" s="7">
        <f t="shared" si="15"/>
        <v>10964.566967089895</v>
      </c>
      <c r="AE37" s="7"/>
      <c r="AF37" s="7">
        <f t="shared" si="16"/>
        <v>12418.775246848956</v>
      </c>
      <c r="AG37" s="7"/>
      <c r="AH37" s="7">
        <f t="shared" si="17"/>
        <v>11691.671106969425</v>
      </c>
      <c r="AI37" s="6">
        <f t="shared" si="18"/>
        <v>0.0015550514117275065</v>
      </c>
      <c r="AJ37" s="7">
        <f t="shared" si="19"/>
        <v>16306.231640186674</v>
      </c>
      <c r="AK37" s="6">
        <f t="shared" si="18"/>
        <v>0.0016368370311407557</v>
      </c>
      <c r="AL37" s="7">
        <f t="shared" si="19"/>
        <v>18021.1524708276</v>
      </c>
      <c r="AM37" s="6">
        <f t="shared" si="18"/>
        <v>0.0015979871365296282</v>
      </c>
      <c r="AN37" s="7">
        <f t="shared" si="19"/>
        <v>17163.692055507137</v>
      </c>
    </row>
    <row r="38" spans="2:40" ht="12.75">
      <c r="B38" s="1" t="s">
        <v>103</v>
      </c>
      <c r="D38" s="1" t="s">
        <v>12</v>
      </c>
      <c r="F38" s="7">
        <f t="shared" si="20"/>
        <v>138.75929502248667</v>
      </c>
      <c r="H38" s="7">
        <f t="shared" si="20"/>
        <v>149.47148650399043</v>
      </c>
      <c r="J38" s="7">
        <f t="shared" si="4"/>
        <v>144.11539076323857</v>
      </c>
      <c r="K38" s="7"/>
      <c r="L38" s="7">
        <f t="shared" si="5"/>
        <v>6.503608243862743</v>
      </c>
      <c r="M38" s="7"/>
      <c r="N38" s="7">
        <f t="shared" si="6"/>
        <v>6.122629712518348</v>
      </c>
      <c r="O38" s="7"/>
      <c r="P38" s="7">
        <f t="shared" si="7"/>
        <v>6.313118978190546</v>
      </c>
      <c r="Q38" s="6">
        <v>100</v>
      </c>
      <c r="R38" s="7">
        <f t="shared" si="8"/>
        <v>0.25357028532028025</v>
      </c>
      <c r="S38" s="6">
        <v>100</v>
      </c>
      <c r="T38" s="7">
        <f t="shared" si="9"/>
        <v>0.29497689708084346</v>
      </c>
      <c r="U38" s="6">
        <v>100</v>
      </c>
      <c r="V38" s="7">
        <f t="shared" si="10"/>
        <v>0.27427359120056183</v>
      </c>
      <c r="W38" s="6">
        <f t="shared" si="11"/>
        <v>3.752605976372481</v>
      </c>
      <c r="X38" s="7">
        <f t="shared" si="12"/>
        <v>6.757178529183023</v>
      </c>
      <c r="Y38" s="6">
        <f t="shared" si="11"/>
        <v>4.596369254538431</v>
      </c>
      <c r="Z38" s="7">
        <f t="shared" si="13"/>
        <v>6.417606609599192</v>
      </c>
      <c r="AA38" s="6">
        <f t="shared" si="11"/>
        <v>4.163613877742733</v>
      </c>
      <c r="AB38" s="7">
        <f t="shared" si="14"/>
        <v>6.587392569391108</v>
      </c>
      <c r="AC38" s="7"/>
      <c r="AD38" s="7">
        <f t="shared" si="15"/>
        <v>74.4275744875267</v>
      </c>
      <c r="AE38" s="7"/>
      <c r="AF38" s="7">
        <f t="shared" si="16"/>
        <v>84.27911345166955</v>
      </c>
      <c r="AG38" s="7"/>
      <c r="AH38" s="7">
        <f t="shared" si="17"/>
        <v>79.35334396959811</v>
      </c>
      <c r="AI38" s="6">
        <f t="shared" si="18"/>
        <v>0.11528854159994878</v>
      </c>
      <c r="AJ38" s="7">
        <f t="shared" si="19"/>
        <v>219.9440480391964</v>
      </c>
      <c r="AK38" s="6">
        <f t="shared" si="18"/>
        <v>0.12282096006770635</v>
      </c>
      <c r="AL38" s="7">
        <f t="shared" si="19"/>
        <v>240.1682065652592</v>
      </c>
      <c r="AM38" s="6">
        <f t="shared" si="18"/>
        <v>0.11922029394168011</v>
      </c>
      <c r="AN38" s="7">
        <f t="shared" si="19"/>
        <v>230.0561273022278</v>
      </c>
    </row>
    <row r="39" spans="2:40" ht="12.75">
      <c r="B39" s="1" t="s">
        <v>101</v>
      </c>
      <c r="D39" s="1" t="s">
        <v>12</v>
      </c>
      <c r="E39" s="1">
        <v>100</v>
      </c>
      <c r="F39" s="7">
        <f t="shared" si="20"/>
        <v>1.807862219413109</v>
      </c>
      <c r="G39" s="1">
        <v>100</v>
      </c>
      <c r="H39" s="7">
        <f t="shared" si="20"/>
        <v>1.839267711209965</v>
      </c>
      <c r="I39" s="1">
        <v>100</v>
      </c>
      <c r="J39" s="7">
        <f t="shared" si="4"/>
        <v>1.8235649653115371</v>
      </c>
      <c r="K39" s="7"/>
      <c r="L39" s="7">
        <f t="shared" si="5"/>
        <v>14.885514897505342</v>
      </c>
      <c r="M39" s="7"/>
      <c r="N39" s="7">
        <f t="shared" si="6"/>
        <v>10.361373359646436</v>
      </c>
      <c r="O39" s="7"/>
      <c r="P39" s="7">
        <f t="shared" si="7"/>
        <v>12.623444128575889</v>
      </c>
      <c r="Q39" s="6">
        <v>100</v>
      </c>
      <c r="R39" s="7">
        <f t="shared" si="8"/>
        <v>0.847582157413159</v>
      </c>
      <c r="S39" s="6">
        <v>100</v>
      </c>
      <c r="T39" s="7">
        <f t="shared" si="9"/>
        <v>0.984082589420965</v>
      </c>
      <c r="U39" s="6">
        <v>100</v>
      </c>
      <c r="V39" s="7">
        <f t="shared" si="10"/>
        <v>0.915832373417062</v>
      </c>
      <c r="W39" s="6">
        <f t="shared" si="11"/>
        <v>5.3872556334875386</v>
      </c>
      <c r="X39" s="7">
        <f t="shared" si="12"/>
        <v>15.7330970549185</v>
      </c>
      <c r="Y39" s="6">
        <f t="shared" si="11"/>
        <v>8.673803801616778</v>
      </c>
      <c r="Z39" s="7">
        <f t="shared" si="13"/>
        <v>11.3454559490674</v>
      </c>
      <c r="AA39" s="6">
        <f t="shared" si="11"/>
        <v>6.764263757241782</v>
      </c>
      <c r="AB39" s="7">
        <f t="shared" si="14"/>
        <v>13.539276501992951</v>
      </c>
      <c r="AC39" s="7"/>
      <c r="AD39" s="7">
        <f t="shared" si="15"/>
        <v>206.14325047333892</v>
      </c>
      <c r="AE39" s="7"/>
      <c r="AF39" s="7">
        <f t="shared" si="16"/>
        <v>233.50272021021388</v>
      </c>
      <c r="AG39" s="7"/>
      <c r="AH39" s="7">
        <f t="shared" si="17"/>
        <v>219.82298534177642</v>
      </c>
      <c r="AI39" s="6">
        <f t="shared" si="18"/>
        <v>1.18713984318418</v>
      </c>
      <c r="AJ39" s="7">
        <f t="shared" si="19"/>
        <v>223.68420974767054</v>
      </c>
      <c r="AK39" s="6">
        <f t="shared" si="18"/>
        <v>1.1445050693837355</v>
      </c>
      <c r="AL39" s="7">
        <f t="shared" si="19"/>
        <v>246.68744387049125</v>
      </c>
      <c r="AM39" s="6">
        <f t="shared" si="18"/>
        <v>1.1647799426928844</v>
      </c>
      <c r="AN39" s="7">
        <f t="shared" si="19"/>
        <v>235.1858268090809</v>
      </c>
    </row>
    <row r="40" spans="2:40" ht="12.75">
      <c r="B40" s="1" t="s">
        <v>113</v>
      </c>
      <c r="D40" s="1" t="s">
        <v>12</v>
      </c>
      <c r="F40" s="7">
        <f t="shared" si="20"/>
        <v>948.540696938826</v>
      </c>
      <c r="H40" s="7">
        <f t="shared" si="20"/>
        <v>981.6037919665043</v>
      </c>
      <c r="J40" s="7">
        <f t="shared" si="4"/>
        <v>965.0722444526652</v>
      </c>
      <c r="K40" s="7"/>
      <c r="L40" s="7">
        <f t="shared" si="5"/>
        <v>2887.883805036525</v>
      </c>
      <c r="M40" s="7"/>
      <c r="N40" s="7">
        <f t="shared" si="6"/>
        <v>2726.6771999069556</v>
      </c>
      <c r="O40" s="7"/>
      <c r="P40" s="7">
        <f t="shared" si="7"/>
        <v>2807.28050247174</v>
      </c>
      <c r="Q40" s="10"/>
      <c r="R40" s="7">
        <f t="shared" si="8"/>
        <v>2.7235326941807876</v>
      </c>
      <c r="S40" s="10"/>
      <c r="T40" s="7">
        <f t="shared" si="9"/>
        <v>3.1480727671653046</v>
      </c>
      <c r="U40" s="10"/>
      <c r="V40" s="7">
        <f t="shared" si="10"/>
        <v>2.9358027306730463</v>
      </c>
      <c r="W40" s="6">
        <f t="shared" si="11"/>
        <v>0</v>
      </c>
      <c r="X40" s="7">
        <f t="shared" si="12"/>
        <v>2890.6073377307057</v>
      </c>
      <c r="Y40" s="6">
        <f t="shared" si="11"/>
        <v>0</v>
      </c>
      <c r="Z40" s="7">
        <f t="shared" si="13"/>
        <v>2729.8252726741207</v>
      </c>
      <c r="AA40" s="6">
        <f t="shared" si="11"/>
        <v>0</v>
      </c>
      <c r="AB40" s="7">
        <f t="shared" si="14"/>
        <v>2810.216305202413</v>
      </c>
      <c r="AC40" s="7"/>
      <c r="AD40" s="7">
        <f t="shared" si="15"/>
        <v>16059.451403617748</v>
      </c>
      <c r="AE40" s="7"/>
      <c r="AF40" s="7">
        <f t="shared" si="16"/>
        <v>18194.37331574278</v>
      </c>
      <c r="AG40" s="7"/>
      <c r="AH40" s="7">
        <f t="shared" si="17"/>
        <v>17126.912359680264</v>
      </c>
      <c r="AI40" s="6">
        <f t="shared" si="18"/>
        <v>0</v>
      </c>
      <c r="AJ40" s="7">
        <f t="shared" si="19"/>
        <v>19898.59943828728</v>
      </c>
      <c r="AK40" s="6">
        <f t="shared" si="18"/>
        <v>0</v>
      </c>
      <c r="AL40" s="7">
        <f t="shared" si="19"/>
        <v>21905.802380383408</v>
      </c>
      <c r="AM40" s="6">
        <f t="shared" si="18"/>
        <v>0</v>
      </c>
      <c r="AN40" s="7">
        <f t="shared" si="19"/>
        <v>20902.20090933534</v>
      </c>
    </row>
    <row r="41" spans="2:40" ht="12.75">
      <c r="B41" s="1" t="s">
        <v>100</v>
      </c>
      <c r="D41" s="1" t="s">
        <v>12</v>
      </c>
      <c r="E41" s="1">
        <v>100</v>
      </c>
      <c r="F41" s="7">
        <f t="shared" si="20"/>
        <v>124.20248234669283</v>
      </c>
      <c r="G41" s="1">
        <v>100</v>
      </c>
      <c r="H41" s="7">
        <f t="shared" si="20"/>
        <v>129.88898661374955</v>
      </c>
      <c r="I41" s="1">
        <v>100</v>
      </c>
      <c r="J41" s="7">
        <f t="shared" si="4"/>
        <v>127.0457344802212</v>
      </c>
      <c r="K41" s="7"/>
      <c r="L41" s="7">
        <f t="shared" si="5"/>
        <v>594.0118720928788</v>
      </c>
      <c r="M41" s="7"/>
      <c r="N41" s="7">
        <f t="shared" si="6"/>
        <v>562.6870221626174</v>
      </c>
      <c r="O41" s="7"/>
      <c r="P41" s="7">
        <f t="shared" si="7"/>
        <v>578.3494471277481</v>
      </c>
      <c r="Q41" s="6">
        <v>100</v>
      </c>
      <c r="R41" s="7">
        <f t="shared" si="8"/>
        <v>8.053204431931121</v>
      </c>
      <c r="S41" s="6">
        <v>100</v>
      </c>
      <c r="T41" s="7">
        <f t="shared" si="9"/>
        <v>9.345066403317478</v>
      </c>
      <c r="U41" s="6">
        <v>100</v>
      </c>
      <c r="V41" s="7">
        <f t="shared" si="10"/>
        <v>8.6991354176243</v>
      </c>
      <c r="W41" s="6">
        <f t="shared" si="11"/>
        <v>1.3375970050306123</v>
      </c>
      <c r="X41" s="7">
        <f t="shared" si="12"/>
        <v>602.0650765248099</v>
      </c>
      <c r="Y41" s="6">
        <f t="shared" si="11"/>
        <v>1.633661221129263</v>
      </c>
      <c r="Z41" s="7">
        <f t="shared" si="13"/>
        <v>572.0320885659348</v>
      </c>
      <c r="AA41" s="6">
        <f t="shared" si="11"/>
        <v>1.481842504398169</v>
      </c>
      <c r="AB41" s="7">
        <f t="shared" si="14"/>
        <v>587.0485825453725</v>
      </c>
      <c r="AC41" s="7"/>
      <c r="AD41" s="7">
        <f t="shared" si="15"/>
        <v>976.7151730855239</v>
      </c>
      <c r="AE41" s="7"/>
      <c r="AF41" s="7">
        <f t="shared" si="16"/>
        <v>1105.5436646895478</v>
      </c>
      <c r="AG41" s="7"/>
      <c r="AH41" s="7">
        <f t="shared" si="17"/>
        <v>1041.1294188875358</v>
      </c>
      <c r="AI41" s="6">
        <f t="shared" si="18"/>
        <v>7.766120248714378</v>
      </c>
      <c r="AJ41" s="7">
        <f t="shared" si="19"/>
        <v>1702.9827319570268</v>
      </c>
      <c r="AK41" s="6">
        <f t="shared" si="18"/>
        <v>7.703279070724246</v>
      </c>
      <c r="AL41" s="7">
        <f t="shared" si="19"/>
        <v>1807.4647398692323</v>
      </c>
      <c r="AM41" s="6">
        <f t="shared" si="18"/>
        <v>7.733764483718437</v>
      </c>
      <c r="AN41" s="7">
        <f t="shared" si="19"/>
        <v>1755.2237359131295</v>
      </c>
    </row>
    <row r="42" spans="2:40" ht="12.75">
      <c r="B42" s="1" t="s">
        <v>99</v>
      </c>
      <c r="D42" s="1" t="s">
        <v>12</v>
      </c>
      <c r="E42" s="1">
        <v>100</v>
      </c>
      <c r="F42" s="7">
        <f t="shared" si="20"/>
        <v>0.6080991101662276</v>
      </c>
      <c r="G42" s="1">
        <v>100</v>
      </c>
      <c r="H42" s="7">
        <f t="shared" si="20"/>
        <v>0.6122629712518347</v>
      </c>
      <c r="I42" s="1">
        <v>100</v>
      </c>
      <c r="J42" s="7">
        <f t="shared" si="4"/>
        <v>0.6101810407090311</v>
      </c>
      <c r="K42" s="7"/>
      <c r="L42" s="7">
        <f t="shared" si="5"/>
        <v>6.057512371540027</v>
      </c>
      <c r="M42" s="7"/>
      <c r="N42" s="7">
        <f t="shared" si="6"/>
        <v>5.651658196170782</v>
      </c>
      <c r="O42" s="7"/>
      <c r="P42" s="7">
        <f t="shared" si="7"/>
        <v>5.854585283855405</v>
      </c>
      <c r="Q42" s="10"/>
      <c r="R42" s="7">
        <f t="shared" si="8"/>
        <v>0.6785353005329721</v>
      </c>
      <c r="S42" s="10"/>
      <c r="T42" s="7">
        <f t="shared" si="9"/>
        <v>0.29497689708084346</v>
      </c>
      <c r="U42" s="10"/>
      <c r="V42" s="7">
        <f t="shared" si="10"/>
        <v>0.48675609880690773</v>
      </c>
      <c r="W42" s="6">
        <f t="shared" si="11"/>
        <v>0</v>
      </c>
      <c r="X42" s="7">
        <f t="shared" si="12"/>
        <v>6.736047672072999</v>
      </c>
      <c r="Y42" s="6">
        <f t="shared" si="11"/>
        <v>0</v>
      </c>
      <c r="Z42" s="7">
        <f t="shared" si="13"/>
        <v>5.946635093251626</v>
      </c>
      <c r="AA42" s="6">
        <f t="shared" si="11"/>
        <v>0</v>
      </c>
      <c r="AB42" s="7">
        <f t="shared" si="14"/>
        <v>6.341341382662312</v>
      </c>
      <c r="AC42" s="7"/>
      <c r="AD42" s="7">
        <f t="shared" si="15"/>
        <v>57.28810149828555</v>
      </c>
      <c r="AE42" s="7"/>
      <c r="AF42" s="7">
        <f t="shared" si="16"/>
        <v>64.94449330687478</v>
      </c>
      <c r="AG42" s="7"/>
      <c r="AH42" s="7">
        <f t="shared" si="17"/>
        <v>61.11629740258016</v>
      </c>
      <c r="AI42" s="6">
        <f t="shared" si="18"/>
        <v>0.9408602150537633</v>
      </c>
      <c r="AJ42" s="7">
        <f t="shared" si="19"/>
        <v>64.63224828052478</v>
      </c>
      <c r="AK42" s="6">
        <f t="shared" si="18"/>
        <v>0.8562712334465783</v>
      </c>
      <c r="AL42" s="7">
        <f t="shared" si="19"/>
        <v>71.50339137137824</v>
      </c>
      <c r="AM42" s="6">
        <f t="shared" si="18"/>
        <v>0.8964310040622071</v>
      </c>
      <c r="AN42" s="7">
        <f t="shared" si="19"/>
        <v>68.0678198259515</v>
      </c>
    </row>
    <row r="43" spans="2:40" ht="12.75">
      <c r="B43" s="1" t="s">
        <v>123</v>
      </c>
      <c r="D43" s="1" t="s">
        <v>12</v>
      </c>
      <c r="E43" s="1">
        <v>100</v>
      </c>
      <c r="F43" s="7">
        <f t="shared" si="20"/>
        <v>103.54119983911444</v>
      </c>
      <c r="G43" s="1">
        <v>100</v>
      </c>
      <c r="H43" s="7">
        <f t="shared" si="20"/>
        <v>108.57132850538608</v>
      </c>
      <c r="I43" s="1">
        <v>100</v>
      </c>
      <c r="J43" s="7">
        <f t="shared" si="4"/>
        <v>106.05626417225025</v>
      </c>
      <c r="K43" s="7"/>
      <c r="L43" s="7">
        <f t="shared" si="5"/>
        <v>21.858697743813043</v>
      </c>
      <c r="M43" s="7"/>
      <c r="N43" s="7">
        <f t="shared" si="6"/>
        <v>12.716230941384259</v>
      </c>
      <c r="O43" s="7"/>
      <c r="P43" s="7">
        <f t="shared" si="7"/>
        <v>17.28746434259865</v>
      </c>
      <c r="Q43" s="6">
        <v>100</v>
      </c>
      <c r="R43" s="7">
        <f t="shared" si="8"/>
        <v>2.7235326941807876</v>
      </c>
      <c r="S43" s="6">
        <v>100</v>
      </c>
      <c r="T43" s="7">
        <f t="shared" si="9"/>
        <v>3.1480727671653046</v>
      </c>
      <c r="U43" s="6">
        <v>100</v>
      </c>
      <c r="V43" s="7">
        <f t="shared" si="10"/>
        <v>2.9358027306730463</v>
      </c>
      <c r="W43" s="6">
        <f t="shared" si="11"/>
        <v>11.079274116523402</v>
      </c>
      <c r="X43" s="7">
        <f t="shared" si="12"/>
        <v>24.58223043799383</v>
      </c>
      <c r="Y43" s="6">
        <f t="shared" si="11"/>
        <v>19.843750000000004</v>
      </c>
      <c r="Z43" s="7">
        <f t="shared" si="13"/>
        <v>15.864303708549564</v>
      </c>
      <c r="AA43" s="6">
        <f t="shared" si="11"/>
        <v>14.51695574229538</v>
      </c>
      <c r="AB43" s="7">
        <f t="shared" si="14"/>
        <v>20.223267073271696</v>
      </c>
      <c r="AC43" s="7"/>
      <c r="AD43" s="7">
        <f t="shared" si="15"/>
        <v>504.79269762833565</v>
      </c>
      <c r="AE43" s="7"/>
      <c r="AF43" s="7">
        <f t="shared" si="16"/>
        <v>570.123414526</v>
      </c>
      <c r="AG43" s="7"/>
      <c r="AH43" s="7">
        <f t="shared" si="17"/>
        <v>537.4580560771678</v>
      </c>
      <c r="AI43" s="6">
        <f t="shared" si="18"/>
        <v>16.789702118188227</v>
      </c>
      <c r="AJ43" s="7">
        <f t="shared" si="19"/>
        <v>632.9161279054439</v>
      </c>
      <c r="AK43" s="6">
        <f t="shared" si="18"/>
        <v>16.084939329050677</v>
      </c>
      <c r="AL43" s="7">
        <f t="shared" si="19"/>
        <v>694.5590467399356</v>
      </c>
      <c r="AM43" s="6">
        <f t="shared" si="18"/>
        <v>16.420957466423328</v>
      </c>
      <c r="AN43" s="7">
        <f t="shared" si="19"/>
        <v>663.7375873226898</v>
      </c>
    </row>
    <row r="44" spans="2:40" ht="12.75">
      <c r="B44" s="1" t="s">
        <v>124</v>
      </c>
      <c r="D44" s="1" t="s">
        <v>12</v>
      </c>
      <c r="E44" s="1">
        <v>100</v>
      </c>
      <c r="F44" s="7">
        <f t="shared" si="20"/>
        <v>82.64513003031355</v>
      </c>
      <c r="G44" s="1">
        <v>100</v>
      </c>
      <c r="H44" s="7">
        <f t="shared" si="20"/>
        <v>87.00579065157652</v>
      </c>
      <c r="I44" s="1">
        <v>100</v>
      </c>
      <c r="J44" s="7">
        <f t="shared" si="4"/>
        <v>84.82546034094503</v>
      </c>
      <c r="K44" s="6">
        <v>100</v>
      </c>
      <c r="L44" s="7">
        <f t="shared" si="5"/>
        <v>128.8982283711425</v>
      </c>
      <c r="M44" s="6">
        <v>100</v>
      </c>
      <c r="N44" s="7">
        <f t="shared" si="6"/>
        <v>137.07749923168606</v>
      </c>
      <c r="O44" s="6">
        <v>100</v>
      </c>
      <c r="P44" s="7">
        <f t="shared" si="7"/>
        <v>132.98786380141428</v>
      </c>
      <c r="Q44" s="6">
        <v>100</v>
      </c>
      <c r="R44" s="7">
        <f t="shared" si="8"/>
        <v>24.183092025915613</v>
      </c>
      <c r="S44" s="6">
        <v>100</v>
      </c>
      <c r="T44" s="7">
        <f t="shared" si="9"/>
        <v>28.010411235407826</v>
      </c>
      <c r="U44" s="6">
        <v>100</v>
      </c>
      <c r="V44" s="7">
        <f t="shared" si="10"/>
        <v>26.09675163066172</v>
      </c>
      <c r="W44" s="6">
        <f t="shared" si="11"/>
        <v>100</v>
      </c>
      <c r="X44" s="7">
        <f t="shared" si="12"/>
        <v>153.0813203970581</v>
      </c>
      <c r="Y44" s="6">
        <f t="shared" si="11"/>
        <v>100.00000000000001</v>
      </c>
      <c r="Z44" s="7">
        <f t="shared" si="13"/>
        <v>165.08791046709388</v>
      </c>
      <c r="AA44" s="6">
        <f>(O44*P44+U44*V44)/AB44</f>
        <v>100</v>
      </c>
      <c r="AB44" s="7">
        <f t="shared" si="14"/>
        <v>159.084615432076</v>
      </c>
      <c r="AC44" s="7"/>
      <c r="AD44" s="7">
        <f t="shared" si="15"/>
        <v>326.35434869924956</v>
      </c>
      <c r="AE44" s="7"/>
      <c r="AF44" s="7">
        <f t="shared" si="16"/>
        <v>369.3408207146696</v>
      </c>
      <c r="AG44" s="7"/>
      <c r="AH44" s="7">
        <f t="shared" si="17"/>
        <v>347.84758470695954</v>
      </c>
      <c r="AI44" s="6">
        <f t="shared" si="18"/>
        <v>41.93817878028405</v>
      </c>
      <c r="AJ44" s="7">
        <f t="shared" si="19"/>
        <v>562.0807991266213</v>
      </c>
      <c r="AK44" s="6">
        <f t="shared" si="18"/>
        <v>40.56641404068608</v>
      </c>
      <c r="AL44" s="7">
        <f t="shared" si="19"/>
        <v>621.43452183334</v>
      </c>
      <c r="AM44" s="6">
        <f t="shared" si="18"/>
        <v>41.2178991608124</v>
      </c>
      <c r="AN44" s="7">
        <f t="shared" si="19"/>
        <v>591.7576604799806</v>
      </c>
    </row>
    <row r="45" spans="10:40" ht="12.75"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0" ht="12.75">
      <c r="B46" s="1" t="s">
        <v>5</v>
      </c>
      <c r="D46" s="1" t="s">
        <v>12</v>
      </c>
      <c r="E46" s="6">
        <f>(E39*F39+E41*F41)/F46</f>
        <v>100</v>
      </c>
      <c r="F46" s="7">
        <f>F39+F41</f>
        <v>126.01034456610594</v>
      </c>
      <c r="G46" s="6">
        <f>(G39*H39+G41*H41)/H46</f>
        <v>99.99999999999999</v>
      </c>
      <c r="H46" s="7">
        <f>H39+H41</f>
        <v>131.72825432495952</v>
      </c>
      <c r="I46" s="6">
        <f>(I39*J39+I41*J41)/J46</f>
        <v>100.00000000000001</v>
      </c>
      <c r="J46" s="7">
        <f>J39+J41</f>
        <v>128.86929944553273</v>
      </c>
      <c r="K46" s="6"/>
      <c r="L46" s="7">
        <f>L39+L41</f>
        <v>608.8973869903841</v>
      </c>
      <c r="M46" s="6"/>
      <c r="N46" s="7">
        <f>N39+N41</f>
        <v>573.0483955222638</v>
      </c>
      <c r="O46" s="6"/>
      <c r="P46" s="7">
        <f>P39+P41</f>
        <v>590.972891256324</v>
      </c>
      <c r="Q46" s="6"/>
      <c r="R46" s="7">
        <f>R39+R41</f>
        <v>8.90078658934428</v>
      </c>
      <c r="S46" s="6"/>
      <c r="T46" s="7">
        <f>T39+T41</f>
        <v>10.329148992738443</v>
      </c>
      <c r="U46" s="6"/>
      <c r="V46" s="7">
        <f>V39+V41</f>
        <v>9.614967791041362</v>
      </c>
      <c r="W46" s="6">
        <f>(W39*X39+W41*X41)/X46</f>
        <v>1.4407272423241653</v>
      </c>
      <c r="X46" s="6">
        <f>X39+X41</f>
        <v>617.7981735797284</v>
      </c>
      <c r="Y46" s="6">
        <f>(Y39*Z39+Y41*Z41)/Z46</f>
        <v>1.7705770628051347</v>
      </c>
      <c r="Z46" s="6">
        <f>Z39+Z41</f>
        <v>583.3775445150022</v>
      </c>
      <c r="AA46" s="6">
        <f>(AA39*AB39+AA41*AB41)/AB46</f>
        <v>1.6009261003531334</v>
      </c>
      <c r="AB46" s="6">
        <f>AB39+AB41</f>
        <v>600.5878590473654</v>
      </c>
      <c r="AC46" s="6">
        <f>(AC39*AD39+AC41*AD41)/AD46</f>
        <v>0</v>
      </c>
      <c r="AD46" s="7">
        <f>AD39+AD41</f>
        <v>1182.8584235588628</v>
      </c>
      <c r="AE46" s="6">
        <f>(AE39*AF39+AE41*AF41)/AF46</f>
        <v>0</v>
      </c>
      <c r="AF46" s="7">
        <f>AF39+AF41</f>
        <v>1339.0463848997617</v>
      </c>
      <c r="AG46" s="6">
        <f>(AG39*AH39+AG41*AH41)/AH46</f>
        <v>0</v>
      </c>
      <c r="AH46" s="7">
        <f>AH39+AH41</f>
        <v>1260.9524042293124</v>
      </c>
      <c r="AI46" s="6">
        <f>(AI39*AJ39+AI41*AJ41)/AJ46</f>
        <v>7.002306845836161</v>
      </c>
      <c r="AJ46" s="7">
        <f>AJ39+AJ41</f>
        <v>1926.6669417046974</v>
      </c>
      <c r="AK46" s="6">
        <f>(AK39*AL39+AK41*AL41)/AL46</f>
        <v>6.91562214534041</v>
      </c>
      <c r="AL46" s="7">
        <f>AL39+AL41</f>
        <v>2054.1521837397236</v>
      </c>
      <c r="AM46" s="6">
        <f>(AM39*AN39+AM41*AN41)/AN46</f>
        <v>6.957576462161597</v>
      </c>
      <c r="AN46" s="7">
        <f>AN39+AN41</f>
        <v>1990.4095627222105</v>
      </c>
    </row>
    <row r="47" spans="2:40" ht="12.75">
      <c r="B47" s="1" t="s">
        <v>6</v>
      </c>
      <c r="D47" s="1" t="s">
        <v>12</v>
      </c>
      <c r="E47" s="6">
        <f>(E40*F40+E38*F38+E36*F36)/F47</f>
        <v>0</v>
      </c>
      <c r="F47" s="7">
        <f>F40+F38+F36</f>
        <v>1462.9596739172835</v>
      </c>
      <c r="G47" s="6">
        <f>(G40*H40+G38*H38+G36*H36)/H47</f>
        <v>0</v>
      </c>
      <c r="H47" s="7">
        <f>H40+H38+H36</f>
        <v>1488.02211191286</v>
      </c>
      <c r="I47" s="6">
        <f>(I40*J40+I38*J38+I36*J36)/J47</f>
        <v>0</v>
      </c>
      <c r="J47" s="7">
        <f>J40+J38+J36</f>
        <v>1475.4908929150718</v>
      </c>
      <c r="K47" s="6"/>
      <c r="L47" s="7">
        <f>L40+L38+L36</f>
        <v>3270.0470952363585</v>
      </c>
      <c r="M47" s="6"/>
      <c r="N47" s="7">
        <f>N40+N38+N36</f>
        <v>3198.8137510581178</v>
      </c>
      <c r="O47" s="6"/>
      <c r="P47" s="7">
        <f>P40+P38+P36</f>
        <v>3234.430423147238</v>
      </c>
      <c r="Q47" s="6"/>
      <c r="R47" s="7">
        <f>R40+R38+R36</f>
        <v>11.030307411432188</v>
      </c>
      <c r="S47" s="6"/>
      <c r="T47" s="7">
        <f>T40+T38+T36</f>
        <v>12.788116067563626</v>
      </c>
      <c r="U47" s="6"/>
      <c r="V47" s="7">
        <f>V40+V38+V36</f>
        <v>11.909211739497907</v>
      </c>
      <c r="W47" s="6">
        <f>(W40*X40+W38*X38+W36*X36)/X47</f>
        <v>0.25317216565960715</v>
      </c>
      <c r="X47" s="6">
        <f>X40+X38+X36</f>
        <v>3281.0774026477907</v>
      </c>
      <c r="Y47" s="6">
        <f>(Y40*Z40+Y38*Z38+Y36*Z36)/Z47</f>
        <v>0.3001630868095729</v>
      </c>
      <c r="Z47" s="6">
        <f>Z40+Z38+Z36</f>
        <v>3211.601867125681</v>
      </c>
      <c r="AA47" s="6">
        <f>(AA40*AB40+AA38*AB38+AA36*AB36)/AB47</f>
        <v>0.27641621081147116</v>
      </c>
      <c r="AB47" s="6">
        <f>AB40+AB38+AB36</f>
        <v>3246.3396348867354</v>
      </c>
      <c r="AC47" s="6">
        <f>(AC40*AD40+AC38*AD38+AC36*AD36)/AD47</f>
        <v>0</v>
      </c>
      <c r="AD47" s="7">
        <f>AD40+AD38+AD36</f>
        <v>17016.679230701804</v>
      </c>
      <c r="AE47" s="6">
        <f>(AE40*AF40+AE38*AF38+AE36*AF36)/AF47</f>
        <v>0</v>
      </c>
      <c r="AF47" s="7">
        <f>AF40+AF38+AF36</f>
        <v>19280.086600796643</v>
      </c>
      <c r="AG47" s="6">
        <f>(AG40*AH40+AG38*AH38+AG36*AH36)/AH47</f>
        <v>0</v>
      </c>
      <c r="AH47" s="7">
        <f>AH40+AH38+AH36</f>
        <v>18148.382915749222</v>
      </c>
      <c r="AI47" s="6">
        <f>(AI40*AJ40+AI38*AJ38+AI36*AJ36)/AJ47</f>
        <v>0.03817325955615439</v>
      </c>
      <c r="AJ47" s="7">
        <f>AJ40+AJ38+AJ36</f>
        <v>21760.71630726688</v>
      </c>
      <c r="AK47" s="6">
        <f>(AK40*AL40+AK38*AL38+AK36*AL36)/AL47</f>
        <v>0.040200832567615495</v>
      </c>
      <c r="AL47" s="7">
        <f>AL40+AL38+AL36</f>
        <v>23979.710579835184</v>
      </c>
      <c r="AM47" s="6">
        <f>(AM40*AN40+AM38*AN38+AM36*AN36)/AN47</f>
        <v>0.039236227641571024</v>
      </c>
      <c r="AN47" s="7">
        <f>AN40+AN38+AN36</f>
        <v>22870.21344355103</v>
      </c>
    </row>
    <row r="49" spans="1:3" ht="12.75">
      <c r="A49" s="1" t="s">
        <v>116</v>
      </c>
      <c r="B49" s="13" t="s">
        <v>69</v>
      </c>
      <c r="C49" s="13"/>
    </row>
    <row r="50" spans="2:10" ht="12.75">
      <c r="B50" s="13"/>
      <c r="C50" s="13"/>
      <c r="D50" s="13"/>
      <c r="J50" s="1" t="s">
        <v>76</v>
      </c>
    </row>
    <row r="51" ht="12.75">
      <c r="B51" s="1" t="s">
        <v>119</v>
      </c>
    </row>
    <row r="52" spans="34:40" ht="12.75" customHeight="1">
      <c r="AH52" s="12"/>
      <c r="AI52" s="12"/>
      <c r="AJ52" s="12"/>
      <c r="AK52" s="12"/>
      <c r="AL52" s="12"/>
      <c r="AM52" s="12"/>
      <c r="AN52" s="12"/>
    </row>
    <row r="54" spans="2:3" ht="12.75">
      <c r="B54" s="13"/>
      <c r="C54" s="13"/>
    </row>
    <row r="55" spans="2:3" ht="12.75">
      <c r="B55" s="13"/>
      <c r="C55" s="1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4" sqref="A4"/>
    </sheetView>
  </sheetViews>
  <sheetFormatPr defaultColWidth="9.140625" defaultRowHeight="12.75"/>
  <cols>
    <col min="1" max="1" width="30.8515625" style="1" customWidth="1"/>
    <col min="2" max="2" width="11.7109375" style="1" customWidth="1"/>
    <col min="3" max="3" width="12.28125" style="1" customWidth="1"/>
    <col min="4" max="4" width="11.140625" style="1" customWidth="1"/>
    <col min="5" max="5" width="8.28125" style="1" customWidth="1"/>
    <col min="6" max="16384" width="11.421875" style="1" customWidth="1"/>
  </cols>
  <sheetData>
    <row r="1" ht="12.75">
      <c r="A1" s="13" t="s">
        <v>40</v>
      </c>
    </row>
    <row r="3" spans="2:5" ht="12.75">
      <c r="B3" s="1" t="s">
        <v>32</v>
      </c>
      <c r="C3" s="2" t="s">
        <v>33</v>
      </c>
      <c r="D3" s="2"/>
      <c r="E3" s="2"/>
    </row>
    <row r="4" spans="1:5" ht="12.75">
      <c r="A4" s="13"/>
      <c r="C4" s="2"/>
      <c r="D4" s="2"/>
      <c r="E4" s="2"/>
    </row>
    <row r="5" spans="1:5" ht="12.75">
      <c r="A5" s="13" t="str">
        <f>feed!B4</f>
        <v>719C10</v>
      </c>
      <c r="E5" s="2"/>
    </row>
    <row r="6" spans="1:5" ht="12.75">
      <c r="A6" s="13"/>
      <c r="E6" s="2"/>
    </row>
    <row r="7" spans="1:3" ht="12.75">
      <c r="A7" s="1" t="s">
        <v>82</v>
      </c>
      <c r="B7" s="1" t="s">
        <v>42</v>
      </c>
      <c r="C7" s="1">
        <v>1327</v>
      </c>
    </row>
    <row r="8" spans="1:3" ht="12.75">
      <c r="A8" s="1" t="s">
        <v>83</v>
      </c>
      <c r="B8" s="1" t="s">
        <v>53</v>
      </c>
      <c r="C8" s="7">
        <v>294</v>
      </c>
    </row>
    <row r="9" spans="1:3" ht="12.75">
      <c r="A9" s="1" t="s">
        <v>80</v>
      </c>
      <c r="C9" s="7"/>
    </row>
    <row r="10" spans="1:3" ht="12.75">
      <c r="A10" s="1" t="s">
        <v>85</v>
      </c>
      <c r="B10" s="1" t="s">
        <v>42</v>
      </c>
      <c r="C10" s="1">
        <v>360</v>
      </c>
    </row>
    <row r="11" spans="1:3" ht="12.75">
      <c r="A11" s="1" t="s">
        <v>86</v>
      </c>
      <c r="B11" s="1" t="s">
        <v>45</v>
      </c>
      <c r="C11" s="1">
        <v>16</v>
      </c>
    </row>
    <row r="12" spans="1:3" ht="12.75">
      <c r="A12" s="1" t="s">
        <v>81</v>
      </c>
      <c r="B12" s="1" t="s">
        <v>52</v>
      </c>
      <c r="C12" s="1">
        <v>3523</v>
      </c>
    </row>
    <row r="14" ht="12.75">
      <c r="A14" s="13" t="s">
        <v>69</v>
      </c>
    </row>
    <row r="15" ht="12.75">
      <c r="A15" s="13"/>
    </row>
    <row r="16" spans="1:3" ht="12.75">
      <c r="A16" s="1" t="s">
        <v>84</v>
      </c>
      <c r="B16" s="1" t="s">
        <v>42</v>
      </c>
      <c r="C16" s="5">
        <v>1047</v>
      </c>
    </row>
    <row r="17" spans="1:3" ht="12.75">
      <c r="A17" s="1" t="s">
        <v>83</v>
      </c>
      <c r="B17" s="1" t="s">
        <v>53</v>
      </c>
      <c r="C17" s="18">
        <v>202.6</v>
      </c>
    </row>
    <row r="18" spans="1:3" ht="12.75">
      <c r="A18" s="1" t="s">
        <v>90</v>
      </c>
      <c r="B18" s="1" t="s">
        <v>52</v>
      </c>
      <c r="C18" s="6">
        <v>2590</v>
      </c>
    </row>
    <row r="26" ht="12.75">
      <c r="C26" s="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2004-02-20T22:32:59Z</cp:lastPrinted>
  <dcterms:created xsi:type="dcterms:W3CDTF">2000-02-25T16:38:56Z</dcterms:created>
  <dcterms:modified xsi:type="dcterms:W3CDTF">2004-02-20T22:34:26Z</dcterms:modified>
  <cp:category/>
  <cp:version/>
  <cp:contentType/>
  <cp:contentStatus/>
</cp:coreProperties>
</file>