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1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" sheetId="8" r:id="rId8"/>
    <sheet name="df c10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<sst xmlns="http://schemas.openxmlformats.org/spreadsheetml/2006/main" count="1393" uniqueCount="247">
  <si>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</si>
  <si>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</si>
  <si>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</si>
  <si>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</si>
  <si>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</si>
  <si>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</si>
  <si>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</si>
  <si>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</si>
  <si>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</si>
  <si>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</si>
  <si>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</si>
  <si>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</si>
  <si>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</si>
  <si>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</si>
  <si>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</si>
  <si>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</si>
  <si>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</si>
  <si>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</si>
  <si>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</si>
  <si>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</si>
  <si>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</si>
  <si>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</si>
  <si>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Ash</t>
  </si>
  <si>
    <t>HCl</t>
  </si>
  <si>
    <t>Cl2</t>
  </si>
  <si>
    <t>DRE</t>
  </si>
  <si>
    <t>lb/hr</t>
  </si>
  <si>
    <t>ug/dscm</t>
  </si>
  <si>
    <t>SVM</t>
  </si>
  <si>
    <t>LVM</t>
  </si>
  <si>
    <t>mg/dscm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</si>
  <si>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</si>
  <si>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</si>
  <si>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</si>
  <si>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</si>
  <si>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</si>
  <si>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</si>
  <si>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</si>
  <si>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</si>
  <si>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</si>
  <si>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</si>
  <si>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</si>
  <si>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</si>
  <si>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</si>
  <si>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</si>
  <si>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</si>
  <si>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</si>
  <si>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</si>
  <si>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</si>
  <si>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</si>
  <si>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</si>
  <si>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</si>
  <si>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</si>
  <si>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</si>
  <si>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</si>
  <si>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Phase I ID No.</t>
  </si>
  <si>
    <t>Arsenic</t>
  </si>
  <si>
    <t>Cadmium</t>
  </si>
  <si>
    <t>Antimony</t>
  </si>
  <si>
    <t>CO (RA)</t>
  </si>
  <si>
    <t>Stack Gas Flowrate</t>
  </si>
  <si>
    <t>Oxygen</t>
  </si>
  <si>
    <t>Feedrate MTEC Calculations</t>
  </si>
  <si>
    <t>PM, HCl/Cl2</t>
  </si>
  <si>
    <t>Chlorine</t>
  </si>
  <si>
    <t>Heating Value</t>
  </si>
  <si>
    <t>Thermal Feedrate</t>
  </si>
  <si>
    <t>MMBtu/hr</t>
  </si>
  <si>
    <t>CO (MHRA)</t>
  </si>
  <si>
    <t>Metals</t>
  </si>
  <si>
    <t>Nickel</t>
  </si>
  <si>
    <t>PCDD/F</t>
  </si>
  <si>
    <t>Silver</t>
  </si>
  <si>
    <t>PCDD/PCDF</t>
  </si>
  <si>
    <t>Facility Name and ID:</t>
  </si>
  <si>
    <t>Condition ID:</t>
  </si>
  <si>
    <t>Condition/Test Date:</t>
  </si>
  <si>
    <t>I-TEF</t>
  </si>
  <si>
    <t>Run 1</t>
  </si>
  <si>
    <t>Run 3</t>
  </si>
  <si>
    <t>Wght Fact</t>
  </si>
  <si>
    <t xml:space="preserve"> TEQ</t>
  </si>
  <si>
    <t>TEQ</t>
  </si>
  <si>
    <t>1/2 ND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</si>
  <si>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</si>
  <si>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</si>
  <si>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</si>
  <si>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</si>
  <si>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</si>
  <si>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</si>
  <si>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</si>
  <si>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</si>
  <si>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</si>
  <si>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</si>
  <si>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</si>
  <si>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</si>
  <si>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</si>
  <si>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</si>
  <si>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</si>
  <si>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</si>
  <si>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</si>
  <si>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</si>
  <si>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</si>
  <si>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</si>
  <si>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</si>
  <si>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</si>
  <si>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</si>
  <si>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</si>
  <si>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</si>
  <si>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</si>
  <si>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</si>
  <si>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</si>
  <si>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</si>
  <si>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</si>
  <si>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</si>
  <si>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Run 2</t>
  </si>
  <si>
    <t>Detected in sample volume (ng)</t>
  </si>
  <si>
    <t>nd</t>
  </si>
  <si>
    <t>Barium</t>
  </si>
  <si>
    <t>Beryllium</t>
  </si>
  <si>
    <t>Selenium</t>
  </si>
  <si>
    <t>Thallium</t>
  </si>
  <si>
    <t>MM Btu/lb</t>
  </si>
  <si>
    <t>Harriman</t>
  </si>
  <si>
    <t>New York</t>
  </si>
  <si>
    <t>Fuel oil and natural gas</t>
  </si>
  <si>
    <t>WHB</t>
  </si>
  <si>
    <t>Incinerator</t>
  </si>
  <si>
    <t>Tier I for all metals except Cr (tier III)</t>
  </si>
  <si>
    <t>November 14-15, 1995</t>
  </si>
  <si>
    <t>PM, HCl/Cl2, DRE, PCDD/F</t>
  </si>
  <si>
    <t>Entropy, Inc.</t>
  </si>
  <si>
    <t>Focus Environmental, Inc</t>
  </si>
  <si>
    <t>Trial Burn Report, November 1995</t>
  </si>
  <si>
    <t>712C1</t>
  </si>
  <si>
    <t>Yes. Run 2 cond. 1</t>
  </si>
  <si>
    <t>712C2</t>
  </si>
  <si>
    <t>POHC DRE</t>
  </si>
  <si>
    <t>POHC Feedrate</t>
  </si>
  <si>
    <t>Emission Rate</t>
  </si>
  <si>
    <t>Benzene</t>
  </si>
  <si>
    <t>Pyridyne</t>
  </si>
  <si>
    <t>HCN</t>
  </si>
  <si>
    <t>Mercury</t>
  </si>
  <si>
    <t>Nepera Incorporated</t>
  </si>
  <si>
    <t>Cr+6</t>
  </si>
  <si>
    <t>Trial burn, max feedrate, low temp</t>
  </si>
  <si>
    <t>Trial burn, max feedrate, high temp</t>
  </si>
  <si>
    <t>Wastewater</t>
  </si>
  <si>
    <t>T911</t>
  </si>
  <si>
    <t>R240 Fumes</t>
  </si>
  <si>
    <t>R238 Fumes</t>
  </si>
  <si>
    <t>Plant Vent</t>
  </si>
  <si>
    <t>Natural Gas</t>
  </si>
  <si>
    <t>kg/min</t>
  </si>
  <si>
    <t>m3/min</t>
  </si>
  <si>
    <t>Density</t>
  </si>
  <si>
    <t>g/ml</t>
  </si>
  <si>
    <t>g/min</t>
  </si>
  <si>
    <t>mg/min</t>
  </si>
  <si>
    <t>T-105</t>
  </si>
  <si>
    <t>Chamber Temp</t>
  </si>
  <si>
    <t>Chamber Press.</t>
  </si>
  <si>
    <t>Atomization Gas Press to Waste Water</t>
  </si>
  <si>
    <t>Atomization Gas Press to Front</t>
  </si>
  <si>
    <t>oC</t>
  </si>
  <si>
    <t>mbar</t>
  </si>
  <si>
    <t>bar</t>
  </si>
  <si>
    <t>T-911, T-105 residue wastes, organic liq wastes</t>
  </si>
  <si>
    <t>PM, HCl/Cl2, metals</t>
  </si>
  <si>
    <t>Waste Heat Boiler</t>
  </si>
  <si>
    <t>Cond Date</t>
  </si>
  <si>
    <t>Report Name/Date</t>
  </si>
  <si>
    <t>Report Prepare</t>
  </si>
  <si>
    <t>Testing Firm</t>
  </si>
  <si>
    <t>Testing Dates</t>
  </si>
  <si>
    <t>Condition Descr</t>
  </si>
  <si>
    <t>Content</t>
  </si>
  <si>
    <t>712C10</t>
  </si>
  <si>
    <t>712C11</t>
  </si>
  <si>
    <t>Stationary Source Sampling Report, prepared for Nepera, Incorporated, prepared by ENTROPY Environmentalists, Emissions Testing, Incinerator Stack R238 VENT, February 1993, Harriman, New York, Reference # 11546</t>
  </si>
  <si>
    <t>ENTROPY Inc.</t>
  </si>
  <si>
    <t>Cond Descr</t>
  </si>
  <si>
    <t>?</t>
  </si>
  <si>
    <t>Stationary Source Sampling Report, prepared for Nepera, Incorporated, prepared by ENTROPY Environmentalists, Emissions Testing, Incinerator Stack R238 VENT, September 1992, Harriman, New York, Reference # 11179</t>
  </si>
  <si>
    <t>September 23-24, 1992</t>
  </si>
  <si>
    <t>R1</t>
  </si>
  <si>
    <t>R2</t>
  </si>
  <si>
    <t>R3</t>
  </si>
  <si>
    <t>Cond Avg</t>
  </si>
  <si>
    <t/>
  </si>
  <si>
    <t>Chromium (Hex)</t>
  </si>
  <si>
    <t>(Cd only)</t>
  </si>
  <si>
    <t>Cr Hex</t>
  </si>
  <si>
    <t>Stack gas flowrate</t>
  </si>
  <si>
    <t>Waste fumes</t>
  </si>
  <si>
    <t>Feedrate</t>
  </si>
  <si>
    <t>Heating value</t>
  </si>
  <si>
    <t>Btu/lb</t>
  </si>
  <si>
    <t>Condition Description</t>
  </si>
  <si>
    <t>NYD002014595</t>
  </si>
  <si>
    <t>Combustor Class</t>
  </si>
  <si>
    <t>Combustor Type</t>
  </si>
  <si>
    <t>Liquid injection</t>
  </si>
  <si>
    <t>Stack Gas Emissions 2</t>
  </si>
  <si>
    <t>Stack Gas Emissions 1</t>
  </si>
  <si>
    <t>Feedstream 1</t>
  </si>
  <si>
    <t>Feedstream 2</t>
  </si>
  <si>
    <t>Feedstream</t>
  </si>
  <si>
    <t>Number of Sister Facilities</t>
  </si>
  <si>
    <t>APCS Detailed Acronym</t>
  </si>
  <si>
    <t>APCS General Class</t>
  </si>
  <si>
    <t>oil,natural gas</t>
  </si>
  <si>
    <t>Cond Dates</t>
  </si>
  <si>
    <t>E1</t>
  </si>
  <si>
    <t>E2</t>
  </si>
  <si>
    <t>Total Chlorine</t>
  </si>
  <si>
    <t>E3</t>
  </si>
  <si>
    <t xml:space="preserve">SVM </t>
  </si>
  <si>
    <t>7%O2</t>
  </si>
  <si>
    <t>Liq</t>
  </si>
  <si>
    <t>source</t>
  </si>
  <si>
    <t>cond</t>
  </si>
  <si>
    <t>emiss 1</t>
  </si>
  <si>
    <t>emiss 2</t>
  </si>
  <si>
    <t>feed 1</t>
  </si>
  <si>
    <t>feed 2</t>
  </si>
  <si>
    <t>process</t>
  </si>
  <si>
    <t>df c10</t>
  </si>
  <si>
    <t>Onsite incinerator</t>
  </si>
  <si>
    <t>Feedstream Number</t>
  </si>
  <si>
    <t>Feed Class</t>
  </si>
  <si>
    <t>F1</t>
  </si>
  <si>
    <t>Liq HW</t>
  </si>
  <si>
    <t>F2</t>
  </si>
  <si>
    <t>F3</t>
  </si>
  <si>
    <t>Gaseous HW</t>
  </si>
  <si>
    <t>F4</t>
  </si>
  <si>
    <t>F5</t>
  </si>
  <si>
    <t>F6</t>
  </si>
  <si>
    <t>NG</t>
  </si>
  <si>
    <t>F7</t>
  </si>
  <si>
    <t>Feed Class 2</t>
  </si>
  <si>
    <t>MF</t>
  </si>
  <si>
    <t>Estimated Firing Rate</t>
  </si>
  <si>
    <t>Full ND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</si>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</sst>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mm/dd/yy"/>
    <numFmt numFmtId="179" formatCode="0E+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77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9.140625" defaultRowHeight="12.75"/>
  <sheetData>
    <row r="1" ht="12.75">
      <c r="A1" t="s">
        <v>221</v>
      </c>
    </row>
    <row r="2" ht="12.75">
      <c r="A2" t="s">
        <v>222</v>
      </c>
    </row>
    <row r="3" ht="12.75">
      <c r="A3" t="s">
        <v>223</v>
      </c>
    </row>
    <row r="4" ht="12.75">
      <c r="A4" t="s">
        <v>224</v>
      </c>
    </row>
    <row r="5" ht="12.75">
      <c r="A5" t="s">
        <v>225</v>
      </c>
    </row>
    <row r="6" ht="12.75">
      <c r="A6" t="s">
        <v>226</v>
      </c>
    </row>
    <row r="7" ht="12.75">
      <c r="A7" t="s">
        <v>227</v>
      </c>
    </row>
    <row r="8" ht="12.75">
      <c r="A8" t="s">
        <v>228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0"/>
  <sheetViews>
    <sheetView tabSelected="1" workbookViewId="0" topLeftCell="B1">
      <selection activeCell="C2" sqref="C2"/>
    </sheetView>
  </sheetViews>
  <sheetFormatPr defaultColWidth="9.140625" defaultRowHeight="12.75"/>
  <cols>
    <col min="1" max="1" width="2.140625" style="1" hidden="1" customWidth="1"/>
    <col min="2" max="2" width="28.28125" style="1" customWidth="1"/>
    <col min="3" max="3" width="58.421875" style="1" customWidth="1"/>
    <col min="4" max="16384" width="8.8515625" style="1" customWidth="1"/>
  </cols>
  <sheetData>
    <row r="1" spans="2:12" ht="12.75">
      <c r="B1" s="7" t="s">
        <v>40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 t="s">
        <v>55</v>
      </c>
      <c r="C3" s="12">
        <v>712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1" t="s">
        <v>0</v>
      </c>
      <c r="C4" s="11" t="s">
        <v>200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1" t="s">
        <v>1</v>
      </c>
      <c r="C5" s="11" t="s">
        <v>144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1" t="s">
        <v>3</v>
      </c>
      <c r="C7" s="11" t="s">
        <v>123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2.75">
      <c r="B8" s="11" t="s">
        <v>4</v>
      </c>
      <c r="C8" s="11" t="s">
        <v>124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1" t="s">
        <v>5</v>
      </c>
      <c r="C9" s="11" t="s">
        <v>127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1" t="s">
        <v>209</v>
      </c>
      <c r="C11" s="12">
        <v>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2.75">
      <c r="B12" s="11" t="s">
        <v>201</v>
      </c>
      <c r="C12" s="11" t="s">
        <v>229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2.75">
      <c r="B13" s="11" t="s">
        <v>202</v>
      </c>
      <c r="C13" s="11" t="s">
        <v>203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2:12" s="31" customFormat="1" ht="12.75">
      <c r="B14" s="30" t="s">
        <v>32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12.75">
      <c r="B15" s="30" t="s">
        <v>37</v>
      </c>
      <c r="C15" s="32"/>
      <c r="D15" s="30"/>
      <c r="E15" s="30"/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11" t="s">
        <v>41</v>
      </c>
      <c r="C16" s="30" t="s">
        <v>135</v>
      </c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30" t="s">
        <v>210</v>
      </c>
      <c r="C17" s="30" t="s">
        <v>126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2:12" s="31" customFormat="1" ht="12.75">
      <c r="B18" s="30" t="s">
        <v>211</v>
      </c>
      <c r="C18" s="30" t="s">
        <v>126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30" t="s">
        <v>7</v>
      </c>
      <c r="C19" s="30" t="s">
        <v>170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11" t="s">
        <v>35</v>
      </c>
      <c r="C20" s="30" t="s">
        <v>220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2.75">
      <c r="B21" s="11" t="s">
        <v>42</v>
      </c>
      <c r="C21" s="36" t="s">
        <v>168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2.75">
      <c r="B22" s="11" t="s">
        <v>36</v>
      </c>
      <c r="C22" s="11" t="s">
        <v>212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2.75" customHeight="1">
      <c r="B23" s="11"/>
      <c r="C23" s="11" t="s">
        <v>125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2.75">
      <c r="B24" s="11" t="s">
        <v>8</v>
      </c>
      <c r="C24" s="12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>
      <c r="B25" s="11" t="s">
        <v>9</v>
      </c>
      <c r="C25" s="35">
        <v>5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.75">
      <c r="B26" s="11" t="s">
        <v>10</v>
      </c>
      <c r="C26" s="13">
        <f>308/12</f>
        <v>25.666666666666668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11" t="s">
        <v>38</v>
      </c>
      <c r="C27" s="13">
        <v>48.5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4.25" customHeight="1">
      <c r="B28" s="11" t="s">
        <v>39</v>
      </c>
      <c r="C28" s="12">
        <v>770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2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2.75">
      <c r="B30" s="11" t="s">
        <v>11</v>
      </c>
      <c r="C30" s="11" t="s">
        <v>128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 t="s">
        <v>54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50" spans="2:1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2:1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2:1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2:1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2:1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2:1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2:1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2:1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2:1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2:1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2:1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2:1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2:1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2:1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2:1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2:1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2:1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2:1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2:1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2:1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2:1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2:1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2:1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2:1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2:1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2:1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2:1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2:1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2:1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2:1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2:1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2:1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2:1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2:1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2:1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2:1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2:1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2:1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2:1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2:1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2:1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2:1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2:1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2:1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2:1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2:1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2:1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2:1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2:1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2:1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2:1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2:1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2:1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2:1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2:1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2:1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2:1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2:1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2:1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2:1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2:1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2:1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2:1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2:1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2:1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2:1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2:1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2:1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2:1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2:1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2:1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2:1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2:1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2:1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2:1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2:1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2:1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2:1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2:1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2:1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2:1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2:1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2:1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2:1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2:1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2:1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2:1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2:1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2:1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2:1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2:1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2:1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2:1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2:1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2:1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2:1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2:1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2:1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2:1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2:1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2:1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2:1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2:1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2:1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2:1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2:1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2:1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2:1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2:1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2:1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2:1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2:1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2:1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2:1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2:1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2:1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2:1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2:1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2:1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2:1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2:1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2:1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2:1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2:1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2:1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2:1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2:1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2:1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2:1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2:1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2:1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2:1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2:1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2:1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2:1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2:1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2:1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2:1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2:1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2:1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2:1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2:1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2:1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2:1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2:1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2:1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2:1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2:1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2:1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2:1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2:1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2:1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2:1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2:1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2:1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2:1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2:1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2:1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2:1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2:1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2:1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2:1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2:1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2:1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2:1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2:1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2:1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2:1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2:1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2:1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2:1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2:1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2:1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2:1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2:1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2:1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2:1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2:1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2:1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2:1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2:1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2:1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2:1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2:1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2:1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2:1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2:1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2:1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B1">
      <selection activeCell="B2" sqref="B2"/>
    </sheetView>
  </sheetViews>
  <sheetFormatPr defaultColWidth="9.140625" defaultRowHeight="12.75"/>
  <cols>
    <col min="1" max="1" width="5.00390625" style="0" hidden="1" customWidth="1"/>
    <col min="2" max="2" width="22.421875" style="0" customWidth="1"/>
    <col min="3" max="3" width="66.57421875" style="40" customWidth="1"/>
  </cols>
  <sheetData>
    <row r="1" ht="12.75">
      <c r="B1" s="7" t="s">
        <v>199</v>
      </c>
    </row>
    <row r="3" spans="2:12" s="1" customFormat="1" ht="12.75">
      <c r="B3" s="7" t="s">
        <v>178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s="1" customFormat="1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s="1" customFormat="1" ht="12.75">
      <c r="B5" s="39" t="s">
        <v>172</v>
      </c>
      <c r="C5" s="36" t="s">
        <v>133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s="1" customFormat="1" ht="12.75">
      <c r="B6" s="11" t="s">
        <v>173</v>
      </c>
      <c r="C6" s="11" t="s">
        <v>131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s="1" customFormat="1" ht="12.75">
      <c r="B7" s="11" t="s">
        <v>174</v>
      </c>
      <c r="C7" s="11" t="s">
        <v>132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s="1" customFormat="1" ht="12.75">
      <c r="B8" s="11" t="s">
        <v>175</v>
      </c>
      <c r="C8" s="14" t="s">
        <v>129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s="1" customFormat="1" ht="12.75">
      <c r="B9" s="11" t="s">
        <v>213</v>
      </c>
      <c r="C9" s="83">
        <v>35017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s="1" customFormat="1" ht="12.75">
      <c r="B10" s="11" t="s">
        <v>176</v>
      </c>
      <c r="C10" s="11" t="s">
        <v>146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s="1" customFormat="1" ht="12.75">
      <c r="B11" s="39" t="s">
        <v>177</v>
      </c>
      <c r="C11" s="37" t="s">
        <v>130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s="1" customFormat="1" ht="12.75">
      <c r="B12" s="39"/>
      <c r="C12" s="37"/>
      <c r="D12" s="11"/>
      <c r="E12" s="11"/>
      <c r="F12" s="11"/>
      <c r="G12" s="11"/>
      <c r="H12" s="11"/>
      <c r="I12" s="11"/>
      <c r="J12" s="11"/>
      <c r="K12" s="11"/>
      <c r="L12" s="11"/>
    </row>
    <row r="13" spans="2:12" s="1" customFormat="1" ht="12.75">
      <c r="B13" s="7" t="s">
        <v>179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1" customFormat="1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1" customFormat="1" ht="12.75">
      <c r="B15" s="39" t="s">
        <v>172</v>
      </c>
      <c r="C15" s="36" t="s">
        <v>133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2:12" s="1" customFormat="1" ht="12.75">
      <c r="B16" s="11" t="s">
        <v>173</v>
      </c>
      <c r="C16" s="11" t="s">
        <v>131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s="1" customFormat="1" ht="12.75">
      <c r="B17" s="11" t="s">
        <v>174</v>
      </c>
      <c r="C17" s="11" t="s">
        <v>132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2:12" s="1" customFormat="1" ht="12.75">
      <c r="B18" s="11" t="s">
        <v>175</v>
      </c>
      <c r="C18" s="14">
        <v>35019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12" s="1" customFormat="1" ht="12.75">
      <c r="B19" s="11" t="s">
        <v>213</v>
      </c>
      <c r="C19" s="83">
        <v>35019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2:12" s="1" customFormat="1" ht="12.75">
      <c r="B20" s="11" t="s">
        <v>176</v>
      </c>
      <c r="C20" s="11" t="s">
        <v>147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s="1" customFormat="1" ht="12.75">
      <c r="B21" s="39" t="s">
        <v>177</v>
      </c>
      <c r="C21" s="37" t="s">
        <v>169</v>
      </c>
      <c r="D21" s="11"/>
      <c r="E21" s="11"/>
      <c r="F21" s="11"/>
      <c r="G21" s="11"/>
      <c r="H21" s="11"/>
      <c r="I21" s="11"/>
      <c r="J21" s="11"/>
      <c r="K21" s="11"/>
      <c r="L21" s="11"/>
    </row>
    <row r="23" ht="12.75">
      <c r="B23" s="7" t="s">
        <v>134</v>
      </c>
    </row>
    <row r="24" ht="12.75">
      <c r="B24" s="7"/>
    </row>
    <row r="25" spans="2:3" ht="38.25">
      <c r="B25" s="69" t="s">
        <v>172</v>
      </c>
      <c r="C25" s="70" t="s">
        <v>180</v>
      </c>
    </row>
    <row r="26" spans="2:3" ht="12.75">
      <c r="B26" t="s">
        <v>173</v>
      </c>
      <c r="C26" s="40" t="s">
        <v>181</v>
      </c>
    </row>
    <row r="27" spans="2:3" ht="12.75">
      <c r="B27" t="s">
        <v>174</v>
      </c>
      <c r="C27" s="40" t="s">
        <v>181</v>
      </c>
    </row>
    <row r="28" spans="1:3" ht="12.75">
      <c r="A28" t="s">
        <v>134</v>
      </c>
      <c r="B28" t="s">
        <v>182</v>
      </c>
      <c r="C28" s="40" t="s">
        <v>183</v>
      </c>
    </row>
    <row r="29" spans="2:3" ht="12.75">
      <c r="B29" t="s">
        <v>175</v>
      </c>
      <c r="C29" s="85">
        <v>34003</v>
      </c>
    </row>
    <row r="30" spans="2:3" ht="12.75">
      <c r="B30" t="s">
        <v>171</v>
      </c>
      <c r="C30" s="84">
        <v>34001</v>
      </c>
    </row>
    <row r="32" ht="12.75">
      <c r="B32" s="7" t="s">
        <v>136</v>
      </c>
    </row>
    <row r="33" ht="12.75">
      <c r="B33" s="7"/>
    </row>
    <row r="34" spans="2:3" ht="37.5" customHeight="1">
      <c r="B34" s="69" t="s">
        <v>172</v>
      </c>
      <c r="C34" s="70" t="s">
        <v>184</v>
      </c>
    </row>
    <row r="35" spans="2:3" ht="12.75">
      <c r="B35" t="s">
        <v>173</v>
      </c>
      <c r="C35" s="40" t="s">
        <v>181</v>
      </c>
    </row>
    <row r="36" spans="2:3" ht="12.75">
      <c r="B36" t="s">
        <v>174</v>
      </c>
      <c r="C36" s="40" t="s">
        <v>181</v>
      </c>
    </row>
    <row r="37" spans="1:3" ht="12.75">
      <c r="A37" t="s">
        <v>136</v>
      </c>
      <c r="B37" t="s">
        <v>182</v>
      </c>
      <c r="C37" s="40" t="s">
        <v>183</v>
      </c>
    </row>
    <row r="38" spans="1:3" ht="12.75">
      <c r="A38" t="s">
        <v>136</v>
      </c>
      <c r="B38" t="s">
        <v>175</v>
      </c>
      <c r="C38" s="40" t="s">
        <v>185</v>
      </c>
    </row>
    <row r="39" spans="2:3" ht="12.75">
      <c r="B39" t="s">
        <v>171</v>
      </c>
      <c r="C39" s="84">
        <v>33870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B1">
      <selection activeCell="J52" sqref="J52"/>
    </sheetView>
  </sheetViews>
  <sheetFormatPr defaultColWidth="9.140625" defaultRowHeight="12.75"/>
  <cols>
    <col min="1" max="1" width="3.00390625" style="16" hidden="1" customWidth="1"/>
    <col min="2" max="2" width="21.140625" style="16" customWidth="1"/>
    <col min="3" max="3" width="9.8515625" style="16" customWidth="1"/>
    <col min="4" max="4" width="8.8515625" style="8" customWidth="1"/>
    <col min="5" max="5" width="6.140625" style="8" customWidth="1"/>
    <col min="6" max="6" width="3.28125" style="8" customWidth="1"/>
    <col min="7" max="7" width="10.57421875" style="16" customWidth="1"/>
    <col min="8" max="8" width="3.00390625" style="16" customWidth="1"/>
    <col min="9" max="9" width="11.00390625" style="17" customWidth="1"/>
    <col min="10" max="10" width="3.140625" style="16" customWidth="1"/>
    <col min="11" max="11" width="10.8515625" style="16" customWidth="1"/>
    <col min="12" max="12" width="4.00390625" style="16" customWidth="1"/>
    <col min="13" max="13" width="8.8515625" style="16" customWidth="1"/>
    <col min="14" max="14" width="3.28125" style="16" customWidth="1"/>
    <col min="15" max="15" width="8.8515625" style="16" customWidth="1"/>
    <col min="16" max="16" width="3.140625" style="16" customWidth="1"/>
    <col min="17" max="17" width="8.8515625" style="16" customWidth="1"/>
    <col min="18" max="18" width="3.28125" style="16" customWidth="1"/>
    <col min="19" max="16384" width="8.8515625" style="16" customWidth="1"/>
  </cols>
  <sheetData>
    <row r="1" spans="2:3" ht="12.75">
      <c r="B1" s="15" t="s">
        <v>205</v>
      </c>
      <c r="C1" s="15"/>
    </row>
    <row r="2" spans="2:11" ht="12.75">
      <c r="B2" s="18"/>
      <c r="C2" s="18"/>
      <c r="G2" s="18"/>
      <c r="H2" s="18"/>
      <c r="I2" s="19"/>
      <c r="J2" s="18"/>
      <c r="K2" s="18"/>
    </row>
    <row r="3" spans="2:5" ht="12.75">
      <c r="B3" s="11"/>
      <c r="C3" s="11" t="s">
        <v>46</v>
      </c>
      <c r="D3" s="8" t="s">
        <v>12</v>
      </c>
      <c r="E3" s="8" t="s">
        <v>33</v>
      </c>
    </row>
    <row r="4" spans="2:11" ht="12.75">
      <c r="B4" s="11"/>
      <c r="C4" s="11"/>
      <c r="G4" s="18"/>
      <c r="H4" s="18"/>
      <c r="I4" s="19"/>
      <c r="J4" s="18"/>
      <c r="K4" s="18"/>
    </row>
    <row r="5" spans="2:11" ht="12.75">
      <c r="B5" s="11"/>
      <c r="C5" s="11"/>
      <c r="G5" s="18"/>
      <c r="H5" s="18"/>
      <c r="I5" s="19"/>
      <c r="J5" s="18"/>
      <c r="K5" s="18"/>
    </row>
    <row r="6" spans="1:13" ht="12.75">
      <c r="A6" s="16">
        <v>1</v>
      </c>
      <c r="B6" s="20" t="s">
        <v>178</v>
      </c>
      <c r="C6" s="20"/>
      <c r="G6" s="18" t="s">
        <v>186</v>
      </c>
      <c r="H6" s="18"/>
      <c r="I6" s="19" t="s">
        <v>187</v>
      </c>
      <c r="J6" s="18"/>
      <c r="K6" s="18" t="s">
        <v>188</v>
      </c>
      <c r="M6" s="16" t="s">
        <v>189</v>
      </c>
    </row>
    <row r="7" spans="2:11" ht="12.75">
      <c r="B7" s="20"/>
      <c r="C7" s="20"/>
      <c r="G7" s="18"/>
      <c r="H7" s="18"/>
      <c r="I7" s="19"/>
      <c r="J7" s="18"/>
      <c r="K7" s="18"/>
    </row>
    <row r="8" spans="2:13" ht="12.75">
      <c r="B8" s="8" t="s">
        <v>13</v>
      </c>
      <c r="C8" s="8" t="s">
        <v>214</v>
      </c>
      <c r="D8" s="8" t="s">
        <v>14</v>
      </c>
      <c r="E8" s="8" t="s">
        <v>15</v>
      </c>
      <c r="F8"/>
      <c r="G8" s="16">
        <v>0.0277</v>
      </c>
      <c r="I8" s="17">
        <v>0.0181</v>
      </c>
      <c r="K8" s="16">
        <v>0.0328</v>
      </c>
      <c r="M8" s="88">
        <f>AVERAGE(I8,G8,K8)</f>
        <v>0.0262</v>
      </c>
    </row>
    <row r="9" spans="2:13" ht="12.75">
      <c r="B9" s="8" t="s">
        <v>59</v>
      </c>
      <c r="C9" s="8" t="s">
        <v>214</v>
      </c>
      <c r="D9" s="11" t="s">
        <v>16</v>
      </c>
      <c r="E9" s="8" t="s">
        <v>15</v>
      </c>
      <c r="F9"/>
      <c r="G9">
        <v>20.5</v>
      </c>
      <c r="H9"/>
      <c r="I9">
        <v>18.5</v>
      </c>
      <c r="J9"/>
      <c r="K9">
        <v>12.1</v>
      </c>
      <c r="M9" s="41">
        <f>AVERAGE(I9,G9,K9)</f>
        <v>17.033333333333335</v>
      </c>
    </row>
    <row r="10" spans="2:13" ht="12.75">
      <c r="B10" s="16" t="s">
        <v>68</v>
      </c>
      <c r="C10" s="16" t="s">
        <v>214</v>
      </c>
      <c r="D10" s="11" t="s">
        <v>16</v>
      </c>
      <c r="E10" s="8" t="s">
        <v>15</v>
      </c>
      <c r="G10">
        <v>28.1</v>
      </c>
      <c r="H10"/>
      <c r="I10">
        <v>21.7</v>
      </c>
      <c r="J10"/>
      <c r="K10">
        <v>12.5</v>
      </c>
      <c r="M10" s="41">
        <f>AVERAGE(I10,G10,K10)</f>
        <v>20.766666666666666</v>
      </c>
    </row>
    <row r="11" spans="2:13" ht="12.75">
      <c r="B11" s="16" t="s">
        <v>142</v>
      </c>
      <c r="C11" s="16" t="s">
        <v>214</v>
      </c>
      <c r="D11" s="8" t="s">
        <v>27</v>
      </c>
      <c r="E11" s="8" t="s">
        <v>15</v>
      </c>
      <c r="G11">
        <v>20.1</v>
      </c>
      <c r="H11"/>
      <c r="I11">
        <v>61.3</v>
      </c>
      <c r="J11"/>
      <c r="K11">
        <v>32</v>
      </c>
      <c r="M11" s="41">
        <f>AVERAGE(I11,G11,K11)</f>
        <v>37.800000000000004</v>
      </c>
    </row>
    <row r="12" spans="7:13" ht="12.75">
      <c r="G12"/>
      <c r="H12"/>
      <c r="I12"/>
      <c r="J12"/>
      <c r="K12"/>
      <c r="M12" s="42"/>
    </row>
    <row r="13" spans="2:13" ht="12.75">
      <c r="B13" s="8" t="s">
        <v>23</v>
      </c>
      <c r="C13" s="8" t="s">
        <v>214</v>
      </c>
      <c r="D13" s="11" t="s">
        <v>16</v>
      </c>
      <c r="E13" s="8" t="s">
        <v>15</v>
      </c>
      <c r="F13" s="8" t="s">
        <v>117</v>
      </c>
      <c r="G13" s="21">
        <v>0.0212</v>
      </c>
      <c r="H13" s="8" t="s">
        <v>117</v>
      </c>
      <c r="I13" s="17">
        <v>0.0196</v>
      </c>
      <c r="J13" s="8" t="s">
        <v>117</v>
      </c>
      <c r="K13" s="16">
        <v>0.0216</v>
      </c>
      <c r="M13" s="6">
        <f>AVERAGE(K13,G13,I13)</f>
        <v>0.020800000000000003</v>
      </c>
    </row>
    <row r="14" spans="2:13" ht="13.5" customHeight="1">
      <c r="B14" s="8" t="s">
        <v>24</v>
      </c>
      <c r="C14" s="8" t="s">
        <v>214</v>
      </c>
      <c r="D14" s="11" t="s">
        <v>16</v>
      </c>
      <c r="E14" s="8" t="s">
        <v>15</v>
      </c>
      <c r="F14"/>
      <c r="G14" s="16">
        <v>0.123</v>
      </c>
      <c r="H14"/>
      <c r="I14" s="17">
        <v>0.0202</v>
      </c>
      <c r="J14" t="s">
        <v>117</v>
      </c>
      <c r="K14" s="16">
        <v>0.0223</v>
      </c>
      <c r="M14" s="6">
        <f>AVERAGE(K14,G14,I14)</f>
        <v>0.05516666666666666</v>
      </c>
    </row>
    <row r="15" spans="2:13" ht="12.75">
      <c r="B15" s="8" t="s">
        <v>216</v>
      </c>
      <c r="C15" s="8" t="s">
        <v>214</v>
      </c>
      <c r="D15" s="11" t="s">
        <v>16</v>
      </c>
      <c r="E15" s="8" t="s">
        <v>15</v>
      </c>
      <c r="G15" s="41">
        <f>G14*2+G13</f>
        <v>0.2672</v>
      </c>
      <c r="H15"/>
      <c r="I15" s="41">
        <f>I14*2+I13</f>
        <v>0.06</v>
      </c>
      <c r="J15"/>
      <c r="K15" s="41">
        <f>K14*2+K13</f>
        <v>0.06620000000000001</v>
      </c>
      <c r="L15"/>
      <c r="M15" s="6">
        <f>AVERAGE(K15,G15,I15)</f>
        <v>0.13113333333333335</v>
      </c>
    </row>
    <row r="16" spans="2:13" ht="12.75">
      <c r="B16" s="8"/>
      <c r="C16" s="8"/>
      <c r="D16" s="11"/>
      <c r="G16" s="41"/>
      <c r="H16"/>
      <c r="I16" s="41"/>
      <c r="J16"/>
      <c r="K16" s="41"/>
      <c r="L16"/>
      <c r="M16" s="6"/>
    </row>
    <row r="17" spans="2:13" ht="12.75">
      <c r="B17" s="8" t="s">
        <v>137</v>
      </c>
      <c r="C17" s="8" t="s">
        <v>140</v>
      </c>
      <c r="F17"/>
      <c r="G17"/>
      <c r="H17"/>
      <c r="I17"/>
      <c r="J17"/>
      <c r="K17"/>
      <c r="L17"/>
      <c r="M17"/>
    </row>
    <row r="18" spans="2:13" ht="12.75">
      <c r="B18" s="8" t="s">
        <v>138</v>
      </c>
      <c r="C18" s="8"/>
      <c r="D18" s="8" t="s">
        <v>26</v>
      </c>
      <c r="F18"/>
      <c r="G18">
        <f>494.8+43.2+14.5+21.5+22.2</f>
        <v>596.2</v>
      </c>
      <c r="H18"/>
      <c r="I18">
        <f>543.4+48.2+15.6+31.8+22.3</f>
        <v>661.3</v>
      </c>
      <c r="J18"/>
      <c r="K18">
        <f>538.5+47.6+16+37.5+19.1</f>
        <v>658.7</v>
      </c>
      <c r="L18"/>
      <c r="M18"/>
    </row>
    <row r="19" spans="2:13" ht="12.75">
      <c r="B19" s="8" t="s">
        <v>139</v>
      </c>
      <c r="C19" s="8"/>
      <c r="D19" s="8" t="s">
        <v>26</v>
      </c>
      <c r="F19" t="s">
        <v>117</v>
      </c>
      <c r="G19" s="46">
        <v>0.000102</v>
      </c>
      <c r="H19" t="s">
        <v>117</v>
      </c>
      <c r="I19" s="46">
        <v>5.51E-05</v>
      </c>
      <c r="J19" t="s">
        <v>117</v>
      </c>
      <c r="K19" s="46">
        <v>5.71E-05</v>
      </c>
      <c r="L19"/>
      <c r="M19"/>
    </row>
    <row r="20" spans="2:13" ht="12.75">
      <c r="B20" s="8" t="s">
        <v>25</v>
      </c>
      <c r="C20" s="8"/>
      <c r="D20" s="8" t="s">
        <v>18</v>
      </c>
      <c r="F20" s="16"/>
      <c r="G20">
        <v>99.99998</v>
      </c>
      <c r="I20">
        <v>99.999991</v>
      </c>
      <c r="K20">
        <v>99.99998</v>
      </c>
      <c r="L20"/>
      <c r="M20"/>
    </row>
    <row r="21" spans="2:13" ht="12.75">
      <c r="B21" s="8"/>
      <c r="C21" s="8"/>
      <c r="F21"/>
      <c r="G21"/>
      <c r="H21"/>
      <c r="I21"/>
      <c r="J21"/>
      <c r="K21"/>
      <c r="L21"/>
      <c r="M21"/>
    </row>
    <row r="22" spans="2:13" ht="12.75">
      <c r="B22" s="8" t="s">
        <v>137</v>
      </c>
      <c r="C22" s="8" t="s">
        <v>141</v>
      </c>
      <c r="F22"/>
      <c r="G22"/>
      <c r="H22"/>
      <c r="I22"/>
      <c r="J22"/>
      <c r="K22"/>
      <c r="L22"/>
      <c r="M22"/>
    </row>
    <row r="23" spans="2:13" ht="12.75">
      <c r="B23" s="8" t="s">
        <v>138</v>
      </c>
      <c r="C23" s="8"/>
      <c r="D23" s="8" t="s">
        <v>26</v>
      </c>
      <c r="F23"/>
      <c r="G23">
        <f>288.1+29.1+1.81+9.08+57.2</f>
        <v>385.29</v>
      </c>
      <c r="H23"/>
      <c r="I23">
        <f>236.4+28.4+3.09+10.7+47.7</f>
        <v>326.28999999999996</v>
      </c>
      <c r="J23"/>
      <c r="K23">
        <f>221.2+22.6+3.06+17.8+35</f>
        <v>299.65999999999997</v>
      </c>
      <c r="L23"/>
      <c r="M23"/>
    </row>
    <row r="24" spans="2:13" ht="12.75">
      <c r="B24" s="8" t="s">
        <v>139</v>
      </c>
      <c r="C24" s="8"/>
      <c r="D24" s="8" t="s">
        <v>26</v>
      </c>
      <c r="F24"/>
      <c r="G24" s="46">
        <v>0.000815</v>
      </c>
      <c r="H24"/>
      <c r="I24" s="46">
        <v>0.000333</v>
      </c>
      <c r="J24"/>
      <c r="K24" s="46">
        <v>0.000432</v>
      </c>
      <c r="L24"/>
      <c r="M24"/>
    </row>
    <row r="25" spans="2:13" ht="12.75">
      <c r="B25" s="8" t="s">
        <v>25</v>
      </c>
      <c r="C25" s="8"/>
      <c r="D25" s="8" t="s">
        <v>18</v>
      </c>
      <c r="F25" s="16"/>
      <c r="G25">
        <v>99.9997</v>
      </c>
      <c r="I25">
        <v>99.9998</v>
      </c>
      <c r="K25">
        <v>99.9998</v>
      </c>
      <c r="L25"/>
      <c r="M25"/>
    </row>
    <row r="26" spans="2:11" ht="12.75">
      <c r="B26" s="8"/>
      <c r="C26" s="8"/>
      <c r="G26" s="21"/>
      <c r="H26" s="8"/>
      <c r="I26" s="21"/>
      <c r="J26" s="8"/>
      <c r="K26" s="21"/>
    </row>
    <row r="27" spans="2:13" ht="12.75">
      <c r="B27" s="8" t="s">
        <v>50</v>
      </c>
      <c r="C27" s="8" t="s">
        <v>63</v>
      </c>
      <c r="D27" s="8" t="s">
        <v>214</v>
      </c>
      <c r="F27"/>
      <c r="I27" s="16"/>
      <c r="M27"/>
    </row>
    <row r="28" spans="2:13" ht="12.75">
      <c r="B28" s="8" t="s">
        <v>44</v>
      </c>
      <c r="C28" s="8"/>
      <c r="D28" s="8" t="s">
        <v>17</v>
      </c>
      <c r="F28"/>
      <c r="G28">
        <v>16077</v>
      </c>
      <c r="I28">
        <v>15504</v>
      </c>
      <c r="K28">
        <v>15690</v>
      </c>
      <c r="M28" s="6">
        <f>AVERAGE(K28,G28,I28)</f>
        <v>15757</v>
      </c>
    </row>
    <row r="29" spans="2:13" ht="12.75">
      <c r="B29" s="8" t="s">
        <v>47</v>
      </c>
      <c r="C29" s="8"/>
      <c r="D29" s="8" t="s">
        <v>18</v>
      </c>
      <c r="F29"/>
      <c r="G29">
        <v>5.2</v>
      </c>
      <c r="H29"/>
      <c r="I29">
        <v>5</v>
      </c>
      <c r="J29"/>
      <c r="K29">
        <v>5.2</v>
      </c>
      <c r="M29" s="6">
        <f>AVERAGE(I29,G29,K29)</f>
        <v>5.133333333333333</v>
      </c>
    </row>
    <row r="30" spans="2:13" ht="12.75">
      <c r="B30" s="8" t="s">
        <v>48</v>
      </c>
      <c r="C30" s="8"/>
      <c r="D30" s="8" t="s">
        <v>18</v>
      </c>
      <c r="F30"/>
      <c r="G30">
        <v>33.3</v>
      </c>
      <c r="H30"/>
      <c r="I30">
        <v>33.9</v>
      </c>
      <c r="J30"/>
      <c r="K30">
        <v>34.4</v>
      </c>
      <c r="M30" s="6">
        <f>AVERAGE(I30,G30,K30)</f>
        <v>33.86666666666667</v>
      </c>
    </row>
    <row r="31" spans="2:13" ht="12.75">
      <c r="B31" s="8" t="s">
        <v>43</v>
      </c>
      <c r="C31" s="8"/>
      <c r="D31" s="8" t="s">
        <v>19</v>
      </c>
      <c r="F31"/>
      <c r="G31">
        <v>771</v>
      </c>
      <c r="H31"/>
      <c r="I31">
        <v>776</v>
      </c>
      <c r="J31"/>
      <c r="K31">
        <v>773</v>
      </c>
      <c r="M31" s="6">
        <f>AVERAGE(I31,G31,K31)</f>
        <v>773.3333333333334</v>
      </c>
    </row>
    <row r="32" spans="2:13" ht="12" customHeight="1">
      <c r="B32" s="8"/>
      <c r="C32" s="8"/>
      <c r="F32"/>
      <c r="G32"/>
      <c r="H32"/>
      <c r="I32"/>
      <c r="J32"/>
      <c r="K32"/>
      <c r="M32"/>
    </row>
    <row r="33" spans="2:13" ht="12.75">
      <c r="B33" s="8" t="s">
        <v>50</v>
      </c>
      <c r="C33" s="8" t="s">
        <v>71</v>
      </c>
      <c r="D33" s="8" t="s">
        <v>215</v>
      </c>
      <c r="F33"/>
      <c r="I33" s="16"/>
      <c r="M33"/>
    </row>
    <row r="34" spans="2:13" ht="12.75">
      <c r="B34" s="8" t="s">
        <v>44</v>
      </c>
      <c r="C34" s="8"/>
      <c r="D34" s="8" t="s">
        <v>17</v>
      </c>
      <c r="F34"/>
      <c r="G34" s="6">
        <v>15819</v>
      </c>
      <c r="I34" s="16">
        <v>15005</v>
      </c>
      <c r="K34" s="6">
        <v>14916</v>
      </c>
      <c r="M34" s="6">
        <f>AVERAGE(K34,G34,I34)</f>
        <v>15246.666666666666</v>
      </c>
    </row>
    <row r="35" spans="2:13" ht="12.75">
      <c r="B35" s="8" t="s">
        <v>47</v>
      </c>
      <c r="C35" s="8"/>
      <c r="D35" s="8" t="s">
        <v>18</v>
      </c>
      <c r="F35"/>
      <c r="G35" s="16">
        <v>5.2</v>
      </c>
      <c r="H35"/>
      <c r="I35" s="16">
        <v>5</v>
      </c>
      <c r="J35"/>
      <c r="K35" s="16">
        <v>5.2</v>
      </c>
      <c r="M35" s="6">
        <f>AVERAGE(I35,G35,K35)</f>
        <v>5.133333333333333</v>
      </c>
    </row>
    <row r="36" spans="2:13" ht="12.75">
      <c r="B36" s="8" t="s">
        <v>48</v>
      </c>
      <c r="C36" s="8"/>
      <c r="D36" s="8" t="s">
        <v>18</v>
      </c>
      <c r="F36"/>
      <c r="G36" s="16">
        <v>33.4</v>
      </c>
      <c r="H36"/>
      <c r="I36" s="16">
        <v>33.4</v>
      </c>
      <c r="J36"/>
      <c r="K36" s="16">
        <v>33.6</v>
      </c>
      <c r="M36" s="6">
        <f>AVERAGE(I36,G36,K36)</f>
        <v>33.46666666666667</v>
      </c>
    </row>
    <row r="37" spans="2:13" ht="12.75">
      <c r="B37" s="8" t="s">
        <v>43</v>
      </c>
      <c r="C37" s="8"/>
      <c r="D37" s="8" t="s">
        <v>19</v>
      </c>
      <c r="F37"/>
      <c r="G37" s="16">
        <v>774</v>
      </c>
      <c r="H37"/>
      <c r="I37" s="16">
        <v>783</v>
      </c>
      <c r="J37"/>
      <c r="K37" s="16">
        <v>793</v>
      </c>
      <c r="M37" s="6">
        <f>AVERAGE(I37,G37,K37)</f>
        <v>783.3333333333334</v>
      </c>
    </row>
    <row r="39" spans="1:13" ht="12.75">
      <c r="A39" s="16">
        <v>1</v>
      </c>
      <c r="B39" s="20" t="s">
        <v>179</v>
      </c>
      <c r="C39" s="20"/>
      <c r="G39" s="18" t="s">
        <v>186</v>
      </c>
      <c r="H39" s="18"/>
      <c r="I39" s="19" t="s">
        <v>187</v>
      </c>
      <c r="J39" s="18"/>
      <c r="K39" s="18" t="s">
        <v>188</v>
      </c>
      <c r="M39" s="16" t="s">
        <v>189</v>
      </c>
    </row>
    <row r="40" spans="2:11" ht="12.75">
      <c r="B40" s="20"/>
      <c r="C40" s="20"/>
      <c r="G40" s="18"/>
      <c r="H40" s="18"/>
      <c r="I40" s="19"/>
      <c r="J40" s="18"/>
      <c r="K40" s="18"/>
    </row>
    <row r="41" spans="2:13" ht="12.75">
      <c r="B41" s="8" t="s">
        <v>13</v>
      </c>
      <c r="C41" s="8" t="s">
        <v>214</v>
      </c>
      <c r="D41" s="8" t="s">
        <v>14</v>
      </c>
      <c r="E41" s="8" t="s">
        <v>15</v>
      </c>
      <c r="F41"/>
      <c r="G41" s="16">
        <v>0.0165</v>
      </c>
      <c r="I41" s="17">
        <v>0.0281</v>
      </c>
      <c r="K41" s="16">
        <v>0.0147</v>
      </c>
      <c r="M41" s="42">
        <f>AVERAGE(I41,G41,K41)</f>
        <v>0.019766666666666665</v>
      </c>
    </row>
    <row r="42" spans="2:13" ht="12.75">
      <c r="B42" s="8" t="s">
        <v>59</v>
      </c>
      <c r="C42" s="8" t="s">
        <v>214</v>
      </c>
      <c r="D42" s="11" t="s">
        <v>16</v>
      </c>
      <c r="E42" s="8" t="s">
        <v>15</v>
      </c>
      <c r="F42"/>
      <c r="G42">
        <v>0.1</v>
      </c>
      <c r="H42"/>
      <c r="I42">
        <v>0.1</v>
      </c>
      <c r="J42"/>
      <c r="K42">
        <v>0.1</v>
      </c>
      <c r="M42" s="6">
        <f>AVERAGE(I42,G42,K42)</f>
        <v>0.10000000000000002</v>
      </c>
    </row>
    <row r="43" spans="2:13" ht="12.75">
      <c r="B43" s="16" t="s">
        <v>68</v>
      </c>
      <c r="C43" s="16" t="s">
        <v>214</v>
      </c>
      <c r="D43" s="11" t="s">
        <v>16</v>
      </c>
      <c r="E43" s="8" t="s">
        <v>15</v>
      </c>
      <c r="G43">
        <v>0.6</v>
      </c>
      <c r="H43"/>
      <c r="I43">
        <v>0.1</v>
      </c>
      <c r="J43"/>
      <c r="K43">
        <v>0.1</v>
      </c>
      <c r="M43" s="6">
        <f>AVERAGE(I43,G43,K43)</f>
        <v>0.26666666666666666</v>
      </c>
    </row>
    <row r="44" spans="2:13" ht="12.75">
      <c r="B44" s="8" t="s">
        <v>23</v>
      </c>
      <c r="C44" s="8" t="s">
        <v>214</v>
      </c>
      <c r="D44" s="11" t="s">
        <v>16</v>
      </c>
      <c r="E44" s="8" t="s">
        <v>15</v>
      </c>
      <c r="F44" s="8" t="s">
        <v>117</v>
      </c>
      <c r="G44" s="21">
        <v>0.0205</v>
      </c>
      <c r="H44" s="8" t="s">
        <v>117</v>
      </c>
      <c r="I44" s="17">
        <v>0.0202</v>
      </c>
      <c r="J44" s="8" t="s">
        <v>117</v>
      </c>
      <c r="K44" s="16">
        <v>0.0223</v>
      </c>
      <c r="L44" s="16">
        <v>100</v>
      </c>
      <c r="M44" s="6">
        <f>AVERAGE(K44,G44,I44)</f>
        <v>0.021</v>
      </c>
    </row>
    <row r="45" spans="2:13" ht="12.75">
      <c r="B45" s="8" t="s">
        <v>24</v>
      </c>
      <c r="C45" s="8" t="s">
        <v>214</v>
      </c>
      <c r="D45" s="11" t="s">
        <v>16</v>
      </c>
      <c r="E45" s="8" t="s">
        <v>15</v>
      </c>
      <c r="F45" s="8" t="s">
        <v>117</v>
      </c>
      <c r="G45" s="16">
        <v>0.021</v>
      </c>
      <c r="H45"/>
      <c r="I45" s="17">
        <v>0.439</v>
      </c>
      <c r="J45"/>
      <c r="K45" s="16">
        <v>0.487</v>
      </c>
      <c r="M45" s="6">
        <f>AVERAGE(K45,G45,I45)</f>
        <v>0.3156666666666667</v>
      </c>
    </row>
    <row r="46" spans="2:13" ht="12.75">
      <c r="B46" s="8" t="s">
        <v>216</v>
      </c>
      <c r="C46" s="8" t="s">
        <v>214</v>
      </c>
      <c r="D46" s="11" t="s">
        <v>16</v>
      </c>
      <c r="E46" s="8" t="s">
        <v>15</v>
      </c>
      <c r="G46" s="41">
        <f>(G45*2+G44)</f>
        <v>0.0625</v>
      </c>
      <c r="H46"/>
      <c r="I46" s="41">
        <f>I45*2+I44</f>
        <v>0.8982</v>
      </c>
      <c r="J46"/>
      <c r="K46" s="41">
        <f>K45*2+K44</f>
        <v>0.9963</v>
      </c>
      <c r="L46"/>
      <c r="M46" s="6">
        <f>AVERAGE(K46,G46,I46)</f>
        <v>0.6523333333333333</v>
      </c>
    </row>
    <row r="47" spans="2:11" ht="12.75">
      <c r="B47" s="8"/>
      <c r="C47" s="8"/>
      <c r="G47" s="41"/>
      <c r="H47" s="8"/>
      <c r="I47" s="41"/>
      <c r="J47" s="8"/>
      <c r="K47" s="41"/>
    </row>
    <row r="48" spans="2:11" ht="12.75">
      <c r="B48" s="8" t="s">
        <v>69</v>
      </c>
      <c r="C48" s="8"/>
      <c r="G48" s="21"/>
      <c r="H48" s="8"/>
      <c r="I48" s="21"/>
      <c r="J48" s="8"/>
      <c r="K48" s="21"/>
    </row>
    <row r="49" spans="2:13" ht="12.75">
      <c r="B49" s="8" t="s">
        <v>58</v>
      </c>
      <c r="C49" s="8" t="s">
        <v>217</v>
      </c>
      <c r="D49" s="8" t="s">
        <v>27</v>
      </c>
      <c r="E49" s="8" t="s">
        <v>15</v>
      </c>
      <c r="F49" s="8" t="s">
        <v>117</v>
      </c>
      <c r="G49" s="21">
        <v>0.386</v>
      </c>
      <c r="H49" s="8" t="s">
        <v>117</v>
      </c>
      <c r="I49" s="21">
        <v>1.37</v>
      </c>
      <c r="J49" s="8" t="s">
        <v>117</v>
      </c>
      <c r="K49" s="21">
        <v>0.512</v>
      </c>
      <c r="M49" s="6">
        <f aca="true" t="shared" si="0" ref="M49:M61">AVERAGE(K49,G49,I49)</f>
        <v>0.7560000000000001</v>
      </c>
    </row>
    <row r="50" spans="2:13" ht="12.75">
      <c r="B50" s="8" t="s">
        <v>56</v>
      </c>
      <c r="C50" s="8" t="s">
        <v>217</v>
      </c>
      <c r="D50" s="8" t="s">
        <v>27</v>
      </c>
      <c r="E50" s="8" t="s">
        <v>15</v>
      </c>
      <c r="F50" s="8" t="s">
        <v>117</v>
      </c>
      <c r="G50" s="21">
        <v>0.794</v>
      </c>
      <c r="H50" s="8" t="s">
        <v>117</v>
      </c>
      <c r="I50" s="21">
        <v>0.931</v>
      </c>
      <c r="J50" s="8" t="s">
        <v>117</v>
      </c>
      <c r="K50" s="21">
        <v>0.822</v>
      </c>
      <c r="M50" s="6">
        <f t="shared" si="0"/>
        <v>0.8490000000000001</v>
      </c>
    </row>
    <row r="51" spans="2:13" ht="12.75">
      <c r="B51" s="8" t="s">
        <v>118</v>
      </c>
      <c r="C51" s="8" t="s">
        <v>217</v>
      </c>
      <c r="D51" s="8" t="s">
        <v>27</v>
      </c>
      <c r="E51" s="8" t="s">
        <v>15</v>
      </c>
      <c r="G51" s="21">
        <v>3.89</v>
      </c>
      <c r="H51" s="8" t="s">
        <v>117</v>
      </c>
      <c r="I51" s="21">
        <v>4.74</v>
      </c>
      <c r="J51" s="8"/>
      <c r="K51" s="21">
        <v>4.64</v>
      </c>
      <c r="M51" s="6">
        <f t="shared" si="0"/>
        <v>4.423333333333333</v>
      </c>
    </row>
    <row r="52" spans="2:13" ht="12.75">
      <c r="B52" s="8" t="s">
        <v>119</v>
      </c>
      <c r="C52" s="8" t="s">
        <v>217</v>
      </c>
      <c r="D52" s="8" t="s">
        <v>27</v>
      </c>
      <c r="E52" s="8" t="s">
        <v>15</v>
      </c>
      <c r="F52" s="8" t="s">
        <v>117</v>
      </c>
      <c r="G52" s="21">
        <v>0.0672</v>
      </c>
      <c r="H52" s="8" t="s">
        <v>117</v>
      </c>
      <c r="I52" s="21">
        <v>0.062</v>
      </c>
      <c r="J52" s="8" t="s">
        <v>117</v>
      </c>
      <c r="K52" s="21">
        <v>0.0719</v>
      </c>
      <c r="M52" s="6">
        <f t="shared" si="0"/>
        <v>0.06703333333333333</v>
      </c>
    </row>
    <row r="53" spans="2:13" ht="12.75">
      <c r="B53" s="8" t="s">
        <v>57</v>
      </c>
      <c r="C53" s="8" t="s">
        <v>217</v>
      </c>
      <c r="D53" s="8" t="s">
        <v>27</v>
      </c>
      <c r="E53" s="8" t="s">
        <v>15</v>
      </c>
      <c r="F53" s="8" t="s">
        <v>117</v>
      </c>
      <c r="G53" s="21">
        <v>0.0672</v>
      </c>
      <c r="H53" s="8" t="s">
        <v>117</v>
      </c>
      <c r="I53" s="21">
        <v>0.062</v>
      </c>
      <c r="J53" s="8"/>
      <c r="K53" s="21">
        <v>0.116</v>
      </c>
      <c r="M53" s="6">
        <f t="shared" si="0"/>
        <v>0.08173333333333334</v>
      </c>
    </row>
    <row r="54" spans="2:13" ht="12.75">
      <c r="B54" s="8" t="s">
        <v>49</v>
      </c>
      <c r="C54" s="8" t="s">
        <v>217</v>
      </c>
      <c r="D54" s="8" t="s">
        <v>27</v>
      </c>
      <c r="E54" s="8" t="s">
        <v>15</v>
      </c>
      <c r="G54" s="21">
        <v>12.4</v>
      </c>
      <c r="H54" s="8"/>
      <c r="I54" s="21">
        <v>12.5</v>
      </c>
      <c r="J54" s="8"/>
      <c r="K54" s="21">
        <v>13.2</v>
      </c>
      <c r="M54" s="6">
        <f t="shared" si="0"/>
        <v>12.700000000000001</v>
      </c>
    </row>
    <row r="55" spans="2:13" ht="12.75">
      <c r="B55" s="8" t="s">
        <v>191</v>
      </c>
      <c r="C55" s="8" t="s">
        <v>215</v>
      </c>
      <c r="D55" s="8" t="s">
        <v>27</v>
      </c>
      <c r="E55" s="8" t="s">
        <v>15</v>
      </c>
      <c r="G55" s="21">
        <v>3.65</v>
      </c>
      <c r="H55" s="8"/>
      <c r="I55" s="21">
        <v>6.42</v>
      </c>
      <c r="J55" s="8"/>
      <c r="K55" s="21">
        <v>5.32</v>
      </c>
      <c r="M55" s="6">
        <f t="shared" si="0"/>
        <v>5.13</v>
      </c>
    </row>
    <row r="56" spans="2:13" ht="12.75">
      <c r="B56" s="8" t="s">
        <v>45</v>
      </c>
      <c r="C56" s="8" t="s">
        <v>217</v>
      </c>
      <c r="D56" s="8" t="s">
        <v>27</v>
      </c>
      <c r="E56" s="8" t="s">
        <v>15</v>
      </c>
      <c r="G56" s="21">
        <v>2.14</v>
      </c>
      <c r="H56" s="8"/>
      <c r="I56" s="21">
        <v>1.85</v>
      </c>
      <c r="J56" s="8"/>
      <c r="K56" s="21">
        <v>3.76</v>
      </c>
      <c r="M56" s="6">
        <f t="shared" si="0"/>
        <v>2.5833333333333335</v>
      </c>
    </row>
    <row r="57" spans="2:13" ht="12.75">
      <c r="B57" s="8" t="s">
        <v>143</v>
      </c>
      <c r="C57" s="8" t="s">
        <v>217</v>
      </c>
      <c r="D57" s="8" t="s">
        <v>27</v>
      </c>
      <c r="E57" s="8" t="s">
        <v>15</v>
      </c>
      <c r="F57" s="8" t="s">
        <v>117</v>
      </c>
      <c r="G57" s="21">
        <v>2.55</v>
      </c>
      <c r="H57" s="8" t="s">
        <v>117</v>
      </c>
      <c r="I57" s="21">
        <v>2.79</v>
      </c>
      <c r="J57" s="8" t="s">
        <v>117</v>
      </c>
      <c r="K57" s="21">
        <v>2.62</v>
      </c>
      <c r="L57" s="8">
        <v>100</v>
      </c>
      <c r="M57" s="6">
        <f t="shared" si="0"/>
        <v>2.6533333333333333</v>
      </c>
    </row>
    <row r="58" spans="2:13" ht="12.75">
      <c r="B58" s="8" t="s">
        <v>70</v>
      </c>
      <c r="C58" s="8" t="s">
        <v>217</v>
      </c>
      <c r="D58" s="8" t="s">
        <v>27</v>
      </c>
      <c r="E58" s="8" t="s">
        <v>15</v>
      </c>
      <c r="G58" s="21">
        <v>6.89</v>
      </c>
      <c r="H58" s="8"/>
      <c r="I58" s="21">
        <v>8.36</v>
      </c>
      <c r="J58" s="8"/>
      <c r="K58" s="21">
        <v>8.81</v>
      </c>
      <c r="M58" s="6">
        <f t="shared" si="0"/>
        <v>8.02</v>
      </c>
    </row>
    <row r="59" spans="2:13" ht="12.75">
      <c r="B59" s="8" t="s">
        <v>120</v>
      </c>
      <c r="C59" s="8" t="s">
        <v>217</v>
      </c>
      <c r="D59" s="8" t="s">
        <v>27</v>
      </c>
      <c r="E59" s="8" t="s">
        <v>15</v>
      </c>
      <c r="F59" s="8" t="s">
        <v>117</v>
      </c>
      <c r="G59" s="21">
        <v>0.533</v>
      </c>
      <c r="H59" s="8"/>
      <c r="I59" s="21">
        <v>1.53</v>
      </c>
      <c r="J59" s="8" t="s">
        <v>117</v>
      </c>
      <c r="K59" s="21">
        <v>0.587</v>
      </c>
      <c r="M59" s="6">
        <f t="shared" si="0"/>
        <v>0.8833333333333334</v>
      </c>
    </row>
    <row r="60" spans="2:13" ht="12.75">
      <c r="B60" s="8" t="s">
        <v>72</v>
      </c>
      <c r="C60" s="8" t="s">
        <v>217</v>
      </c>
      <c r="D60" s="8" t="s">
        <v>27</v>
      </c>
      <c r="E60" s="8" t="s">
        <v>15</v>
      </c>
      <c r="F60" s="8" t="s">
        <v>117</v>
      </c>
      <c r="G60" s="21">
        <v>0.134</v>
      </c>
      <c r="H60" s="8" t="s">
        <v>117</v>
      </c>
      <c r="I60" s="21">
        <v>0.124</v>
      </c>
      <c r="J60" s="8" t="s">
        <v>117</v>
      </c>
      <c r="K60" s="21">
        <v>0.143</v>
      </c>
      <c r="M60" s="6">
        <f t="shared" si="0"/>
        <v>0.13366666666666668</v>
      </c>
    </row>
    <row r="61" spans="2:13" ht="12.75">
      <c r="B61" s="8" t="s">
        <v>121</v>
      </c>
      <c r="C61" s="8" t="s">
        <v>217</v>
      </c>
      <c r="D61" s="8" t="s">
        <v>27</v>
      </c>
      <c r="E61" s="8" t="s">
        <v>15</v>
      </c>
      <c r="F61" s="8" t="s">
        <v>117</v>
      </c>
      <c r="G61" s="21">
        <v>0.202</v>
      </c>
      <c r="H61" s="8" t="s">
        <v>117</v>
      </c>
      <c r="I61" s="21">
        <v>0.186</v>
      </c>
      <c r="J61" s="8" t="s">
        <v>117</v>
      </c>
      <c r="K61" s="21">
        <v>0.215</v>
      </c>
      <c r="M61" s="6">
        <f t="shared" si="0"/>
        <v>0.20099999999999998</v>
      </c>
    </row>
    <row r="62" spans="2:13" ht="12.75">
      <c r="B62" s="8" t="s">
        <v>28</v>
      </c>
      <c r="C62" s="8" t="s">
        <v>217</v>
      </c>
      <c r="D62" s="8" t="s">
        <v>27</v>
      </c>
      <c r="E62" s="8" t="s">
        <v>15</v>
      </c>
      <c r="G62" s="61">
        <f>G53+G56</f>
        <v>2.2072000000000003</v>
      </c>
      <c r="H62" s="62"/>
      <c r="I62" s="61">
        <f>I53+I56</f>
        <v>1.9120000000000001</v>
      </c>
      <c r="J62" s="62"/>
      <c r="K62" s="61">
        <f>K53+K56</f>
        <v>3.876</v>
      </c>
      <c r="M62" s="6">
        <f>AVERAGE(K62,G62,I62)</f>
        <v>2.6650666666666667</v>
      </c>
    </row>
    <row r="63" spans="2:13" ht="12.75">
      <c r="B63" s="8" t="s">
        <v>29</v>
      </c>
      <c r="C63" s="8" t="s">
        <v>217</v>
      </c>
      <c r="D63" s="8" t="s">
        <v>27</v>
      </c>
      <c r="E63" s="8" t="s">
        <v>15</v>
      </c>
      <c r="G63" s="61">
        <f>G52+G54+G50</f>
        <v>13.2612</v>
      </c>
      <c r="H63" s="62"/>
      <c r="I63" s="61">
        <f>I52+I54+I50</f>
        <v>13.492999999999999</v>
      </c>
      <c r="J63" s="62"/>
      <c r="K63" s="61">
        <f>K52+K54+K50</f>
        <v>14.093899999999998</v>
      </c>
      <c r="M63" s="6">
        <f>AVERAGE(I63,G63,K63)</f>
        <v>13.616033333333332</v>
      </c>
    </row>
    <row r="64" spans="2:11" ht="12.75">
      <c r="B64" s="8"/>
      <c r="C64" s="8"/>
      <c r="G64" s="21"/>
      <c r="H64" s="8"/>
      <c r="I64" s="21"/>
      <c r="J64" s="8"/>
      <c r="K64" s="21"/>
    </row>
    <row r="65" spans="2:13" ht="12.75">
      <c r="B65" s="8" t="s">
        <v>50</v>
      </c>
      <c r="C65" s="8" t="s">
        <v>63</v>
      </c>
      <c r="D65" s="8" t="s">
        <v>214</v>
      </c>
      <c r="F65"/>
      <c r="I65" s="16"/>
      <c r="M65"/>
    </row>
    <row r="66" spans="2:13" ht="12.75">
      <c r="B66" s="8" t="s">
        <v>44</v>
      </c>
      <c r="C66" s="8"/>
      <c r="D66" s="8" t="s">
        <v>17</v>
      </c>
      <c r="F66"/>
      <c r="G66">
        <v>16958</v>
      </c>
      <c r="H66"/>
      <c r="I66">
        <v>14463</v>
      </c>
      <c r="J66"/>
      <c r="K66">
        <v>14428</v>
      </c>
      <c r="M66" s="6">
        <f>AVERAGE(K66,G66,I66)</f>
        <v>15283</v>
      </c>
    </row>
    <row r="67" spans="2:13" ht="12.75">
      <c r="B67" s="8" t="s">
        <v>47</v>
      </c>
      <c r="C67" s="8"/>
      <c r="D67" s="8" t="s">
        <v>18</v>
      </c>
      <c r="F67"/>
      <c r="G67">
        <v>4.1</v>
      </c>
      <c r="H67"/>
      <c r="I67">
        <v>3</v>
      </c>
      <c r="J67"/>
      <c r="K67">
        <v>4.6</v>
      </c>
      <c r="M67" s="6">
        <f>AVERAGE(I67,G67,K67)</f>
        <v>3.9</v>
      </c>
    </row>
    <row r="68" spans="2:13" ht="12.75">
      <c r="B68" s="8" t="s">
        <v>48</v>
      </c>
      <c r="C68" s="8"/>
      <c r="D68" s="8" t="s">
        <v>18</v>
      </c>
      <c r="F68"/>
      <c r="G68">
        <v>27.7</v>
      </c>
      <c r="H68"/>
      <c r="I68">
        <v>36.6</v>
      </c>
      <c r="J68"/>
      <c r="K68">
        <v>36.3</v>
      </c>
      <c r="M68" s="6">
        <f>AVERAGE(I68,G68,K68)</f>
        <v>33.53333333333333</v>
      </c>
    </row>
    <row r="69" spans="2:13" ht="12.75">
      <c r="B69" s="8" t="s">
        <v>43</v>
      </c>
      <c r="C69" s="8"/>
      <c r="D69" s="8" t="s">
        <v>19</v>
      </c>
      <c r="F69"/>
      <c r="G69">
        <v>803</v>
      </c>
      <c r="H69"/>
      <c r="I69">
        <v>782</v>
      </c>
      <c r="J69"/>
      <c r="K69">
        <v>786</v>
      </c>
      <c r="M69" s="6">
        <f>AVERAGE(I69,G69,K69)</f>
        <v>790.3333333333334</v>
      </c>
    </row>
    <row r="70" spans="2:13" ht="12" customHeight="1">
      <c r="B70" s="8"/>
      <c r="C70" s="8"/>
      <c r="F70"/>
      <c r="G70"/>
      <c r="H70"/>
      <c r="I70"/>
      <c r="J70"/>
      <c r="K70"/>
      <c r="M70"/>
    </row>
    <row r="71" spans="2:13" ht="12.75">
      <c r="B71" s="8" t="s">
        <v>50</v>
      </c>
      <c r="C71" s="8" t="s">
        <v>145</v>
      </c>
      <c r="D71" s="8" t="s">
        <v>215</v>
      </c>
      <c r="F71"/>
      <c r="I71" s="16"/>
      <c r="M71"/>
    </row>
    <row r="72" spans="2:13" ht="12.75">
      <c r="B72" s="8" t="s">
        <v>44</v>
      </c>
      <c r="C72" s="8"/>
      <c r="D72" s="8" t="s">
        <v>17</v>
      </c>
      <c r="F72"/>
      <c r="G72" s="6">
        <v>13910</v>
      </c>
      <c r="I72" s="16">
        <v>15608</v>
      </c>
      <c r="K72" s="6">
        <v>14358</v>
      </c>
      <c r="M72" s="6">
        <f>AVERAGE(K72,G72,I72)</f>
        <v>14625.333333333334</v>
      </c>
    </row>
    <row r="73" spans="2:13" ht="12.75">
      <c r="B73" s="8" t="s">
        <v>47</v>
      </c>
      <c r="C73" s="8"/>
      <c r="D73" s="8" t="s">
        <v>18</v>
      </c>
      <c r="F73"/>
      <c r="G73" s="16">
        <v>4.1</v>
      </c>
      <c r="H73"/>
      <c r="I73" s="16">
        <v>3</v>
      </c>
      <c r="J73"/>
      <c r="K73" s="16">
        <v>4.6</v>
      </c>
      <c r="M73" s="6">
        <f>AVERAGE(I73,G73,K73)</f>
        <v>3.9</v>
      </c>
    </row>
    <row r="74" spans="2:13" ht="12.75">
      <c r="B74" s="8" t="s">
        <v>48</v>
      </c>
      <c r="C74" s="8"/>
      <c r="D74" s="8" t="s">
        <v>18</v>
      </c>
      <c r="F74"/>
      <c r="G74" s="16">
        <v>30.9</v>
      </c>
      <c r="H74"/>
      <c r="I74" s="16">
        <v>28.8</v>
      </c>
      <c r="J74"/>
      <c r="K74" s="16">
        <v>31.2</v>
      </c>
      <c r="M74" s="6">
        <f>AVERAGE(I74,G74,K74)</f>
        <v>30.3</v>
      </c>
    </row>
    <row r="75" spans="2:13" ht="12.75">
      <c r="B75" s="8" t="s">
        <v>43</v>
      </c>
      <c r="C75" s="8"/>
      <c r="D75" s="8" t="s">
        <v>19</v>
      </c>
      <c r="F75"/>
      <c r="G75" s="16">
        <v>804</v>
      </c>
      <c r="H75"/>
      <c r="I75" s="16">
        <v>790</v>
      </c>
      <c r="J75"/>
      <c r="K75" s="16">
        <v>794</v>
      </c>
      <c r="M75" s="6">
        <f>AVERAGE(I75,G75,K75)</f>
        <v>796</v>
      </c>
    </row>
    <row r="76" spans="2:13" ht="12" customHeight="1">
      <c r="B76" s="8"/>
      <c r="C76" s="8"/>
      <c r="F76"/>
      <c r="G76"/>
      <c r="H76"/>
      <c r="I76"/>
      <c r="J76"/>
      <c r="K76"/>
      <c r="M76"/>
    </row>
    <row r="77" spans="2:13" ht="12.75">
      <c r="B77" s="8" t="s">
        <v>50</v>
      </c>
      <c r="C77" s="8" t="s">
        <v>69</v>
      </c>
      <c r="D77" s="8" t="s">
        <v>217</v>
      </c>
      <c r="F77"/>
      <c r="I77" s="16"/>
      <c r="M77"/>
    </row>
    <row r="78" spans="2:13" ht="12.75">
      <c r="B78" s="8" t="s">
        <v>44</v>
      </c>
      <c r="C78" s="8"/>
      <c r="D78" s="8" t="s">
        <v>17</v>
      </c>
      <c r="F78"/>
      <c r="G78" s="6">
        <v>19564</v>
      </c>
      <c r="I78" s="16">
        <v>17156</v>
      </c>
      <c r="K78" s="6">
        <v>17661</v>
      </c>
      <c r="M78" s="6">
        <f>AVERAGE(K78,G78,I78)</f>
        <v>18127</v>
      </c>
    </row>
    <row r="79" spans="2:13" ht="12.75">
      <c r="B79" s="8" t="s">
        <v>47</v>
      </c>
      <c r="C79" s="8"/>
      <c r="D79" s="8" t="s">
        <v>18</v>
      </c>
      <c r="F79"/>
      <c r="G79" s="16">
        <v>4.1</v>
      </c>
      <c r="H79"/>
      <c r="I79" s="16">
        <v>3</v>
      </c>
      <c r="J79"/>
      <c r="K79" s="16">
        <v>4.6</v>
      </c>
      <c r="M79" s="6">
        <f>AVERAGE(I79,G79,K79)</f>
        <v>3.9</v>
      </c>
    </row>
    <row r="80" spans="2:13" ht="12.75">
      <c r="B80" s="8" t="s">
        <v>48</v>
      </c>
      <c r="C80" s="8"/>
      <c r="D80" s="8" t="s">
        <v>18</v>
      </c>
      <c r="F80"/>
      <c r="G80" s="16">
        <v>32.1</v>
      </c>
      <c r="H80"/>
      <c r="I80" s="16">
        <v>36.8</v>
      </c>
      <c r="J80"/>
      <c r="K80" s="16">
        <v>36.8</v>
      </c>
      <c r="M80" s="6">
        <f>AVERAGE(I80,G80,K80)</f>
        <v>35.233333333333334</v>
      </c>
    </row>
    <row r="81" spans="2:13" ht="12.75">
      <c r="B81" s="8" t="s">
        <v>43</v>
      </c>
      <c r="C81" s="8"/>
      <c r="D81" s="8" t="s">
        <v>19</v>
      </c>
      <c r="F81"/>
      <c r="G81" s="16">
        <v>819</v>
      </c>
      <c r="H81"/>
      <c r="I81" s="16">
        <v>813</v>
      </c>
      <c r="J81"/>
      <c r="K81" s="16">
        <v>804</v>
      </c>
      <c r="M81" s="6">
        <f>AVERAGE(I81,G81,K81)</f>
        <v>812</v>
      </c>
    </row>
    <row r="82" ht="12.75">
      <c r="B82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58"/>
  <sheetViews>
    <sheetView workbookViewId="0" topLeftCell="B1">
      <selection activeCell="B2" sqref="B2"/>
    </sheetView>
  </sheetViews>
  <sheetFormatPr defaultColWidth="9.140625" defaultRowHeight="12.75"/>
  <cols>
    <col min="1" max="1" width="6.8515625" style="0" hidden="1" customWidth="1"/>
    <col min="2" max="2" width="16.8515625" style="0" customWidth="1"/>
    <col min="3" max="3" width="9.57421875" style="0" customWidth="1"/>
    <col min="5" max="5" width="5.7109375" style="0" customWidth="1"/>
    <col min="6" max="6" width="3.28125" style="0" customWidth="1"/>
    <col min="8" max="8" width="3.421875" style="0" customWidth="1"/>
    <col min="10" max="10" width="3.421875" style="0" customWidth="1"/>
    <col min="12" max="12" width="3.421875" style="0" customWidth="1"/>
    <col min="14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204</v>
      </c>
    </row>
    <row r="2" ht="12.75">
      <c r="B2" s="7"/>
    </row>
    <row r="3" ht="12.75">
      <c r="B3" s="7"/>
    </row>
    <row r="4" spans="3:5" ht="12.75">
      <c r="C4" t="s">
        <v>46</v>
      </c>
      <c r="D4" t="s">
        <v>12</v>
      </c>
      <c r="E4" t="s">
        <v>219</v>
      </c>
    </row>
    <row r="5" spans="2:13" ht="12.75">
      <c r="B5" s="7" t="s">
        <v>134</v>
      </c>
      <c r="G5" s="38" t="s">
        <v>186</v>
      </c>
      <c r="H5" s="38"/>
      <c r="I5" s="38" t="s">
        <v>187</v>
      </c>
      <c r="J5" s="38"/>
      <c r="K5" s="38" t="s">
        <v>188</v>
      </c>
      <c r="L5" s="38"/>
      <c r="M5" s="38" t="s">
        <v>189</v>
      </c>
    </row>
    <row r="7" spans="1:24" s="71" customFormat="1" ht="12.75">
      <c r="A7" s="71" t="s">
        <v>134</v>
      </c>
      <c r="B7" s="71" t="s">
        <v>13</v>
      </c>
      <c r="C7" s="71" t="s">
        <v>215</v>
      </c>
      <c r="D7" s="71" t="s">
        <v>14</v>
      </c>
      <c r="E7" s="71" t="s">
        <v>15</v>
      </c>
      <c r="F7" s="72" t="s">
        <v>190</v>
      </c>
      <c r="G7" s="73">
        <v>0.023407220180771387</v>
      </c>
      <c r="H7" s="73" t="s">
        <v>190</v>
      </c>
      <c r="I7" s="73">
        <v>0.02301721746292463</v>
      </c>
      <c r="J7" s="73" t="s">
        <v>190</v>
      </c>
      <c r="K7" s="73">
        <v>0.06626224458420686</v>
      </c>
      <c r="L7" s="73" t="s">
        <v>190</v>
      </c>
      <c r="M7" s="73">
        <f>AVERAGE(G7,I7,K7)</f>
        <v>0.03756222740930096</v>
      </c>
      <c r="N7" s="73" t="s">
        <v>190</v>
      </c>
      <c r="O7" s="73"/>
      <c r="P7" s="73" t="s">
        <v>190</v>
      </c>
      <c r="Q7" s="73"/>
      <c r="R7" s="73" t="s">
        <v>190</v>
      </c>
      <c r="S7" s="73"/>
      <c r="T7" s="73" t="s">
        <v>190</v>
      </c>
      <c r="U7" s="73"/>
      <c r="V7" s="72" t="s">
        <v>190</v>
      </c>
      <c r="W7" s="72"/>
      <c r="X7" s="71">
        <v>0.037562227409300965</v>
      </c>
    </row>
    <row r="8" spans="6:23" s="71" customFormat="1" ht="12.75"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2"/>
      <c r="W8" s="72"/>
    </row>
    <row r="9" spans="1:24" s="71" customFormat="1" ht="12.75">
      <c r="A9" s="71" t="s">
        <v>134</v>
      </c>
      <c r="B9" s="71" t="s">
        <v>56</v>
      </c>
      <c r="C9" s="71" t="s">
        <v>215</v>
      </c>
      <c r="D9" s="71" t="s">
        <v>27</v>
      </c>
      <c r="E9" s="71" t="s">
        <v>15</v>
      </c>
      <c r="F9" s="72" t="s">
        <v>117</v>
      </c>
      <c r="G9" s="74">
        <v>0.9004533974843373</v>
      </c>
      <c r="H9" s="74" t="s">
        <v>117</v>
      </c>
      <c r="I9" s="74">
        <v>0.9173271384226365</v>
      </c>
      <c r="J9" s="74" t="s">
        <v>190</v>
      </c>
      <c r="K9" s="74">
        <v>2.495343194347387</v>
      </c>
      <c r="L9" s="72" t="s">
        <v>190</v>
      </c>
      <c r="M9" s="76">
        <f aca="true" t="shared" si="0" ref="M9:M14">AVERAGE(G9,I9,K9)</f>
        <v>1.437707910084787</v>
      </c>
      <c r="N9" s="72" t="s">
        <v>190</v>
      </c>
      <c r="O9" s="72"/>
      <c r="P9" s="72" t="s">
        <v>190</v>
      </c>
      <c r="Q9" s="72"/>
      <c r="R9" s="72" t="s">
        <v>190</v>
      </c>
      <c r="S9" s="72"/>
      <c r="T9" s="72" t="s">
        <v>190</v>
      </c>
      <c r="U9" s="72"/>
      <c r="V9" s="72" t="s">
        <v>190</v>
      </c>
      <c r="W9" s="72"/>
      <c r="X9" s="71">
        <v>1.437707910084787</v>
      </c>
    </row>
    <row r="10" spans="1:24" s="71" customFormat="1" ht="12.75">
      <c r="A10" s="71" t="s">
        <v>134</v>
      </c>
      <c r="B10" s="71" t="s">
        <v>119</v>
      </c>
      <c r="C10" s="71" t="s">
        <v>215</v>
      </c>
      <c r="D10" s="71" t="s">
        <v>27</v>
      </c>
      <c r="E10" s="71" t="s">
        <v>15</v>
      </c>
      <c r="F10" s="72" t="s">
        <v>117</v>
      </c>
      <c r="G10" s="74">
        <v>0.09004533974843373</v>
      </c>
      <c r="H10" s="74" t="s">
        <v>117</v>
      </c>
      <c r="I10" s="74">
        <v>0.09173271384226364</v>
      </c>
      <c r="J10" s="74" t="s">
        <v>117</v>
      </c>
      <c r="K10" s="74">
        <v>0.09255854491808371</v>
      </c>
      <c r="L10" s="72" t="s">
        <v>190</v>
      </c>
      <c r="M10" s="76">
        <f t="shared" si="0"/>
        <v>0.09144553283626038</v>
      </c>
      <c r="N10" s="72" t="s">
        <v>190</v>
      </c>
      <c r="O10" s="72"/>
      <c r="P10" s="72" t="s">
        <v>190</v>
      </c>
      <c r="Q10" s="72"/>
      <c r="R10" s="72" t="s">
        <v>190</v>
      </c>
      <c r="S10" s="72"/>
      <c r="T10" s="72" t="s">
        <v>190</v>
      </c>
      <c r="U10" s="72"/>
      <c r="V10" s="72" t="s">
        <v>190</v>
      </c>
      <c r="W10" s="72"/>
      <c r="X10" s="71">
        <v>0.09144553283626038</v>
      </c>
    </row>
    <row r="11" spans="1:24" s="71" customFormat="1" ht="12.75">
      <c r="A11" s="71" t="s">
        <v>134</v>
      </c>
      <c r="B11" s="71" t="s">
        <v>57</v>
      </c>
      <c r="C11" s="71" t="s">
        <v>215</v>
      </c>
      <c r="D11" s="71" t="s">
        <v>27</v>
      </c>
      <c r="E11" s="71" t="s">
        <v>15</v>
      </c>
      <c r="F11" s="72" t="s">
        <v>117</v>
      </c>
      <c r="G11" s="74">
        <v>0.36018135899373493</v>
      </c>
      <c r="H11" s="74" t="s">
        <v>190</v>
      </c>
      <c r="I11" s="74">
        <v>0.49849787422967</v>
      </c>
      <c r="J11" s="74" t="s">
        <v>190</v>
      </c>
      <c r="K11" s="74">
        <v>0.5793153583352745</v>
      </c>
      <c r="L11" s="72" t="s">
        <v>190</v>
      </c>
      <c r="M11" s="76">
        <f t="shared" si="0"/>
        <v>0.47933153051955985</v>
      </c>
      <c r="N11" s="72" t="s">
        <v>190</v>
      </c>
      <c r="O11" s="72"/>
      <c r="P11" s="72" t="s">
        <v>190</v>
      </c>
      <c r="Q11" s="72"/>
      <c r="R11" s="72" t="s">
        <v>190</v>
      </c>
      <c r="S11" s="72"/>
      <c r="T11" s="72" t="s">
        <v>190</v>
      </c>
      <c r="U11" s="72"/>
      <c r="V11" s="72" t="s">
        <v>190</v>
      </c>
      <c r="W11" s="72"/>
      <c r="X11" s="71">
        <v>0.47933153051955985</v>
      </c>
    </row>
    <row r="12" spans="1:24" s="71" customFormat="1" ht="12.75">
      <c r="A12" s="71" t="s">
        <v>134</v>
      </c>
      <c r="B12" s="71" t="s">
        <v>49</v>
      </c>
      <c r="C12" s="71" t="s">
        <v>215</v>
      </c>
      <c r="D12" s="71" t="s">
        <v>27</v>
      </c>
      <c r="E12" s="71" t="s">
        <v>15</v>
      </c>
      <c r="F12" s="72" t="s">
        <v>190</v>
      </c>
      <c r="G12" s="74">
        <v>24.81737412578783</v>
      </c>
      <c r="H12" s="74" t="s">
        <v>190</v>
      </c>
      <c r="I12" s="74">
        <v>31.867444014682157</v>
      </c>
      <c r="J12" s="74" t="s">
        <v>190</v>
      </c>
      <c r="K12" s="74">
        <v>93.43796102181847</v>
      </c>
      <c r="L12" s="72" t="s">
        <v>190</v>
      </c>
      <c r="M12" s="76">
        <f t="shared" si="0"/>
        <v>50.04092638742949</v>
      </c>
      <c r="N12" s="72" t="s">
        <v>190</v>
      </c>
      <c r="O12" s="72"/>
      <c r="P12" s="72" t="s">
        <v>190</v>
      </c>
      <c r="Q12" s="72"/>
      <c r="R12" s="72" t="s">
        <v>190</v>
      </c>
      <c r="S12" s="72"/>
      <c r="T12" s="72" t="s">
        <v>190</v>
      </c>
      <c r="U12" s="72"/>
      <c r="V12" s="72" t="s">
        <v>190</v>
      </c>
      <c r="W12" s="72"/>
      <c r="X12" s="71">
        <v>50.04092638742949</v>
      </c>
    </row>
    <row r="13" spans="1:24" s="71" customFormat="1" ht="12.75">
      <c r="A13" s="71" t="s">
        <v>134</v>
      </c>
      <c r="B13" s="71" t="s">
        <v>191</v>
      </c>
      <c r="C13" s="71" t="s">
        <v>214</v>
      </c>
      <c r="D13" s="71" t="s">
        <v>27</v>
      </c>
      <c r="E13" s="71" t="s">
        <v>15</v>
      </c>
      <c r="F13" s="72" t="s">
        <v>190</v>
      </c>
      <c r="G13" s="74">
        <v>12.427523793181454</v>
      </c>
      <c r="H13" s="74" t="s">
        <v>190</v>
      </c>
      <c r="I13" s="74">
        <v>6.4564370070974375</v>
      </c>
      <c r="J13" s="74" t="s">
        <v>190</v>
      </c>
      <c r="K13" s="74">
        <v>4.849404684141673</v>
      </c>
      <c r="L13" s="72" t="s">
        <v>190</v>
      </c>
      <c r="M13" s="76">
        <f t="shared" si="0"/>
        <v>7.911121828140189</v>
      </c>
      <c r="N13" s="72" t="s">
        <v>190</v>
      </c>
      <c r="O13" s="72"/>
      <c r="P13" s="72" t="s">
        <v>190</v>
      </c>
      <c r="Q13" s="72"/>
      <c r="R13" s="72" t="s">
        <v>190</v>
      </c>
      <c r="S13" s="72"/>
      <c r="T13" s="72" t="s">
        <v>190</v>
      </c>
      <c r="U13" s="72"/>
      <c r="V13" s="72" t="s">
        <v>190</v>
      </c>
      <c r="W13" s="72"/>
      <c r="X13" s="71">
        <v>7.911121828140188</v>
      </c>
    </row>
    <row r="14" spans="1:24" s="71" customFormat="1" ht="12.75">
      <c r="A14" s="71" t="s">
        <v>134</v>
      </c>
      <c r="B14" s="71" t="s">
        <v>70</v>
      </c>
      <c r="C14" s="71" t="s">
        <v>215</v>
      </c>
      <c r="D14" s="71" t="s">
        <v>27</v>
      </c>
      <c r="E14" s="71" t="s">
        <v>15</v>
      </c>
      <c r="F14" s="72" t="s">
        <v>190</v>
      </c>
      <c r="G14" s="74">
        <v>76.97778434591713</v>
      </c>
      <c r="H14" s="74" t="s">
        <v>190</v>
      </c>
      <c r="I14" s="74">
        <v>77.733800935814</v>
      </c>
      <c r="J14" s="74" t="s">
        <v>190</v>
      </c>
      <c r="K14" s="74">
        <v>242.938698656728</v>
      </c>
      <c r="L14" s="72" t="s">
        <v>190</v>
      </c>
      <c r="M14" s="76">
        <f t="shared" si="0"/>
        <v>132.55009464615304</v>
      </c>
      <c r="N14" s="72" t="s">
        <v>190</v>
      </c>
      <c r="O14" s="72"/>
      <c r="P14" s="72" t="s">
        <v>190</v>
      </c>
      <c r="Q14" s="72"/>
      <c r="R14" s="72" t="s">
        <v>190</v>
      </c>
      <c r="S14" s="72"/>
      <c r="T14" s="72" t="s">
        <v>190</v>
      </c>
      <c r="U14" s="72"/>
      <c r="V14" s="72" t="s">
        <v>190</v>
      </c>
      <c r="W14" s="72"/>
      <c r="X14" s="71">
        <v>132.55009464615304</v>
      </c>
    </row>
    <row r="15" spans="6:23" s="71" customFormat="1" ht="12.75">
      <c r="F15" s="72"/>
      <c r="G15" s="74"/>
      <c r="H15" s="74"/>
      <c r="I15" s="74"/>
      <c r="J15" s="74"/>
      <c r="K15" s="74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5" s="71" customFormat="1" ht="12.75">
      <c r="B16" s="75" t="s">
        <v>218</v>
      </c>
      <c r="C16" s="75" t="s">
        <v>215</v>
      </c>
      <c r="D16" s="71" t="s">
        <v>27</v>
      </c>
      <c r="E16" s="71" t="s">
        <v>15</v>
      </c>
      <c r="F16" s="72"/>
      <c r="G16" s="74">
        <f>G11</f>
        <v>0.36018135899373493</v>
      </c>
      <c r="H16" s="74"/>
      <c r="I16" s="74">
        <f>I11</f>
        <v>0.49849787422967</v>
      </c>
      <c r="J16" s="74"/>
      <c r="K16" s="74">
        <f>K11</f>
        <v>0.5793153583352745</v>
      </c>
      <c r="L16" s="72"/>
      <c r="M16" s="76">
        <f>AVERAGE(G16,I16,K16)</f>
        <v>0.47933153051955985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Y16" s="71" t="s">
        <v>192</v>
      </c>
    </row>
    <row r="17" spans="2:23" s="71" customFormat="1" ht="12.75">
      <c r="B17" s="75" t="s">
        <v>29</v>
      </c>
      <c r="C17" s="75" t="s">
        <v>215</v>
      </c>
      <c r="D17" s="71" t="s">
        <v>27</v>
      </c>
      <c r="E17" s="71" t="s">
        <v>15</v>
      </c>
      <c r="F17" s="72"/>
      <c r="G17" s="74">
        <f>G9+G10+G12</f>
        <v>25.8078728630206</v>
      </c>
      <c r="H17" s="74"/>
      <c r="I17" s="74">
        <f>I9+I10+I12</f>
        <v>32.876503866947054</v>
      </c>
      <c r="J17" s="74"/>
      <c r="K17" s="74">
        <f>K9+K10+K12</f>
        <v>96.02586276108394</v>
      </c>
      <c r="L17" s="72"/>
      <c r="M17" s="74">
        <f>AVERAGE(G17,I17,K17)</f>
        <v>51.57007983035053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6:23" s="71" customFormat="1" ht="12.75">
      <c r="F18" s="72"/>
      <c r="G18" s="74"/>
      <c r="H18" s="74"/>
      <c r="I18" s="74"/>
      <c r="J18" s="74"/>
      <c r="K18" s="7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2:23" s="71" customFormat="1" ht="12.75">
      <c r="B19" s="71" t="s">
        <v>50</v>
      </c>
      <c r="C19" s="71" t="s">
        <v>193</v>
      </c>
      <c r="D19" s="75" t="s">
        <v>214</v>
      </c>
      <c r="F19" s="72"/>
      <c r="G19" s="74"/>
      <c r="H19" s="74"/>
      <c r="I19" s="74"/>
      <c r="J19" s="74"/>
      <c r="K19" s="74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2:63" s="71" customFormat="1" ht="12.75">
      <c r="B20" s="8" t="s">
        <v>44</v>
      </c>
      <c r="C20" s="8"/>
      <c r="D20" s="8" t="s">
        <v>17</v>
      </c>
      <c r="G20" s="74">
        <v>21319</v>
      </c>
      <c r="H20" s="74"/>
      <c r="I20" s="74">
        <v>21044</v>
      </c>
      <c r="J20" s="74"/>
      <c r="K20" s="74">
        <v>21086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</row>
    <row r="21" spans="2:63" s="71" customFormat="1" ht="12.75">
      <c r="B21" s="8" t="s">
        <v>47</v>
      </c>
      <c r="C21" s="8"/>
      <c r="D21" s="8" t="s">
        <v>18</v>
      </c>
      <c r="G21" s="74">
        <v>5.2</v>
      </c>
      <c r="H21" s="74"/>
      <c r="I21" s="74">
        <v>5.1</v>
      </c>
      <c r="J21" s="74"/>
      <c r="K21" s="74">
        <v>5.1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</row>
    <row r="22" spans="1:63" s="71" customFormat="1" ht="12.75">
      <c r="A22" s="71" t="s">
        <v>134</v>
      </c>
      <c r="B22" s="8" t="s">
        <v>48</v>
      </c>
      <c r="C22" s="8"/>
      <c r="D22" s="8" t="s">
        <v>18</v>
      </c>
      <c r="G22" s="74">
        <v>33</v>
      </c>
      <c r="H22" s="74"/>
      <c r="I22" s="74">
        <v>32.6</v>
      </c>
      <c r="J22" s="74"/>
      <c r="K22" s="74">
        <v>34.5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</row>
    <row r="23" spans="2:63" s="71" customFormat="1" ht="12.75">
      <c r="B23" s="8" t="s">
        <v>43</v>
      </c>
      <c r="C23" s="8"/>
      <c r="D23" s="8" t="s">
        <v>19</v>
      </c>
      <c r="G23" s="74">
        <v>708</v>
      </c>
      <c r="H23" s="74"/>
      <c r="I23" s="74">
        <v>714</v>
      </c>
      <c r="J23" s="74"/>
      <c r="K23" s="74">
        <v>712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</row>
    <row r="24" spans="7:63" s="71" customFormat="1" ht="12.75"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</row>
    <row r="25" spans="2:63" s="71" customFormat="1" ht="12.75">
      <c r="B25" s="71" t="s">
        <v>50</v>
      </c>
      <c r="C25" s="71" t="s">
        <v>69</v>
      </c>
      <c r="D25" s="75" t="s">
        <v>215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</row>
    <row r="26" spans="2:63" s="71" customFormat="1" ht="12.75">
      <c r="B26" s="8" t="s">
        <v>44</v>
      </c>
      <c r="C26" s="8"/>
      <c r="D26" s="8" t="s">
        <v>17</v>
      </c>
      <c r="G26" s="74">
        <v>21542</v>
      </c>
      <c r="H26" s="74"/>
      <c r="I26" s="74">
        <v>20654</v>
      </c>
      <c r="J26" s="74"/>
      <c r="K26" s="74">
        <v>21384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</row>
    <row r="27" spans="2:63" s="71" customFormat="1" ht="12.75">
      <c r="B27" s="8" t="s">
        <v>47</v>
      </c>
      <c r="C27" s="8"/>
      <c r="D27" s="8" t="s">
        <v>18</v>
      </c>
      <c r="G27" s="74">
        <v>5.2</v>
      </c>
      <c r="H27" s="74"/>
      <c r="I27" s="74">
        <v>5.1</v>
      </c>
      <c r="J27" s="74"/>
      <c r="K27" s="74">
        <v>5.1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</row>
    <row r="28" spans="2:63" s="71" customFormat="1" ht="12.75">
      <c r="B28" s="8" t="s">
        <v>48</v>
      </c>
      <c r="C28" s="8"/>
      <c r="D28" s="8" t="s">
        <v>18</v>
      </c>
      <c r="G28" s="74">
        <v>34.5</v>
      </c>
      <c r="H28" s="74"/>
      <c r="I28" s="74">
        <v>35</v>
      </c>
      <c r="J28" s="74"/>
      <c r="K28" s="74">
        <v>34.8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</row>
    <row r="29" spans="2:63" s="71" customFormat="1" ht="12.75">
      <c r="B29" s="8" t="s">
        <v>43</v>
      </c>
      <c r="C29" s="8"/>
      <c r="D29" s="8" t="s">
        <v>19</v>
      </c>
      <c r="G29" s="74">
        <v>697</v>
      </c>
      <c r="H29" s="74"/>
      <c r="I29" s="74">
        <v>717</v>
      </c>
      <c r="J29" s="74"/>
      <c r="K29" s="74">
        <v>689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</row>
    <row r="30" spans="6:23" s="71" customFormat="1" ht="12.75">
      <c r="F30" s="72"/>
      <c r="G30" s="74"/>
      <c r="H30" s="74"/>
      <c r="I30" s="74"/>
      <c r="J30" s="74"/>
      <c r="K30" s="74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6:23" s="71" customFormat="1" ht="12.75">
      <c r="F31" s="72"/>
      <c r="G31" s="74"/>
      <c r="H31" s="74"/>
      <c r="I31" s="74"/>
      <c r="J31" s="74"/>
      <c r="K31" s="74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6:23" s="71" customFormat="1" ht="12.75">
      <c r="F32" s="72"/>
      <c r="G32" s="74"/>
      <c r="H32" s="74"/>
      <c r="I32" s="74"/>
      <c r="J32" s="74"/>
      <c r="K32" s="74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2:23" s="71" customFormat="1" ht="12.75">
      <c r="B33" s="47" t="s">
        <v>136</v>
      </c>
      <c r="F33" s="72"/>
      <c r="G33" s="38" t="s">
        <v>186</v>
      </c>
      <c r="H33" s="38"/>
      <c r="I33" s="38" t="s">
        <v>187</v>
      </c>
      <c r="J33" s="38"/>
      <c r="K33" s="38" t="s">
        <v>188</v>
      </c>
      <c r="L33" s="38"/>
      <c r="M33" s="38" t="s">
        <v>189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6:23" s="71" customFormat="1" ht="12.75">
      <c r="F34" s="72"/>
      <c r="G34" s="74"/>
      <c r="H34" s="74"/>
      <c r="I34" s="74"/>
      <c r="J34" s="74"/>
      <c r="K34" s="74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4" s="71" customFormat="1" ht="12.75">
      <c r="A35" s="71" t="s">
        <v>136</v>
      </c>
      <c r="B35" s="71" t="s">
        <v>13</v>
      </c>
      <c r="C35" s="71" t="s">
        <v>215</v>
      </c>
      <c r="D35" s="71" t="s">
        <v>14</v>
      </c>
      <c r="E35" s="71" t="s">
        <v>15</v>
      </c>
      <c r="F35" s="72" t="s">
        <v>190</v>
      </c>
      <c r="G35" s="73">
        <v>0.020695481264114</v>
      </c>
      <c r="H35" s="73" t="s">
        <v>190</v>
      </c>
      <c r="I35" s="73">
        <v>0.027057974545419167</v>
      </c>
      <c r="J35" s="73" t="s">
        <v>190</v>
      </c>
      <c r="K35" s="73">
        <v>0.02070849245674957</v>
      </c>
      <c r="L35" s="73" t="s">
        <v>190</v>
      </c>
      <c r="M35" s="73">
        <f>AVERAGE(G35,I35,K35)</f>
        <v>0.022820649422094247</v>
      </c>
      <c r="N35" s="73" t="s">
        <v>190</v>
      </c>
      <c r="O35" s="73"/>
      <c r="P35" s="73" t="s">
        <v>190</v>
      </c>
      <c r="Q35" s="73"/>
      <c r="R35" s="73" t="s">
        <v>190</v>
      </c>
      <c r="S35" s="73"/>
      <c r="T35" s="73" t="s">
        <v>190</v>
      </c>
      <c r="U35" s="73"/>
      <c r="V35" s="72" t="s">
        <v>190</v>
      </c>
      <c r="W35" s="72"/>
      <c r="X35" s="71">
        <v>0.022820649422094247</v>
      </c>
    </row>
    <row r="36" spans="6:23" s="71" customFormat="1" ht="12.75"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2"/>
      <c r="W36" s="72"/>
    </row>
    <row r="37" spans="1:24" s="71" customFormat="1" ht="12.75">
      <c r="A37" s="71" t="s">
        <v>136</v>
      </c>
      <c r="B37" s="71" t="s">
        <v>56</v>
      </c>
      <c r="C37" s="71" t="s">
        <v>215</v>
      </c>
      <c r="D37" s="71" t="s">
        <v>27</v>
      </c>
      <c r="E37" s="71" t="s">
        <v>15</v>
      </c>
      <c r="F37" s="72" t="s">
        <v>117</v>
      </c>
      <c r="G37" s="74">
        <v>0.5227148092846478</v>
      </c>
      <c r="H37" s="74" t="s">
        <v>190</v>
      </c>
      <c r="I37" s="74">
        <v>0.78179117981846</v>
      </c>
      <c r="J37" s="74" t="s">
        <v>117</v>
      </c>
      <c r="K37" s="74">
        <v>0.5220377672041451</v>
      </c>
      <c r="L37" s="72" t="s">
        <v>190</v>
      </c>
      <c r="M37" s="76">
        <f aca="true" t="shared" si="1" ref="M37:M43">AVERAGE(G37,I37,K37)</f>
        <v>0.6088479187690843</v>
      </c>
      <c r="N37" s="72" t="s">
        <v>190</v>
      </c>
      <c r="O37" s="72"/>
      <c r="P37" s="72" t="s">
        <v>190</v>
      </c>
      <c r="Q37" s="72"/>
      <c r="R37" s="72" t="s">
        <v>190</v>
      </c>
      <c r="S37" s="72"/>
      <c r="T37" s="72" t="s">
        <v>190</v>
      </c>
      <c r="U37" s="72"/>
      <c r="V37" s="72" t="s">
        <v>190</v>
      </c>
      <c r="W37" s="72"/>
      <c r="X37" s="71">
        <v>0.6088479187690843</v>
      </c>
    </row>
    <row r="38" spans="1:24" s="71" customFormat="1" ht="12.75">
      <c r="A38" s="71" t="s">
        <v>136</v>
      </c>
      <c r="B38" s="71" t="s">
        <v>119</v>
      </c>
      <c r="C38" s="71" t="s">
        <v>215</v>
      </c>
      <c r="D38" s="71" t="s">
        <v>27</v>
      </c>
      <c r="E38" s="71" t="s">
        <v>15</v>
      </c>
      <c r="F38" s="72" t="s">
        <v>190</v>
      </c>
      <c r="G38" s="74">
        <v>0.06065728000789763</v>
      </c>
      <c r="H38" s="74" t="s">
        <v>190</v>
      </c>
      <c r="I38" s="74">
        <v>0.07181570140192826</v>
      </c>
      <c r="J38" s="74" t="s">
        <v>190</v>
      </c>
      <c r="K38" s="74">
        <v>0.094020067256665</v>
      </c>
      <c r="L38" s="72" t="s">
        <v>190</v>
      </c>
      <c r="M38" s="76">
        <f t="shared" si="1"/>
        <v>0.0754976828888303</v>
      </c>
      <c r="N38" s="72" t="s">
        <v>190</v>
      </c>
      <c r="O38" s="72"/>
      <c r="P38" s="72" t="s">
        <v>190</v>
      </c>
      <c r="Q38" s="72"/>
      <c r="R38" s="72" t="s">
        <v>190</v>
      </c>
      <c r="S38" s="72"/>
      <c r="T38" s="72" t="s">
        <v>190</v>
      </c>
      <c r="U38" s="72"/>
      <c r="V38" s="72" t="s">
        <v>190</v>
      </c>
      <c r="W38" s="72"/>
      <c r="X38" s="71">
        <v>0.0754976828888303</v>
      </c>
    </row>
    <row r="39" spans="1:24" s="71" customFormat="1" ht="12.75">
      <c r="A39" s="71" t="s">
        <v>136</v>
      </c>
      <c r="B39" s="71" t="s">
        <v>57</v>
      </c>
      <c r="C39" s="71" t="s">
        <v>215</v>
      </c>
      <c r="D39" s="71" t="s">
        <v>27</v>
      </c>
      <c r="E39" s="71" t="s">
        <v>15</v>
      </c>
      <c r="F39" s="72" t="s">
        <v>117</v>
      </c>
      <c r="G39" s="74">
        <v>0.5227148092846478</v>
      </c>
      <c r="H39" s="74" t="s">
        <v>190</v>
      </c>
      <c r="I39" s="74">
        <v>0.8025696829365582</v>
      </c>
      <c r="J39" s="74" t="s">
        <v>117</v>
      </c>
      <c r="K39" s="74">
        <v>0.5220377672041451</v>
      </c>
      <c r="L39" s="72" t="s">
        <v>190</v>
      </c>
      <c r="M39" s="76">
        <f t="shared" si="1"/>
        <v>0.615774086475117</v>
      </c>
      <c r="N39" s="72" t="s">
        <v>190</v>
      </c>
      <c r="O39" s="72"/>
      <c r="P39" s="72" t="s">
        <v>190</v>
      </c>
      <c r="Q39" s="72"/>
      <c r="R39" s="72" t="s">
        <v>190</v>
      </c>
      <c r="S39" s="72"/>
      <c r="T39" s="72" t="s">
        <v>190</v>
      </c>
      <c r="U39" s="72"/>
      <c r="V39" s="72" t="s">
        <v>190</v>
      </c>
      <c r="W39" s="72"/>
      <c r="X39" s="71">
        <v>0.615774086475117</v>
      </c>
    </row>
    <row r="40" spans="1:24" s="71" customFormat="1" ht="12.75">
      <c r="A40" s="71" t="s">
        <v>136</v>
      </c>
      <c r="B40" s="71" t="s">
        <v>49</v>
      </c>
      <c r="C40" s="71" t="s">
        <v>215</v>
      </c>
      <c r="D40" s="71" t="s">
        <v>27</v>
      </c>
      <c r="E40" s="71" t="s">
        <v>15</v>
      </c>
      <c r="F40" s="72" t="s">
        <v>190</v>
      </c>
      <c r="G40" s="74">
        <v>9.350165973567629</v>
      </c>
      <c r="H40" s="74" t="s">
        <v>190</v>
      </c>
      <c r="I40" s="74">
        <v>11.45414984385185</v>
      </c>
      <c r="J40" s="74" t="s">
        <v>190</v>
      </c>
      <c r="K40" s="74">
        <v>6.5920585399503</v>
      </c>
      <c r="L40" s="72" t="s">
        <v>190</v>
      </c>
      <c r="M40" s="76">
        <f t="shared" si="1"/>
        <v>9.132124785789927</v>
      </c>
      <c r="N40" s="72" t="s">
        <v>190</v>
      </c>
      <c r="O40" s="72"/>
      <c r="P40" s="72" t="s">
        <v>190</v>
      </c>
      <c r="Q40" s="72"/>
      <c r="R40" s="72" t="s">
        <v>190</v>
      </c>
      <c r="S40" s="72"/>
      <c r="T40" s="72" t="s">
        <v>190</v>
      </c>
      <c r="U40" s="72"/>
      <c r="V40" s="72" t="s">
        <v>190</v>
      </c>
      <c r="W40" s="72"/>
      <c r="X40" s="71">
        <v>9.132124785789927</v>
      </c>
    </row>
    <row r="41" spans="1:24" s="71" customFormat="1" ht="12.75">
      <c r="A41" s="71" t="s">
        <v>136</v>
      </c>
      <c r="B41" s="71" t="s">
        <v>191</v>
      </c>
      <c r="C41" s="71" t="s">
        <v>214</v>
      </c>
      <c r="D41" s="71" t="s">
        <v>27</v>
      </c>
      <c r="E41" s="71" t="s">
        <v>15</v>
      </c>
      <c r="F41" s="72" t="s">
        <v>190</v>
      </c>
      <c r="G41" s="74">
        <v>6.255113444834719</v>
      </c>
      <c r="H41" s="74" t="s">
        <v>190</v>
      </c>
      <c r="I41" s="74">
        <v>6.4579187660417565</v>
      </c>
      <c r="J41" s="74" t="s">
        <v>190</v>
      </c>
      <c r="K41" s="74">
        <v>3.743324706232337</v>
      </c>
      <c r="L41" s="72" t="s">
        <v>190</v>
      </c>
      <c r="M41" s="76">
        <f t="shared" si="1"/>
        <v>5.485452305702938</v>
      </c>
      <c r="N41" s="72" t="s">
        <v>190</v>
      </c>
      <c r="O41" s="72"/>
      <c r="P41" s="72" t="s">
        <v>190</v>
      </c>
      <c r="Q41" s="72"/>
      <c r="R41" s="72" t="s">
        <v>190</v>
      </c>
      <c r="S41" s="72"/>
      <c r="T41" s="72" t="s">
        <v>190</v>
      </c>
      <c r="U41" s="72"/>
      <c r="V41" s="72" t="s">
        <v>190</v>
      </c>
      <c r="W41" s="72"/>
      <c r="X41" s="71">
        <v>5.485452305702938</v>
      </c>
    </row>
    <row r="42" spans="1:24" s="71" customFormat="1" ht="12.75">
      <c r="A42" s="71" t="s">
        <v>136</v>
      </c>
      <c r="B42" s="71" t="s">
        <v>70</v>
      </c>
      <c r="C42" s="71" t="s">
        <v>215</v>
      </c>
      <c r="D42" s="71" t="s">
        <v>27</v>
      </c>
      <c r="E42" s="71" t="s">
        <v>15</v>
      </c>
      <c r="F42" s="72" t="s">
        <v>190</v>
      </c>
      <c r="G42" s="74">
        <v>7.882651134666881</v>
      </c>
      <c r="H42" s="74" t="s">
        <v>190</v>
      </c>
      <c r="I42" s="74">
        <v>9.636030821018224</v>
      </c>
      <c r="J42" s="74" t="s">
        <v>190</v>
      </c>
      <c r="K42" s="74">
        <v>5.7530692712293545</v>
      </c>
      <c r="L42" s="72" t="s">
        <v>190</v>
      </c>
      <c r="M42" s="76">
        <f t="shared" si="1"/>
        <v>7.757250408971486</v>
      </c>
      <c r="N42" s="72" t="s">
        <v>190</v>
      </c>
      <c r="O42" s="72"/>
      <c r="P42" s="72" t="s">
        <v>190</v>
      </c>
      <c r="Q42" s="72"/>
      <c r="R42" s="72" t="s">
        <v>190</v>
      </c>
      <c r="S42" s="72"/>
      <c r="T42" s="72" t="s">
        <v>190</v>
      </c>
      <c r="U42" s="72"/>
      <c r="V42" s="72" t="s">
        <v>190</v>
      </c>
      <c r="W42" s="72"/>
      <c r="X42" s="71">
        <v>7.757250408971487</v>
      </c>
    </row>
    <row r="43" spans="1:24" s="71" customFormat="1" ht="12.75">
      <c r="A43" s="71" t="s">
        <v>136</v>
      </c>
      <c r="B43" s="71" t="s">
        <v>120</v>
      </c>
      <c r="C43" s="71" t="s">
        <v>215</v>
      </c>
      <c r="D43" s="71" t="s">
        <v>27</v>
      </c>
      <c r="E43" s="71" t="s">
        <v>15</v>
      </c>
      <c r="F43" s="72" t="s">
        <v>190</v>
      </c>
      <c r="G43" s="74">
        <v>1.190783469279465</v>
      </c>
      <c r="H43" s="74" t="s">
        <v>117</v>
      </c>
      <c r="I43" s="74">
        <v>0.520761234397346</v>
      </c>
      <c r="J43" s="74" t="s">
        <v>190</v>
      </c>
      <c r="K43" s="74">
        <v>0.7217971168996088</v>
      </c>
      <c r="L43" s="72" t="s">
        <v>190</v>
      </c>
      <c r="M43" s="76">
        <f t="shared" si="1"/>
        <v>0.8111139401921399</v>
      </c>
      <c r="N43" s="72" t="s">
        <v>190</v>
      </c>
      <c r="O43" s="72"/>
      <c r="P43" s="72" t="s">
        <v>190</v>
      </c>
      <c r="Q43" s="72"/>
      <c r="R43" s="72" t="s">
        <v>190</v>
      </c>
      <c r="S43" s="72"/>
      <c r="T43" s="72" t="s">
        <v>190</v>
      </c>
      <c r="U43" s="72"/>
      <c r="V43" s="72" t="s">
        <v>190</v>
      </c>
      <c r="W43" s="72"/>
      <c r="X43" s="71">
        <v>0.8111139401921399</v>
      </c>
    </row>
    <row r="44" spans="6:23" s="71" customFormat="1" ht="12.75">
      <c r="F44" s="72"/>
      <c r="G44" s="74"/>
      <c r="H44" s="74"/>
      <c r="I44" s="74"/>
      <c r="J44" s="74"/>
      <c r="K44" s="74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2:25" s="71" customFormat="1" ht="12.75">
      <c r="B45" s="75" t="s">
        <v>28</v>
      </c>
      <c r="C45" s="75" t="s">
        <v>215</v>
      </c>
      <c r="D45" s="71" t="s">
        <v>27</v>
      </c>
      <c r="E45" s="71" t="s">
        <v>15</v>
      </c>
      <c r="F45" s="72"/>
      <c r="G45" s="74">
        <f>G39</f>
        <v>0.5227148092846478</v>
      </c>
      <c r="H45" s="74"/>
      <c r="I45" s="74">
        <f>I39</f>
        <v>0.8025696829365582</v>
      </c>
      <c r="J45" s="74"/>
      <c r="K45" s="74">
        <f>K39</f>
        <v>0.5220377672041451</v>
      </c>
      <c r="L45" s="72"/>
      <c r="M45" s="76">
        <f>AVERAGE(G45,I45,K45)</f>
        <v>0.615774086475117</v>
      </c>
      <c r="N45" s="72" t="s">
        <v>192</v>
      </c>
      <c r="O45" s="72"/>
      <c r="P45" s="72"/>
      <c r="Q45" s="72"/>
      <c r="R45" s="72"/>
      <c r="S45" s="72"/>
      <c r="T45" s="72"/>
      <c r="U45" s="72"/>
      <c r="V45" s="72"/>
      <c r="W45" s="72"/>
      <c r="Y45" s="71" t="s">
        <v>192</v>
      </c>
    </row>
    <row r="46" spans="2:23" s="71" customFormat="1" ht="12.75">
      <c r="B46" s="75" t="s">
        <v>29</v>
      </c>
      <c r="C46" s="75" t="s">
        <v>215</v>
      </c>
      <c r="D46" s="71" t="s">
        <v>27</v>
      </c>
      <c r="E46" s="71" t="s">
        <v>15</v>
      </c>
      <c r="F46" s="72"/>
      <c r="G46" s="74">
        <f>G37+G38+G40</f>
        <v>9.933538062860174</v>
      </c>
      <c r="H46" s="74"/>
      <c r="I46" s="74">
        <f>I37+I38+I40</f>
        <v>12.307756725072238</v>
      </c>
      <c r="J46" s="74"/>
      <c r="K46" s="74">
        <f>K37+K38+K40</f>
        <v>7.2081163744111105</v>
      </c>
      <c r="L46" s="72"/>
      <c r="M46" s="74">
        <f>AVERAGE(G46,I46,K46)</f>
        <v>9.816470387447842</v>
      </c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6:23" s="71" customFormat="1" ht="12.75">
      <c r="F47" s="72"/>
      <c r="G47" s="74"/>
      <c r="H47" s="74"/>
      <c r="I47" s="74"/>
      <c r="J47" s="74"/>
      <c r="K47" s="74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2:23" s="71" customFormat="1" ht="12.75">
      <c r="B48" s="71" t="s">
        <v>50</v>
      </c>
      <c r="C48" s="71" t="s">
        <v>193</v>
      </c>
      <c r="D48" s="75" t="s">
        <v>214</v>
      </c>
      <c r="F48" s="72"/>
      <c r="G48" s="74"/>
      <c r="H48" s="74"/>
      <c r="I48" s="74"/>
      <c r="J48" s="74"/>
      <c r="K48" s="74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2:63" s="71" customFormat="1" ht="12.75">
      <c r="B49" s="8" t="s">
        <v>44</v>
      </c>
      <c r="C49" s="8"/>
      <c r="D49" s="8" t="s">
        <v>17</v>
      </c>
      <c r="G49" s="74">
        <v>18527</v>
      </c>
      <c r="H49" s="74"/>
      <c r="I49" s="74">
        <v>17998</v>
      </c>
      <c r="J49" s="74"/>
      <c r="K49" s="74">
        <v>18225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</row>
    <row r="50" spans="2:63" s="71" customFormat="1" ht="12.75">
      <c r="B50" s="8" t="s">
        <v>47</v>
      </c>
      <c r="C50" s="8"/>
      <c r="D50" s="8" t="s">
        <v>18</v>
      </c>
      <c r="G50" s="74">
        <v>5.1</v>
      </c>
      <c r="H50" s="74"/>
      <c r="I50" s="74">
        <v>4.6</v>
      </c>
      <c r="J50" s="74"/>
      <c r="K50" s="74">
        <v>4.4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</row>
    <row r="51" spans="1:63" s="71" customFormat="1" ht="12.75">
      <c r="A51" s="71" t="s">
        <v>136</v>
      </c>
      <c r="B51" s="8" t="s">
        <v>48</v>
      </c>
      <c r="C51" s="8"/>
      <c r="D51" s="8" t="s">
        <v>18</v>
      </c>
      <c r="G51" s="74">
        <v>35.8</v>
      </c>
      <c r="H51" s="74"/>
      <c r="I51" s="74">
        <v>35.9</v>
      </c>
      <c r="J51" s="74"/>
      <c r="K51" s="74">
        <v>36.8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</row>
    <row r="52" spans="2:63" s="71" customFormat="1" ht="12.75">
      <c r="B52" s="8" t="s">
        <v>43</v>
      </c>
      <c r="C52" s="8"/>
      <c r="D52" s="8" t="s">
        <v>19</v>
      </c>
      <c r="G52" s="74">
        <v>675</v>
      </c>
      <c r="H52" s="74"/>
      <c r="I52" s="74">
        <v>676</v>
      </c>
      <c r="J52" s="74"/>
      <c r="K52" s="74">
        <v>687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</row>
    <row r="53" spans="7:63" s="71" customFormat="1" ht="12.75"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</row>
    <row r="54" spans="2:63" s="71" customFormat="1" ht="12.75">
      <c r="B54" s="71" t="s">
        <v>50</v>
      </c>
      <c r="C54" s="71" t="s">
        <v>69</v>
      </c>
      <c r="D54" s="75" t="s">
        <v>215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</row>
    <row r="55" spans="2:63" s="71" customFormat="1" ht="12.75">
      <c r="B55" s="8" t="s">
        <v>44</v>
      </c>
      <c r="C55" s="8"/>
      <c r="D55" s="8" t="s">
        <v>17</v>
      </c>
      <c r="G55" s="74">
        <v>16819</v>
      </c>
      <c r="H55" s="74"/>
      <c r="I55" s="74">
        <v>17549</v>
      </c>
      <c r="J55" s="74"/>
      <c r="K55" s="74">
        <v>16907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</row>
    <row r="56" spans="2:63" s="71" customFormat="1" ht="12.75">
      <c r="B56" s="8" t="s">
        <v>47</v>
      </c>
      <c r="C56" s="8"/>
      <c r="D56" s="8" t="s">
        <v>18</v>
      </c>
      <c r="G56" s="74">
        <v>5.1</v>
      </c>
      <c r="H56" s="74"/>
      <c r="I56" s="74">
        <v>4.6</v>
      </c>
      <c r="J56" s="74"/>
      <c r="K56" s="74">
        <v>4.4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</row>
    <row r="57" spans="2:63" s="71" customFormat="1" ht="12.75">
      <c r="B57" s="8" t="s">
        <v>48</v>
      </c>
      <c r="C57" s="8"/>
      <c r="D57" s="8" t="s">
        <v>18</v>
      </c>
      <c r="G57" s="74">
        <v>35.8</v>
      </c>
      <c r="H57" s="74"/>
      <c r="I57" s="74">
        <v>35.2</v>
      </c>
      <c r="J57" s="74"/>
      <c r="K57" s="74">
        <v>36.2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</row>
    <row r="58" spans="2:63" s="71" customFormat="1" ht="12.75">
      <c r="B58" s="8" t="s">
        <v>43</v>
      </c>
      <c r="C58" s="8"/>
      <c r="D58" s="8" t="s">
        <v>19</v>
      </c>
      <c r="G58" s="74">
        <v>674</v>
      </c>
      <c r="H58" s="74"/>
      <c r="I58" s="74">
        <v>677</v>
      </c>
      <c r="J58" s="74"/>
      <c r="K58" s="74">
        <v>685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Q76"/>
  <sheetViews>
    <sheetView workbookViewId="0" topLeftCell="B1">
      <selection activeCell="AD76" sqref="AD76"/>
    </sheetView>
  </sheetViews>
  <sheetFormatPr defaultColWidth="9.140625" defaultRowHeight="12.75"/>
  <cols>
    <col min="1" max="1" width="2.28125" style="3" hidden="1" customWidth="1"/>
    <col min="2" max="2" width="22.57421875" style="2" customWidth="1"/>
    <col min="3" max="3" width="6.421875" style="2" customWidth="1"/>
    <col min="4" max="4" width="9.28125" style="2" customWidth="1"/>
    <col min="5" max="5" width="4.7109375" style="3" customWidth="1"/>
    <col min="6" max="6" width="10.8515625" style="4" customWidth="1"/>
    <col min="7" max="7" width="4.00390625" style="4" customWidth="1"/>
    <col min="8" max="8" width="10.7109375" style="3" customWidth="1"/>
    <col min="9" max="9" width="4.28125" style="3" customWidth="1"/>
    <col min="10" max="10" width="8.8515625" style="3" customWidth="1"/>
    <col min="11" max="11" width="4.140625" style="3" customWidth="1"/>
    <col min="12" max="12" width="9.7109375" style="3" customWidth="1"/>
    <col min="13" max="13" width="3.7109375" style="3" customWidth="1"/>
    <col min="14" max="14" width="9.57421875" style="3" customWidth="1"/>
    <col min="15" max="15" width="4.28125" style="3" customWidth="1"/>
    <col min="16" max="16" width="11.421875" style="3" customWidth="1"/>
    <col min="17" max="17" width="4.140625" style="3" customWidth="1"/>
    <col min="18" max="18" width="10.140625" style="3" customWidth="1"/>
    <col min="19" max="19" width="4.28125" style="3" customWidth="1"/>
    <col min="20" max="20" width="9.57421875" style="3" customWidth="1"/>
    <col min="21" max="21" width="4.57421875" style="3" customWidth="1"/>
    <col min="22" max="22" width="11.57421875" style="3" bestFit="1" customWidth="1"/>
    <col min="23" max="23" width="3.8515625" style="3" customWidth="1"/>
    <col min="24" max="24" width="12.00390625" style="3" customWidth="1"/>
    <col min="25" max="25" width="3.7109375" style="3" customWidth="1"/>
    <col min="26" max="26" width="12.7109375" style="3" bestFit="1" customWidth="1"/>
    <col min="27" max="27" width="4.00390625" style="3" customWidth="1"/>
    <col min="28" max="28" width="12.421875" style="3" customWidth="1"/>
    <col min="29" max="29" width="5.28125" style="3" customWidth="1"/>
    <col min="30" max="30" width="8.8515625" style="3" customWidth="1"/>
    <col min="31" max="31" width="4.00390625" style="3" bestFit="1" customWidth="1"/>
    <col min="32" max="32" width="8.8515625" style="3" customWidth="1"/>
    <col min="33" max="33" width="3.7109375" style="3" customWidth="1"/>
    <col min="34" max="34" width="8.8515625" style="3" customWidth="1"/>
    <col min="35" max="35" width="3.8515625" style="3" customWidth="1"/>
    <col min="36" max="36" width="8.8515625" style="3" customWidth="1"/>
    <col min="37" max="37" width="4.140625" style="3" customWidth="1"/>
    <col min="38" max="38" width="8.8515625" style="3" customWidth="1"/>
    <col min="39" max="39" width="3.7109375" style="3" customWidth="1"/>
    <col min="40" max="40" width="9.7109375" style="3" customWidth="1"/>
    <col min="41" max="41" width="3.8515625" style="3" customWidth="1"/>
    <col min="42" max="42" width="8.8515625" style="3" customWidth="1"/>
    <col min="43" max="43" width="3.7109375" style="3" customWidth="1"/>
    <col min="44" max="44" width="12.7109375" style="3" customWidth="1"/>
    <col min="45" max="45" width="3.8515625" style="3" customWidth="1"/>
    <col min="46" max="46" width="9.7109375" style="3" customWidth="1"/>
    <col min="47" max="47" width="3.8515625" style="3" customWidth="1"/>
    <col min="48" max="48" width="12.7109375" style="3" customWidth="1"/>
    <col min="49" max="49" width="4.00390625" style="3" customWidth="1"/>
    <col min="50" max="50" width="12.7109375" style="3" customWidth="1"/>
    <col min="51" max="51" width="4.00390625" style="3" customWidth="1"/>
    <col min="52" max="52" width="12.7109375" style="3" customWidth="1"/>
    <col min="53" max="53" width="2.8515625" style="3" customWidth="1"/>
    <col min="54" max="54" width="8.8515625" style="3" customWidth="1"/>
    <col min="55" max="55" width="3.140625" style="3" customWidth="1"/>
    <col min="56" max="56" width="8.8515625" style="3" customWidth="1"/>
    <col min="57" max="57" width="2.8515625" style="3" customWidth="1"/>
    <col min="58" max="58" width="8.8515625" style="3" customWidth="1"/>
    <col min="59" max="59" width="2.28125" style="3" customWidth="1"/>
    <col min="60" max="60" width="8.8515625" style="3" customWidth="1"/>
    <col min="61" max="61" width="3.7109375" style="3" customWidth="1"/>
    <col min="62" max="62" width="9.28125" style="3" customWidth="1"/>
    <col min="63" max="63" width="4.140625" style="3" customWidth="1"/>
    <col min="64" max="64" width="8.8515625" style="3" customWidth="1"/>
    <col min="65" max="65" width="4.00390625" style="3" customWidth="1"/>
    <col min="66" max="66" width="8.8515625" style="3" customWidth="1"/>
    <col min="67" max="67" width="4.28125" style="3" customWidth="1"/>
    <col min="68" max="16384" width="8.8515625" style="3" customWidth="1"/>
  </cols>
  <sheetData>
    <row r="1" spans="2:23" ht="12.75">
      <c r="B1" s="22" t="s">
        <v>206</v>
      </c>
      <c r="C1" s="22"/>
      <c r="D1" s="9"/>
      <c r="E1" s="23"/>
      <c r="F1" s="24"/>
      <c r="G1" s="2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2:23" ht="12.75">
      <c r="B2" s="9"/>
      <c r="C2" s="9"/>
      <c r="D2" s="9"/>
      <c r="E2" s="23"/>
      <c r="F2" s="24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2:23" ht="12.75">
      <c r="B3" s="9"/>
      <c r="C3" s="9"/>
      <c r="D3" s="9"/>
      <c r="E3" s="23"/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68" ht="12.75">
      <c r="A4" s="3" t="s">
        <v>52</v>
      </c>
      <c r="B4" s="22" t="s">
        <v>178</v>
      </c>
      <c r="C4" s="22" t="s">
        <v>51</v>
      </c>
      <c r="D4" s="9"/>
      <c r="E4" s="23"/>
      <c r="F4" s="38" t="s">
        <v>186</v>
      </c>
      <c r="G4" s="38"/>
      <c r="H4" s="38" t="s">
        <v>187</v>
      </c>
      <c r="I4" s="38"/>
      <c r="J4" s="38" t="s">
        <v>188</v>
      </c>
      <c r="K4" s="38"/>
      <c r="L4" s="38" t="s">
        <v>189</v>
      </c>
      <c r="M4" s="40"/>
      <c r="N4" s="38" t="s">
        <v>186</v>
      </c>
      <c r="O4" s="38"/>
      <c r="P4" s="38" t="s">
        <v>187</v>
      </c>
      <c r="Q4" s="38"/>
      <c r="R4" s="38" t="s">
        <v>188</v>
      </c>
      <c r="S4" s="38"/>
      <c r="T4" s="38" t="s">
        <v>189</v>
      </c>
      <c r="U4" s="40"/>
      <c r="V4" s="38" t="s">
        <v>186</v>
      </c>
      <c r="W4" s="38"/>
      <c r="X4" s="38" t="s">
        <v>187</v>
      </c>
      <c r="Y4" s="38"/>
      <c r="Z4" s="38" t="s">
        <v>188</v>
      </c>
      <c r="AA4" s="38"/>
      <c r="AB4" s="38" t="s">
        <v>189</v>
      </c>
      <c r="AC4" s="40"/>
      <c r="AD4" s="38" t="s">
        <v>186</v>
      </c>
      <c r="AE4" s="38"/>
      <c r="AF4" s="38" t="s">
        <v>187</v>
      </c>
      <c r="AG4" s="38"/>
      <c r="AH4" s="38" t="s">
        <v>188</v>
      </c>
      <c r="AI4" s="38"/>
      <c r="AJ4" s="38" t="s">
        <v>189</v>
      </c>
      <c r="AK4" s="40"/>
      <c r="AL4" s="38" t="s">
        <v>186</v>
      </c>
      <c r="AM4" s="38"/>
      <c r="AN4" s="38" t="s">
        <v>187</v>
      </c>
      <c r="AO4" s="38"/>
      <c r="AP4" s="38" t="s">
        <v>188</v>
      </c>
      <c r="AQ4" s="38"/>
      <c r="AR4" s="38" t="s">
        <v>189</v>
      </c>
      <c r="AS4" s="38"/>
      <c r="AT4" s="38" t="s">
        <v>186</v>
      </c>
      <c r="AU4" s="38"/>
      <c r="AV4" s="38" t="s">
        <v>187</v>
      </c>
      <c r="AW4" s="38"/>
      <c r="AX4" s="38" t="s">
        <v>188</v>
      </c>
      <c r="AY4" s="38"/>
      <c r="AZ4" s="38" t="s">
        <v>189</v>
      </c>
      <c r="BA4" s="40"/>
      <c r="BB4" s="38" t="s">
        <v>186</v>
      </c>
      <c r="BC4" s="38"/>
      <c r="BD4" s="38" t="s">
        <v>187</v>
      </c>
      <c r="BE4" s="38"/>
      <c r="BF4" s="38" t="s">
        <v>188</v>
      </c>
      <c r="BG4" s="38"/>
      <c r="BH4" s="38" t="s">
        <v>189</v>
      </c>
      <c r="BI4" s="40"/>
      <c r="BJ4" s="38" t="s">
        <v>186</v>
      </c>
      <c r="BK4" s="38"/>
      <c r="BL4" s="38" t="s">
        <v>187</v>
      </c>
      <c r="BM4" s="38"/>
      <c r="BN4" s="38" t="s">
        <v>188</v>
      </c>
      <c r="BO4" s="38"/>
      <c r="BP4" s="38" t="s">
        <v>189</v>
      </c>
    </row>
    <row r="5" spans="2:5" ht="12.75">
      <c r="B5" s="9"/>
      <c r="C5" s="9"/>
      <c r="D5" s="9"/>
      <c r="E5" s="23"/>
    </row>
    <row r="6" spans="2:68" ht="12.75">
      <c r="B6" s="9" t="s">
        <v>230</v>
      </c>
      <c r="C6" s="9"/>
      <c r="D6" s="9"/>
      <c r="E6" s="23"/>
      <c r="F6" s="4" t="s">
        <v>232</v>
      </c>
      <c r="H6" s="4" t="s">
        <v>232</v>
      </c>
      <c r="J6" s="4" t="s">
        <v>232</v>
      </c>
      <c r="L6" s="4" t="s">
        <v>232</v>
      </c>
      <c r="N6" s="3" t="s">
        <v>234</v>
      </c>
      <c r="P6" s="3" t="s">
        <v>234</v>
      </c>
      <c r="R6" s="3" t="s">
        <v>234</v>
      </c>
      <c r="T6" s="3" t="s">
        <v>234</v>
      </c>
      <c r="V6" s="3" t="s">
        <v>235</v>
      </c>
      <c r="X6" s="3" t="s">
        <v>235</v>
      </c>
      <c r="Z6" s="3" t="s">
        <v>235</v>
      </c>
      <c r="AB6" s="3" t="s">
        <v>235</v>
      </c>
      <c r="AD6" s="3" t="s">
        <v>237</v>
      </c>
      <c r="AF6" s="3" t="s">
        <v>237</v>
      </c>
      <c r="AH6" s="3" t="s">
        <v>237</v>
      </c>
      <c r="AJ6" s="3" t="s">
        <v>237</v>
      </c>
      <c r="AL6" s="3" t="s">
        <v>238</v>
      </c>
      <c r="AN6" s="3" t="s">
        <v>238</v>
      </c>
      <c r="AP6" s="3" t="s">
        <v>238</v>
      </c>
      <c r="AR6" s="3" t="s">
        <v>238</v>
      </c>
      <c r="BB6" s="3" t="s">
        <v>239</v>
      </c>
      <c r="BD6" s="3" t="s">
        <v>239</v>
      </c>
      <c r="BF6" s="3" t="s">
        <v>239</v>
      </c>
      <c r="BH6" s="3" t="s">
        <v>239</v>
      </c>
      <c r="BJ6" s="3" t="s">
        <v>241</v>
      </c>
      <c r="BL6" s="3" t="s">
        <v>241</v>
      </c>
      <c r="BN6" s="3" t="s">
        <v>241</v>
      </c>
      <c r="BP6" s="3" t="s">
        <v>241</v>
      </c>
    </row>
    <row r="7" spans="2:68" ht="12.75">
      <c r="B7" s="9" t="s">
        <v>231</v>
      </c>
      <c r="C7" s="9"/>
      <c r="D7" s="9"/>
      <c r="E7" s="23"/>
      <c r="F7" s="4" t="s">
        <v>233</v>
      </c>
      <c r="H7" s="4" t="s">
        <v>233</v>
      </c>
      <c r="J7" s="4" t="s">
        <v>233</v>
      </c>
      <c r="L7" s="4" t="s">
        <v>233</v>
      </c>
      <c r="N7" s="3" t="s">
        <v>233</v>
      </c>
      <c r="P7" s="3" t="s">
        <v>233</v>
      </c>
      <c r="R7" s="3" t="s">
        <v>233</v>
      </c>
      <c r="T7" s="3" t="s">
        <v>233</v>
      </c>
      <c r="V7" s="3" t="s">
        <v>236</v>
      </c>
      <c r="X7" s="3" t="s">
        <v>236</v>
      </c>
      <c r="Z7" s="3" t="s">
        <v>236</v>
      </c>
      <c r="AB7" s="3" t="s">
        <v>236</v>
      </c>
      <c r="AD7" s="3" t="s">
        <v>236</v>
      </c>
      <c r="AF7" s="3" t="s">
        <v>236</v>
      </c>
      <c r="AH7" s="3" t="s">
        <v>236</v>
      </c>
      <c r="AJ7" s="3" t="s">
        <v>236</v>
      </c>
      <c r="AL7" s="3" t="s">
        <v>236</v>
      </c>
      <c r="AN7" s="3" t="s">
        <v>236</v>
      </c>
      <c r="AP7" s="3" t="s">
        <v>236</v>
      </c>
      <c r="AR7" s="3" t="s">
        <v>236</v>
      </c>
      <c r="BB7" s="3" t="s">
        <v>240</v>
      </c>
      <c r="BD7" s="3" t="s">
        <v>240</v>
      </c>
      <c r="BF7" s="3" t="s">
        <v>240</v>
      </c>
      <c r="BH7" s="3" t="s">
        <v>240</v>
      </c>
      <c r="BJ7" s="3" t="s">
        <v>20</v>
      </c>
      <c r="BL7" s="3" t="s">
        <v>20</v>
      </c>
      <c r="BN7" s="3" t="s">
        <v>20</v>
      </c>
      <c r="BP7" s="3" t="s">
        <v>20</v>
      </c>
    </row>
    <row r="8" spans="2:68" ht="12.75">
      <c r="B8" s="9" t="s">
        <v>242</v>
      </c>
      <c r="C8" s="9"/>
      <c r="D8" s="9"/>
      <c r="E8" s="23"/>
      <c r="H8" s="4"/>
      <c r="J8" s="4"/>
      <c r="L8" s="4"/>
      <c r="AT8" s="3" t="s">
        <v>31</v>
      </c>
      <c r="AV8" s="3" t="s">
        <v>31</v>
      </c>
      <c r="AX8" s="3" t="s">
        <v>31</v>
      </c>
      <c r="AZ8" s="3" t="s">
        <v>31</v>
      </c>
      <c r="BB8" s="3" t="s">
        <v>243</v>
      </c>
      <c r="BD8" s="3" t="s">
        <v>243</v>
      </c>
      <c r="BF8" s="3" t="s">
        <v>243</v>
      </c>
      <c r="BH8" s="3" t="s">
        <v>243</v>
      </c>
      <c r="BJ8" s="3" t="s">
        <v>20</v>
      </c>
      <c r="BL8" s="3" t="s">
        <v>20</v>
      </c>
      <c r="BN8" s="3" t="s">
        <v>20</v>
      </c>
      <c r="BP8" s="3" t="s">
        <v>20</v>
      </c>
    </row>
    <row r="9" spans="2:68" s="44" customFormat="1" ht="12.75">
      <c r="B9" s="44" t="s">
        <v>21</v>
      </c>
      <c r="E9" s="45"/>
      <c r="F9" s="25" t="s">
        <v>148</v>
      </c>
      <c r="G9" s="25"/>
      <c r="H9" s="25" t="s">
        <v>148</v>
      </c>
      <c r="I9" s="25"/>
      <c r="J9" s="25" t="s">
        <v>148</v>
      </c>
      <c r="K9" s="25"/>
      <c r="L9" s="25" t="s">
        <v>148</v>
      </c>
      <c r="M9" s="25"/>
      <c r="N9" s="25" t="s">
        <v>149</v>
      </c>
      <c r="O9" s="25"/>
      <c r="P9" s="25" t="s">
        <v>149</v>
      </c>
      <c r="Q9" s="25"/>
      <c r="R9" s="25" t="s">
        <v>149</v>
      </c>
      <c r="S9" s="25"/>
      <c r="T9" s="25" t="s">
        <v>149</v>
      </c>
      <c r="U9" s="25"/>
      <c r="V9" s="59" t="s">
        <v>150</v>
      </c>
      <c r="W9" s="59"/>
      <c r="X9" s="59" t="s">
        <v>150</v>
      </c>
      <c r="Y9" s="59"/>
      <c r="Z9" s="59" t="s">
        <v>150</v>
      </c>
      <c r="AA9" s="59"/>
      <c r="AB9" s="59" t="s">
        <v>150</v>
      </c>
      <c r="AC9" s="59"/>
      <c r="AD9" s="59" t="s">
        <v>151</v>
      </c>
      <c r="AE9" s="59"/>
      <c r="AF9" s="59" t="s">
        <v>151</v>
      </c>
      <c r="AG9" s="59"/>
      <c r="AH9" s="59" t="s">
        <v>151</v>
      </c>
      <c r="AI9" s="59"/>
      <c r="AJ9" s="59" t="s">
        <v>151</v>
      </c>
      <c r="AK9" s="59"/>
      <c r="AL9" s="3" t="s">
        <v>152</v>
      </c>
      <c r="AM9" s="3"/>
      <c r="AN9" s="3" t="s">
        <v>152</v>
      </c>
      <c r="AO9" s="3"/>
      <c r="AP9" s="3" t="s">
        <v>152</v>
      </c>
      <c r="AQ9" s="3"/>
      <c r="AR9" s="3" t="s">
        <v>152</v>
      </c>
      <c r="AS9" s="3"/>
      <c r="AT9" s="3"/>
      <c r="AU9" s="3"/>
      <c r="AV9" s="3"/>
      <c r="AW9" s="3"/>
      <c r="AX9" s="3"/>
      <c r="AY9" s="3"/>
      <c r="AZ9" s="3"/>
      <c r="BA9" s="3"/>
      <c r="BB9" s="3" t="s">
        <v>153</v>
      </c>
      <c r="BC9" s="3"/>
      <c r="BD9" s="3" t="s">
        <v>153</v>
      </c>
      <c r="BE9" s="3"/>
      <c r="BF9" s="3" t="s">
        <v>153</v>
      </c>
      <c r="BG9" s="3"/>
      <c r="BH9" s="3" t="s">
        <v>153</v>
      </c>
      <c r="BI9" s="3"/>
      <c r="BJ9" s="3" t="s">
        <v>20</v>
      </c>
      <c r="BK9" s="3"/>
      <c r="BL9" s="3" t="s">
        <v>20</v>
      </c>
      <c r="BM9" s="3"/>
      <c r="BN9" s="3" t="s">
        <v>20</v>
      </c>
      <c r="BO9" s="3"/>
      <c r="BP9" s="3" t="s">
        <v>20</v>
      </c>
    </row>
    <row r="10" spans="2:68" ht="12.75">
      <c r="B10" s="9" t="s">
        <v>53</v>
      </c>
      <c r="C10" s="9"/>
      <c r="D10" s="9" t="s">
        <v>154</v>
      </c>
      <c r="E10"/>
      <c r="F10" s="4">
        <v>120.1</v>
      </c>
      <c r="H10" s="3">
        <v>120.3</v>
      </c>
      <c r="J10" s="3">
        <v>120.3</v>
      </c>
      <c r="L10" s="5">
        <f>AVERAGE(J10,H10,F10)</f>
        <v>120.23333333333333</v>
      </c>
      <c r="M10" s="5"/>
      <c r="N10" s="3">
        <v>11</v>
      </c>
      <c r="P10" s="3">
        <v>11.1</v>
      </c>
      <c r="R10" s="3">
        <v>11</v>
      </c>
      <c r="T10" s="5">
        <f>AVERAGE(R10,P10,N10)</f>
        <v>11.033333333333333</v>
      </c>
      <c r="U10" s="5"/>
      <c r="V10" s="3">
        <v>3</v>
      </c>
      <c r="X10" s="3">
        <v>3.6</v>
      </c>
      <c r="Z10" s="3">
        <v>3.7</v>
      </c>
      <c r="AB10" s="5">
        <f>AVERAGE(Z10,X10,V10)</f>
        <v>3.4333333333333336</v>
      </c>
      <c r="AC10" s="5"/>
      <c r="AJ10" s="5"/>
      <c r="AK10" s="5"/>
      <c r="AL10" s="3">
        <v>23.9</v>
      </c>
      <c r="AN10" s="3">
        <v>23.4</v>
      </c>
      <c r="AP10" s="3">
        <v>23.9</v>
      </c>
      <c r="AR10" s="5">
        <f>AVERAGE(AP10,AN10,AL10)</f>
        <v>23.73333333333333</v>
      </c>
      <c r="AS10" s="5"/>
      <c r="AT10" s="5"/>
      <c r="AU10" s="5"/>
      <c r="AV10" s="5"/>
      <c r="AW10" s="5"/>
      <c r="AX10" s="5"/>
      <c r="AY10" s="5"/>
      <c r="AZ10" s="5"/>
      <c r="BA10" s="5"/>
      <c r="BJ10" s="5">
        <f>SUM(BB10,AL10,AD10,V10,N10,F10)</f>
        <v>158</v>
      </c>
      <c r="BK10" s="5"/>
      <c r="BL10" s="5">
        <f>SUM(BD10,AN10,AF10,X10,P10,H10)</f>
        <v>158.4</v>
      </c>
      <c r="BM10" s="5"/>
      <c r="BN10" s="5">
        <f>SUM(BF10,AP10,AH10,Z10,R10,J10)</f>
        <v>158.89999999999998</v>
      </c>
      <c r="BO10" s="5"/>
      <c r="BP10" s="5">
        <f>SUM(BH10,AR10,AJ10,AB10,T10,L10)</f>
        <v>158.43333333333334</v>
      </c>
    </row>
    <row r="11" spans="2:61" ht="12.75">
      <c r="B11" s="9" t="s">
        <v>53</v>
      </c>
      <c r="C11" s="9"/>
      <c r="D11" s="9" t="s">
        <v>155</v>
      </c>
      <c r="E11"/>
      <c r="AD11" s="3">
        <v>196.7</v>
      </c>
      <c r="AF11" s="3">
        <v>194.7</v>
      </c>
      <c r="AH11" s="3">
        <v>195.7</v>
      </c>
      <c r="AJ11" s="5">
        <f>AVERAGE(AH11,AF11,AD11)</f>
        <v>195.69999999999996</v>
      </c>
      <c r="AK11" s="5"/>
      <c r="BB11" s="3">
        <v>18.1</v>
      </c>
      <c r="BD11" s="3">
        <v>17.1</v>
      </c>
      <c r="BF11" s="3">
        <v>17</v>
      </c>
      <c r="BH11" s="5">
        <f>AVERAGE(BF11,BD11,BB11)</f>
        <v>17.400000000000002</v>
      </c>
      <c r="BI11" s="5"/>
    </row>
    <row r="12" spans="2:18" ht="12.75">
      <c r="B12" s="9" t="s">
        <v>156</v>
      </c>
      <c r="C12" s="9"/>
      <c r="D12" s="9" t="s">
        <v>157</v>
      </c>
      <c r="E12"/>
      <c r="F12" s="4">
        <v>0.937</v>
      </c>
      <c r="H12" s="3">
        <v>0.99</v>
      </c>
      <c r="J12" s="3">
        <v>0.991</v>
      </c>
      <c r="N12" s="3">
        <v>0.997</v>
      </c>
      <c r="P12" s="3">
        <v>0.921</v>
      </c>
      <c r="R12" s="3">
        <v>0.926</v>
      </c>
    </row>
    <row r="13" spans="2:68" ht="12.75">
      <c r="B13" s="9" t="s">
        <v>65</v>
      </c>
      <c r="C13" s="9"/>
      <c r="D13" s="9" t="s">
        <v>122</v>
      </c>
      <c r="E13"/>
      <c r="F13" s="46"/>
      <c r="G13" s="46"/>
      <c r="H13"/>
      <c r="I13"/>
      <c r="J13" s="41"/>
      <c r="K13" s="41"/>
      <c r="L13" s="29"/>
      <c r="M13" s="29"/>
      <c r="N13" s="29"/>
      <c r="O13" s="29"/>
      <c r="P13" s="41"/>
      <c r="Q13" s="41"/>
      <c r="R13" s="23"/>
      <c r="S13" s="23"/>
      <c r="T13" s="23"/>
      <c r="U13" s="23"/>
      <c r="V13" s="23"/>
      <c r="W13" s="23"/>
      <c r="BJ13" s="5"/>
      <c r="BK13" s="5"/>
      <c r="BL13" s="5"/>
      <c r="BM13" s="5"/>
      <c r="BN13" s="5"/>
      <c r="BO13" s="5"/>
      <c r="BP13" s="5"/>
    </row>
    <row r="14" spans="2:68" ht="12.75">
      <c r="B14" s="9" t="s">
        <v>22</v>
      </c>
      <c r="C14" s="9"/>
      <c r="D14" s="9" t="s">
        <v>158</v>
      </c>
      <c r="E14"/>
      <c r="F14" s="42">
        <v>3.6</v>
      </c>
      <c r="G14" s="42"/>
      <c r="H14" s="42">
        <v>31.28</v>
      </c>
      <c r="I14" s="42"/>
      <c r="J14" s="41">
        <v>25.26</v>
      </c>
      <c r="K14" s="41"/>
      <c r="L14" s="5">
        <f>AVERAGE(J14,H14,F14)</f>
        <v>20.04666666666667</v>
      </c>
      <c r="M14" s="5"/>
      <c r="N14" s="26">
        <v>3.31</v>
      </c>
      <c r="O14" s="26"/>
      <c r="P14" s="41">
        <v>3.33</v>
      </c>
      <c r="Q14" s="41"/>
      <c r="R14" s="23">
        <v>3.31</v>
      </c>
      <c r="S14" s="23"/>
      <c r="T14" s="5">
        <f>AVERAGE(R14,P14,N14)</f>
        <v>3.316666666666667</v>
      </c>
      <c r="U14" s="5"/>
      <c r="BJ14" s="5">
        <f>SUM(BB14,AL14,AD14,V14,N14,F14)</f>
        <v>6.91</v>
      </c>
      <c r="BK14" s="5"/>
      <c r="BL14" s="5">
        <f>SUM(BD14,AN14,AF14,X14,P14,H14)</f>
        <v>34.61</v>
      </c>
      <c r="BM14" s="5"/>
      <c r="BN14" s="5">
        <f>SUM(BF14,AP14,AH14,Z14,R14,J14)</f>
        <v>28.57</v>
      </c>
      <c r="BO14" s="5"/>
      <c r="BP14" s="5">
        <f>SUM(BH14,AR14,AJ14,AB14,T14,L14)</f>
        <v>23.363333333333337</v>
      </c>
    </row>
    <row r="15" spans="2:68" ht="12.75">
      <c r="B15" s="9" t="s">
        <v>64</v>
      </c>
      <c r="C15" s="9"/>
      <c r="D15" s="9" t="s">
        <v>158</v>
      </c>
      <c r="E15"/>
      <c r="F15" s="42">
        <v>3.33</v>
      </c>
      <c r="G15" s="42"/>
      <c r="H15" s="42">
        <v>2.92</v>
      </c>
      <c r="I15" s="42"/>
      <c r="J15" s="41">
        <v>3.64</v>
      </c>
      <c r="K15" s="41"/>
      <c r="L15" s="5">
        <f>AVERAGE(J15,H15,F15)</f>
        <v>3.296666666666667</v>
      </c>
      <c r="M15" s="5"/>
      <c r="N15" s="27">
        <v>0.44</v>
      </c>
      <c r="O15" s="29"/>
      <c r="P15" s="41">
        <v>0.12</v>
      </c>
      <c r="Q15" s="41"/>
      <c r="R15" s="23">
        <v>0.12</v>
      </c>
      <c r="S15" s="23"/>
      <c r="T15" s="5">
        <f>AVERAGE(R15,P15,N15)</f>
        <v>0.22666666666666666</v>
      </c>
      <c r="U15" s="5"/>
      <c r="V15" s="23"/>
      <c r="W15" s="23"/>
      <c r="BJ15" s="5">
        <f>SUM(AL15,AD15,V15,N15,F15)</f>
        <v>3.77</v>
      </c>
      <c r="BK15" s="5"/>
      <c r="BL15" s="5">
        <f>SUM(AN15,AF15,X15,P15,H15)</f>
        <v>3.04</v>
      </c>
      <c r="BM15" s="5"/>
      <c r="BN15" s="5">
        <f>SUM(AP15,AH15,Z15,R15,J15)</f>
        <v>3.7600000000000002</v>
      </c>
      <c r="BO15" s="5"/>
      <c r="BP15" s="5">
        <f>SUM(AR15,AJ15,AB15,T15,L15)</f>
        <v>3.5233333333333334</v>
      </c>
    </row>
    <row r="16" spans="2:23" ht="12.75">
      <c r="B16" s="9"/>
      <c r="C16" s="9"/>
      <c r="D16" s="9"/>
      <c r="E16" s="23"/>
      <c r="F16" s="10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2:68" ht="12.75">
      <c r="B17" s="9" t="s">
        <v>60</v>
      </c>
      <c r="D17" s="9" t="s">
        <v>17</v>
      </c>
      <c r="E17" s="25"/>
      <c r="F17" s="10">
        <v>15757</v>
      </c>
      <c r="G17" s="10"/>
      <c r="H17" s="23"/>
      <c r="I17" s="23"/>
      <c r="J17" s="43"/>
      <c r="K17" s="43"/>
      <c r="L17" s="23"/>
      <c r="M17" s="23"/>
      <c r="N17" s="23"/>
      <c r="O17" s="23"/>
      <c r="P17" s="43"/>
      <c r="Q17" s="43"/>
      <c r="R17" s="43"/>
      <c r="S17" s="43"/>
      <c r="T17" s="23"/>
      <c r="U17" s="23"/>
      <c r="V17" s="23"/>
      <c r="W17" s="23"/>
      <c r="BP17" s="3">
        <f>'emiss 1'!M28</f>
        <v>15757</v>
      </c>
    </row>
    <row r="18" spans="2:68" ht="12.75">
      <c r="B18" s="9" t="s">
        <v>61</v>
      </c>
      <c r="D18" s="9" t="s">
        <v>18</v>
      </c>
      <c r="E18" s="25"/>
      <c r="F18" s="10">
        <v>5.133333333333333</v>
      </c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BP18" s="56">
        <f>'emiss 1'!M29</f>
        <v>5.133333333333333</v>
      </c>
    </row>
    <row r="19" spans="2:23" ht="12.75">
      <c r="B19" s="9"/>
      <c r="D19" s="9"/>
      <c r="E19" s="25"/>
      <c r="F19" s="10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2:23" ht="12.75">
      <c r="B20" s="9" t="s">
        <v>66</v>
      </c>
      <c r="D20" s="9" t="s">
        <v>67</v>
      </c>
      <c r="E20" s="25"/>
      <c r="F20" s="3"/>
      <c r="G20" s="3"/>
      <c r="H20" s="23"/>
      <c r="I20" s="23"/>
      <c r="J20" s="26"/>
      <c r="K20" s="26"/>
      <c r="L20" s="23"/>
      <c r="M20" s="23"/>
      <c r="N20" s="23"/>
      <c r="O20" s="23"/>
      <c r="P20" s="26"/>
      <c r="Q20" s="26"/>
      <c r="R20" s="23"/>
      <c r="S20" s="23"/>
      <c r="T20" s="23"/>
      <c r="U20" s="23"/>
      <c r="V20" s="23"/>
      <c r="W20" s="23"/>
    </row>
    <row r="21" spans="2:68" ht="12.75">
      <c r="B21" s="9" t="s">
        <v>244</v>
      </c>
      <c r="D21" s="9" t="s">
        <v>67</v>
      </c>
      <c r="E21" s="25"/>
      <c r="F21" s="3"/>
      <c r="G21" s="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BP21" s="5">
        <f>BP17*60/9000*(21-BP18)/21</f>
        <v>79.36859259259259</v>
      </c>
    </row>
    <row r="22" spans="2:23" ht="12.75">
      <c r="B22" s="9"/>
      <c r="C22" s="9"/>
      <c r="D22" s="9"/>
      <c r="E22" s="25"/>
      <c r="F22" s="10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 ht="12.75">
      <c r="B23" s="33" t="s">
        <v>62</v>
      </c>
      <c r="C23" s="9"/>
      <c r="D23" s="9"/>
      <c r="E23" s="23"/>
      <c r="F23" s="10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68" ht="12.75">
      <c r="B24" s="9" t="s">
        <v>22</v>
      </c>
      <c r="C24" s="9"/>
      <c r="D24" s="9" t="s">
        <v>30</v>
      </c>
      <c r="E24" s="23" t="s">
        <v>15</v>
      </c>
      <c r="F24" s="10">
        <f aca="true" t="shared" si="0" ref="F24:T24">F14/0.0283/$F$17*(21-7)/(21-$F$18)*1000</f>
        <v>7.123359584276513</v>
      </c>
      <c r="G24" s="10"/>
      <c r="H24" s="10">
        <f t="shared" si="0"/>
        <v>61.894079943380376</v>
      </c>
      <c r="I24" s="10"/>
      <c r="J24" s="10">
        <f t="shared" si="0"/>
        <v>49.982239749673546</v>
      </c>
      <c r="K24" s="10"/>
      <c r="L24" s="10">
        <f t="shared" si="0"/>
        <v>39.66655975911015</v>
      </c>
      <c r="M24" s="10"/>
      <c r="N24" s="10">
        <f t="shared" si="0"/>
        <v>6.549533395543127</v>
      </c>
      <c r="O24" s="10"/>
      <c r="P24" s="10">
        <f t="shared" si="0"/>
        <v>6.5891076154557755</v>
      </c>
      <c r="Q24" s="10"/>
      <c r="R24" s="10">
        <f t="shared" si="0"/>
        <v>6.549533395543127</v>
      </c>
      <c r="S24" s="10"/>
      <c r="T24" s="10">
        <f t="shared" si="0"/>
        <v>6.562724802180677</v>
      </c>
      <c r="U24" s="10"/>
      <c r="V24" s="23"/>
      <c r="W24" s="23"/>
      <c r="AT24" s="5">
        <f>F24+N24+V24+AD24+AL24</f>
        <v>13.67289297981964</v>
      </c>
      <c r="AV24" s="5">
        <f>H24+P24+X24+AF24+AN24</f>
        <v>68.48318755883615</v>
      </c>
      <c r="AX24" s="5">
        <f>J24+R24+Z24+AH24+AP24</f>
        <v>56.531773145216675</v>
      </c>
      <c r="AZ24" s="5">
        <f>L24+T24+AB24+AJ24+AR24</f>
        <v>46.229284561290825</v>
      </c>
      <c r="BJ24" s="5">
        <f>SUM(BB24,AL24,AD24,V24,N24,F24)</f>
        <v>13.67289297981964</v>
      </c>
      <c r="BK24" s="5"/>
      <c r="BL24" s="5">
        <f>SUM(BD24,AN24,AF24,X24,P24,H24)</f>
        <v>68.48318755883615</v>
      </c>
      <c r="BM24" s="5"/>
      <c r="BN24" s="5">
        <f>SUM(BF24,AP24,AH24,Z24,R24,J24)</f>
        <v>56.531773145216675</v>
      </c>
      <c r="BO24" s="5"/>
      <c r="BP24" s="5">
        <f>SUM(BH24,AR24,AJ24,AB24,T24,L24)</f>
        <v>46.229284561290825</v>
      </c>
    </row>
    <row r="25" spans="2:68" ht="12.75">
      <c r="B25" s="9" t="s">
        <v>64</v>
      </c>
      <c r="C25" s="9"/>
      <c r="D25" s="9" t="s">
        <v>27</v>
      </c>
      <c r="E25" s="23" t="s">
        <v>15</v>
      </c>
      <c r="F25" s="10">
        <f>F15/0.0283/$F$17*(21-7)/(21-$F$18)*1000000</f>
        <v>6589.107615455775</v>
      </c>
      <c r="G25" s="10"/>
      <c r="H25" s="10">
        <f aca="true" t="shared" si="1" ref="H25:T25">H15/0.0283/$F$17*(21-7)/(21-$F$18)*1000000</f>
        <v>5777.836107246506</v>
      </c>
      <c r="I25" s="10"/>
      <c r="J25" s="10">
        <f t="shared" si="1"/>
        <v>7202.508024101808</v>
      </c>
      <c r="K25" s="10"/>
      <c r="L25" s="10">
        <f t="shared" si="1"/>
        <v>6523.15058226803</v>
      </c>
      <c r="M25" s="10"/>
      <c r="N25" s="10">
        <f t="shared" si="1"/>
        <v>870.6328380782406</v>
      </c>
      <c r="O25" s="10"/>
      <c r="P25" s="10">
        <f t="shared" si="1"/>
        <v>237.44531947588376</v>
      </c>
      <c r="Q25" s="10"/>
      <c r="R25" s="10">
        <f t="shared" si="1"/>
        <v>237.44531947588376</v>
      </c>
      <c r="S25" s="10"/>
      <c r="T25" s="10">
        <f t="shared" si="1"/>
        <v>448.5078256766693</v>
      </c>
      <c r="U25" s="10"/>
      <c r="V25" s="23"/>
      <c r="W25" s="23"/>
      <c r="AT25" s="5">
        <f>F25+N25+V25+AD25+AL25</f>
        <v>7459.740453534016</v>
      </c>
      <c r="AV25" s="5">
        <f>H25+P25+X25+AF25+AN25</f>
        <v>6015.281426722389</v>
      </c>
      <c r="AX25" s="5">
        <f>J25+R25+Z25+AH25+AP25</f>
        <v>7439.953343577691</v>
      </c>
      <c r="AZ25" s="5">
        <f>L25+T25+AB25+AJ25+AR25</f>
        <v>6971.658407944699</v>
      </c>
      <c r="BJ25" s="5">
        <f>SUM(BB25,AL25,AD25,V25,N25,F25)</f>
        <v>7459.740453534016</v>
      </c>
      <c r="BK25" s="5"/>
      <c r="BL25" s="5">
        <f>SUM(BD25,AN25,AF25,X25,P25,H25)</f>
        <v>6015.281426722389</v>
      </c>
      <c r="BM25" s="5"/>
      <c r="BN25" s="5">
        <f>SUM(BF25,AP25,AH25,Z25,R25,J25)</f>
        <v>7439.953343577691</v>
      </c>
      <c r="BO25" s="5"/>
      <c r="BP25" s="5">
        <f>SUM(BH25,AR25,AJ25,AB25,T25,L25)</f>
        <v>6971.658407944699</v>
      </c>
    </row>
    <row r="27" spans="1:68" ht="12.75">
      <c r="A27" s="3" t="s">
        <v>52</v>
      </c>
      <c r="B27" s="22" t="s">
        <v>179</v>
      </c>
      <c r="C27" s="22" t="s">
        <v>51</v>
      </c>
      <c r="D27" s="9"/>
      <c r="E27" s="23"/>
      <c r="F27" s="38" t="s">
        <v>186</v>
      </c>
      <c r="G27" s="38"/>
      <c r="H27" s="38" t="s">
        <v>187</v>
      </c>
      <c r="I27" s="38"/>
      <c r="J27" s="38" t="s">
        <v>188</v>
      </c>
      <c r="K27" s="38"/>
      <c r="L27" s="38" t="s">
        <v>189</v>
      </c>
      <c r="M27" s="40"/>
      <c r="N27" s="38" t="s">
        <v>186</v>
      </c>
      <c r="O27" s="38"/>
      <c r="P27" s="38" t="s">
        <v>187</v>
      </c>
      <c r="Q27" s="38"/>
      <c r="R27" s="38" t="s">
        <v>188</v>
      </c>
      <c r="S27" s="38"/>
      <c r="T27" s="38" t="s">
        <v>189</v>
      </c>
      <c r="U27" s="40"/>
      <c r="V27" s="38" t="s">
        <v>186</v>
      </c>
      <c r="W27" s="38"/>
      <c r="X27" s="38" t="s">
        <v>187</v>
      </c>
      <c r="Y27" s="38"/>
      <c r="Z27" s="38" t="s">
        <v>188</v>
      </c>
      <c r="AA27" s="38"/>
      <c r="AB27" s="38" t="s">
        <v>189</v>
      </c>
      <c r="AC27" s="40"/>
      <c r="AD27" s="38" t="s">
        <v>186</v>
      </c>
      <c r="AE27" s="38"/>
      <c r="AF27" s="38" t="s">
        <v>187</v>
      </c>
      <c r="AG27" s="38"/>
      <c r="AH27" s="38" t="s">
        <v>188</v>
      </c>
      <c r="AI27" s="38"/>
      <c r="AJ27" s="38" t="s">
        <v>189</v>
      </c>
      <c r="AK27" s="40"/>
      <c r="AL27" s="38" t="s">
        <v>186</v>
      </c>
      <c r="AM27" s="38"/>
      <c r="AN27" s="38" t="s">
        <v>187</v>
      </c>
      <c r="AO27" s="38"/>
      <c r="AP27" s="38" t="s">
        <v>188</v>
      </c>
      <c r="AQ27" s="38"/>
      <c r="AR27" s="38" t="s">
        <v>189</v>
      </c>
      <c r="AS27" s="38"/>
      <c r="AT27" s="38" t="s">
        <v>186</v>
      </c>
      <c r="AU27" s="38"/>
      <c r="AV27" s="38" t="s">
        <v>187</v>
      </c>
      <c r="AW27" s="38"/>
      <c r="AX27" s="38" t="s">
        <v>188</v>
      </c>
      <c r="AY27" s="38"/>
      <c r="AZ27" s="38" t="s">
        <v>189</v>
      </c>
      <c r="BA27" s="40"/>
      <c r="BB27" s="38" t="s">
        <v>186</v>
      </c>
      <c r="BC27" s="38"/>
      <c r="BD27" s="38" t="s">
        <v>187</v>
      </c>
      <c r="BE27" s="38"/>
      <c r="BF27" s="38" t="s">
        <v>188</v>
      </c>
      <c r="BG27" s="38"/>
      <c r="BH27" s="38" t="s">
        <v>189</v>
      </c>
      <c r="BI27" s="40"/>
      <c r="BJ27" s="38" t="s">
        <v>186</v>
      </c>
      <c r="BK27" s="38"/>
      <c r="BL27" s="38" t="s">
        <v>187</v>
      </c>
      <c r="BM27" s="38"/>
      <c r="BN27" s="38" t="s">
        <v>188</v>
      </c>
      <c r="BO27" s="38"/>
      <c r="BP27" s="38" t="s">
        <v>189</v>
      </c>
    </row>
    <row r="28" spans="2:5" ht="12.75">
      <c r="B28" s="9"/>
      <c r="C28" s="9"/>
      <c r="D28" s="9"/>
      <c r="E28" s="23"/>
    </row>
    <row r="29" spans="2:68" ht="12.75">
      <c r="B29" s="9" t="s">
        <v>230</v>
      </c>
      <c r="C29" s="9"/>
      <c r="D29" s="9"/>
      <c r="E29" s="23"/>
      <c r="F29" s="4" t="s">
        <v>232</v>
      </c>
      <c r="H29" s="4" t="s">
        <v>232</v>
      </c>
      <c r="J29" s="4" t="s">
        <v>232</v>
      </c>
      <c r="L29" s="4" t="s">
        <v>232</v>
      </c>
      <c r="N29" s="3" t="s">
        <v>234</v>
      </c>
      <c r="P29" s="3" t="s">
        <v>234</v>
      </c>
      <c r="R29" s="3" t="s">
        <v>234</v>
      </c>
      <c r="T29" s="3" t="s">
        <v>234</v>
      </c>
      <c r="V29" s="3" t="s">
        <v>235</v>
      </c>
      <c r="X29" s="3" t="s">
        <v>235</v>
      </c>
      <c r="Z29" s="3" t="s">
        <v>235</v>
      </c>
      <c r="AB29" s="3" t="s">
        <v>235</v>
      </c>
      <c r="AD29" s="3" t="s">
        <v>237</v>
      </c>
      <c r="AF29" s="3" t="s">
        <v>237</v>
      </c>
      <c r="AH29" s="3" t="s">
        <v>237</v>
      </c>
      <c r="AJ29" s="3" t="s">
        <v>237</v>
      </c>
      <c r="AL29" s="3" t="s">
        <v>238</v>
      </c>
      <c r="AN29" s="3" t="s">
        <v>238</v>
      </c>
      <c r="AP29" s="3" t="s">
        <v>238</v>
      </c>
      <c r="AR29" s="3" t="s">
        <v>238</v>
      </c>
      <c r="BB29" s="3" t="s">
        <v>239</v>
      </c>
      <c r="BD29" s="3" t="s">
        <v>239</v>
      </c>
      <c r="BF29" s="3" t="s">
        <v>239</v>
      </c>
      <c r="BH29" s="3" t="s">
        <v>239</v>
      </c>
      <c r="BJ29" s="3" t="s">
        <v>241</v>
      </c>
      <c r="BL29" s="3" t="s">
        <v>241</v>
      </c>
      <c r="BN29" s="3" t="s">
        <v>241</v>
      </c>
      <c r="BP29" s="3" t="s">
        <v>241</v>
      </c>
    </row>
    <row r="30" spans="2:68" ht="12.75">
      <c r="B30" s="9" t="s">
        <v>231</v>
      </c>
      <c r="C30" s="9"/>
      <c r="D30" s="9"/>
      <c r="E30" s="23"/>
      <c r="F30" s="4" t="s">
        <v>233</v>
      </c>
      <c r="H30" s="4" t="s">
        <v>233</v>
      </c>
      <c r="J30" s="4" t="s">
        <v>233</v>
      </c>
      <c r="L30" s="4" t="s">
        <v>233</v>
      </c>
      <c r="N30" s="3" t="s">
        <v>233</v>
      </c>
      <c r="P30" s="3" t="s">
        <v>233</v>
      </c>
      <c r="R30" s="3" t="s">
        <v>233</v>
      </c>
      <c r="T30" s="3" t="s">
        <v>233</v>
      </c>
      <c r="V30" s="3" t="s">
        <v>236</v>
      </c>
      <c r="X30" s="3" t="s">
        <v>236</v>
      </c>
      <c r="Z30" s="3" t="s">
        <v>236</v>
      </c>
      <c r="AB30" s="3" t="s">
        <v>236</v>
      </c>
      <c r="AD30" s="3" t="s">
        <v>236</v>
      </c>
      <c r="AF30" s="3" t="s">
        <v>236</v>
      </c>
      <c r="AH30" s="3" t="s">
        <v>236</v>
      </c>
      <c r="AJ30" s="3" t="s">
        <v>236</v>
      </c>
      <c r="AL30" s="3" t="s">
        <v>236</v>
      </c>
      <c r="AN30" s="3" t="s">
        <v>236</v>
      </c>
      <c r="AP30" s="3" t="s">
        <v>236</v>
      </c>
      <c r="AR30" s="3" t="s">
        <v>236</v>
      </c>
      <c r="BB30" s="3" t="s">
        <v>240</v>
      </c>
      <c r="BD30" s="3" t="s">
        <v>240</v>
      </c>
      <c r="BF30" s="3" t="s">
        <v>240</v>
      </c>
      <c r="BH30" s="3" t="s">
        <v>240</v>
      </c>
      <c r="BJ30" s="3" t="s">
        <v>20</v>
      </c>
      <c r="BL30" s="3" t="s">
        <v>20</v>
      </c>
      <c r="BN30" s="3" t="s">
        <v>20</v>
      </c>
      <c r="BP30" s="3" t="s">
        <v>20</v>
      </c>
    </row>
    <row r="31" spans="2:68" ht="12.75">
      <c r="B31" s="9" t="s">
        <v>242</v>
      </c>
      <c r="C31" s="9"/>
      <c r="D31" s="9"/>
      <c r="E31" s="23"/>
      <c r="H31" s="4"/>
      <c r="J31" s="4"/>
      <c r="L31" s="4"/>
      <c r="AT31" s="3" t="s">
        <v>31</v>
      </c>
      <c r="AV31" s="3" t="s">
        <v>31</v>
      </c>
      <c r="AX31" s="3" t="s">
        <v>31</v>
      </c>
      <c r="AZ31" s="3" t="s">
        <v>31</v>
      </c>
      <c r="BB31" s="3" t="s">
        <v>243</v>
      </c>
      <c r="BD31" s="3" t="s">
        <v>243</v>
      </c>
      <c r="BF31" s="3" t="s">
        <v>243</v>
      </c>
      <c r="BH31" s="3" t="s">
        <v>243</v>
      </c>
      <c r="BJ31" s="3" t="s">
        <v>20</v>
      </c>
      <c r="BL31" s="3" t="s">
        <v>20</v>
      </c>
      <c r="BN31" s="3" t="s">
        <v>20</v>
      </c>
      <c r="BP31" s="3" t="s">
        <v>20</v>
      </c>
    </row>
    <row r="32" spans="2:68" s="44" customFormat="1" ht="12.75">
      <c r="B32" s="44" t="s">
        <v>21</v>
      </c>
      <c r="E32" s="45"/>
      <c r="F32" s="25" t="s">
        <v>148</v>
      </c>
      <c r="G32" s="25"/>
      <c r="H32" s="25" t="s">
        <v>148</v>
      </c>
      <c r="I32" s="25"/>
      <c r="J32" s="25" t="s">
        <v>148</v>
      </c>
      <c r="K32" s="25"/>
      <c r="L32" s="25" t="s">
        <v>148</v>
      </c>
      <c r="M32" s="25"/>
      <c r="N32" s="25" t="s">
        <v>160</v>
      </c>
      <c r="O32" s="25"/>
      <c r="P32" s="25" t="s">
        <v>160</v>
      </c>
      <c r="Q32" s="25"/>
      <c r="R32" s="25" t="s">
        <v>160</v>
      </c>
      <c r="S32" s="25"/>
      <c r="T32" s="25" t="s">
        <v>160</v>
      </c>
      <c r="U32" s="25"/>
      <c r="V32" s="59" t="s">
        <v>150</v>
      </c>
      <c r="W32" s="59"/>
      <c r="X32" s="59" t="s">
        <v>150</v>
      </c>
      <c r="Y32" s="59"/>
      <c r="Z32" s="59" t="s">
        <v>150</v>
      </c>
      <c r="AA32" s="59"/>
      <c r="AB32" s="59" t="s">
        <v>150</v>
      </c>
      <c r="AC32" s="59"/>
      <c r="AD32" s="59" t="s">
        <v>151</v>
      </c>
      <c r="AE32" s="59"/>
      <c r="AF32" s="59" t="s">
        <v>151</v>
      </c>
      <c r="AG32" s="59"/>
      <c r="AH32" s="59" t="s">
        <v>151</v>
      </c>
      <c r="AI32" s="59"/>
      <c r="AJ32" s="59" t="s">
        <v>151</v>
      </c>
      <c r="AK32" s="59"/>
      <c r="AL32" s="3" t="s">
        <v>152</v>
      </c>
      <c r="AM32" s="3"/>
      <c r="AN32" s="3" t="s">
        <v>152</v>
      </c>
      <c r="AO32" s="3"/>
      <c r="AP32" s="3" t="s">
        <v>152</v>
      </c>
      <c r="AQ32" s="3"/>
      <c r="AR32" s="3" t="s">
        <v>152</v>
      </c>
      <c r="AS32" s="3"/>
      <c r="AT32" s="3"/>
      <c r="AU32" s="3"/>
      <c r="AV32" s="3"/>
      <c r="AW32" s="3"/>
      <c r="AX32" s="3"/>
      <c r="AY32" s="3"/>
      <c r="AZ32" s="3"/>
      <c r="BA32" s="3"/>
      <c r="BB32" s="3" t="s">
        <v>153</v>
      </c>
      <c r="BC32" s="3"/>
      <c r="BD32" s="3" t="s">
        <v>153</v>
      </c>
      <c r="BE32" s="3"/>
      <c r="BF32" s="3" t="s">
        <v>153</v>
      </c>
      <c r="BG32" s="3"/>
      <c r="BH32" s="3" t="s">
        <v>153</v>
      </c>
      <c r="BI32" s="3"/>
      <c r="BJ32" s="60" t="s">
        <v>20</v>
      </c>
      <c r="BK32" s="60"/>
      <c r="BL32" s="60" t="s">
        <v>20</v>
      </c>
      <c r="BN32" s="60" t="s">
        <v>20</v>
      </c>
      <c r="BP32" s="60" t="s">
        <v>20</v>
      </c>
    </row>
    <row r="33" spans="2:68" ht="12.75">
      <c r="B33" s="9" t="s">
        <v>53</v>
      </c>
      <c r="C33" s="9"/>
      <c r="D33" s="9" t="s">
        <v>154</v>
      </c>
      <c r="E33"/>
      <c r="F33" s="4">
        <v>120.2</v>
      </c>
      <c r="H33" s="3">
        <v>120.2</v>
      </c>
      <c r="J33" s="3">
        <v>120.2</v>
      </c>
      <c r="L33" s="5">
        <f>AVERAGE(J33,H33,F33)</f>
        <v>120.2</v>
      </c>
      <c r="M33" s="5"/>
      <c r="N33" s="3">
        <v>11.1</v>
      </c>
      <c r="P33" s="3">
        <v>11.1</v>
      </c>
      <c r="R33" s="3">
        <v>11.1</v>
      </c>
      <c r="T33" s="5">
        <f>AVERAGE(R33,P33,N33)</f>
        <v>11.1</v>
      </c>
      <c r="U33" s="5"/>
      <c r="V33" s="3">
        <v>3.9</v>
      </c>
      <c r="X33" s="3">
        <v>3.8</v>
      </c>
      <c r="Z33" s="3">
        <v>4</v>
      </c>
      <c r="AB33" s="5">
        <f>AVERAGE(Z33,X33,V33)</f>
        <v>3.9</v>
      </c>
      <c r="AC33" s="5"/>
      <c r="AJ33" s="5"/>
      <c r="AK33" s="5"/>
      <c r="AL33" s="3">
        <v>24.3</v>
      </c>
      <c r="AN33" s="3">
        <v>24.4</v>
      </c>
      <c r="AP33" s="3">
        <v>24.4</v>
      </c>
      <c r="AR33" s="5">
        <f>AVERAGE(AP33,AN33,AL33)</f>
        <v>24.366666666666664</v>
      </c>
      <c r="AS33" s="5"/>
      <c r="AT33" s="5"/>
      <c r="AU33" s="5"/>
      <c r="AV33" s="5"/>
      <c r="AW33" s="5"/>
      <c r="AX33" s="5"/>
      <c r="AY33" s="5"/>
      <c r="AZ33" s="5"/>
      <c r="BA33" s="5"/>
      <c r="BJ33" s="5">
        <f>SUM(AL33,AD33,V33,N33,F33)</f>
        <v>159.5</v>
      </c>
      <c r="BK33" s="5"/>
      <c r="BL33" s="5">
        <f>SUM(AN33,AF33,X33,P33,H33)</f>
        <v>159.5</v>
      </c>
      <c r="BN33" s="5">
        <f>SUM(AP33,AH33,Z33,R33,J33)</f>
        <v>159.7</v>
      </c>
      <c r="BP33" s="5">
        <f>SUM(AR33,AJ33,AB33,T33,L33)</f>
        <v>159.56666666666666</v>
      </c>
    </row>
    <row r="34" spans="2:61" ht="12.75">
      <c r="B34" s="9" t="s">
        <v>53</v>
      </c>
      <c r="C34" s="9"/>
      <c r="D34" s="9" t="s">
        <v>155</v>
      </c>
      <c r="E34"/>
      <c r="AD34" s="3">
        <v>186.1</v>
      </c>
      <c r="AF34" s="3">
        <v>187.8</v>
      </c>
      <c r="AH34" s="3">
        <v>191.3</v>
      </c>
      <c r="BB34" s="3">
        <v>18.8</v>
      </c>
      <c r="BD34" s="3">
        <v>19.6</v>
      </c>
      <c r="BF34" s="3">
        <v>19.2</v>
      </c>
      <c r="BH34" s="5">
        <f>AVERAGE(BF34,BD34,BB34)</f>
        <v>19.2</v>
      </c>
      <c r="BI34" s="5"/>
    </row>
    <row r="35" spans="2:18" ht="12.75">
      <c r="B35" s="9" t="s">
        <v>156</v>
      </c>
      <c r="C35" s="9"/>
      <c r="D35" s="9" t="s">
        <v>157</v>
      </c>
      <c r="E35"/>
      <c r="F35" s="4">
        <v>0.998</v>
      </c>
      <c r="H35" s="3">
        <v>0.993</v>
      </c>
      <c r="J35" s="3">
        <v>0.992</v>
      </c>
      <c r="N35" s="3">
        <v>0.977</v>
      </c>
      <c r="P35" s="3">
        <v>1</v>
      </c>
      <c r="R35" s="3">
        <v>0.994</v>
      </c>
    </row>
    <row r="36" spans="2:68" ht="12.75">
      <c r="B36" s="9" t="s">
        <v>65</v>
      </c>
      <c r="C36" s="9"/>
      <c r="D36" s="9" t="s">
        <v>122</v>
      </c>
      <c r="E36"/>
      <c r="F36" s="46"/>
      <c r="G36" s="46"/>
      <c r="H36"/>
      <c r="I36"/>
      <c r="J36" s="41"/>
      <c r="K36" s="41"/>
      <c r="L36" s="29"/>
      <c r="M36" s="29"/>
      <c r="N36" s="29"/>
      <c r="O36" s="29"/>
      <c r="P36" s="41"/>
      <c r="Q36" s="41"/>
      <c r="R36" s="23"/>
      <c r="S36" s="23"/>
      <c r="T36" s="23"/>
      <c r="U36" s="23"/>
      <c r="V36" s="23"/>
      <c r="W36" s="23"/>
      <c r="BJ36" s="5"/>
      <c r="BK36" s="5"/>
      <c r="BL36" s="5"/>
      <c r="BN36" s="5"/>
      <c r="BP36" s="5"/>
    </row>
    <row r="37" spans="2:68" ht="12.75">
      <c r="B37" s="9" t="s">
        <v>22</v>
      </c>
      <c r="C37" s="9"/>
      <c r="D37" s="9" t="s">
        <v>158</v>
      </c>
      <c r="E37"/>
      <c r="F37" s="6">
        <v>24.04</v>
      </c>
      <c r="G37" s="6"/>
      <c r="H37" s="6">
        <v>25.24</v>
      </c>
      <c r="I37" s="42"/>
      <c r="J37" s="41">
        <v>22.84</v>
      </c>
      <c r="K37" s="41"/>
      <c r="L37" s="5">
        <f>AVERAGE(J37,H37,F37)</f>
        <v>24.040000000000003</v>
      </c>
      <c r="M37" s="5"/>
      <c r="N37" s="26">
        <v>28.57</v>
      </c>
      <c r="O37" s="26"/>
      <c r="P37" s="41">
        <v>37.12</v>
      </c>
      <c r="Q37" s="41"/>
      <c r="R37" s="23">
        <v>9.64</v>
      </c>
      <c r="S37" s="23"/>
      <c r="T37" s="5">
        <f>AVERAGE(R37,P37,N37)</f>
        <v>25.11</v>
      </c>
      <c r="U37" s="5"/>
      <c r="BJ37" s="5">
        <f>SUM(AL37,AD37,V37,N37,F37)</f>
        <v>52.61</v>
      </c>
      <c r="BK37" s="5"/>
      <c r="BL37" s="5">
        <f>SUM(AN37,AF37,X37,P37,H37)</f>
        <v>62.36</v>
      </c>
      <c r="BN37" s="5">
        <f>SUM(AP37,AH37,Z37,R37,J37)</f>
        <v>32.480000000000004</v>
      </c>
      <c r="BP37" s="5">
        <f>SUM(AR37,AJ37,AB37,T37,L37)</f>
        <v>49.150000000000006</v>
      </c>
    </row>
    <row r="38" spans="2:68" ht="12.75">
      <c r="B38" s="9" t="s">
        <v>64</v>
      </c>
      <c r="C38" s="9"/>
      <c r="D38" s="9" t="s">
        <v>158</v>
      </c>
      <c r="E38"/>
      <c r="F38" s="6">
        <v>5.3</v>
      </c>
      <c r="G38" s="6"/>
      <c r="H38" s="6">
        <v>4.84</v>
      </c>
      <c r="I38" s="42"/>
      <c r="J38" s="41">
        <v>3.64</v>
      </c>
      <c r="K38" s="41"/>
      <c r="L38" s="5">
        <f>AVERAGE(J38,H38,F38)</f>
        <v>4.593333333333334</v>
      </c>
      <c r="M38" s="5"/>
      <c r="N38" s="29">
        <v>0.11</v>
      </c>
      <c r="O38" s="29"/>
      <c r="P38" s="41">
        <v>0.11</v>
      </c>
      <c r="Q38" s="41"/>
      <c r="R38" s="23">
        <v>0.11</v>
      </c>
      <c r="S38" s="23"/>
      <c r="T38" s="5">
        <f>AVERAGE(R38,P38,N38)</f>
        <v>0.11</v>
      </c>
      <c r="U38" s="5"/>
      <c r="V38" s="23"/>
      <c r="W38" s="23"/>
      <c r="BJ38" s="5">
        <f>SUM(AL38,AD38,V38,N38,F38)</f>
        <v>5.41</v>
      </c>
      <c r="BK38" s="5"/>
      <c r="BL38" s="5">
        <f>SUM(AN38,AF38,X38,P38,H38)</f>
        <v>4.95</v>
      </c>
      <c r="BN38" s="5">
        <f>SUM(AP38,AH38,Z38,R38,J38)</f>
        <v>3.75</v>
      </c>
      <c r="BP38" s="5">
        <f>SUM(AR38,AJ38,AB38,T38,L38)</f>
        <v>4.703333333333334</v>
      </c>
    </row>
    <row r="39" spans="2:68" ht="12.75">
      <c r="B39" s="9" t="s">
        <v>49</v>
      </c>
      <c r="C39" s="9"/>
      <c r="D39" s="9" t="s">
        <v>159</v>
      </c>
      <c r="E39" s="3" t="s">
        <v>117</v>
      </c>
      <c r="F39" s="3">
        <v>3.61</v>
      </c>
      <c r="G39" s="3" t="s">
        <v>117</v>
      </c>
      <c r="H39" s="3">
        <v>2.16</v>
      </c>
      <c r="I39" s="3" t="s">
        <v>117</v>
      </c>
      <c r="J39" s="3">
        <v>1.92</v>
      </c>
      <c r="L39" s="5">
        <f>AVERAGE(F39,H39,J39)/2</f>
        <v>1.2816666666666665</v>
      </c>
      <c r="M39" t="s">
        <v>117</v>
      </c>
      <c r="N39" s="6">
        <v>6.43</v>
      </c>
      <c r="O39" t="s">
        <v>117</v>
      </c>
      <c r="P39" s="6">
        <v>6.44</v>
      </c>
      <c r="Q39" t="s">
        <v>117</v>
      </c>
      <c r="R39" s="41">
        <v>6.51</v>
      </c>
      <c r="S39" s="41"/>
      <c r="T39" s="5">
        <f>AVERAGE(N39,P39,R39)/2</f>
        <v>3.2300000000000004</v>
      </c>
      <c r="U39" s="5"/>
      <c r="V39" s="23">
        <v>0.0144</v>
      </c>
      <c r="W39" s="23"/>
      <c r="X39" s="3">
        <v>0.016</v>
      </c>
      <c r="Z39" s="3">
        <v>0.0168</v>
      </c>
      <c r="AB39" s="65">
        <f>AVERAGE(V39,X39,Z39)</f>
        <v>0.015733333333333332</v>
      </c>
      <c r="AD39" s="3">
        <v>1.06</v>
      </c>
      <c r="AF39" s="3">
        <v>1.31</v>
      </c>
      <c r="AH39" s="3">
        <v>1.01</v>
      </c>
      <c r="AJ39" s="65">
        <f>AVERAGE(AD39,AF39,AH39)</f>
        <v>1.1266666666666667</v>
      </c>
      <c r="AL39" s="3">
        <v>0.132</v>
      </c>
      <c r="AN39" s="3">
        <v>0.104</v>
      </c>
      <c r="AP39" s="3">
        <v>0.103</v>
      </c>
      <c r="AR39" s="65">
        <f>AVERAGE(AL39,AN39,AP39)</f>
        <v>0.11299999999999999</v>
      </c>
      <c r="AS39" s="65"/>
      <c r="AT39" s="65"/>
      <c r="AU39" s="65"/>
      <c r="AV39" s="65"/>
      <c r="AW39" s="65"/>
      <c r="AX39" s="65"/>
      <c r="AY39" s="65"/>
      <c r="AZ39" s="65"/>
      <c r="BA39" s="65"/>
      <c r="BJ39" s="5"/>
      <c r="BK39" s="5"/>
      <c r="BL39" s="5"/>
      <c r="BN39" s="5"/>
      <c r="BP39" s="5"/>
    </row>
    <row r="40" spans="2:68" ht="12.75">
      <c r="B40" s="9" t="s">
        <v>58</v>
      </c>
      <c r="C40" s="9"/>
      <c r="D40" s="9" t="s">
        <v>159</v>
      </c>
      <c r="E40" s="3" t="s">
        <v>117</v>
      </c>
      <c r="F40" s="3">
        <v>1.08</v>
      </c>
      <c r="G40" s="3" t="s">
        <v>117</v>
      </c>
      <c r="H40" s="3">
        <v>1.08</v>
      </c>
      <c r="I40" s="3" t="s">
        <v>117</v>
      </c>
      <c r="J40" s="3">
        <v>1.08</v>
      </c>
      <c r="L40" s="5">
        <f>AVERAGE(F40,H40,J40)/2</f>
        <v>0.54</v>
      </c>
      <c r="M40" t="s">
        <v>117</v>
      </c>
      <c r="N40" s="6">
        <v>8.58</v>
      </c>
      <c r="O40" t="s">
        <v>117</v>
      </c>
      <c r="P40" s="6">
        <v>8.59</v>
      </c>
      <c r="Q40" t="s">
        <v>117</v>
      </c>
      <c r="R40" s="41">
        <v>8.69</v>
      </c>
      <c r="S40" s="41"/>
      <c r="T40" s="5">
        <f>AVERAGE(N40,P40,R40)/2</f>
        <v>4.31</v>
      </c>
      <c r="U40" s="5"/>
      <c r="V40" s="23">
        <v>0.00622</v>
      </c>
      <c r="W40" s="23"/>
      <c r="X40" s="3">
        <v>0.00981</v>
      </c>
      <c r="Z40" s="3">
        <v>0.00681</v>
      </c>
      <c r="AB40" s="65">
        <f>AVERAGE(V40,X40,Z40)</f>
        <v>0.007613333333333333</v>
      </c>
      <c r="AD40" s="3">
        <v>0.573</v>
      </c>
      <c r="AF40" s="3">
        <v>0.406</v>
      </c>
      <c r="AH40" s="3">
        <v>0.804</v>
      </c>
      <c r="AJ40" s="65">
        <f>AVERAGE(AD40,AF40,AH40)</f>
        <v>0.5943333333333333</v>
      </c>
      <c r="AL40" s="3">
        <v>0.0568</v>
      </c>
      <c r="AN40" s="3">
        <v>0.0611</v>
      </c>
      <c r="AP40" s="3">
        <v>0.0368</v>
      </c>
      <c r="AR40" s="65">
        <f>AVERAGE(AL40,AN40,AP40)</f>
        <v>0.05156666666666667</v>
      </c>
      <c r="AS40" s="65"/>
      <c r="AT40" s="65"/>
      <c r="AU40" s="65"/>
      <c r="AV40" s="65"/>
      <c r="AW40" s="65"/>
      <c r="AX40" s="65"/>
      <c r="AY40" s="65"/>
      <c r="AZ40" s="65"/>
      <c r="BA40" s="65"/>
      <c r="BJ40" s="5"/>
      <c r="BK40" s="5"/>
      <c r="BL40" s="5"/>
      <c r="BN40" s="5"/>
      <c r="BP40" s="5"/>
    </row>
    <row r="41" spans="2:68" ht="12.75">
      <c r="B41" s="9" t="s">
        <v>56</v>
      </c>
      <c r="C41" s="9"/>
      <c r="D41" s="9" t="s">
        <v>159</v>
      </c>
      <c r="F41" s="3">
        <v>22</v>
      </c>
      <c r="G41" s="3"/>
      <c r="H41" s="3">
        <v>20.6</v>
      </c>
      <c r="J41" s="3">
        <v>20.4</v>
      </c>
      <c r="L41" s="5">
        <f>AVERAGE(F41,H41,J41)</f>
        <v>21</v>
      </c>
      <c r="M41"/>
      <c r="N41" s="6">
        <v>15</v>
      </c>
      <c r="O41"/>
      <c r="P41" s="6">
        <v>16.2</v>
      </c>
      <c r="Q41"/>
      <c r="R41" s="41">
        <v>15</v>
      </c>
      <c r="S41" s="41"/>
      <c r="T41" s="5">
        <f>AVERAGE(N41,P41,R41)</f>
        <v>15.4</v>
      </c>
      <c r="U41" s="5"/>
      <c r="V41" s="23">
        <v>0.0306</v>
      </c>
      <c r="W41" s="23"/>
      <c r="X41" s="3">
        <v>0.0255</v>
      </c>
      <c r="Z41" s="3">
        <v>0.0229</v>
      </c>
      <c r="AB41" s="65">
        <f>AVERAGE(V41,X41,Z41)</f>
        <v>0.026333333333333334</v>
      </c>
      <c r="AD41" s="3">
        <v>0.327</v>
      </c>
      <c r="AF41" s="3">
        <v>0.152</v>
      </c>
      <c r="AG41" s="3" t="s">
        <v>117</v>
      </c>
      <c r="AH41" s="3">
        <v>0.198</v>
      </c>
      <c r="AJ41" s="65">
        <f>AVERAGE(AD41/2,AF41,AH41/2)</f>
        <v>0.13816666666666666</v>
      </c>
      <c r="AL41" s="3">
        <v>0.0511</v>
      </c>
      <c r="AN41" s="3">
        <v>0.0646</v>
      </c>
      <c r="AP41" s="3">
        <v>0.0482</v>
      </c>
      <c r="AR41" s="65">
        <f>AVERAGE(AL41,AN41,AP41)</f>
        <v>0.05463333333333333</v>
      </c>
      <c r="AS41" s="65"/>
      <c r="AT41" s="65"/>
      <c r="AU41" s="65"/>
      <c r="AV41" s="65"/>
      <c r="AW41" s="65"/>
      <c r="AX41" s="65"/>
      <c r="AY41" s="65"/>
      <c r="AZ41" s="65"/>
      <c r="BA41" s="65"/>
      <c r="BJ41" s="5"/>
      <c r="BK41" s="5"/>
      <c r="BL41" s="5"/>
      <c r="BN41" s="5"/>
      <c r="BP41" s="5"/>
    </row>
    <row r="42" spans="2:68" ht="12.75">
      <c r="B42" s="9" t="s">
        <v>118</v>
      </c>
      <c r="C42" s="9"/>
      <c r="D42" s="9" t="s">
        <v>159</v>
      </c>
      <c r="F42" s="3">
        <v>3.61</v>
      </c>
      <c r="G42" s="3"/>
      <c r="H42" s="3">
        <v>2.04</v>
      </c>
      <c r="J42" s="3">
        <v>1.68</v>
      </c>
      <c r="L42" s="5">
        <f>AVERAGE(F42,H42,J42)</f>
        <v>2.4433333333333334</v>
      </c>
      <c r="M42" t="s">
        <v>117</v>
      </c>
      <c r="N42" s="6">
        <v>4.29</v>
      </c>
      <c r="O42" t="s">
        <v>117</v>
      </c>
      <c r="P42" s="6">
        <v>4.3</v>
      </c>
      <c r="Q42" t="s">
        <v>117</v>
      </c>
      <c r="R42" s="41">
        <v>4.34</v>
      </c>
      <c r="S42" s="41"/>
      <c r="T42" s="5">
        <f>AVERAGE(N42,P42,R42)/2</f>
        <v>2.155</v>
      </c>
      <c r="U42" s="5" t="s">
        <v>117</v>
      </c>
      <c r="V42" s="16">
        <v>0.00422</v>
      </c>
      <c r="W42" s="5"/>
      <c r="X42" s="3">
        <v>0.00528</v>
      </c>
      <c r="Y42" s="5" t="s">
        <v>117</v>
      </c>
      <c r="Z42" s="3">
        <v>0.00702</v>
      </c>
      <c r="AB42" s="65">
        <f>AVERAGE(V42/2,X42,Z42/2)</f>
        <v>0.0036333333333333335</v>
      </c>
      <c r="AD42" s="3">
        <v>0.364</v>
      </c>
      <c r="AF42" s="3">
        <v>0.407</v>
      </c>
      <c r="AH42" s="3">
        <v>0.453</v>
      </c>
      <c r="AJ42" s="65">
        <f>AVERAGE(AD42,AF42,AH42)</f>
        <v>0.408</v>
      </c>
      <c r="AK42" s="3" t="s">
        <v>117</v>
      </c>
      <c r="AL42" s="3">
        <v>0.0415</v>
      </c>
      <c r="AM42" s="3" t="s">
        <v>117</v>
      </c>
      <c r="AN42" s="3">
        <v>0.0297</v>
      </c>
      <c r="AO42" s="3" t="s">
        <v>117</v>
      </c>
      <c r="AP42" s="3">
        <v>0.0367</v>
      </c>
      <c r="AR42" s="65">
        <f aca="true" t="shared" si="2" ref="AR42:AR47">AVERAGE(AL42,AN42,AP42)/2</f>
        <v>0.017983333333333334</v>
      </c>
      <c r="AS42" s="65"/>
      <c r="AT42" s="65"/>
      <c r="AU42" s="65"/>
      <c r="AV42" s="65"/>
      <c r="AW42" s="65"/>
      <c r="AX42" s="65"/>
      <c r="AY42" s="65"/>
      <c r="AZ42" s="65"/>
      <c r="BA42" s="65"/>
      <c r="BJ42" s="5"/>
      <c r="BK42" s="5"/>
      <c r="BL42" s="5"/>
      <c r="BN42" s="5"/>
      <c r="BP42" s="5"/>
    </row>
    <row r="43" spans="2:68" ht="12.75">
      <c r="B43" s="9" t="s">
        <v>119</v>
      </c>
      <c r="C43" s="9"/>
      <c r="D43" s="9" t="s">
        <v>159</v>
      </c>
      <c r="E43" s="3" t="s">
        <v>117</v>
      </c>
      <c r="F43" s="3">
        <v>0.24</v>
      </c>
      <c r="G43" s="3" t="s">
        <v>117</v>
      </c>
      <c r="H43" s="3">
        <v>0.24</v>
      </c>
      <c r="I43" s="3" t="s">
        <v>117</v>
      </c>
      <c r="J43" s="3">
        <v>0.24</v>
      </c>
      <c r="L43" s="5">
        <f aca="true" t="shared" si="3" ref="L43:L50">AVERAGE(F43,H43,J43)/2</f>
        <v>0.12</v>
      </c>
      <c r="M43" t="s">
        <v>117</v>
      </c>
      <c r="N43" s="6">
        <v>2.15</v>
      </c>
      <c r="O43" t="s">
        <v>117</v>
      </c>
      <c r="P43" s="6">
        <v>2.15</v>
      </c>
      <c r="Q43" t="s">
        <v>117</v>
      </c>
      <c r="R43" s="41">
        <v>2.17</v>
      </c>
      <c r="S43" s="41"/>
      <c r="T43" s="5">
        <f>AVERAGE(N43,P43,R43)/2</f>
        <v>1.0783333333333334</v>
      </c>
      <c r="U43" s="5" t="s">
        <v>117</v>
      </c>
      <c r="V43" s="16">
        <v>0.000355</v>
      </c>
      <c r="W43" s="5" t="s">
        <v>117</v>
      </c>
      <c r="X43" s="3">
        <v>0.000383</v>
      </c>
      <c r="Y43" s="5" t="s">
        <v>117</v>
      </c>
      <c r="Z43" s="3">
        <v>0.000384</v>
      </c>
      <c r="AB43" s="65">
        <f>AVERAGE(V43,X43,Z43)/2</f>
        <v>0.000187</v>
      </c>
      <c r="AC43" s="3" t="s">
        <v>117</v>
      </c>
      <c r="AD43" s="3">
        <v>0.019</v>
      </c>
      <c r="AE43" s="3" t="s">
        <v>117</v>
      </c>
      <c r="AF43" s="3">
        <v>0.0202</v>
      </c>
      <c r="AG43" s="3" t="s">
        <v>117</v>
      </c>
      <c r="AH43" s="3">
        <v>0.0201</v>
      </c>
      <c r="AJ43" s="65">
        <f>AVERAGE(AD43,AF43,AH43)/2</f>
        <v>0.009883333333333333</v>
      </c>
      <c r="AK43" s="3" t="s">
        <v>117</v>
      </c>
      <c r="AL43" s="3">
        <v>0.00246</v>
      </c>
      <c r="AM43" s="3" t="s">
        <v>117</v>
      </c>
      <c r="AN43" s="3">
        <v>0.00285</v>
      </c>
      <c r="AO43" s="3" t="s">
        <v>117</v>
      </c>
      <c r="AP43" s="3">
        <v>0.00231</v>
      </c>
      <c r="AR43" s="65">
        <f t="shared" si="2"/>
        <v>0.00127</v>
      </c>
      <c r="AS43" s="65"/>
      <c r="AT43" s="65"/>
      <c r="AU43" s="65"/>
      <c r="AV43" s="65"/>
      <c r="AW43" s="65"/>
      <c r="AX43" s="65"/>
      <c r="AY43" s="65"/>
      <c r="AZ43" s="65"/>
      <c r="BA43" s="65"/>
      <c r="BJ43" s="5"/>
      <c r="BK43" s="5"/>
      <c r="BL43" s="5"/>
      <c r="BN43" s="5"/>
      <c r="BP43" s="5"/>
    </row>
    <row r="44" spans="2:68" ht="12.75">
      <c r="B44" s="9" t="s">
        <v>57</v>
      </c>
      <c r="C44" s="9"/>
      <c r="D44" s="9" t="s">
        <v>159</v>
      </c>
      <c r="E44" s="3" t="s">
        <v>117</v>
      </c>
      <c r="F44" s="3">
        <v>0.24</v>
      </c>
      <c r="G44" s="3" t="s">
        <v>117</v>
      </c>
      <c r="H44" s="3">
        <v>0.24</v>
      </c>
      <c r="I44" s="3" t="s">
        <v>117</v>
      </c>
      <c r="J44" s="3">
        <v>0.24</v>
      </c>
      <c r="L44" s="5">
        <f t="shared" si="3"/>
        <v>0.12</v>
      </c>
      <c r="M44" t="s">
        <v>117</v>
      </c>
      <c r="N44" s="6">
        <v>2.15</v>
      </c>
      <c r="O44" t="s">
        <v>117</v>
      </c>
      <c r="P44" s="6">
        <v>2.15</v>
      </c>
      <c r="Q44" t="s">
        <v>117</v>
      </c>
      <c r="R44" s="41">
        <v>2.17</v>
      </c>
      <c r="S44" s="41"/>
      <c r="T44" s="5">
        <f>AVERAGE(N44,P44,R44)/2</f>
        <v>1.0783333333333334</v>
      </c>
      <c r="U44" s="5" t="s">
        <v>117</v>
      </c>
      <c r="V44" s="16">
        <v>0.000362</v>
      </c>
      <c r="W44" s="5" t="s">
        <v>117</v>
      </c>
      <c r="X44" s="3">
        <v>0.000408</v>
      </c>
      <c r="Y44" s="5" t="s">
        <v>117</v>
      </c>
      <c r="Z44" s="3">
        <v>0.000685</v>
      </c>
      <c r="AB44" s="65">
        <f>AVERAGE(V44,X44,Z44)/2</f>
        <v>0.0002425</v>
      </c>
      <c r="AC44" s="3" t="s">
        <v>117</v>
      </c>
      <c r="AD44" s="3">
        <v>0.0597</v>
      </c>
      <c r="AE44" s="3" t="s">
        <v>117</v>
      </c>
      <c r="AF44" s="3">
        <v>0.0252</v>
      </c>
      <c r="AG44" s="3" t="s">
        <v>117</v>
      </c>
      <c r="AH44" s="3">
        <v>0.123</v>
      </c>
      <c r="AJ44" s="65">
        <f>AVERAGE(AD44,AF44,AH44)/2</f>
        <v>0.03465</v>
      </c>
      <c r="AK44" s="3" t="s">
        <v>117</v>
      </c>
      <c r="AL44" s="3">
        <v>0.00246</v>
      </c>
      <c r="AM44" s="3" t="s">
        <v>117</v>
      </c>
      <c r="AN44" s="3">
        <v>0.00285</v>
      </c>
      <c r="AO44" s="3" t="s">
        <v>117</v>
      </c>
      <c r="AP44" s="3">
        <v>0.00231</v>
      </c>
      <c r="AR44" s="65">
        <f t="shared" si="2"/>
        <v>0.00127</v>
      </c>
      <c r="AS44" s="65"/>
      <c r="AT44" s="65"/>
      <c r="AU44" s="65"/>
      <c r="AV44" s="65"/>
      <c r="AW44" s="65"/>
      <c r="AX44" s="65"/>
      <c r="AY44" s="65"/>
      <c r="AZ44" s="65"/>
      <c r="BA44" s="65"/>
      <c r="BJ44" s="5"/>
      <c r="BK44" s="5"/>
      <c r="BL44" s="5"/>
      <c r="BN44" s="5"/>
      <c r="BP44" s="5"/>
    </row>
    <row r="45" spans="2:68" ht="12.75">
      <c r="B45" s="9" t="s">
        <v>45</v>
      </c>
      <c r="C45" s="9"/>
      <c r="D45" s="9" t="s">
        <v>159</v>
      </c>
      <c r="F45" s="3">
        <v>3.37</v>
      </c>
      <c r="G45" s="3"/>
      <c r="H45" s="3">
        <v>3.25</v>
      </c>
      <c r="J45" s="3">
        <v>3.13</v>
      </c>
      <c r="L45" s="5">
        <f t="shared" si="3"/>
        <v>1.625</v>
      </c>
      <c r="M45"/>
      <c r="N45" s="6">
        <v>7.81</v>
      </c>
      <c r="O45"/>
      <c r="P45" s="6">
        <v>4.3</v>
      </c>
      <c r="Q45"/>
      <c r="R45" s="41">
        <v>4.34</v>
      </c>
      <c r="S45" s="41"/>
      <c r="T45" s="5">
        <f>AVERAGE(N45,P45,R45)</f>
        <v>5.483333333333333</v>
      </c>
      <c r="U45" s="5"/>
      <c r="V45" s="16">
        <v>0.0111</v>
      </c>
      <c r="W45" s="5"/>
      <c r="X45" s="3">
        <v>0.00635</v>
      </c>
      <c r="Y45" s="5" t="s">
        <v>117</v>
      </c>
      <c r="Z45" s="3">
        <v>0.00398</v>
      </c>
      <c r="AB45" s="65">
        <f>AVERAGE(V45,X45,Z45/2)</f>
        <v>0.00648</v>
      </c>
      <c r="AD45" s="3">
        <v>0.656</v>
      </c>
      <c r="AE45" s="3" t="s">
        <v>117</v>
      </c>
      <c r="AF45" s="3">
        <v>0.129</v>
      </c>
      <c r="AH45" s="3">
        <v>0.181</v>
      </c>
      <c r="AJ45" s="65">
        <f>AVERAGE(AD45,AF45/2,AH45)</f>
        <v>0.3005</v>
      </c>
      <c r="AK45" s="3" t="s">
        <v>117</v>
      </c>
      <c r="AL45" s="3">
        <v>0.00677</v>
      </c>
      <c r="AM45" s="3" t="s">
        <v>117</v>
      </c>
      <c r="AN45" s="3">
        <v>0.0165</v>
      </c>
      <c r="AO45" s="3" t="s">
        <v>117</v>
      </c>
      <c r="AP45" s="3">
        <v>0.00936</v>
      </c>
      <c r="AR45" s="65">
        <f t="shared" si="2"/>
        <v>0.005438333333333333</v>
      </c>
      <c r="AS45" s="65"/>
      <c r="AT45" s="65"/>
      <c r="AU45" s="65"/>
      <c r="AV45" s="65"/>
      <c r="AW45" s="65"/>
      <c r="AX45" s="65"/>
      <c r="AY45" s="65"/>
      <c r="AZ45" s="65"/>
      <c r="BA45" s="65"/>
      <c r="BJ45" s="5"/>
      <c r="BK45" s="5"/>
      <c r="BL45" s="5"/>
      <c r="BN45" s="5"/>
      <c r="BP45" s="5"/>
    </row>
    <row r="46" spans="2:68" ht="12.75">
      <c r="B46" s="9" t="s">
        <v>143</v>
      </c>
      <c r="C46" s="9"/>
      <c r="D46" s="9" t="s">
        <v>159</v>
      </c>
      <c r="E46" s="3" t="s">
        <v>117</v>
      </c>
      <c r="F46" s="3">
        <v>4.69</v>
      </c>
      <c r="G46" s="3"/>
      <c r="H46" s="3">
        <v>4.45</v>
      </c>
      <c r="I46" s="3" t="s">
        <v>117</v>
      </c>
      <c r="J46" s="3">
        <v>4.33</v>
      </c>
      <c r="L46" s="5">
        <f>AVERAGE(F46/2,H46,J46/2)</f>
        <v>2.986666666666667</v>
      </c>
      <c r="M46" t="s">
        <v>117</v>
      </c>
      <c r="N46" s="6">
        <v>0.443</v>
      </c>
      <c r="O46"/>
      <c r="P46" s="6">
        <v>0.432</v>
      </c>
      <c r="Q46" t="s">
        <v>117</v>
      </c>
      <c r="R46" s="41">
        <v>0.421</v>
      </c>
      <c r="S46" s="41"/>
      <c r="T46" s="5">
        <f>AVERAGE(N46/2,P46,R46/2)</f>
        <v>0.288</v>
      </c>
      <c r="U46" s="5" t="s">
        <v>117</v>
      </c>
      <c r="V46" s="16">
        <v>0.00795</v>
      </c>
      <c r="W46" s="5" t="s">
        <v>117</v>
      </c>
      <c r="X46" s="3">
        <v>0.00686</v>
      </c>
      <c r="Y46" s="5" t="s">
        <v>117</v>
      </c>
      <c r="Z46" s="3">
        <v>0.00741</v>
      </c>
      <c r="AB46" s="65">
        <f>AVERAGE(V46,X46,Z46)/2</f>
        <v>0.003703333333333333</v>
      </c>
      <c r="AC46" s="3" t="s">
        <v>117</v>
      </c>
      <c r="AD46" s="3">
        <v>0.405</v>
      </c>
      <c r="AE46" s="3" t="s">
        <v>117</v>
      </c>
      <c r="AF46" s="3">
        <v>0.383</v>
      </c>
      <c r="AG46" s="3" t="s">
        <v>117</v>
      </c>
      <c r="AH46" s="3">
        <v>0.395</v>
      </c>
      <c r="AJ46" s="65">
        <f>AVERAGE(AD46,AF46,AH46)/2</f>
        <v>0.19716666666666668</v>
      </c>
      <c r="AK46" s="3" t="s">
        <v>117</v>
      </c>
      <c r="AL46" s="3">
        <v>0.0499</v>
      </c>
      <c r="AM46" s="3" t="s">
        <v>117</v>
      </c>
      <c r="AN46" s="3">
        <v>0.0316</v>
      </c>
      <c r="AO46" s="3" t="s">
        <v>117</v>
      </c>
      <c r="AP46" s="3">
        <v>0.0327</v>
      </c>
      <c r="AR46" s="65">
        <f t="shared" si="2"/>
        <v>0.019033333333333333</v>
      </c>
      <c r="AS46" s="65"/>
      <c r="AT46" s="65"/>
      <c r="AU46" s="65"/>
      <c r="AV46" s="65"/>
      <c r="AW46" s="65"/>
      <c r="AX46" s="65"/>
      <c r="AY46" s="65"/>
      <c r="AZ46" s="65"/>
      <c r="BA46" s="65"/>
      <c r="BJ46" s="5"/>
      <c r="BK46" s="5"/>
      <c r="BL46" s="5"/>
      <c r="BN46" s="5"/>
      <c r="BP46" s="5"/>
    </row>
    <row r="47" spans="2:68" ht="12.75">
      <c r="B47" s="9" t="s">
        <v>70</v>
      </c>
      <c r="C47" s="9"/>
      <c r="D47" s="9" t="s">
        <v>159</v>
      </c>
      <c r="F47" s="3">
        <v>1.68</v>
      </c>
      <c r="G47" s="3"/>
      <c r="H47" s="3">
        <v>1.08</v>
      </c>
      <c r="J47" s="3">
        <v>0.841</v>
      </c>
      <c r="L47" s="5">
        <f>AVERAGE(F47,H47,J47)</f>
        <v>1.2003333333333333</v>
      </c>
      <c r="M47" t="s">
        <v>117</v>
      </c>
      <c r="N47" s="6">
        <v>6.43</v>
      </c>
      <c r="O47"/>
      <c r="P47" s="6">
        <v>7.75</v>
      </c>
      <c r="Q47" t="s">
        <v>117</v>
      </c>
      <c r="R47" s="41">
        <v>6.51</v>
      </c>
      <c r="S47" s="41"/>
      <c r="T47" s="5">
        <f>AVERAGE(N47/2,P47,R47/2)</f>
        <v>4.739999999999999</v>
      </c>
      <c r="U47" s="5" t="s">
        <v>117</v>
      </c>
      <c r="V47" s="16">
        <v>0.00784</v>
      </c>
      <c r="W47" s="5" t="s">
        <v>117</v>
      </c>
      <c r="X47" s="3">
        <v>0.00868</v>
      </c>
      <c r="Y47" s="5" t="s">
        <v>117</v>
      </c>
      <c r="Z47" s="3">
        <v>0.00872</v>
      </c>
      <c r="AB47" s="65">
        <f>AVERAGE(V47,X47,Z47)/2</f>
        <v>0.004206666666666667</v>
      </c>
      <c r="AD47" s="3">
        <v>0.61</v>
      </c>
      <c r="AF47" s="3">
        <v>1.25</v>
      </c>
      <c r="AH47" s="3">
        <v>1.18</v>
      </c>
      <c r="AJ47" s="65">
        <f>AVERAGE(AD47,AF47,AH47)</f>
        <v>1.0133333333333334</v>
      </c>
      <c r="AK47" s="3" t="s">
        <v>117</v>
      </c>
      <c r="AL47" s="3">
        <v>0.054</v>
      </c>
      <c r="AM47" s="3" t="s">
        <v>117</v>
      </c>
      <c r="AN47" s="3">
        <v>0.119</v>
      </c>
      <c r="AO47" s="3" t="s">
        <v>117</v>
      </c>
      <c r="AP47" s="3">
        <v>0.0495</v>
      </c>
      <c r="AR47" s="65">
        <f t="shared" si="2"/>
        <v>0.03708333333333333</v>
      </c>
      <c r="AS47" s="65"/>
      <c r="AT47" s="65"/>
      <c r="AU47" s="65"/>
      <c r="AV47" s="65"/>
      <c r="AW47" s="65"/>
      <c r="AX47" s="65"/>
      <c r="AY47" s="65"/>
      <c r="AZ47" s="65"/>
      <c r="BA47" s="65"/>
      <c r="BJ47" s="5"/>
      <c r="BK47" s="5"/>
      <c r="BL47" s="5"/>
      <c r="BN47" s="5"/>
      <c r="BP47" s="5"/>
    </row>
    <row r="48" spans="2:68" ht="12.75">
      <c r="B48" s="9" t="s">
        <v>120</v>
      </c>
      <c r="C48" s="9"/>
      <c r="D48" s="9" t="s">
        <v>159</v>
      </c>
      <c r="F48" s="3">
        <v>53.8</v>
      </c>
      <c r="G48" s="3"/>
      <c r="H48" s="3">
        <v>51.4</v>
      </c>
      <c r="J48" s="3">
        <v>50.2</v>
      </c>
      <c r="L48" s="5">
        <f>AVERAGE(F48,H48,J48)</f>
        <v>51.79999999999999</v>
      </c>
      <c r="M48"/>
      <c r="N48" s="6">
        <v>66.2</v>
      </c>
      <c r="O48"/>
      <c r="P48" s="6">
        <v>36.9</v>
      </c>
      <c r="Q48"/>
      <c r="R48" s="41">
        <v>65.3</v>
      </c>
      <c r="S48" s="41"/>
      <c r="T48" s="5">
        <f>AVERAGE(N48,P48,R48)</f>
        <v>56.133333333333326</v>
      </c>
      <c r="U48" s="5"/>
      <c r="V48" s="16">
        <v>0.104</v>
      </c>
      <c r="W48" s="5"/>
      <c r="X48" s="3">
        <v>0.101</v>
      </c>
      <c r="Y48" s="5"/>
      <c r="Z48" s="3">
        <v>0.0749</v>
      </c>
      <c r="AB48" s="65">
        <f>AVERAGE(V48,X48,Z48)</f>
        <v>0.09330000000000001</v>
      </c>
      <c r="AD48" s="3">
        <v>2.66</v>
      </c>
      <c r="AF48" s="3">
        <v>0.943</v>
      </c>
      <c r="AH48" s="3">
        <v>0.715</v>
      </c>
      <c r="AJ48" s="65">
        <f>AVERAGE(AD48,AF48,AH48)</f>
        <v>1.4393333333333336</v>
      </c>
      <c r="AL48" s="3">
        <v>0.195</v>
      </c>
      <c r="AN48" s="3">
        <v>0.206</v>
      </c>
      <c r="AP48" s="3">
        <v>0.162</v>
      </c>
      <c r="AR48" s="65">
        <f>AVERAGE(AL48,AN48,AP48)</f>
        <v>0.18766666666666668</v>
      </c>
      <c r="AS48" s="65"/>
      <c r="AT48" s="65"/>
      <c r="AU48" s="65"/>
      <c r="AV48" s="65"/>
      <c r="AW48" s="65"/>
      <c r="AX48" s="65"/>
      <c r="AY48" s="65"/>
      <c r="AZ48" s="65"/>
      <c r="BA48" s="65"/>
      <c r="BJ48" s="5"/>
      <c r="BK48" s="5"/>
      <c r="BL48" s="5"/>
      <c r="BN48" s="5"/>
      <c r="BP48" s="5"/>
    </row>
    <row r="49" spans="2:68" ht="12.75">
      <c r="B49" s="9" t="s">
        <v>72</v>
      </c>
      <c r="C49" s="9"/>
      <c r="D49" s="9" t="s">
        <v>159</v>
      </c>
      <c r="E49" s="3" t="s">
        <v>117</v>
      </c>
      <c r="F49" s="3">
        <v>0.481</v>
      </c>
      <c r="G49" s="3" t="s">
        <v>117</v>
      </c>
      <c r="H49" s="3">
        <v>0.481</v>
      </c>
      <c r="I49" s="3" t="s">
        <v>117</v>
      </c>
      <c r="J49" s="3">
        <v>0.481</v>
      </c>
      <c r="L49" s="5">
        <f t="shared" si="3"/>
        <v>0.24050000000000002</v>
      </c>
      <c r="M49" t="s">
        <v>117</v>
      </c>
      <c r="N49" s="6">
        <v>4.29</v>
      </c>
      <c r="O49" t="s">
        <v>117</v>
      </c>
      <c r="P49" s="6">
        <v>4.3</v>
      </c>
      <c r="Q49" t="s">
        <v>117</v>
      </c>
      <c r="R49" s="41">
        <v>4.34</v>
      </c>
      <c r="S49" s="41"/>
      <c r="T49" s="5">
        <f>AVERAGE(N49,P49,R49)/2</f>
        <v>2.155</v>
      </c>
      <c r="U49" s="5" t="s">
        <v>117</v>
      </c>
      <c r="V49" s="16">
        <v>0.000714</v>
      </c>
      <c r="W49" s="5" t="s">
        <v>117</v>
      </c>
      <c r="X49" s="3">
        <v>0.000769</v>
      </c>
      <c r="Y49" s="5" t="s">
        <v>117</v>
      </c>
      <c r="Z49" s="3">
        <v>0.000768</v>
      </c>
      <c r="AB49" s="65">
        <f>AVERAGE(V49,X49,Z49)/2</f>
        <v>0.00037516666666666666</v>
      </c>
      <c r="AC49" s="3" t="s">
        <v>117</v>
      </c>
      <c r="AD49" s="3">
        <v>0.0486</v>
      </c>
      <c r="AE49" s="3" t="s">
        <v>117</v>
      </c>
      <c r="AF49" s="3">
        <v>0.0631</v>
      </c>
      <c r="AG49" s="3" t="s">
        <v>117</v>
      </c>
      <c r="AH49" s="3">
        <v>0.0526</v>
      </c>
      <c r="AJ49" s="65">
        <f>AVERAGE(AD49,AF49,AH49)/2</f>
        <v>0.027383333333333332</v>
      </c>
      <c r="AK49" s="3" t="s">
        <v>117</v>
      </c>
      <c r="AL49" s="3">
        <v>0.00495</v>
      </c>
      <c r="AM49" s="3" t="s">
        <v>117</v>
      </c>
      <c r="AN49" s="3">
        <v>0.00569</v>
      </c>
      <c r="AO49" s="3" t="s">
        <v>117</v>
      </c>
      <c r="AP49" s="3">
        <v>0.00462</v>
      </c>
      <c r="AR49" s="65">
        <f>AVERAGE(AL49,AN49,AP49)/2</f>
        <v>0.002543333333333333</v>
      </c>
      <c r="AS49" s="65"/>
      <c r="AT49" s="65"/>
      <c r="AU49" s="65"/>
      <c r="AV49" s="65"/>
      <c r="AW49" s="65"/>
      <c r="AX49" s="65"/>
      <c r="AY49" s="65"/>
      <c r="AZ49" s="65"/>
      <c r="BA49" s="65"/>
      <c r="BJ49" s="5"/>
      <c r="BK49" s="5"/>
      <c r="BL49" s="5"/>
      <c r="BN49" s="5"/>
      <c r="BP49" s="5"/>
    </row>
    <row r="50" spans="2:68" ht="12.75">
      <c r="B50" s="9" t="s">
        <v>121</v>
      </c>
      <c r="C50" s="9"/>
      <c r="D50" s="9" t="s">
        <v>159</v>
      </c>
      <c r="E50" s="3" t="s">
        <v>117</v>
      </c>
      <c r="F50" s="3">
        <v>0.841</v>
      </c>
      <c r="G50" s="3" t="s">
        <v>117</v>
      </c>
      <c r="H50" s="3">
        <v>0.841</v>
      </c>
      <c r="I50" s="3" t="s">
        <v>117</v>
      </c>
      <c r="J50" s="3">
        <v>0.841</v>
      </c>
      <c r="L50" s="5">
        <f t="shared" si="3"/>
        <v>0.42049999999999993</v>
      </c>
      <c r="M50" t="s">
        <v>117</v>
      </c>
      <c r="N50" s="6">
        <v>10.7</v>
      </c>
      <c r="O50" t="s">
        <v>117</v>
      </c>
      <c r="P50" s="6">
        <v>10.7</v>
      </c>
      <c r="Q50" t="s">
        <v>117</v>
      </c>
      <c r="R50" s="41">
        <v>10.9</v>
      </c>
      <c r="S50" s="41"/>
      <c r="T50" s="5">
        <f>AVERAGE(N50,P50,R50)/2</f>
        <v>5.383333333333333</v>
      </c>
      <c r="U50" s="5" t="s">
        <v>117</v>
      </c>
      <c r="V50" s="16">
        <v>0.00107</v>
      </c>
      <c r="W50" s="5" t="s">
        <v>117</v>
      </c>
      <c r="X50" s="3">
        <v>0.00115</v>
      </c>
      <c r="Y50" s="5" t="s">
        <v>117</v>
      </c>
      <c r="Z50" s="3">
        <v>0.00115</v>
      </c>
      <c r="AB50" s="65">
        <f>AVERAGE(V50,X50,Z50)/2</f>
        <v>0.0005616666666666666</v>
      </c>
      <c r="AC50" s="3" t="s">
        <v>117</v>
      </c>
      <c r="AD50" s="3">
        <v>0.0571</v>
      </c>
      <c r="AE50" s="3" t="s">
        <v>117</v>
      </c>
      <c r="AF50" s="3">
        <v>0.0607</v>
      </c>
      <c r="AG50" s="3" t="s">
        <v>117</v>
      </c>
      <c r="AH50" s="3">
        <v>0.0605</v>
      </c>
      <c r="AJ50" s="65">
        <f>AVERAGE(AD50,AF50,AH50)/2</f>
        <v>0.029716666666666666</v>
      </c>
      <c r="AK50" s="3" t="s">
        <v>117</v>
      </c>
      <c r="AL50" s="3">
        <v>0.00741</v>
      </c>
      <c r="AM50" s="3" t="s">
        <v>117</v>
      </c>
      <c r="AN50" s="3">
        <v>0.00854</v>
      </c>
      <c r="AO50" s="3" t="s">
        <v>117</v>
      </c>
      <c r="AP50" s="3">
        <v>0.00693</v>
      </c>
      <c r="AR50" s="65">
        <f>AVERAGE(AL50,AN50,AP50)/2</f>
        <v>0.003813333333333333</v>
      </c>
      <c r="AS50" s="65"/>
      <c r="AT50" s="65"/>
      <c r="AU50" s="65"/>
      <c r="AV50" s="65"/>
      <c r="AW50" s="65"/>
      <c r="AX50" s="65"/>
      <c r="AY50" s="65"/>
      <c r="AZ50" s="65"/>
      <c r="BA50" s="65"/>
      <c r="BJ50" s="5"/>
      <c r="BK50" s="5"/>
      <c r="BL50" s="5"/>
      <c r="BN50" s="5"/>
      <c r="BP50" s="5"/>
    </row>
    <row r="51" spans="2:68" ht="12.75">
      <c r="B51" s="9"/>
      <c r="C51" s="9"/>
      <c r="D51" s="9"/>
      <c r="E51"/>
      <c r="F51" s="42"/>
      <c r="G51" s="42"/>
      <c r="H51" s="42"/>
      <c r="I51" s="42"/>
      <c r="J51" s="41"/>
      <c r="K51" s="41"/>
      <c r="L51" s="5"/>
      <c r="M51" s="5"/>
      <c r="N51" s="29"/>
      <c r="O51" s="29"/>
      <c r="P51" s="41"/>
      <c r="Q51" s="41"/>
      <c r="R51" s="23"/>
      <c r="S51" s="23"/>
      <c r="T51" s="5"/>
      <c r="U51" s="5"/>
      <c r="V51" s="23"/>
      <c r="W51" s="23"/>
      <c r="BJ51" s="5"/>
      <c r="BK51" s="5"/>
      <c r="BL51" s="5"/>
      <c r="BN51" s="5"/>
      <c r="BP51" s="5"/>
    </row>
    <row r="52" spans="2:68" ht="12.75">
      <c r="B52" s="9" t="s">
        <v>60</v>
      </c>
      <c r="D52" s="9" t="s">
        <v>17</v>
      </c>
      <c r="E52" s="25"/>
      <c r="F52" s="10">
        <v>18127</v>
      </c>
      <c r="G52" s="10"/>
      <c r="H52" s="23"/>
      <c r="I52" s="23"/>
      <c r="J52" s="43"/>
      <c r="K52" s="43"/>
      <c r="L52" s="23"/>
      <c r="M52" s="23"/>
      <c r="N52" s="23"/>
      <c r="O52" s="23"/>
      <c r="P52" s="43"/>
      <c r="Q52" s="43"/>
      <c r="R52" s="43"/>
      <c r="S52" s="43"/>
      <c r="T52" s="23"/>
      <c r="U52" s="23"/>
      <c r="V52" s="23"/>
      <c r="W52" s="23"/>
      <c r="AT52" s="5"/>
      <c r="BP52" s="3">
        <f>'emiss 1'!M66</f>
        <v>15283</v>
      </c>
    </row>
    <row r="53" spans="2:68" ht="12.75">
      <c r="B53" s="9" t="s">
        <v>61</v>
      </c>
      <c r="D53" s="9" t="s">
        <v>18</v>
      </c>
      <c r="E53" s="25"/>
      <c r="F53" s="10">
        <v>3.9</v>
      </c>
      <c r="G53" s="10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AT53" s="5"/>
      <c r="BP53" s="3">
        <f>'emiss 1'!M67</f>
        <v>3.9</v>
      </c>
    </row>
    <row r="54" spans="2:23" ht="12.75">
      <c r="B54" s="9"/>
      <c r="D54" s="9"/>
      <c r="E54" s="25"/>
      <c r="F54" s="10"/>
      <c r="G54" s="1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23" ht="12.75">
      <c r="B55" s="9" t="s">
        <v>66</v>
      </c>
      <c r="D55" s="9" t="s">
        <v>67</v>
      </c>
      <c r="E55" s="25"/>
      <c r="F55" s="3"/>
      <c r="G55" s="3"/>
      <c r="H55" s="23"/>
      <c r="I55" s="23"/>
      <c r="J55" s="26"/>
      <c r="K55" s="26"/>
      <c r="L55" s="23"/>
      <c r="M55" s="23"/>
      <c r="N55" s="23"/>
      <c r="O55" s="23"/>
      <c r="P55" s="26"/>
      <c r="Q55" s="26"/>
      <c r="R55" s="23"/>
      <c r="S55" s="23"/>
      <c r="T55" s="23"/>
      <c r="U55" s="23"/>
      <c r="V55" s="23"/>
      <c r="W55" s="23"/>
    </row>
    <row r="56" spans="2:68" ht="12.75">
      <c r="B56" s="9" t="s">
        <v>244</v>
      </c>
      <c r="D56" s="9" t="s">
        <v>67</v>
      </c>
      <c r="E56" s="25"/>
      <c r="F56" s="3"/>
      <c r="G56" s="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BP56" s="5">
        <f>BP52*60/9000*(21-BP53)/21</f>
        <v>82.96485714285716</v>
      </c>
    </row>
    <row r="57" spans="2:23" ht="12.75">
      <c r="B57" s="9"/>
      <c r="C57" s="9"/>
      <c r="D57" s="9"/>
      <c r="E57" s="25"/>
      <c r="F57" s="10"/>
      <c r="G57" s="10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3" ht="12.75">
      <c r="B58" s="33" t="s">
        <v>62</v>
      </c>
      <c r="C58" s="9"/>
      <c r="D58" s="9"/>
      <c r="E58" s="23"/>
      <c r="F58" s="10"/>
      <c r="G58" s="10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2:68" ht="12.75">
      <c r="B59" s="9" t="s">
        <v>22</v>
      </c>
      <c r="C59" s="9"/>
      <c r="D59" s="9" t="s">
        <v>30</v>
      </c>
      <c r="E59" s="23" t="s">
        <v>15</v>
      </c>
      <c r="F59" s="10">
        <f>F37/0.0283/$F$17*(21-7)/(21-$F$18)*1000</f>
        <v>47.56821233500205</v>
      </c>
      <c r="G59" s="10"/>
      <c r="H59" s="10">
        <f aca="true" t="shared" si="4" ref="H59:R59">H37/0.0283/$F$17*(21-7)/(21-$F$18)*1000</f>
        <v>49.94266552976088</v>
      </c>
      <c r="I59" s="10"/>
      <c r="J59" s="10">
        <f t="shared" si="4"/>
        <v>45.19375914024322</v>
      </c>
      <c r="K59" s="10"/>
      <c r="L59" s="10">
        <f t="shared" si="4"/>
        <v>47.56821233500206</v>
      </c>
      <c r="M59" s="10"/>
      <c r="N59" s="10">
        <f t="shared" si="4"/>
        <v>56.53177314521666</v>
      </c>
      <c r="O59" s="10"/>
      <c r="P59" s="10">
        <f t="shared" si="4"/>
        <v>73.44975215787338</v>
      </c>
      <c r="Q59" s="10"/>
      <c r="R59" s="10">
        <f t="shared" si="4"/>
        <v>19.074773997896</v>
      </c>
      <c r="S59" s="10"/>
      <c r="T59" s="10">
        <f>T37/0.0283/$F$17*(21-7)/(21-$F$18)*1000</f>
        <v>49.68543310032869</v>
      </c>
      <c r="U59" s="10"/>
      <c r="V59" s="23"/>
      <c r="W59" s="23"/>
      <c r="AT59" s="5">
        <f>F59+N59+V59+AD59+AL59</f>
        <v>104.09998548021872</v>
      </c>
      <c r="AV59" s="5">
        <f>H59+P59+X59+AF59+AN59</f>
        <v>123.39241768763426</v>
      </c>
      <c r="AX59" s="5">
        <f>J59+R59+Z59+AH59+AP59</f>
        <v>64.26853313813922</v>
      </c>
      <c r="AZ59" s="5">
        <f aca="true" t="shared" si="5" ref="AZ59:AZ72">L59+T59+AB59+AJ59+AR59</f>
        <v>97.25364543533075</v>
      </c>
      <c r="BJ59" s="5">
        <f>AT59</f>
        <v>104.09998548021872</v>
      </c>
      <c r="BK59" s="5"/>
      <c r="BL59" s="5">
        <f>SUM(AN59,AF59,X59,P59,H59)</f>
        <v>123.39241768763426</v>
      </c>
      <c r="BN59" s="5">
        <f>SUM(AP59,AH59,Z59,R59,J59)</f>
        <v>64.26853313813922</v>
      </c>
      <c r="BP59" s="5">
        <f>SUM(AR59,AJ59,AB59,T59,L59)</f>
        <v>97.25364543533075</v>
      </c>
    </row>
    <row r="60" spans="2:68" ht="12.75">
      <c r="B60" s="9" t="s">
        <v>64</v>
      </c>
      <c r="C60" s="9"/>
      <c r="D60" s="9" t="s">
        <v>27</v>
      </c>
      <c r="E60" s="23"/>
      <c r="F60" s="10">
        <f>F38/0.0283/$F$17*(21-7)/(21-$F$18)*1000000</f>
        <v>10487.168276851533</v>
      </c>
      <c r="G60" s="10"/>
      <c r="H60" s="10">
        <f aca="true" t="shared" si="6" ref="H60:T60">H38/0.0283/$F$17*(21-7)/(21-$F$18)*1000000</f>
        <v>9576.961218860644</v>
      </c>
      <c r="I60" s="10"/>
      <c r="J60" s="10">
        <f t="shared" si="6"/>
        <v>7202.508024101808</v>
      </c>
      <c r="K60" s="10"/>
      <c r="L60" s="10">
        <f t="shared" si="6"/>
        <v>9088.879173271329</v>
      </c>
      <c r="M60" s="10"/>
      <c r="N60" s="10">
        <f t="shared" si="6"/>
        <v>217.65820951956016</v>
      </c>
      <c r="O60" s="10"/>
      <c r="P60" s="10">
        <f t="shared" si="6"/>
        <v>217.65820951956016</v>
      </c>
      <c r="Q60" s="10"/>
      <c r="R60" s="10">
        <f t="shared" si="6"/>
        <v>217.65820951956016</v>
      </c>
      <c r="S60" s="10"/>
      <c r="T60" s="10">
        <f t="shared" si="6"/>
        <v>217.65820951956016</v>
      </c>
      <c r="U60" s="10"/>
      <c r="V60" s="23"/>
      <c r="W60" s="23"/>
      <c r="AT60" s="5">
        <f>F60+N60+V60+AD60+AL60</f>
        <v>10704.826486371094</v>
      </c>
      <c r="AV60" s="5">
        <f>H60+P60+X60+AF60+AN60</f>
        <v>9794.619428380205</v>
      </c>
      <c r="AX60" s="5">
        <f>J60+R60+Z60+AH60+AP60</f>
        <v>7420.166233621368</v>
      </c>
      <c r="AZ60" s="5">
        <f t="shared" si="5"/>
        <v>9306.53738279089</v>
      </c>
      <c r="BJ60" s="5">
        <f aca="true" t="shared" si="7" ref="BJ60:BP75">AT60</f>
        <v>10704.826486371094</v>
      </c>
      <c r="BK60" s="5"/>
      <c r="BL60" s="5">
        <f t="shared" si="7"/>
        <v>9794.619428380205</v>
      </c>
      <c r="BN60" s="5">
        <f t="shared" si="7"/>
        <v>7420.166233621368</v>
      </c>
      <c r="BP60" s="5">
        <f t="shared" si="7"/>
        <v>9306.53738279089</v>
      </c>
    </row>
    <row r="61" spans="2:68" ht="12.75">
      <c r="B61" s="9" t="s">
        <v>49</v>
      </c>
      <c r="D61" s="9" t="s">
        <v>27</v>
      </c>
      <c r="E61" s="3">
        <v>100</v>
      </c>
      <c r="F61" s="56">
        <f>F39/0.0283/$F$52*(21-7)/(21-$F$53)*1000</f>
        <v>5.7613831339494075</v>
      </c>
      <c r="G61" s="3">
        <v>100</v>
      </c>
      <c r="H61" s="56">
        <f>H39/0.0283/$F$52*(21-7)/(21-$F$53)*1000</f>
        <v>3.4472541743298395</v>
      </c>
      <c r="I61" s="3">
        <v>100</v>
      </c>
      <c r="J61" s="56">
        <f aca="true" t="shared" si="8" ref="J61:J72">J39/0.0283/$F$52*(21-7)/(21-$F$53)*1000</f>
        <v>3.064225932737634</v>
      </c>
      <c r="K61" s="3">
        <v>100</v>
      </c>
      <c r="L61" s="5">
        <f>AVERAGE(F61,H61,J61)</f>
        <v>4.090954413672294</v>
      </c>
      <c r="M61">
        <v>100</v>
      </c>
      <c r="N61" s="56">
        <f aca="true" t="shared" si="9" ref="N61:N72">N39/0.0283/$F$52*(21-7)/(21-$F$53)*1000</f>
        <v>10.26196497265781</v>
      </c>
      <c r="O61">
        <v>100</v>
      </c>
      <c r="P61" s="56">
        <f aca="true" t="shared" si="10" ref="P61:P72">P39/0.0283/$F$52*(21-7)/(21-$F$53)*1000</f>
        <v>10.27792448272415</v>
      </c>
      <c r="Q61">
        <v>100</v>
      </c>
      <c r="R61" s="56">
        <f aca="true" t="shared" si="11" ref="R61:R72">R39/0.0283/$F$52*(21-7)/(21-$F$53)*1000</f>
        <v>10.389641053188543</v>
      </c>
      <c r="S61" s="86">
        <f aca="true" t="shared" si="12" ref="S61:S75">SUM((R61*Q61/100),(P61*O61/100),(N61*M61/100))/T61*100/3</f>
        <v>100</v>
      </c>
      <c r="T61" s="5">
        <f>AVERAGE(N61,P61,R61)</f>
        <v>10.309843502856834</v>
      </c>
      <c r="U61" s="5"/>
      <c r="V61" s="66">
        <f aca="true" t="shared" si="13" ref="V61:V72">V39/0.0283/$F$52*(21-7)/(21-$F$53)*1000</f>
        <v>0.02298169449553226</v>
      </c>
      <c r="W61" s="48"/>
      <c r="X61" s="66">
        <f aca="true" t="shared" si="14" ref="X61:X72">X39/0.0283/$F$52*(21-7)/(21-$F$53)*1000</f>
        <v>0.025535216106146952</v>
      </c>
      <c r="Y61" s="66"/>
      <c r="Z61" s="66">
        <f aca="true" t="shared" si="15" ref="Z61:Z72">Z39/0.0283/$F$52*(21-7)/(21-$F$53)*1000</f>
        <v>0.026811976911454302</v>
      </c>
      <c r="AA61" s="66"/>
      <c r="AB61" s="65">
        <f>AVERAGE(V61,X61,Z61)</f>
        <v>0.025109629171044506</v>
      </c>
      <c r="AC61" s="86"/>
      <c r="AD61" s="66">
        <f aca="true" t="shared" si="16" ref="AD61:AD72">AD39/0.0283/$F$52*(21-7)/(21-$F$53)*1000</f>
        <v>1.6917080670322358</v>
      </c>
      <c r="AE61" s="66"/>
      <c r="AF61" s="66">
        <f aca="true" t="shared" si="17" ref="AF61:AF72">AF39/0.0283/$F$52*(21-7)/(21-$F$53)*1000</f>
        <v>2.090695818690782</v>
      </c>
      <c r="AG61" s="66"/>
      <c r="AH61" s="66">
        <f aca="true" t="shared" si="18" ref="AH61:AH72">AH39/0.0283/$F$52*(21-7)/(21-$F$53)*1000</f>
        <v>1.6119105167005265</v>
      </c>
      <c r="AI61" s="66"/>
      <c r="AJ61" s="66">
        <f>AVERAGE(AD61,AF61,AH61)</f>
        <v>1.7981048008078482</v>
      </c>
      <c r="AK61" s="66"/>
      <c r="AL61" s="66">
        <f aca="true" t="shared" si="19" ref="AL61:AL72">AL39/0.0283/$F$52*(21-7)/(21-$F$53)*1000</f>
        <v>0.21066553287571238</v>
      </c>
      <c r="AM61" s="66"/>
      <c r="AN61" s="66">
        <f aca="true" t="shared" si="20" ref="AN61:AN72">AN39/0.0283/$F$52*(21-7)/(21-$F$53)*1000</f>
        <v>0.1659789046899552</v>
      </c>
      <c r="AO61" s="66"/>
      <c r="AP61" s="66">
        <f aca="true" t="shared" si="21" ref="AP61:AP72">AP39/0.0283/$F$52*(21-7)/(21-$F$53)*1000</f>
        <v>0.16438295368332104</v>
      </c>
      <c r="AQ61" s="66"/>
      <c r="AR61" s="66">
        <f>AVERAGE(AL61,AN61,AP61)</f>
        <v>0.18034246374966287</v>
      </c>
      <c r="AS61" s="86">
        <f>SUM((AL61*AK61/100),(AD61*AC61/100),(V61*U61/100),(N61*M61/100),(F61*E61/100))/AT61*100</f>
        <v>89.27301180822309</v>
      </c>
      <c r="AT61" s="5">
        <f aca="true" t="shared" si="22" ref="AT61:AT72">F61+N61+V61+AD61+AL61</f>
        <v>17.948703401010693</v>
      </c>
      <c r="AU61" s="86">
        <f>SUM((AN61*AM61/100),(AF61*AE61/100),(X61*W61/100),(P61*O61/100),(H61*G61/100))/AV61*100</f>
        <v>85.74277168494517</v>
      </c>
      <c r="AV61" s="5">
        <f aca="true" t="shared" si="23" ref="AV61:AV72">H61+P61+X61+AF61+AN61</f>
        <v>16.00738859654087</v>
      </c>
      <c r="AW61" s="86">
        <f aca="true" t="shared" si="24" ref="AW61:AW66">SUM((AP61*AO61/100),(AH61*AG61/100),(Z61*Y61/100),(R61*Q61/100),(J61*I61/100))/AX61*100</f>
        <v>88.18176112470974</v>
      </c>
      <c r="AX61" s="5">
        <f aca="true" t="shared" si="25" ref="AX61:AX72">J61+R61+Z61+AH61+AP61</f>
        <v>15.256972433221476</v>
      </c>
      <c r="AY61" s="86">
        <f aca="true" t="shared" si="26" ref="AY61:AY75">SUM((AX61*AW61/100),(AV61*AU61/100),(AT61*AS61/100))/AZ61*100/3</f>
        <v>87.78643282894778</v>
      </c>
      <c r="AZ61" s="5">
        <f t="shared" si="5"/>
        <v>16.404354810257686</v>
      </c>
      <c r="BA61" s="66"/>
      <c r="BI61" s="86">
        <f>AS61</f>
        <v>89.27301180822309</v>
      </c>
      <c r="BJ61" s="5">
        <f t="shared" si="7"/>
        <v>17.948703401010693</v>
      </c>
      <c r="BK61" s="86">
        <f>AU61</f>
        <v>85.74277168494517</v>
      </c>
      <c r="BL61" s="5">
        <f t="shared" si="7"/>
        <v>16.00738859654087</v>
      </c>
      <c r="BM61" s="86">
        <f aca="true" t="shared" si="27" ref="BM61:BM66">AW61</f>
        <v>88.18176112470974</v>
      </c>
      <c r="BN61" s="5">
        <f t="shared" si="7"/>
        <v>15.256972433221476</v>
      </c>
      <c r="BO61" s="86">
        <f>AY61</f>
        <v>87.78643282894778</v>
      </c>
      <c r="BP61" s="5">
        <f t="shared" si="7"/>
        <v>16.404354810257686</v>
      </c>
    </row>
    <row r="62" spans="2:68" ht="12.75">
      <c r="B62" s="9" t="s">
        <v>58</v>
      </c>
      <c r="D62" s="9" t="s">
        <v>27</v>
      </c>
      <c r="E62" s="3">
        <v>100</v>
      </c>
      <c r="F62" s="56">
        <f aca="true" t="shared" si="28" ref="F62:H72">F40/0.0283/$F$52*(21-7)/(21-$F$53)*1000</f>
        <v>1.7236270871649197</v>
      </c>
      <c r="G62" s="3">
        <v>100</v>
      </c>
      <c r="H62" s="56">
        <f t="shared" si="28"/>
        <v>1.7236270871649197</v>
      </c>
      <c r="I62" s="3">
        <v>100</v>
      </c>
      <c r="J62" s="56">
        <f t="shared" si="8"/>
        <v>1.7236270871649197</v>
      </c>
      <c r="K62" s="3">
        <v>100</v>
      </c>
      <c r="L62" s="5">
        <f aca="true" t="shared" si="29" ref="L62:L72">AVERAGE(F62,H62,J62)</f>
        <v>1.72362708716492</v>
      </c>
      <c r="M62">
        <v>100</v>
      </c>
      <c r="N62" s="56">
        <f t="shared" si="9"/>
        <v>13.693259636921303</v>
      </c>
      <c r="O62">
        <v>100</v>
      </c>
      <c r="P62" s="56">
        <f t="shared" si="10"/>
        <v>13.709219146987648</v>
      </c>
      <c r="Q62">
        <v>100</v>
      </c>
      <c r="R62" s="56">
        <f t="shared" si="11"/>
        <v>13.868814247651063</v>
      </c>
      <c r="S62" s="86">
        <f t="shared" si="12"/>
        <v>100</v>
      </c>
      <c r="T62" s="5">
        <f aca="true" t="shared" si="30" ref="T62:T72">AVERAGE(N62,P62,R62)</f>
        <v>13.757097677186671</v>
      </c>
      <c r="U62" s="5"/>
      <c r="V62" s="66">
        <f t="shared" si="13"/>
        <v>0.009926815261264628</v>
      </c>
      <c r="W62" s="48"/>
      <c r="X62" s="66">
        <f t="shared" si="14"/>
        <v>0.015656279375081347</v>
      </c>
      <c r="Y62" s="66"/>
      <c r="Z62" s="66">
        <f t="shared" si="15"/>
        <v>0.0108684263551788</v>
      </c>
      <c r="AA62" s="66"/>
      <c r="AB62" s="65">
        <f aca="true" t="shared" si="31" ref="AB62:AB72">AVERAGE(V62,X62,Z62)</f>
        <v>0.012150506997174926</v>
      </c>
      <c r="AC62" s="86"/>
      <c r="AD62" s="66">
        <f t="shared" si="16"/>
        <v>0.9144799268013879</v>
      </c>
      <c r="AE62" s="66"/>
      <c r="AF62" s="66">
        <f t="shared" si="17"/>
        <v>0.6479561086934791</v>
      </c>
      <c r="AG62" s="66"/>
      <c r="AH62" s="66">
        <f t="shared" si="18"/>
        <v>1.2831446093338845</v>
      </c>
      <c r="AI62" s="66"/>
      <c r="AJ62" s="66">
        <f aca="true" t="shared" si="32" ref="AJ62:AJ72">AVERAGE(AD62,AF62,AH62)</f>
        <v>0.9485268816095838</v>
      </c>
      <c r="AK62" s="66"/>
      <c r="AL62" s="66">
        <f t="shared" si="19"/>
        <v>0.09065001717682168</v>
      </c>
      <c r="AM62" s="66"/>
      <c r="AN62" s="66">
        <f t="shared" si="20"/>
        <v>0.09751260650534868</v>
      </c>
      <c r="AO62" s="66"/>
      <c r="AP62" s="66">
        <f t="shared" si="21"/>
        <v>0.058730997044138006</v>
      </c>
      <c r="AQ62" s="66"/>
      <c r="AR62" s="66">
        <f aca="true" t="shared" si="33" ref="AR62:AR72">AVERAGE(AL62,AN62,AP62)</f>
        <v>0.08229787357543612</v>
      </c>
      <c r="AS62" s="86">
        <f>SUM((AL62*AK62/100),(AD62*AC62/100),(V62*U62/100),(N62*M62/100),(F62*E62/100))/AT62*100</f>
        <v>93.82266157214147</v>
      </c>
      <c r="AT62" s="5">
        <f t="shared" si="22"/>
        <v>16.431943483325696</v>
      </c>
      <c r="AU62" s="86">
        <f>SUM((AN62*AM62/100),(AF62*AE62/100),(X62*W62/100),(P62*O62/100),(H62*G62/100))/AV62*100</f>
        <v>95.29994845721505</v>
      </c>
      <c r="AV62" s="5">
        <f t="shared" si="23"/>
        <v>16.193971228726475</v>
      </c>
      <c r="AW62" s="86">
        <f t="shared" si="24"/>
        <v>92.01694166577978</v>
      </c>
      <c r="AX62" s="5">
        <f t="shared" si="25"/>
        <v>16.945185367549183</v>
      </c>
      <c r="AY62" s="86">
        <f t="shared" si="26"/>
        <v>93.68800413643807</v>
      </c>
      <c r="AZ62" s="5">
        <f t="shared" si="5"/>
        <v>16.523700026533785</v>
      </c>
      <c r="BA62" s="66"/>
      <c r="BI62" s="86">
        <f>AS62</f>
        <v>93.82266157214147</v>
      </c>
      <c r="BJ62" s="5">
        <f t="shared" si="7"/>
        <v>16.431943483325696</v>
      </c>
      <c r="BK62" s="86">
        <f>AU62</f>
        <v>95.29994845721505</v>
      </c>
      <c r="BL62" s="5">
        <f t="shared" si="7"/>
        <v>16.193971228726475</v>
      </c>
      <c r="BM62" s="86">
        <f t="shared" si="27"/>
        <v>92.01694166577978</v>
      </c>
      <c r="BN62" s="5">
        <f t="shared" si="7"/>
        <v>16.945185367549183</v>
      </c>
      <c r="BO62" s="86">
        <f>AY62</f>
        <v>93.68800413643807</v>
      </c>
      <c r="BP62" s="5">
        <f t="shared" si="7"/>
        <v>16.523700026533785</v>
      </c>
    </row>
    <row r="63" spans="2:68" ht="12.75">
      <c r="B63" s="9" t="s">
        <v>56</v>
      </c>
      <c r="D63" s="9" t="s">
        <v>27</v>
      </c>
      <c r="F63" s="56">
        <f t="shared" si="28"/>
        <v>35.11092214595207</v>
      </c>
      <c r="G63" s="3"/>
      <c r="H63" s="56">
        <f t="shared" si="28"/>
        <v>32.876590736664205</v>
      </c>
      <c r="J63" s="56">
        <f t="shared" si="8"/>
        <v>32.557400535337365</v>
      </c>
      <c r="L63" s="5">
        <f t="shared" si="29"/>
        <v>33.51497113931788</v>
      </c>
      <c r="M63"/>
      <c r="N63" s="56">
        <f t="shared" si="9"/>
        <v>23.93926509951277</v>
      </c>
      <c r="O63"/>
      <c r="P63" s="56">
        <f t="shared" si="10"/>
        <v>25.85440630747379</v>
      </c>
      <c r="Q63"/>
      <c r="R63" s="56">
        <f t="shared" si="11"/>
        <v>23.93926509951277</v>
      </c>
      <c r="S63" s="86"/>
      <c r="T63" s="5">
        <f t="shared" si="30"/>
        <v>24.577645502166444</v>
      </c>
      <c r="U63" s="5"/>
      <c r="V63" s="66">
        <f t="shared" si="13"/>
        <v>0.04883610080300605</v>
      </c>
      <c r="W63" s="48"/>
      <c r="X63" s="66">
        <f t="shared" si="14"/>
        <v>0.04069675066917171</v>
      </c>
      <c r="Y63" s="66"/>
      <c r="Z63" s="66">
        <f t="shared" si="15"/>
        <v>0.03654727805192283</v>
      </c>
      <c r="AA63" s="66"/>
      <c r="AB63" s="65">
        <f t="shared" si="31"/>
        <v>0.04202670984136686</v>
      </c>
      <c r="AC63" s="86"/>
      <c r="AD63" s="66">
        <f t="shared" si="16"/>
        <v>0.5218759791693783</v>
      </c>
      <c r="AE63" s="66"/>
      <c r="AF63" s="66">
        <f t="shared" si="17"/>
        <v>0.24258455300839604</v>
      </c>
      <c r="AG63" s="86">
        <v>100</v>
      </c>
      <c r="AH63" s="66">
        <f t="shared" si="18"/>
        <v>0.3159982993135686</v>
      </c>
      <c r="AI63" s="86">
        <f aca="true" t="shared" si="34" ref="AI63:AI75">SUM((AH63*AG63/100),(AF63*AE63/100),(AD63*AC63/100))/AJ63*100/3</f>
        <v>29.2466765140325</v>
      </c>
      <c r="AJ63" s="66">
        <f t="shared" si="32"/>
        <v>0.36015294383044766</v>
      </c>
      <c r="AK63" s="66"/>
      <c r="AL63" s="66">
        <f t="shared" si="19"/>
        <v>0.08155309643900684</v>
      </c>
      <c r="AM63" s="66"/>
      <c r="AN63" s="66">
        <f t="shared" si="20"/>
        <v>0.10309843502856834</v>
      </c>
      <c r="AO63" s="66"/>
      <c r="AP63" s="66">
        <f t="shared" si="21"/>
        <v>0.0769248385197677</v>
      </c>
      <c r="AQ63" s="66"/>
      <c r="AR63" s="66">
        <f t="shared" si="33"/>
        <v>0.0871921233291143</v>
      </c>
      <c r="AS63" s="86"/>
      <c r="AT63" s="5">
        <f t="shared" si="22"/>
        <v>59.70245242187624</v>
      </c>
      <c r="AU63" s="86"/>
      <c r="AV63" s="5">
        <f t="shared" si="23"/>
        <v>59.11737678284413</v>
      </c>
      <c r="AW63" s="86">
        <f t="shared" si="24"/>
        <v>0.555102315449507</v>
      </c>
      <c r="AX63" s="5">
        <f t="shared" si="25"/>
        <v>56.92613605073539</v>
      </c>
      <c r="AY63" s="86"/>
      <c r="AZ63" s="5">
        <f t="shared" si="5"/>
        <v>58.58198841848526</v>
      </c>
      <c r="BA63" s="66"/>
      <c r="BI63" s="86"/>
      <c r="BJ63" s="5">
        <f t="shared" si="7"/>
        <v>59.70245242187624</v>
      </c>
      <c r="BK63" s="86"/>
      <c r="BL63" s="5">
        <f t="shared" si="7"/>
        <v>59.11737678284413</v>
      </c>
      <c r="BM63" s="86">
        <f t="shared" si="27"/>
        <v>0.555102315449507</v>
      </c>
      <c r="BN63" s="5">
        <f t="shared" si="7"/>
        <v>56.92613605073539</v>
      </c>
      <c r="BO63" s="86"/>
      <c r="BP63" s="5">
        <f t="shared" si="7"/>
        <v>58.58198841848526</v>
      </c>
    </row>
    <row r="64" spans="2:68" ht="12.75">
      <c r="B64" s="9" t="s">
        <v>118</v>
      </c>
      <c r="D64" s="9" t="s">
        <v>27</v>
      </c>
      <c r="F64" s="56">
        <f t="shared" si="28"/>
        <v>5.7613831339494075</v>
      </c>
      <c r="G64" s="3"/>
      <c r="H64" s="56">
        <f t="shared" si="28"/>
        <v>3.255740053533737</v>
      </c>
      <c r="J64" s="56">
        <f t="shared" si="8"/>
        <v>2.6811976911454303</v>
      </c>
      <c r="L64" s="5">
        <f t="shared" si="29"/>
        <v>3.899440292876191</v>
      </c>
      <c r="M64">
        <v>100</v>
      </c>
      <c r="N64" s="56">
        <f t="shared" si="9"/>
        <v>6.846629818460651</v>
      </c>
      <c r="O64">
        <v>100</v>
      </c>
      <c r="P64" s="56">
        <f t="shared" si="10"/>
        <v>6.862589328526995</v>
      </c>
      <c r="Q64">
        <v>100</v>
      </c>
      <c r="R64" s="56">
        <f t="shared" si="11"/>
        <v>6.926427368792361</v>
      </c>
      <c r="S64" s="86">
        <f t="shared" si="12"/>
        <v>100</v>
      </c>
      <c r="T64" s="5">
        <f t="shared" si="30"/>
        <v>6.8785488385933355</v>
      </c>
      <c r="U64" s="86">
        <v>100</v>
      </c>
      <c r="V64" s="66">
        <f t="shared" si="13"/>
        <v>0.0067349132479962584</v>
      </c>
      <c r="W64" s="66"/>
      <c r="X64" s="66">
        <f t="shared" si="14"/>
        <v>0.008426621315028495</v>
      </c>
      <c r="Y64" s="86">
        <v>100</v>
      </c>
      <c r="Z64" s="66">
        <f t="shared" si="15"/>
        <v>0.011203576066571979</v>
      </c>
      <c r="AA64" s="86">
        <f aca="true" t="shared" si="35" ref="AA64:AA75">SUM((Z64*Y64/100),(X64*W64/100),(V64*U64/100))/AB64*100/3</f>
        <v>68.03874092009684</v>
      </c>
      <c r="AB64" s="65">
        <f t="shared" si="31"/>
        <v>0.008788370209865578</v>
      </c>
      <c r="AC64" s="86"/>
      <c r="AD64" s="66">
        <f t="shared" si="16"/>
        <v>0.5809261664148432</v>
      </c>
      <c r="AE64" s="66"/>
      <c r="AF64" s="66">
        <f t="shared" si="17"/>
        <v>0.6495520597001131</v>
      </c>
      <c r="AG64" s="66"/>
      <c r="AH64" s="66">
        <f t="shared" si="18"/>
        <v>0.7229658060052857</v>
      </c>
      <c r="AI64" s="86"/>
      <c r="AJ64" s="66">
        <f t="shared" si="32"/>
        <v>0.6511480107067473</v>
      </c>
      <c r="AK64" s="86">
        <v>100</v>
      </c>
      <c r="AL64" s="66">
        <f t="shared" si="19"/>
        <v>0.06623196677531867</v>
      </c>
      <c r="AM64" s="86">
        <v>100</v>
      </c>
      <c r="AN64" s="66">
        <f t="shared" si="20"/>
        <v>0.047399744897035294</v>
      </c>
      <c r="AO64" s="86">
        <v>100</v>
      </c>
      <c r="AP64" s="66">
        <f t="shared" si="21"/>
        <v>0.05857140194347458</v>
      </c>
      <c r="AQ64" s="86">
        <f>SUM((AP64*AO64/100),(AN64*AM64/100),(AL64*AK64/100))/AR64*100/3</f>
        <v>100</v>
      </c>
      <c r="AR64" s="66">
        <f t="shared" si="33"/>
        <v>0.057401037871942846</v>
      </c>
      <c r="AS64" s="86">
        <f>SUM((AL64*AK64/100),(AD64*AC64/100),(V64*U64/100),(N64*M64/100),(F64*E64/100))/AT64*100</f>
        <v>52.1764872943974</v>
      </c>
      <c r="AT64" s="5">
        <f t="shared" si="22"/>
        <v>13.261905998848217</v>
      </c>
      <c r="AU64" s="86">
        <f aca="true" t="shared" si="36" ref="AU64:AU69">SUM((AN64*AM64/100),(AF64*AE64/100),(X64*W64/100),(P64*O64/100),(H64*G64/100))/AV64*100</f>
        <v>63.841238104506346</v>
      </c>
      <c r="AV64" s="5">
        <f t="shared" si="23"/>
        <v>10.823707807972909</v>
      </c>
      <c r="AW64" s="86">
        <f t="shared" si="24"/>
        <v>67.26881007623466</v>
      </c>
      <c r="AX64" s="5">
        <f t="shared" si="25"/>
        <v>10.400365843953125</v>
      </c>
      <c r="AY64" s="86">
        <f t="shared" si="26"/>
        <v>60.38914460196536</v>
      </c>
      <c r="AZ64" s="5">
        <f t="shared" si="5"/>
        <v>11.495326550258081</v>
      </c>
      <c r="BA64" s="66"/>
      <c r="BI64" s="86">
        <f>AS64</f>
        <v>52.1764872943974</v>
      </c>
      <c r="BJ64" s="5">
        <f t="shared" si="7"/>
        <v>13.261905998848217</v>
      </c>
      <c r="BK64" s="86">
        <f aca="true" t="shared" si="37" ref="BK64:BK69">AU64</f>
        <v>63.841238104506346</v>
      </c>
      <c r="BL64" s="5">
        <f t="shared" si="7"/>
        <v>10.823707807972909</v>
      </c>
      <c r="BM64" s="86">
        <f t="shared" si="27"/>
        <v>67.26881007623466</v>
      </c>
      <c r="BN64" s="5">
        <f t="shared" si="7"/>
        <v>10.400365843953125</v>
      </c>
      <c r="BO64" s="86">
        <f aca="true" t="shared" si="38" ref="BO64:BO69">AY64</f>
        <v>60.38914460196536</v>
      </c>
      <c r="BP64" s="5">
        <f t="shared" si="7"/>
        <v>11.495326550258081</v>
      </c>
    </row>
    <row r="65" spans="2:68" ht="12.75">
      <c r="B65" s="9" t="s">
        <v>119</v>
      </c>
      <c r="D65" s="9" t="s">
        <v>27</v>
      </c>
      <c r="E65" s="3">
        <v>100</v>
      </c>
      <c r="F65" s="56">
        <f t="shared" si="28"/>
        <v>0.3830282415922043</v>
      </c>
      <c r="G65" s="3">
        <v>100</v>
      </c>
      <c r="H65" s="56">
        <f t="shared" si="28"/>
        <v>0.3830282415922043</v>
      </c>
      <c r="I65" s="3">
        <v>100</v>
      </c>
      <c r="J65" s="56">
        <f t="shared" si="8"/>
        <v>0.3830282415922043</v>
      </c>
      <c r="K65" s="3">
        <v>100</v>
      </c>
      <c r="L65" s="5">
        <f t="shared" si="29"/>
        <v>0.3830282415922042</v>
      </c>
      <c r="M65">
        <v>100</v>
      </c>
      <c r="N65" s="56">
        <f t="shared" si="9"/>
        <v>3.4312946642634974</v>
      </c>
      <c r="O65">
        <v>100</v>
      </c>
      <c r="P65" s="56">
        <f t="shared" si="10"/>
        <v>3.4312946642634974</v>
      </c>
      <c r="Q65">
        <v>100</v>
      </c>
      <c r="R65" s="56">
        <f t="shared" si="11"/>
        <v>3.4632136843961807</v>
      </c>
      <c r="S65" s="86">
        <f t="shared" si="12"/>
        <v>100</v>
      </c>
      <c r="T65" s="5">
        <f t="shared" si="30"/>
        <v>3.4419343376410585</v>
      </c>
      <c r="U65" s="86">
        <v>100</v>
      </c>
      <c r="V65" s="66">
        <f t="shared" si="13"/>
        <v>0.0005665626073551356</v>
      </c>
      <c r="W65" s="86">
        <v>100</v>
      </c>
      <c r="X65" s="66">
        <f t="shared" si="14"/>
        <v>0.0006112492355408928</v>
      </c>
      <c r="Y65" s="86">
        <v>100</v>
      </c>
      <c r="Z65" s="66">
        <f t="shared" si="15"/>
        <v>0.000612845186547527</v>
      </c>
      <c r="AA65" s="86">
        <f t="shared" si="35"/>
        <v>100</v>
      </c>
      <c r="AB65" s="65">
        <f t="shared" si="31"/>
        <v>0.0005968856764811851</v>
      </c>
      <c r="AC65" s="86">
        <v>100</v>
      </c>
      <c r="AD65" s="66">
        <f t="shared" si="16"/>
        <v>0.030323069126049505</v>
      </c>
      <c r="AE65" s="86">
        <v>100</v>
      </c>
      <c r="AF65" s="66">
        <f t="shared" si="17"/>
        <v>0.03223821033401054</v>
      </c>
      <c r="AG65" s="86">
        <v>100</v>
      </c>
      <c r="AH65" s="66">
        <f t="shared" si="18"/>
        <v>0.03207861523334711</v>
      </c>
      <c r="AI65" s="86">
        <f t="shared" si="34"/>
        <v>100</v>
      </c>
      <c r="AJ65" s="66">
        <f t="shared" si="32"/>
        <v>0.03154663156446905</v>
      </c>
      <c r="AK65" s="86">
        <v>100</v>
      </c>
      <c r="AL65" s="66">
        <f t="shared" si="19"/>
        <v>0.003926039476320095</v>
      </c>
      <c r="AM65" s="86">
        <v>100</v>
      </c>
      <c r="AN65" s="66">
        <f t="shared" si="20"/>
        <v>0.004548460368907426</v>
      </c>
      <c r="AO65" s="86">
        <v>100</v>
      </c>
      <c r="AP65" s="66">
        <f t="shared" si="21"/>
        <v>0.003686646825324967</v>
      </c>
      <c r="AQ65" s="86">
        <f aca="true" t="shared" si="39" ref="AQ65:AQ75">SUM((AP65*AO65/100),(AN65*AM65/100),(AL65*AK65/100))/AR65*100/3</f>
        <v>100</v>
      </c>
      <c r="AR65" s="66">
        <f t="shared" si="33"/>
        <v>0.004053715556850829</v>
      </c>
      <c r="AS65" s="86">
        <f>SUM((AL65*AK65/100),(AD65*AC65/100),(V65*U65/100),(N65*M65/100),(F65*E65/100))/AT65*100</f>
        <v>100</v>
      </c>
      <c r="AT65" s="5">
        <f t="shared" si="22"/>
        <v>3.8491385770654265</v>
      </c>
      <c r="AU65" s="86">
        <f t="shared" si="36"/>
        <v>100</v>
      </c>
      <c r="AV65" s="5">
        <f t="shared" si="23"/>
        <v>3.8517208257941604</v>
      </c>
      <c r="AW65" s="86">
        <f t="shared" si="24"/>
        <v>99.99999999999999</v>
      </c>
      <c r="AX65" s="5">
        <f t="shared" si="25"/>
        <v>3.882620033233605</v>
      </c>
      <c r="AY65" s="86">
        <f t="shared" si="26"/>
        <v>99.99999999999999</v>
      </c>
      <c r="AZ65" s="5">
        <f t="shared" si="5"/>
        <v>3.8611598120310644</v>
      </c>
      <c r="BA65" s="66"/>
      <c r="BI65" s="86">
        <f>AS65</f>
        <v>100</v>
      </c>
      <c r="BJ65" s="5">
        <f t="shared" si="7"/>
        <v>3.8491385770654265</v>
      </c>
      <c r="BK65" s="86">
        <f t="shared" si="37"/>
        <v>100</v>
      </c>
      <c r="BL65" s="5">
        <f t="shared" si="7"/>
        <v>3.8517208257941604</v>
      </c>
      <c r="BM65" s="86">
        <f t="shared" si="27"/>
        <v>99.99999999999999</v>
      </c>
      <c r="BN65" s="5">
        <f t="shared" si="7"/>
        <v>3.882620033233605</v>
      </c>
      <c r="BO65" s="86">
        <f t="shared" si="38"/>
        <v>99.99999999999999</v>
      </c>
      <c r="BP65" s="5">
        <f t="shared" si="7"/>
        <v>3.8611598120310644</v>
      </c>
    </row>
    <row r="66" spans="2:68" ht="12.75">
      <c r="B66" s="9" t="s">
        <v>57</v>
      </c>
      <c r="D66" s="9" t="s">
        <v>27</v>
      </c>
      <c r="E66" s="3">
        <v>100</v>
      </c>
      <c r="F66" s="56">
        <f t="shared" si="28"/>
        <v>0.3830282415922043</v>
      </c>
      <c r="G66" s="3">
        <v>100</v>
      </c>
      <c r="H66" s="56">
        <f t="shared" si="28"/>
        <v>0.3830282415922043</v>
      </c>
      <c r="I66" s="3">
        <v>100</v>
      </c>
      <c r="J66" s="56">
        <f t="shared" si="8"/>
        <v>0.3830282415922043</v>
      </c>
      <c r="K66" s="3">
        <v>100</v>
      </c>
      <c r="L66" s="5">
        <f t="shared" si="29"/>
        <v>0.3830282415922042</v>
      </c>
      <c r="M66">
        <v>100</v>
      </c>
      <c r="N66" s="56">
        <f t="shared" si="9"/>
        <v>3.4312946642634974</v>
      </c>
      <c r="O66">
        <v>100</v>
      </c>
      <c r="P66" s="56">
        <f t="shared" si="10"/>
        <v>3.4312946642634974</v>
      </c>
      <c r="Q66">
        <v>100</v>
      </c>
      <c r="R66" s="56">
        <f t="shared" si="11"/>
        <v>3.4632136843961807</v>
      </c>
      <c r="S66" s="86">
        <f t="shared" si="12"/>
        <v>100</v>
      </c>
      <c r="T66" s="5">
        <f t="shared" si="30"/>
        <v>3.4419343376410585</v>
      </c>
      <c r="U66" s="86">
        <v>100</v>
      </c>
      <c r="V66" s="66">
        <f t="shared" si="13"/>
        <v>0.0005777342644015748</v>
      </c>
      <c r="W66" s="86">
        <v>100</v>
      </c>
      <c r="X66" s="66">
        <f t="shared" si="14"/>
        <v>0.0006511480107067474</v>
      </c>
      <c r="Y66" s="86">
        <v>100</v>
      </c>
      <c r="Z66" s="66">
        <f t="shared" si="15"/>
        <v>0.0010932264395444166</v>
      </c>
      <c r="AA66" s="86">
        <f t="shared" si="35"/>
        <v>100</v>
      </c>
      <c r="AB66" s="65">
        <f t="shared" si="31"/>
        <v>0.0007740362382175795</v>
      </c>
      <c r="AC66" s="86">
        <v>100</v>
      </c>
      <c r="AD66" s="66">
        <f t="shared" si="16"/>
        <v>0.09527827509606085</v>
      </c>
      <c r="AE66" s="86">
        <v>100</v>
      </c>
      <c r="AF66" s="66">
        <f t="shared" si="17"/>
        <v>0.04021796536718145</v>
      </c>
      <c r="AG66" s="86">
        <v>100</v>
      </c>
      <c r="AH66" s="66">
        <f t="shared" si="18"/>
        <v>0.1963019738160047</v>
      </c>
      <c r="AI66" s="86">
        <f t="shared" si="34"/>
        <v>100</v>
      </c>
      <c r="AJ66" s="66">
        <f t="shared" si="32"/>
        <v>0.110599404759749</v>
      </c>
      <c r="AK66" s="86">
        <v>100</v>
      </c>
      <c r="AL66" s="66">
        <f t="shared" si="19"/>
        <v>0.003926039476320095</v>
      </c>
      <c r="AM66" s="86">
        <v>100</v>
      </c>
      <c r="AN66" s="66">
        <f t="shared" si="20"/>
        <v>0.004548460368907426</v>
      </c>
      <c r="AO66" s="86">
        <v>100</v>
      </c>
      <c r="AP66" s="66">
        <f t="shared" si="21"/>
        <v>0.003686646825324967</v>
      </c>
      <c r="AQ66" s="86">
        <f t="shared" si="39"/>
        <v>100</v>
      </c>
      <c r="AR66" s="66">
        <f t="shared" si="33"/>
        <v>0.004053715556850829</v>
      </c>
      <c r="AS66" s="86">
        <f>SUM((AL66*AK66/100),(AD66*AC66/100),(V66*U66/100),(N66*M66/100),(F66*E66/100))/AT66*100</f>
        <v>99.99999999999999</v>
      </c>
      <c r="AT66" s="5">
        <f t="shared" si="22"/>
        <v>3.9141049546924847</v>
      </c>
      <c r="AU66" s="86">
        <f t="shared" si="36"/>
        <v>100</v>
      </c>
      <c r="AV66" s="5">
        <f t="shared" si="23"/>
        <v>3.859740479602497</v>
      </c>
      <c r="AW66" s="86">
        <f t="shared" si="24"/>
        <v>100</v>
      </c>
      <c r="AX66" s="5">
        <f t="shared" si="25"/>
        <v>4.047323773069259</v>
      </c>
      <c r="AY66" s="86">
        <f t="shared" si="26"/>
        <v>99.99999999999999</v>
      </c>
      <c r="AZ66" s="5">
        <f t="shared" si="5"/>
        <v>3.9403897357880804</v>
      </c>
      <c r="BA66" s="66"/>
      <c r="BI66" s="86">
        <f>AS66</f>
        <v>99.99999999999999</v>
      </c>
      <c r="BJ66" s="5">
        <f t="shared" si="7"/>
        <v>3.9141049546924847</v>
      </c>
      <c r="BK66" s="86">
        <f t="shared" si="37"/>
        <v>100</v>
      </c>
      <c r="BL66" s="5">
        <f t="shared" si="7"/>
        <v>3.859740479602497</v>
      </c>
      <c r="BM66" s="86">
        <f t="shared" si="27"/>
        <v>100</v>
      </c>
      <c r="BN66" s="5">
        <f t="shared" si="7"/>
        <v>4.047323773069259</v>
      </c>
      <c r="BO66" s="86">
        <f t="shared" si="38"/>
        <v>99.99999999999999</v>
      </c>
      <c r="BP66" s="5">
        <f t="shared" si="7"/>
        <v>3.9403897357880804</v>
      </c>
    </row>
    <row r="67" spans="2:68" ht="12.75">
      <c r="B67" s="9" t="s">
        <v>45</v>
      </c>
      <c r="D67" s="9" t="s">
        <v>27</v>
      </c>
      <c r="F67" s="56">
        <f t="shared" si="28"/>
        <v>5.378354892357203</v>
      </c>
      <c r="G67" s="3"/>
      <c r="H67" s="56">
        <f t="shared" si="28"/>
        <v>5.1868407715611005</v>
      </c>
      <c r="J67" s="56">
        <f t="shared" si="8"/>
        <v>4.995326650764998</v>
      </c>
      <c r="K67" s="56"/>
      <c r="L67" s="5">
        <f t="shared" si="29"/>
        <v>5.1868407715611005</v>
      </c>
      <c r="M67"/>
      <c r="N67" s="56">
        <f t="shared" si="9"/>
        <v>12.464377361812982</v>
      </c>
      <c r="O67"/>
      <c r="P67" s="56">
        <f t="shared" si="10"/>
        <v>6.862589328526995</v>
      </c>
      <c r="Q67"/>
      <c r="R67" s="56">
        <f t="shared" si="11"/>
        <v>6.926427368792361</v>
      </c>
      <c r="S67" s="86"/>
      <c r="T67" s="5">
        <f t="shared" si="30"/>
        <v>8.751131353044112</v>
      </c>
      <c r="U67" s="5"/>
      <c r="V67" s="66">
        <f t="shared" si="13"/>
        <v>0.017715056173639453</v>
      </c>
      <c r="W67" s="5"/>
      <c r="X67" s="66">
        <f t="shared" si="14"/>
        <v>0.010134288892127074</v>
      </c>
      <c r="Y67" s="86">
        <v>100</v>
      </c>
      <c r="Z67" s="66">
        <f t="shared" si="15"/>
        <v>0.006351885006404057</v>
      </c>
      <c r="AA67" s="86">
        <f t="shared" si="35"/>
        <v>18.572095193653755</v>
      </c>
      <c r="AB67" s="65">
        <f t="shared" si="31"/>
        <v>0.011400410024056862</v>
      </c>
      <c r="AC67" s="86"/>
      <c r="AD67" s="66">
        <f t="shared" si="16"/>
        <v>1.0469438603520251</v>
      </c>
      <c r="AE67" s="86">
        <v>100</v>
      </c>
      <c r="AF67" s="66">
        <f t="shared" si="17"/>
        <v>0.20587767985580985</v>
      </c>
      <c r="AG67" s="66"/>
      <c r="AH67" s="66">
        <f t="shared" si="18"/>
        <v>0.2888671322007874</v>
      </c>
      <c r="AI67" s="86">
        <f t="shared" si="34"/>
        <v>13.354037267080749</v>
      </c>
      <c r="AJ67" s="66">
        <f t="shared" si="32"/>
        <v>0.5138962241362074</v>
      </c>
      <c r="AK67" s="86">
        <v>100</v>
      </c>
      <c r="AL67" s="66">
        <f t="shared" si="19"/>
        <v>0.01080458831491343</v>
      </c>
      <c r="AM67" s="86">
        <v>100</v>
      </c>
      <c r="AN67" s="66">
        <f t="shared" si="20"/>
        <v>0.026333191609464048</v>
      </c>
      <c r="AO67" s="86">
        <v>100</v>
      </c>
      <c r="AP67" s="66">
        <f t="shared" si="21"/>
        <v>0.014938101422095968</v>
      </c>
      <c r="AQ67" s="86">
        <f t="shared" si="39"/>
        <v>100</v>
      </c>
      <c r="AR67" s="66">
        <f t="shared" si="33"/>
        <v>0.01735862711549115</v>
      </c>
      <c r="AS67" s="86"/>
      <c r="AT67" s="5">
        <f t="shared" si="22"/>
        <v>18.918195759010764</v>
      </c>
      <c r="AU67" s="86">
        <f t="shared" si="36"/>
        <v>1.889156501360063</v>
      </c>
      <c r="AV67" s="5">
        <f t="shared" si="23"/>
        <v>12.291775260445496</v>
      </c>
      <c r="AW67" s="86"/>
      <c r="AX67" s="5">
        <f t="shared" si="25"/>
        <v>12.231911138186646</v>
      </c>
      <c r="AY67" s="86">
        <f t="shared" si="26"/>
        <v>0.5345322530516098</v>
      </c>
      <c r="AZ67" s="5">
        <f t="shared" si="5"/>
        <v>14.48062738588097</v>
      </c>
      <c r="BA67" s="66"/>
      <c r="BI67" s="86"/>
      <c r="BJ67" s="5">
        <f t="shared" si="7"/>
        <v>18.918195759010764</v>
      </c>
      <c r="BK67" s="86">
        <f t="shared" si="37"/>
        <v>1.889156501360063</v>
      </c>
      <c r="BL67" s="5">
        <f t="shared" si="7"/>
        <v>12.291775260445496</v>
      </c>
      <c r="BM67" s="86"/>
      <c r="BN67" s="5">
        <f t="shared" si="7"/>
        <v>12.231911138186646</v>
      </c>
      <c r="BO67" s="86">
        <f t="shared" si="38"/>
        <v>0.5345322530516098</v>
      </c>
      <c r="BP67" s="5">
        <f t="shared" si="7"/>
        <v>14.48062738588097</v>
      </c>
    </row>
    <row r="68" spans="2:69" ht="12.75">
      <c r="B68" s="9" t="s">
        <v>143</v>
      </c>
      <c r="D68" s="9" t="s">
        <v>27</v>
      </c>
      <c r="E68" s="3">
        <v>100</v>
      </c>
      <c r="F68" s="56">
        <f t="shared" si="28"/>
        <v>7.485010221114327</v>
      </c>
      <c r="G68" s="3"/>
      <c r="H68" s="56">
        <f t="shared" si="28"/>
        <v>7.1019819795221215</v>
      </c>
      <c r="I68" s="3">
        <v>100</v>
      </c>
      <c r="J68" s="56">
        <f t="shared" si="8"/>
        <v>6.91046785872602</v>
      </c>
      <c r="K68" s="86">
        <f>SUM((J68*I68/100),(H68*G68/100),(F68*E68/100))/L68*100/3</f>
        <v>66.96362286562733</v>
      </c>
      <c r="L68" s="5">
        <f t="shared" si="29"/>
        <v>7.165820019787489</v>
      </c>
      <c r="M68">
        <v>100</v>
      </c>
      <c r="N68" s="56">
        <f t="shared" si="9"/>
        <v>0.7070062959389438</v>
      </c>
      <c r="O68"/>
      <c r="P68" s="56">
        <f t="shared" si="10"/>
        <v>0.6894508348659678</v>
      </c>
      <c r="Q68">
        <v>100</v>
      </c>
      <c r="R68" s="56">
        <f t="shared" si="11"/>
        <v>0.6718953737929918</v>
      </c>
      <c r="S68" s="86">
        <f t="shared" si="12"/>
        <v>66.66666666666667</v>
      </c>
      <c r="T68" s="5">
        <f t="shared" si="30"/>
        <v>0.6894508348659678</v>
      </c>
      <c r="U68" s="86">
        <v>100</v>
      </c>
      <c r="V68" s="66">
        <f t="shared" si="13"/>
        <v>0.012687810502741773</v>
      </c>
      <c r="W68" s="86">
        <v>100</v>
      </c>
      <c r="X68" s="66">
        <f t="shared" si="14"/>
        <v>0.010948223905510507</v>
      </c>
      <c r="Y68" s="86">
        <v>100</v>
      </c>
      <c r="Z68" s="66">
        <f t="shared" si="15"/>
        <v>0.011825996959159308</v>
      </c>
      <c r="AA68" s="86">
        <f t="shared" si="35"/>
        <v>100.00000000000001</v>
      </c>
      <c r="AB68" s="65">
        <f t="shared" si="31"/>
        <v>0.011820677122470528</v>
      </c>
      <c r="AC68" s="86">
        <v>100</v>
      </c>
      <c r="AD68" s="66">
        <f t="shared" si="16"/>
        <v>0.646360157686845</v>
      </c>
      <c r="AE68" s="86">
        <v>100</v>
      </c>
      <c r="AF68" s="66">
        <f t="shared" si="17"/>
        <v>0.6112492355408927</v>
      </c>
      <c r="AG68" s="86">
        <v>100</v>
      </c>
      <c r="AH68" s="66">
        <f t="shared" si="18"/>
        <v>0.6304006476205031</v>
      </c>
      <c r="AI68" s="86">
        <f t="shared" si="34"/>
        <v>100</v>
      </c>
      <c r="AJ68" s="66">
        <f t="shared" si="32"/>
        <v>0.6293366802827469</v>
      </c>
      <c r="AK68" s="86">
        <v>100</v>
      </c>
      <c r="AL68" s="66">
        <f t="shared" si="19"/>
        <v>0.07963795523104582</v>
      </c>
      <c r="AM68" s="86">
        <v>100</v>
      </c>
      <c r="AN68" s="66">
        <f t="shared" si="20"/>
        <v>0.05043205180964024</v>
      </c>
      <c r="AO68" s="86">
        <v>100</v>
      </c>
      <c r="AP68" s="66">
        <f t="shared" si="21"/>
        <v>0.05218759791693784</v>
      </c>
      <c r="AQ68" s="86">
        <f t="shared" si="39"/>
        <v>100</v>
      </c>
      <c r="AR68" s="66">
        <f t="shared" si="33"/>
        <v>0.06075253498587463</v>
      </c>
      <c r="AS68" s="86">
        <f>SUM((AL68*AK68/100),(AD68*AC68/100),(V68*U68/100),(N68*M68/100),(F68*E68/100))/AT68*100</f>
        <v>100</v>
      </c>
      <c r="AT68" s="5">
        <f t="shared" si="22"/>
        <v>8.930702440473903</v>
      </c>
      <c r="AU68" s="86">
        <f t="shared" si="36"/>
        <v>7.946887503629707</v>
      </c>
      <c r="AV68" s="5">
        <f t="shared" si="23"/>
        <v>8.464062325644132</v>
      </c>
      <c r="AW68" s="86">
        <f>SUM((AP68*AO68/100),(AH68*AG68/100),(Z68*Y68/100),(R68*Q68/100),(J68*I68/100))/AX68*100</f>
        <v>100</v>
      </c>
      <c r="AX68" s="5">
        <f t="shared" si="25"/>
        <v>8.276777475015612</v>
      </c>
      <c r="AY68" s="86">
        <f t="shared" si="26"/>
        <v>69.64953355274527</v>
      </c>
      <c r="AZ68" s="5">
        <f t="shared" si="5"/>
        <v>8.55718074704455</v>
      </c>
      <c r="BA68" s="66"/>
      <c r="BI68" s="86">
        <f>AS68</f>
        <v>100</v>
      </c>
      <c r="BJ68" s="5">
        <f t="shared" si="7"/>
        <v>8.930702440473903</v>
      </c>
      <c r="BK68" s="86">
        <f t="shared" si="37"/>
        <v>7.946887503629707</v>
      </c>
      <c r="BL68" s="5">
        <f t="shared" si="7"/>
        <v>8.464062325644132</v>
      </c>
      <c r="BM68" s="86">
        <f>AW68</f>
        <v>100</v>
      </c>
      <c r="BN68" s="5">
        <f t="shared" si="7"/>
        <v>8.276777475015612</v>
      </c>
      <c r="BO68" s="86">
        <f t="shared" si="38"/>
        <v>69.64953355274527</v>
      </c>
      <c r="BP68" s="5">
        <f t="shared" si="7"/>
        <v>8.55718074704455</v>
      </c>
      <c r="BQ68" s="68"/>
    </row>
    <row r="69" spans="2:68" ht="12.75">
      <c r="B69" s="9" t="s">
        <v>70</v>
      </c>
      <c r="D69" s="9" t="s">
        <v>27</v>
      </c>
      <c r="F69" s="56">
        <f t="shared" si="28"/>
        <v>2.6811976911454303</v>
      </c>
      <c r="G69" s="3"/>
      <c r="H69" s="56">
        <f t="shared" si="28"/>
        <v>1.7236270871649197</v>
      </c>
      <c r="J69" s="56">
        <f t="shared" si="8"/>
        <v>1.3421947965793495</v>
      </c>
      <c r="K69" s="56"/>
      <c r="L69" s="5">
        <f t="shared" si="29"/>
        <v>1.9156731916298997</v>
      </c>
      <c r="M69">
        <v>100</v>
      </c>
      <c r="N69" s="56">
        <f t="shared" si="9"/>
        <v>10.26196497265781</v>
      </c>
      <c r="O69"/>
      <c r="P69" s="56">
        <f t="shared" si="10"/>
        <v>12.36862030141493</v>
      </c>
      <c r="Q69">
        <v>100</v>
      </c>
      <c r="R69" s="56">
        <f t="shared" si="11"/>
        <v>10.389641053188543</v>
      </c>
      <c r="S69" s="86">
        <f t="shared" si="12"/>
        <v>62.54229096181731</v>
      </c>
      <c r="T69" s="5">
        <f t="shared" si="30"/>
        <v>11.006742109087094</v>
      </c>
      <c r="U69" s="86">
        <v>100</v>
      </c>
      <c r="V69" s="66">
        <f t="shared" si="13"/>
        <v>0.01251225589201201</v>
      </c>
      <c r="W69" s="86">
        <v>100</v>
      </c>
      <c r="X69" s="66">
        <f t="shared" si="14"/>
        <v>0.013852854737584724</v>
      </c>
      <c r="Y69" s="86">
        <v>100</v>
      </c>
      <c r="Z69" s="66">
        <f t="shared" si="15"/>
        <v>0.01391669277785009</v>
      </c>
      <c r="AA69" s="86">
        <f t="shared" si="35"/>
        <v>100</v>
      </c>
      <c r="AB69" s="65">
        <f t="shared" si="31"/>
        <v>0.013427267802482275</v>
      </c>
      <c r="AC69" s="86"/>
      <c r="AD69" s="66">
        <f t="shared" si="16"/>
        <v>0.9735301140468525</v>
      </c>
      <c r="AE69" s="86"/>
      <c r="AF69" s="66">
        <f t="shared" si="17"/>
        <v>1.9949387582927312</v>
      </c>
      <c r="AG69" s="66"/>
      <c r="AH69" s="66">
        <f t="shared" si="18"/>
        <v>1.8832221878283377</v>
      </c>
      <c r="AI69" s="86"/>
      <c r="AJ69" s="66">
        <f t="shared" si="32"/>
        <v>1.617230353389307</v>
      </c>
      <c r="AK69" s="86">
        <v>100</v>
      </c>
      <c r="AL69" s="66">
        <f t="shared" si="19"/>
        <v>0.08618135435824598</v>
      </c>
      <c r="AM69" s="86">
        <v>100</v>
      </c>
      <c r="AN69" s="66">
        <f t="shared" si="20"/>
        <v>0.18991816978946796</v>
      </c>
      <c r="AO69" s="86">
        <v>100</v>
      </c>
      <c r="AP69" s="66">
        <f t="shared" si="21"/>
        <v>0.07899957482839215</v>
      </c>
      <c r="AQ69" s="86">
        <f t="shared" si="39"/>
        <v>100</v>
      </c>
      <c r="AR69" s="66">
        <f t="shared" si="33"/>
        <v>0.11836636632536869</v>
      </c>
      <c r="AS69" s="86">
        <f>SUM((AL69*AK69/100),(AD69*AC69/100),(V69*U69/100),(N69*M69/100),(F69*E69/100))/AT69*100</f>
        <v>73.9234602315688</v>
      </c>
      <c r="AT69" s="5">
        <f t="shared" si="22"/>
        <v>14.01538638810035</v>
      </c>
      <c r="AU69" s="86">
        <f t="shared" si="36"/>
        <v>1.2508229098090846</v>
      </c>
      <c r="AV69" s="5">
        <f t="shared" si="23"/>
        <v>16.290957171399636</v>
      </c>
      <c r="AW69" s="86">
        <f>SUM((AP69*AO69/100),(AH69*AG69/100),(Z69*Y69/100),(R69*Q69/100),(J69*I69/100))/AX69*100</f>
        <v>76.47050605293613</v>
      </c>
      <c r="AX69" s="5">
        <f t="shared" si="25"/>
        <v>13.707974305202471</v>
      </c>
      <c r="AY69" s="86">
        <f t="shared" si="26"/>
        <v>47.818500772696666</v>
      </c>
      <c r="AZ69" s="5">
        <f t="shared" si="5"/>
        <v>14.67143928823415</v>
      </c>
      <c r="BA69" s="66"/>
      <c r="BI69" s="86">
        <f>AS69</f>
        <v>73.9234602315688</v>
      </c>
      <c r="BJ69" s="5">
        <f t="shared" si="7"/>
        <v>14.01538638810035</v>
      </c>
      <c r="BK69" s="86">
        <f t="shared" si="37"/>
        <v>1.2508229098090846</v>
      </c>
      <c r="BL69" s="5">
        <f t="shared" si="7"/>
        <v>16.290957171399636</v>
      </c>
      <c r="BM69" s="86">
        <f>AW69</f>
        <v>76.47050605293613</v>
      </c>
      <c r="BN69" s="5">
        <f t="shared" si="7"/>
        <v>13.707974305202471</v>
      </c>
      <c r="BO69" s="86">
        <f t="shared" si="38"/>
        <v>47.818500772696666</v>
      </c>
      <c r="BP69" s="5">
        <f t="shared" si="7"/>
        <v>14.67143928823415</v>
      </c>
    </row>
    <row r="70" spans="2:68" ht="12.75">
      <c r="B70" s="9" t="s">
        <v>120</v>
      </c>
      <c r="D70" s="9" t="s">
        <v>27</v>
      </c>
      <c r="F70" s="56">
        <f t="shared" si="28"/>
        <v>85.86216415691914</v>
      </c>
      <c r="G70" s="3"/>
      <c r="H70" s="56">
        <f t="shared" si="28"/>
        <v>82.0318817409971</v>
      </c>
      <c r="J70" s="56">
        <f t="shared" si="8"/>
        <v>80.11674053303608</v>
      </c>
      <c r="K70" s="56"/>
      <c r="L70" s="5">
        <f t="shared" si="29"/>
        <v>82.67026214365076</v>
      </c>
      <c r="M70"/>
      <c r="N70" s="56">
        <f t="shared" si="9"/>
        <v>105.65195663918303</v>
      </c>
      <c r="O70"/>
      <c r="P70" s="56">
        <f t="shared" si="10"/>
        <v>58.8905921448014</v>
      </c>
      <c r="Q70"/>
      <c r="R70" s="56">
        <f t="shared" si="11"/>
        <v>104.21560073321226</v>
      </c>
      <c r="S70" s="86"/>
      <c r="T70" s="5">
        <f t="shared" si="30"/>
        <v>89.58604983906555</v>
      </c>
      <c r="U70" s="5"/>
      <c r="V70" s="66">
        <f t="shared" si="13"/>
        <v>0.1659789046899552</v>
      </c>
      <c r="W70" s="5"/>
      <c r="X70" s="66">
        <f t="shared" si="14"/>
        <v>0.16119105167005268</v>
      </c>
      <c r="Y70" s="5"/>
      <c r="Z70" s="66">
        <f t="shared" si="15"/>
        <v>0.11953673039690041</v>
      </c>
      <c r="AA70" s="86"/>
      <c r="AB70" s="65">
        <f t="shared" si="31"/>
        <v>0.14890222891896943</v>
      </c>
      <c r="AC70" s="86"/>
      <c r="AD70" s="66">
        <f t="shared" si="16"/>
        <v>4.2452296776469325</v>
      </c>
      <c r="AE70" s="86"/>
      <c r="AF70" s="66">
        <f t="shared" si="17"/>
        <v>1.504981799256036</v>
      </c>
      <c r="AG70" s="66"/>
      <c r="AH70" s="66">
        <f t="shared" si="18"/>
        <v>1.141104969743442</v>
      </c>
      <c r="AI70" s="86"/>
      <c r="AJ70" s="66">
        <f t="shared" si="32"/>
        <v>2.2971054822154704</v>
      </c>
      <c r="AK70" s="66"/>
      <c r="AL70" s="66">
        <f t="shared" si="19"/>
        <v>0.311210446293666</v>
      </c>
      <c r="AM70" s="66"/>
      <c r="AN70" s="66">
        <f t="shared" si="20"/>
        <v>0.3287659073666421</v>
      </c>
      <c r="AO70" s="66"/>
      <c r="AP70" s="66">
        <f t="shared" si="21"/>
        <v>0.258544063074738</v>
      </c>
      <c r="AQ70" s="86"/>
      <c r="AR70" s="66">
        <f t="shared" si="33"/>
        <v>0.2995068055783487</v>
      </c>
      <c r="AS70" s="86"/>
      <c r="AT70" s="5">
        <f t="shared" si="22"/>
        <v>196.23653982473272</v>
      </c>
      <c r="AU70" s="86"/>
      <c r="AV70" s="5">
        <f t="shared" si="23"/>
        <v>142.9174126440912</v>
      </c>
      <c r="AW70" s="86"/>
      <c r="AX70" s="5">
        <f t="shared" si="25"/>
        <v>185.85152702946343</v>
      </c>
      <c r="AY70" s="86"/>
      <c r="AZ70" s="5">
        <f t="shared" si="5"/>
        <v>175.0018264994291</v>
      </c>
      <c r="BA70" s="66"/>
      <c r="BI70" s="86"/>
      <c r="BJ70" s="5">
        <f t="shared" si="7"/>
        <v>196.23653982473272</v>
      </c>
      <c r="BK70" s="86"/>
      <c r="BL70" s="5">
        <f t="shared" si="7"/>
        <v>142.9174126440912</v>
      </c>
      <c r="BM70" s="86"/>
      <c r="BN70" s="5">
        <f t="shared" si="7"/>
        <v>185.85152702946343</v>
      </c>
      <c r="BO70" s="86"/>
      <c r="BP70" s="5">
        <f t="shared" si="7"/>
        <v>175.0018264994291</v>
      </c>
    </row>
    <row r="71" spans="2:68" ht="12.75">
      <c r="B71" s="9" t="s">
        <v>72</v>
      </c>
      <c r="D71" s="9" t="s">
        <v>27</v>
      </c>
      <c r="E71" s="3">
        <v>100</v>
      </c>
      <c r="F71" s="56">
        <f t="shared" si="28"/>
        <v>0.7676524341910428</v>
      </c>
      <c r="G71" s="3">
        <v>100</v>
      </c>
      <c r="H71" s="56">
        <f t="shared" si="28"/>
        <v>0.7676524341910428</v>
      </c>
      <c r="I71" s="3">
        <v>100</v>
      </c>
      <c r="J71" s="56">
        <f t="shared" si="8"/>
        <v>0.7676524341910428</v>
      </c>
      <c r="K71" s="86">
        <f>SUM((J71*I71/100),(H71*G71/100),(F71*E71/100))/L71*100/3</f>
        <v>100</v>
      </c>
      <c r="L71" s="5">
        <f t="shared" si="29"/>
        <v>0.7676524341910428</v>
      </c>
      <c r="M71">
        <v>100</v>
      </c>
      <c r="N71" s="56">
        <f t="shared" si="9"/>
        <v>6.846629818460651</v>
      </c>
      <c r="O71">
        <v>100</v>
      </c>
      <c r="P71" s="56">
        <f t="shared" si="10"/>
        <v>6.862589328526995</v>
      </c>
      <c r="Q71">
        <v>100</v>
      </c>
      <c r="R71" s="56">
        <f t="shared" si="11"/>
        <v>6.926427368792361</v>
      </c>
      <c r="S71" s="86">
        <f t="shared" si="12"/>
        <v>100</v>
      </c>
      <c r="T71" s="5">
        <f t="shared" si="30"/>
        <v>6.8785488385933355</v>
      </c>
      <c r="U71" s="86">
        <v>100</v>
      </c>
      <c r="V71" s="66">
        <f t="shared" si="13"/>
        <v>0.0011395090187368078</v>
      </c>
      <c r="W71" s="86">
        <v>100</v>
      </c>
      <c r="X71" s="66">
        <f t="shared" si="14"/>
        <v>0.0012272863241016882</v>
      </c>
      <c r="Y71" s="86">
        <v>100</v>
      </c>
      <c r="Z71" s="66">
        <f t="shared" si="15"/>
        <v>0.001225690373095054</v>
      </c>
      <c r="AA71" s="86">
        <f t="shared" si="35"/>
        <v>100</v>
      </c>
      <c r="AB71" s="65">
        <f t="shared" si="31"/>
        <v>0.0011974952386445165</v>
      </c>
      <c r="AC71" s="86">
        <v>100</v>
      </c>
      <c r="AD71" s="66">
        <f t="shared" si="16"/>
        <v>0.07756321892242139</v>
      </c>
      <c r="AE71" s="86">
        <v>100</v>
      </c>
      <c r="AF71" s="66">
        <f t="shared" si="17"/>
        <v>0.10070450851861705</v>
      </c>
      <c r="AG71" s="86">
        <v>100</v>
      </c>
      <c r="AH71" s="66">
        <f t="shared" si="18"/>
        <v>0.08394702294895813</v>
      </c>
      <c r="AI71" s="86">
        <f t="shared" si="34"/>
        <v>100</v>
      </c>
      <c r="AJ71" s="66">
        <f t="shared" si="32"/>
        <v>0.08740491679666552</v>
      </c>
      <c r="AK71" s="86">
        <v>100</v>
      </c>
      <c r="AL71" s="66">
        <f t="shared" si="19"/>
        <v>0.007899957482839216</v>
      </c>
      <c r="AM71" s="86">
        <v>100</v>
      </c>
      <c r="AN71" s="66">
        <f t="shared" si="20"/>
        <v>0.009080961227748511</v>
      </c>
      <c r="AO71" s="86">
        <v>100</v>
      </c>
      <c r="AP71" s="66">
        <f t="shared" si="21"/>
        <v>0.007373293650649934</v>
      </c>
      <c r="AQ71" s="86">
        <f t="shared" si="39"/>
        <v>100.00000000000001</v>
      </c>
      <c r="AR71" s="66">
        <f t="shared" si="33"/>
        <v>0.00811807078707922</v>
      </c>
      <c r="AS71" s="86">
        <f>SUM((AL71*AK71/100),(AD71*AC71/100),(V71*U71/100),(N71*M71/100),(F71*E71/100))/AT71*100</f>
        <v>100.00000000000003</v>
      </c>
      <c r="AT71" s="5">
        <f t="shared" si="22"/>
        <v>7.700884938075691</v>
      </c>
      <c r="AU71" s="86">
        <f>SUM((AN71*AM71/100),(AF71*AE71/100),(X71*W71/100),(P71*O71/100),(H71*G71/100))/AV71*100</f>
        <v>100</v>
      </c>
      <c r="AV71" s="5">
        <f t="shared" si="23"/>
        <v>7.741254518788505</v>
      </c>
      <c r="AW71" s="86">
        <f>SUM((AP71*AO71/100),(AH71*AG71/100),(Z71*Y71/100),(R71*Q71/100),(J71*I71/100))/AX71*100</f>
        <v>99.99999999999999</v>
      </c>
      <c r="AX71" s="5">
        <f t="shared" si="25"/>
        <v>7.786625809956108</v>
      </c>
      <c r="AY71" s="86">
        <f t="shared" si="26"/>
        <v>100.00000000000001</v>
      </c>
      <c r="AZ71" s="5">
        <f t="shared" si="5"/>
        <v>7.742921755606767</v>
      </c>
      <c r="BA71" s="66"/>
      <c r="BI71" s="86">
        <f>AS71</f>
        <v>100.00000000000003</v>
      </c>
      <c r="BJ71" s="5">
        <f t="shared" si="7"/>
        <v>7.700884938075691</v>
      </c>
      <c r="BK71" s="86">
        <f>AU71</f>
        <v>100</v>
      </c>
      <c r="BL71" s="5">
        <f t="shared" si="7"/>
        <v>7.741254518788505</v>
      </c>
      <c r="BM71" s="86">
        <f>AW71</f>
        <v>99.99999999999999</v>
      </c>
      <c r="BN71" s="5">
        <f t="shared" si="7"/>
        <v>7.786625809956108</v>
      </c>
      <c r="BO71" s="86">
        <f>AY71</f>
        <v>100.00000000000001</v>
      </c>
      <c r="BP71" s="5">
        <f t="shared" si="7"/>
        <v>7.742921755606767</v>
      </c>
    </row>
    <row r="72" spans="2:68" ht="12.75">
      <c r="B72" s="9" t="s">
        <v>121</v>
      </c>
      <c r="D72" s="9" t="s">
        <v>27</v>
      </c>
      <c r="E72" s="3">
        <v>100</v>
      </c>
      <c r="F72" s="56">
        <f t="shared" si="28"/>
        <v>1.3421947965793495</v>
      </c>
      <c r="G72" s="3">
        <v>100</v>
      </c>
      <c r="H72" s="56">
        <f t="shared" si="28"/>
        <v>1.3421947965793495</v>
      </c>
      <c r="I72" s="3">
        <v>100</v>
      </c>
      <c r="J72" s="56">
        <f t="shared" si="8"/>
        <v>1.3421947965793495</v>
      </c>
      <c r="K72" s="86">
        <f>SUM((J72*I72/100),(H72*G72/100),(F72*E72/100))/L72*100/3</f>
        <v>100</v>
      </c>
      <c r="L72" s="5">
        <f t="shared" si="29"/>
        <v>1.3421947965793495</v>
      </c>
      <c r="M72">
        <v>100</v>
      </c>
      <c r="N72" s="56">
        <f t="shared" si="9"/>
        <v>17.07667577098578</v>
      </c>
      <c r="O72">
        <v>100</v>
      </c>
      <c r="P72" s="56">
        <f t="shared" si="10"/>
        <v>17.07667577098578</v>
      </c>
      <c r="Q72">
        <v>100</v>
      </c>
      <c r="R72" s="56">
        <f t="shared" si="11"/>
        <v>17.395865972312613</v>
      </c>
      <c r="S72" s="86">
        <f t="shared" si="12"/>
        <v>100</v>
      </c>
      <c r="T72" s="5">
        <f t="shared" si="30"/>
        <v>17.18307250476139</v>
      </c>
      <c r="U72" s="86">
        <v>100</v>
      </c>
      <c r="V72" s="66">
        <f t="shared" si="13"/>
        <v>0.0017076675770985776</v>
      </c>
      <c r="W72" s="86">
        <v>100</v>
      </c>
      <c r="X72" s="66">
        <f t="shared" si="14"/>
        <v>0.0018353436576293127</v>
      </c>
      <c r="Y72" s="86">
        <v>100</v>
      </c>
      <c r="Z72" s="66">
        <f t="shared" si="15"/>
        <v>0.0018353436576293127</v>
      </c>
      <c r="AA72" s="86">
        <f t="shared" si="35"/>
        <v>100</v>
      </c>
      <c r="AB72" s="65">
        <f t="shared" si="31"/>
        <v>0.0017927849641190677</v>
      </c>
      <c r="AC72" s="86">
        <v>100</v>
      </c>
      <c r="AD72" s="66">
        <f t="shared" si="16"/>
        <v>0.09112880247881194</v>
      </c>
      <c r="AE72" s="86">
        <v>100</v>
      </c>
      <c r="AF72" s="66">
        <f t="shared" si="17"/>
        <v>0.09687422610269501</v>
      </c>
      <c r="AG72" s="86">
        <v>100</v>
      </c>
      <c r="AH72" s="66">
        <f t="shared" si="18"/>
        <v>0.09655503590136819</v>
      </c>
      <c r="AI72" s="86">
        <f t="shared" si="34"/>
        <v>100</v>
      </c>
      <c r="AJ72" s="66">
        <f t="shared" si="32"/>
        <v>0.09485268816095838</v>
      </c>
      <c r="AK72" s="86">
        <v>100</v>
      </c>
      <c r="AL72" s="66">
        <f t="shared" si="19"/>
        <v>0.011825996959159308</v>
      </c>
      <c r="AM72" s="86">
        <v>100</v>
      </c>
      <c r="AN72" s="66">
        <f t="shared" si="20"/>
        <v>0.013629421596655941</v>
      </c>
      <c r="AO72" s="86">
        <v>100</v>
      </c>
      <c r="AP72" s="66">
        <f t="shared" si="21"/>
        <v>0.0110599404759749</v>
      </c>
      <c r="AQ72" s="86">
        <f t="shared" si="39"/>
        <v>100</v>
      </c>
      <c r="AR72" s="66">
        <f t="shared" si="33"/>
        <v>0.01217178634393005</v>
      </c>
      <c r="AS72" s="86">
        <f>SUM((AL72*AK72/100),(AD72*AC72/100),(V72*U72/100),(N72*M72/100),(F72*E72/100))/AT72*100</f>
        <v>100</v>
      </c>
      <c r="AT72" s="5">
        <f t="shared" si="22"/>
        <v>18.5235330345802</v>
      </c>
      <c r="AU72" s="86">
        <f>SUM((AN72*AM72/100),(AF72*AE72/100),(X72*W72/100),(P72*O72/100),(H72*G72/100))/AV72*100</f>
        <v>100.00000000000003</v>
      </c>
      <c r="AV72" s="5">
        <f t="shared" si="23"/>
        <v>18.531209558922107</v>
      </c>
      <c r="AW72" s="86">
        <f>SUM((AP72*AO72/100),(AH72*AG72/100),(Z72*Y72/100),(R72*Q72/100),(J72*I72/100))/AX72*100</f>
        <v>100.00000000000003</v>
      </c>
      <c r="AX72" s="5">
        <f t="shared" si="25"/>
        <v>18.847511088926932</v>
      </c>
      <c r="AY72" s="86">
        <f t="shared" si="26"/>
        <v>100</v>
      </c>
      <c r="AZ72" s="5">
        <f t="shared" si="5"/>
        <v>18.63408456080975</v>
      </c>
      <c r="BA72" s="66"/>
      <c r="BI72" s="86">
        <f>AS72</f>
        <v>100</v>
      </c>
      <c r="BJ72" s="5">
        <f t="shared" si="7"/>
        <v>18.5235330345802</v>
      </c>
      <c r="BK72" s="86">
        <f>AU72</f>
        <v>100.00000000000003</v>
      </c>
      <c r="BL72" s="5">
        <f t="shared" si="7"/>
        <v>18.531209558922107</v>
      </c>
      <c r="BM72" s="86">
        <f>AW72</f>
        <v>100.00000000000003</v>
      </c>
      <c r="BN72" s="5">
        <f t="shared" si="7"/>
        <v>18.847511088926932</v>
      </c>
      <c r="BO72" s="86">
        <f>AY72</f>
        <v>100</v>
      </c>
      <c r="BP72" s="5">
        <f t="shared" si="7"/>
        <v>18.63408456080975</v>
      </c>
    </row>
    <row r="73" spans="2:68" ht="12.75">
      <c r="B73" s="9"/>
      <c r="D73" s="9"/>
      <c r="F73" s="56"/>
      <c r="G73" s="3"/>
      <c r="H73" s="56"/>
      <c r="J73" s="56"/>
      <c r="K73" s="86"/>
      <c r="L73" s="5"/>
      <c r="M73"/>
      <c r="N73" s="56"/>
      <c r="O73"/>
      <c r="P73" s="56"/>
      <c r="Q73"/>
      <c r="R73" s="56"/>
      <c r="S73" s="86"/>
      <c r="T73" s="5"/>
      <c r="U73" s="5"/>
      <c r="V73" s="66"/>
      <c r="W73" s="5"/>
      <c r="X73" s="66"/>
      <c r="Y73" s="5"/>
      <c r="Z73" s="66"/>
      <c r="AA73" s="86"/>
      <c r="AB73" s="65"/>
      <c r="AC73" s="86"/>
      <c r="AD73" s="66"/>
      <c r="AE73" s="86"/>
      <c r="AF73" s="66"/>
      <c r="AG73" s="66"/>
      <c r="AH73" s="66"/>
      <c r="AI73" s="86"/>
      <c r="AJ73" s="66"/>
      <c r="AK73" s="66"/>
      <c r="AL73" s="66"/>
      <c r="AM73" s="66"/>
      <c r="AN73" s="66"/>
      <c r="AO73" s="66"/>
      <c r="AP73" s="66"/>
      <c r="AQ73" s="87"/>
      <c r="AR73" s="66"/>
      <c r="AS73" s="86"/>
      <c r="AT73" s="66"/>
      <c r="AU73" s="86"/>
      <c r="AV73" s="66"/>
      <c r="AW73" s="86"/>
      <c r="AX73" s="66"/>
      <c r="AY73" s="86"/>
      <c r="AZ73" s="66"/>
      <c r="BA73" s="66"/>
      <c r="BI73" s="86"/>
      <c r="BJ73" s="5"/>
      <c r="BK73" s="86"/>
      <c r="BL73" s="5"/>
      <c r="BM73" s="86"/>
      <c r="BN73" s="5"/>
      <c r="BO73" s="86"/>
      <c r="BP73" s="5"/>
    </row>
    <row r="74" spans="2:69" ht="12.75">
      <c r="B74" s="2" t="s">
        <v>28</v>
      </c>
      <c r="D74" s="9" t="s">
        <v>27</v>
      </c>
      <c r="E74" s="3">
        <f>F66/F74*100</f>
        <v>6.648199445983378</v>
      </c>
      <c r="F74" s="67">
        <f>F67+F66</f>
        <v>5.7613831339494075</v>
      </c>
      <c r="G74" s="3">
        <f>H66/H74*100</f>
        <v>6.876790830945557</v>
      </c>
      <c r="H74" s="67">
        <f>H67+H66</f>
        <v>5.569869013153305</v>
      </c>
      <c r="I74" s="3">
        <f>J66/J74*100</f>
        <v>7.121661721068248</v>
      </c>
      <c r="J74" s="67">
        <f>J67+J66</f>
        <v>5.378354892357202</v>
      </c>
      <c r="K74" s="86">
        <f>SUM((J74*I74/100),(H74*G74/100),(F74*E74/100))/L74*100/3</f>
        <v>6.8767908309455565</v>
      </c>
      <c r="L74" s="5">
        <f>AVERAGE(F74,H74,J74)</f>
        <v>5.569869013153305</v>
      </c>
      <c r="M74" s="3">
        <f>N66/N74*100</f>
        <v>21.586345381526108</v>
      </c>
      <c r="N74" s="56">
        <f>N67+N66</f>
        <v>15.895672026076479</v>
      </c>
      <c r="O74" s="3">
        <f>P66/P74*100</f>
        <v>33.33333333333333</v>
      </c>
      <c r="P74" s="67">
        <f>P67+P66</f>
        <v>10.293883992790493</v>
      </c>
      <c r="Q74" s="3">
        <f>R66/R74*100</f>
        <v>33.33333333333333</v>
      </c>
      <c r="R74" s="67">
        <f>R67+R66</f>
        <v>10.389641053188543</v>
      </c>
      <c r="S74" s="86">
        <f t="shared" si="12"/>
        <v>28.22862129144851</v>
      </c>
      <c r="T74" s="5">
        <f>AVERAGE(N74,P74,R74)</f>
        <v>12.193065690685172</v>
      </c>
      <c r="U74" s="86">
        <f>V66/V74*100</f>
        <v>3.158262083406037</v>
      </c>
      <c r="V74" s="66">
        <f>V67+V66</f>
        <v>0.018292790438041027</v>
      </c>
      <c r="W74" s="86">
        <f>X66/X74*100</f>
        <v>6.037289138798461</v>
      </c>
      <c r="X74" s="66">
        <f>X67+X66</f>
        <v>0.01078543690283382</v>
      </c>
      <c r="Y74" s="86">
        <f>Z66/Z74*100</f>
        <v>14.683815648445872</v>
      </c>
      <c r="Z74" s="66">
        <f>Z67+Z66</f>
        <v>0.007445111445948473</v>
      </c>
      <c r="AA74" s="86">
        <f t="shared" si="35"/>
        <v>6.357876338212804</v>
      </c>
      <c r="AB74" s="65">
        <f>AVERAGE(V74,X74,Z74)</f>
        <v>0.012174446262274439</v>
      </c>
      <c r="AC74" s="86">
        <f>AD66/AD74*100</f>
        <v>8.341483861953334</v>
      </c>
      <c r="AD74" s="66">
        <f>AD67+AD66</f>
        <v>1.142222135448086</v>
      </c>
      <c r="AE74" s="86">
        <v>100</v>
      </c>
      <c r="AF74" s="66">
        <f>AF67+AF66</f>
        <v>0.2460956452229913</v>
      </c>
      <c r="AG74" s="86">
        <f>AH66/AH74*100</f>
        <v>40.46052631578947</v>
      </c>
      <c r="AH74" s="66">
        <f>AH67+AH66</f>
        <v>0.4851691060167921</v>
      </c>
      <c r="AI74" s="86">
        <f t="shared" si="34"/>
        <v>28.699207768975214</v>
      </c>
      <c r="AJ74" s="66">
        <f>AVERAGE(AD74,AF74,AH74)</f>
        <v>0.6244956288959563</v>
      </c>
      <c r="AK74" s="3">
        <v>100</v>
      </c>
      <c r="AL74" s="66">
        <f>AL67+AL66</f>
        <v>0.014730627791233526</v>
      </c>
      <c r="AM74" s="3">
        <v>100</v>
      </c>
      <c r="AN74" s="66">
        <f>AN67+AN66</f>
        <v>0.030881651978371474</v>
      </c>
      <c r="AO74" s="3">
        <v>100</v>
      </c>
      <c r="AP74" s="66">
        <f>AP67+AP66</f>
        <v>0.018624748247420934</v>
      </c>
      <c r="AQ74" s="86">
        <f t="shared" si="39"/>
        <v>100</v>
      </c>
      <c r="AR74" s="66">
        <f>AVERAGE(AL74,AN74,AP74)</f>
        <v>0.021412342672341978</v>
      </c>
      <c r="AS74" s="86">
        <f>SUM((AL74*AK74/100),(AD74*AC74/100),(V74*U74/100),(N74*M74/100),(F74*E74/100))/AT74*100</f>
        <v>17.190162271521707</v>
      </c>
      <c r="AT74" s="5">
        <f>F74+N74+V74+AD74+AL74</f>
        <v>22.83230071370325</v>
      </c>
      <c r="AU74" s="86">
        <f>SUM((AN74*AM74/100),(AF74*AE74/100),(X74*W74/100),(P74*O74/100),(H74*G74/100))/AV74*100</f>
        <v>25.33478230109202</v>
      </c>
      <c r="AV74" s="5">
        <f>H74+P74+X74+AF74+AN74</f>
        <v>16.151515740047994</v>
      </c>
      <c r="AW74" s="86">
        <f>SUM((AP74*AO74/100),(AH74*AG74/100),(Z74*Y74/100),(R74*Q74/100),(J74*I74/100))/AX74*100</f>
        <v>24.95364122844984</v>
      </c>
      <c r="AX74" s="5">
        <f>J74+R74+Z74+AH74+AP74</f>
        <v>16.27923491125591</v>
      </c>
      <c r="AY74" s="86">
        <f t="shared" si="26"/>
        <v>21.857502382170466</v>
      </c>
      <c r="AZ74" s="5">
        <f>L74+T74+AB74+AJ74+AR74</f>
        <v>18.42101712166905</v>
      </c>
      <c r="BA74" s="66"/>
      <c r="BI74" s="86">
        <f>AS74</f>
        <v>17.190162271521707</v>
      </c>
      <c r="BJ74" s="5">
        <f t="shared" si="7"/>
        <v>22.83230071370325</v>
      </c>
      <c r="BK74" s="86">
        <f>AU74</f>
        <v>25.33478230109202</v>
      </c>
      <c r="BL74" s="5">
        <f t="shared" si="7"/>
        <v>16.151515740047994</v>
      </c>
      <c r="BM74" s="86">
        <f>AW74</f>
        <v>24.95364122844984</v>
      </c>
      <c r="BN74" s="5">
        <f t="shared" si="7"/>
        <v>16.27923491125591</v>
      </c>
      <c r="BO74" s="86">
        <f>AY74</f>
        <v>21.857502382170466</v>
      </c>
      <c r="BP74" s="5">
        <f t="shared" si="7"/>
        <v>18.42101712166905</v>
      </c>
      <c r="BQ74" s="68"/>
    </row>
    <row r="75" spans="2:69" ht="12.75">
      <c r="B75" s="2" t="s">
        <v>29</v>
      </c>
      <c r="D75" s="9" t="s">
        <v>27</v>
      </c>
      <c r="E75" s="3">
        <f>SUM(F61,F65)/F75*100</f>
        <v>14.893617021276595</v>
      </c>
      <c r="F75" s="67">
        <f>F61+F65+F63</f>
        <v>41.25533352149368</v>
      </c>
      <c r="G75" s="3">
        <f>SUM(H61,H65)/H75*100</f>
        <v>10.434782608695654</v>
      </c>
      <c r="H75" s="67">
        <f>H61+H65+H63</f>
        <v>36.70687315258625</v>
      </c>
      <c r="I75" s="3">
        <f>SUM(J61,J65)/J75*100</f>
        <v>9.574468085106382</v>
      </c>
      <c r="J75" s="67">
        <f>J61+J65+J63</f>
        <v>36.00465470966721</v>
      </c>
      <c r="K75" s="86">
        <f>SUM((J75*I75/100),(H75*G75/100),(F75*E75/100))/L75*100/3</f>
        <v>11.777062036129394</v>
      </c>
      <c r="L75" s="5">
        <f>AVERAGE(F75,H75,J75)</f>
        <v>37.98895379458238</v>
      </c>
      <c r="M75" s="3">
        <f>SUM(N61,N65)/N75*100</f>
        <v>36.386768447837156</v>
      </c>
      <c r="N75" s="56">
        <f>N61+N63+N65</f>
        <v>37.63252473643408</v>
      </c>
      <c r="O75" s="3">
        <f>SUM(P61,P65)/P75*100</f>
        <v>34.651068979427194</v>
      </c>
      <c r="P75" s="67">
        <f>P61+P65+P63</f>
        <v>39.56362545446144</v>
      </c>
      <c r="Q75" s="3">
        <f>SUM(R61,R65)/R75*100</f>
        <v>36.6554054054054</v>
      </c>
      <c r="R75" s="67">
        <f>R61+R65+R63</f>
        <v>37.792119837097495</v>
      </c>
      <c r="S75" s="86">
        <f t="shared" si="12"/>
        <v>35.87786259541985</v>
      </c>
      <c r="T75" s="5">
        <f>AVERAGE(N75,P75,R75)</f>
        <v>38.329423342664334</v>
      </c>
      <c r="U75" s="86">
        <f>V65/V75*100</f>
        <v>0.7827141439753061</v>
      </c>
      <c r="V75" s="66">
        <f>V61+V63+V65</f>
        <v>0.07238435790589344</v>
      </c>
      <c r="W75" s="86">
        <f>X65/X75*100</f>
        <v>0.9144521643626293</v>
      </c>
      <c r="X75" s="66">
        <f>X61+X63+X65</f>
        <v>0.06684321601085955</v>
      </c>
      <c r="Y75" s="86">
        <f>Z65/Z75*100</f>
        <v>0.9579882247280711</v>
      </c>
      <c r="Z75" s="66">
        <f>Z61+Z63+Z65</f>
        <v>0.06397210014992466</v>
      </c>
      <c r="AA75" s="86">
        <f t="shared" si="35"/>
        <v>0.8812302665682287</v>
      </c>
      <c r="AB75" s="65">
        <f>AVERAGE(V75,X75,Z75)</f>
        <v>0.06773322468889255</v>
      </c>
      <c r="AC75" s="86">
        <f>AD65/AD75*100</f>
        <v>1.3513513513513513</v>
      </c>
      <c r="AD75" s="66">
        <f>AD61+AD63+AD65</f>
        <v>2.2439071153276635</v>
      </c>
      <c r="AE75" s="86">
        <f>AF65/AF75*100</f>
        <v>1.3628390230738094</v>
      </c>
      <c r="AF75" s="66">
        <f>AF61+AF63+AF65</f>
        <v>2.3655185820331885</v>
      </c>
      <c r="AG75" s="86">
        <f>SUM(AH65,AH63)/AH75*100</f>
        <v>17.759140135168145</v>
      </c>
      <c r="AH75" s="66">
        <f>AH61+AH63+AH65</f>
        <v>1.9599874312474423</v>
      </c>
      <c r="AI75" s="86">
        <f t="shared" si="34"/>
        <v>6.25075917693074</v>
      </c>
      <c r="AJ75" s="66">
        <f>AVERAGE(AD75,AF75,AH75)</f>
        <v>2.1898043762027646</v>
      </c>
      <c r="AK75" s="86">
        <f>AL65/AL75*100</f>
        <v>1.3257167492994182</v>
      </c>
      <c r="AL75" s="66">
        <f>AL61+AL63+AL65</f>
        <v>0.2961446687910393</v>
      </c>
      <c r="AM75" s="86">
        <f>AN65/AN75*100</f>
        <v>1.6622922134733158</v>
      </c>
      <c r="AN75" s="66">
        <f>AN61+AN63+AN65</f>
        <v>0.273625800087431</v>
      </c>
      <c r="AO75" s="86">
        <f>AP65/AP75*100</f>
        <v>1.5047879616963065</v>
      </c>
      <c r="AP75" s="66">
        <f>AP61+AP63+AP65</f>
        <v>0.2449944390284137</v>
      </c>
      <c r="AQ75" s="86">
        <f t="shared" si="39"/>
        <v>1.4925957846901197</v>
      </c>
      <c r="AR75" s="66">
        <f>AVERAGE(AL75,AN75,AP75)</f>
        <v>0.271588302635628</v>
      </c>
      <c r="AS75" s="86">
        <f>SUM((AL75*AK75/100),(AD75*AC75/100),(V75*U75/100),(N75*M75/100),(F75*E75/100))/AT75*100</f>
        <v>24.383331164610198</v>
      </c>
      <c r="AT75" s="5">
        <f>F75+N75+V75+AD75+AL75</f>
        <v>81.50029439995235</v>
      </c>
      <c r="AU75" s="86">
        <f>SUM((AN75*AM75/100),(AF75*AE75/100),(X75*W75/100),(P75*O75/100),(H75*G75/100))/AV75*100</f>
        <v>22.25586415326677</v>
      </c>
      <c r="AV75" s="5">
        <f>H75+P75+X75+AF75+AN75</f>
        <v>78.97648620517917</v>
      </c>
      <c r="AW75" s="86">
        <f>SUM((AP75*AO75/100),(AH75*AG75/100),(Z75*Y75/100),(R75*Q75/100),(J75*I75/100))/AX75*100</f>
        <v>23.206883918141887</v>
      </c>
      <c r="AX75" s="5">
        <f>J75+R75+Z75+AH75+AP75</f>
        <v>76.0657285171905</v>
      </c>
      <c r="AY75" s="86">
        <f t="shared" si="26"/>
        <v>23.29470152719975</v>
      </c>
      <c r="AZ75" s="5">
        <f>L75+T75+AB75+AJ75+AR75</f>
        <v>78.84750304077399</v>
      </c>
      <c r="BA75" s="66"/>
      <c r="BI75" s="86">
        <f>AS75</f>
        <v>24.383331164610198</v>
      </c>
      <c r="BJ75" s="5">
        <f t="shared" si="7"/>
        <v>81.50029439995235</v>
      </c>
      <c r="BK75" s="86">
        <f>AU75</f>
        <v>22.25586415326677</v>
      </c>
      <c r="BL75" s="5">
        <f t="shared" si="7"/>
        <v>78.97648620517917</v>
      </c>
      <c r="BM75" s="86">
        <f>AW75</f>
        <v>23.206883918141887</v>
      </c>
      <c r="BN75" s="5">
        <f t="shared" si="7"/>
        <v>76.0657285171905</v>
      </c>
      <c r="BO75" s="86">
        <f>AY75</f>
        <v>23.29470152719975</v>
      </c>
      <c r="BP75" s="5">
        <f t="shared" si="7"/>
        <v>78.84750304077399</v>
      </c>
      <c r="BQ75" s="68"/>
    </row>
    <row r="76" ht="12.75">
      <c r="AS76" s="8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B1">
      <selection activeCell="D2" sqref="D2"/>
    </sheetView>
  </sheetViews>
  <sheetFormatPr defaultColWidth="9.140625" defaultRowHeight="12.75"/>
  <cols>
    <col min="1" max="1" width="9.140625" style="75" hidden="1" customWidth="1"/>
    <col min="2" max="2" width="16.00390625" style="75" customWidth="1"/>
    <col min="3" max="3" width="3.28125" style="75" customWidth="1"/>
    <col min="4" max="4" width="12.00390625" style="75" customWidth="1"/>
    <col min="5" max="5" width="4.00390625" style="75" bestFit="1" customWidth="1"/>
    <col min="6" max="6" width="11.00390625" style="75" bestFit="1" customWidth="1"/>
    <col min="7" max="7" width="4.421875" style="75" customWidth="1"/>
    <col min="8" max="8" width="11.00390625" style="75" bestFit="1" customWidth="1"/>
    <col min="9" max="9" width="5.7109375" style="75" customWidth="1"/>
    <col min="10" max="10" width="11.00390625" style="75" bestFit="1" customWidth="1"/>
    <col min="11" max="11" width="2.8515625" style="75" customWidth="1"/>
    <col min="12" max="12" width="10.140625" style="75" customWidth="1"/>
    <col min="13" max="13" width="4.421875" style="75" customWidth="1"/>
    <col min="14" max="14" width="9.140625" style="75" customWidth="1"/>
    <col min="15" max="15" width="2.140625" style="75" customWidth="1"/>
    <col min="16" max="16" width="9.140625" style="75" customWidth="1"/>
    <col min="17" max="17" width="3.8515625" style="75" customWidth="1"/>
    <col min="18" max="18" width="9.140625" style="75" customWidth="1"/>
    <col min="19" max="19" width="3.7109375" style="75" customWidth="1"/>
    <col min="20" max="16384" width="9.140625" style="75" customWidth="1"/>
  </cols>
  <sheetData>
    <row r="1" spans="2:3" ht="12.75">
      <c r="B1" s="15" t="s">
        <v>207</v>
      </c>
      <c r="C1" s="15"/>
    </row>
    <row r="4" spans="2:20" ht="12.75">
      <c r="B4" s="15" t="s">
        <v>134</v>
      </c>
      <c r="C4" s="15"/>
      <c r="F4" s="81" t="s">
        <v>186</v>
      </c>
      <c r="G4" s="81"/>
      <c r="H4" s="81" t="s">
        <v>187</v>
      </c>
      <c r="I4" s="81"/>
      <c r="J4" s="81" t="s">
        <v>188</v>
      </c>
      <c r="K4" s="81"/>
      <c r="L4" s="81" t="s">
        <v>189</v>
      </c>
      <c r="N4" s="81" t="s">
        <v>186</v>
      </c>
      <c r="O4" s="81"/>
      <c r="P4" s="81" t="s">
        <v>187</v>
      </c>
      <c r="Q4" s="81"/>
      <c r="R4" s="81" t="s">
        <v>188</v>
      </c>
      <c r="S4" s="81"/>
      <c r="T4" s="81" t="s">
        <v>189</v>
      </c>
    </row>
    <row r="6" spans="2:20" ht="12.75">
      <c r="B6" s="75" t="s">
        <v>230</v>
      </c>
      <c r="F6" s="75" t="s">
        <v>232</v>
      </c>
      <c r="H6" s="75" t="s">
        <v>232</v>
      </c>
      <c r="J6" s="75" t="s">
        <v>232</v>
      </c>
      <c r="L6" s="75" t="s">
        <v>232</v>
      </c>
      <c r="N6" s="75" t="s">
        <v>234</v>
      </c>
      <c r="P6" s="75" t="s">
        <v>234</v>
      </c>
      <c r="R6" s="75" t="s">
        <v>234</v>
      </c>
      <c r="T6" s="75" t="s">
        <v>234</v>
      </c>
    </row>
    <row r="7" spans="2:20" ht="12.75">
      <c r="B7" s="75" t="s">
        <v>231</v>
      </c>
      <c r="F7" s="75" t="s">
        <v>236</v>
      </c>
      <c r="H7" s="75" t="s">
        <v>236</v>
      </c>
      <c r="J7" s="75" t="s">
        <v>236</v>
      </c>
      <c r="L7" s="75" t="s">
        <v>236</v>
      </c>
      <c r="N7" s="75" t="s">
        <v>20</v>
      </c>
      <c r="P7" s="75" t="s">
        <v>20</v>
      </c>
      <c r="R7" s="75" t="s">
        <v>20</v>
      </c>
      <c r="T7" s="75" t="s">
        <v>20</v>
      </c>
    </row>
    <row r="8" spans="2:20" ht="12.75">
      <c r="B8" s="75" t="s">
        <v>242</v>
      </c>
      <c r="F8" s="75" t="s">
        <v>31</v>
      </c>
      <c r="H8" s="75" t="s">
        <v>31</v>
      </c>
      <c r="J8" s="75" t="s">
        <v>31</v>
      </c>
      <c r="L8" s="75" t="s">
        <v>31</v>
      </c>
      <c r="N8" s="75" t="s">
        <v>20</v>
      </c>
      <c r="P8" s="75" t="s">
        <v>20</v>
      </c>
      <c r="R8" s="75" t="s">
        <v>20</v>
      </c>
      <c r="T8" s="75" t="s">
        <v>20</v>
      </c>
    </row>
    <row r="9" spans="2:20" ht="12.75">
      <c r="B9" s="75" t="s">
        <v>21</v>
      </c>
      <c r="F9" s="75" t="s">
        <v>195</v>
      </c>
      <c r="H9" s="75" t="s">
        <v>195</v>
      </c>
      <c r="J9" s="75" t="s">
        <v>195</v>
      </c>
      <c r="L9" s="75" t="s">
        <v>195</v>
      </c>
      <c r="N9" s="75" t="s">
        <v>20</v>
      </c>
      <c r="P9" s="75" t="s">
        <v>20</v>
      </c>
      <c r="R9" s="75" t="s">
        <v>20</v>
      </c>
      <c r="T9" s="75" t="s">
        <v>20</v>
      </c>
    </row>
    <row r="10" spans="1:11" ht="12.75">
      <c r="A10" s="75" t="s">
        <v>134</v>
      </c>
      <c r="B10" s="75" t="s">
        <v>196</v>
      </c>
      <c r="D10" s="75" t="s">
        <v>26</v>
      </c>
      <c r="E10" s="77"/>
      <c r="F10" s="77"/>
      <c r="G10" s="77"/>
      <c r="H10" s="77"/>
      <c r="I10" s="77"/>
      <c r="J10" s="77"/>
      <c r="K10" s="77"/>
    </row>
    <row r="11" spans="1:11" ht="12.75">
      <c r="A11" s="75" t="s">
        <v>134</v>
      </c>
      <c r="B11" s="75" t="s">
        <v>197</v>
      </c>
      <c r="D11" s="75" t="s">
        <v>198</v>
      </c>
      <c r="E11" s="77"/>
      <c r="F11" s="77"/>
      <c r="G11" s="77"/>
      <c r="H11" s="77"/>
      <c r="I11" s="77"/>
      <c r="J11" s="77"/>
      <c r="K11" s="77"/>
    </row>
    <row r="12" spans="1:11" ht="12.75">
      <c r="A12" s="75" t="s">
        <v>134</v>
      </c>
      <c r="B12" s="75" t="s">
        <v>22</v>
      </c>
      <c r="D12" s="75" t="s">
        <v>26</v>
      </c>
      <c r="E12" s="77"/>
      <c r="F12" s="77">
        <v>3.71</v>
      </c>
      <c r="G12" s="77"/>
      <c r="H12" s="77"/>
      <c r="I12" s="77"/>
      <c r="J12" s="77">
        <v>5.13</v>
      </c>
      <c r="K12" s="77"/>
    </row>
    <row r="13" spans="5:11" ht="12.75">
      <c r="E13" s="77"/>
      <c r="F13" s="77"/>
      <c r="G13" s="77"/>
      <c r="H13" s="77"/>
      <c r="I13" s="77"/>
      <c r="J13" s="77"/>
      <c r="K13" s="77"/>
    </row>
    <row r="14" spans="1:11" ht="12.75">
      <c r="A14" s="75" t="s">
        <v>134</v>
      </c>
      <c r="B14" s="75" t="s">
        <v>56</v>
      </c>
      <c r="D14" s="75" t="s">
        <v>26</v>
      </c>
      <c r="E14" s="77">
        <v>1</v>
      </c>
      <c r="F14" s="78">
        <v>2.64E-05</v>
      </c>
      <c r="G14" s="77"/>
      <c r="H14" s="77"/>
      <c r="I14" s="77">
        <v>1</v>
      </c>
      <c r="J14" s="78">
        <v>2.39E-05</v>
      </c>
      <c r="K14" s="78"/>
    </row>
    <row r="15" spans="1:11" ht="12.75">
      <c r="A15" s="75" t="s">
        <v>134</v>
      </c>
      <c r="B15" s="75" t="s">
        <v>119</v>
      </c>
      <c r="D15" s="75" t="s">
        <v>26</v>
      </c>
      <c r="E15" s="77">
        <v>1</v>
      </c>
      <c r="F15" s="78">
        <v>2.64E-06</v>
      </c>
      <c r="G15" s="77"/>
      <c r="H15" s="77"/>
      <c r="I15" s="77">
        <v>1</v>
      </c>
      <c r="J15" s="78">
        <v>2.39E-06</v>
      </c>
      <c r="K15" s="78"/>
    </row>
    <row r="16" spans="1:11" ht="12.75">
      <c r="A16" s="75" t="s">
        <v>134</v>
      </c>
      <c r="B16" s="75" t="s">
        <v>57</v>
      </c>
      <c r="D16" s="75" t="s">
        <v>26</v>
      </c>
      <c r="E16" s="77"/>
      <c r="F16" s="78">
        <v>2.4E-05</v>
      </c>
      <c r="G16" s="77"/>
      <c r="H16" s="77"/>
      <c r="I16" s="77">
        <v>1</v>
      </c>
      <c r="J16" s="78">
        <v>9.56E-06</v>
      </c>
      <c r="K16" s="78"/>
    </row>
    <row r="17" spans="1:11" ht="12.75">
      <c r="A17" s="75" t="s">
        <v>134</v>
      </c>
      <c r="B17" s="75" t="s">
        <v>49</v>
      </c>
      <c r="D17" s="75" t="s">
        <v>26</v>
      </c>
      <c r="E17" s="77"/>
      <c r="F17" s="78">
        <v>0.000123</v>
      </c>
      <c r="G17" s="77"/>
      <c r="H17" s="77">
        <v>6.97E-05</v>
      </c>
      <c r="I17" s="77"/>
      <c r="J17" s="78">
        <v>6.74E-05</v>
      </c>
      <c r="K17" s="78"/>
    </row>
    <row r="18" spans="1:11" ht="12.75">
      <c r="A18" s="75" t="s">
        <v>134</v>
      </c>
      <c r="B18" s="75" t="s">
        <v>191</v>
      </c>
      <c r="D18" s="75" t="s">
        <v>26</v>
      </c>
      <c r="E18" s="77"/>
      <c r="F18" s="78">
        <v>6.91E-05</v>
      </c>
      <c r="G18" s="77"/>
      <c r="H18" s="77">
        <v>6.97E-05</v>
      </c>
      <c r="I18" s="77"/>
      <c r="J18" s="78">
        <v>5.05E-05</v>
      </c>
      <c r="K18" s="78"/>
    </row>
    <row r="19" spans="1:11" ht="12.75">
      <c r="A19" s="75" t="s">
        <v>134</v>
      </c>
      <c r="B19" s="75" t="s">
        <v>70</v>
      </c>
      <c r="D19" s="75" t="s">
        <v>26</v>
      </c>
      <c r="E19" s="77"/>
      <c r="F19" s="78">
        <v>0.000605</v>
      </c>
      <c r="G19" s="77"/>
      <c r="H19" s="77"/>
      <c r="I19" s="77"/>
      <c r="J19" s="78">
        <v>9.22E-05</v>
      </c>
      <c r="K19" s="78"/>
    </row>
    <row r="20" spans="5:11" ht="12.75">
      <c r="E20" s="77"/>
      <c r="F20" s="77"/>
      <c r="G20" s="77"/>
      <c r="H20" s="77"/>
      <c r="I20" s="77"/>
      <c r="J20" s="77"/>
      <c r="K20" s="77"/>
    </row>
    <row r="21" spans="2:11" ht="12.75">
      <c r="B21" s="71" t="s">
        <v>194</v>
      </c>
      <c r="C21" s="71"/>
      <c r="E21" s="77"/>
      <c r="F21" s="77">
        <f>'emiss 2'!G26</f>
        <v>21542</v>
      </c>
      <c r="G21" s="77"/>
      <c r="H21" s="77">
        <f>'emiss 2'!I26</f>
        <v>20654</v>
      </c>
      <c r="I21" s="77"/>
      <c r="J21" s="77">
        <f>'emiss 2'!K26</f>
        <v>21384</v>
      </c>
      <c r="K21" s="77"/>
    </row>
    <row r="22" spans="2:11" ht="12.75">
      <c r="B22" s="71" t="s">
        <v>61</v>
      </c>
      <c r="C22" s="71"/>
      <c r="E22" s="77"/>
      <c r="F22" s="77">
        <f>'emiss 2'!G27</f>
        <v>5.2</v>
      </c>
      <c r="G22" s="77"/>
      <c r="H22" s="77">
        <f>'emiss 2'!I27</f>
        <v>5.1</v>
      </c>
      <c r="I22" s="77"/>
      <c r="J22" s="77">
        <f>'emiss 2'!K27</f>
        <v>5.1</v>
      </c>
      <c r="K22" s="77"/>
    </row>
    <row r="23" spans="5:11" ht="12.75">
      <c r="E23" s="77"/>
      <c r="F23" s="77"/>
      <c r="G23" s="77"/>
      <c r="H23" s="77"/>
      <c r="I23" s="77"/>
      <c r="J23" s="77"/>
      <c r="K23" s="77"/>
    </row>
    <row r="24" spans="2:11" ht="12.75">
      <c r="B24" s="15" t="s">
        <v>62</v>
      </c>
      <c r="C24" s="15"/>
      <c r="E24" s="77"/>
      <c r="F24" s="77"/>
      <c r="G24" s="77"/>
      <c r="H24" s="77"/>
      <c r="I24" s="77"/>
      <c r="J24" s="77"/>
      <c r="K24" s="77"/>
    </row>
    <row r="25" spans="2:20" ht="12.75">
      <c r="B25" s="75" t="s">
        <v>22</v>
      </c>
      <c r="D25" s="75" t="s">
        <v>30</v>
      </c>
      <c r="E25" s="77"/>
      <c r="F25" s="79">
        <f>F12/60*454*1000/(F$21*0.0283)*(21-7)/(21-F$22)</f>
        <v>40.8015821328943</v>
      </c>
      <c r="G25" s="77"/>
      <c r="H25" s="77"/>
      <c r="I25" s="77"/>
      <c r="J25" s="79">
        <f>J12/60*454*1000/(J$21*0.0283)*(21-7)/(21-J$22)</f>
        <v>56.47776443607277</v>
      </c>
      <c r="K25" s="79"/>
      <c r="L25" s="82">
        <f>AVERAGE(F25,J25)</f>
        <v>48.639673284483536</v>
      </c>
      <c r="N25" s="79">
        <f>F25</f>
        <v>40.8015821328943</v>
      </c>
      <c r="P25" s="79"/>
      <c r="R25" s="79">
        <f>J25</f>
        <v>56.47776443607277</v>
      </c>
      <c r="T25" s="79">
        <f>L25</f>
        <v>48.639673284483536</v>
      </c>
    </row>
    <row r="26" spans="5:12" ht="12.75">
      <c r="E26" s="77"/>
      <c r="F26" s="77"/>
      <c r="G26" s="77"/>
      <c r="H26" s="77"/>
      <c r="I26" s="77"/>
      <c r="J26" s="77"/>
      <c r="K26" s="77"/>
      <c r="L26" s="82"/>
    </row>
    <row r="27" spans="2:20" ht="12.75">
      <c r="B27" s="75" t="s">
        <v>56</v>
      </c>
      <c r="D27" s="75" t="s">
        <v>27</v>
      </c>
      <c r="E27" s="77">
        <v>100</v>
      </c>
      <c r="F27" s="80">
        <f>F14/60*454*1000000/F$21/0.0283*(21-7)/(21-F$22)</f>
        <v>0.290340099274504</v>
      </c>
      <c r="G27" s="80"/>
      <c r="H27" s="80"/>
      <c r="I27" s="77">
        <v>100</v>
      </c>
      <c r="J27" s="80">
        <f aca="true" t="shared" si="0" ref="J27:J32">J14/60*454*1000000/J$21/0.0283*(21-7)/(21-J$22)</f>
        <v>0.26312252826942284</v>
      </c>
      <c r="K27" s="80"/>
      <c r="L27" s="80">
        <f>AVERAGE(F27,J27)</f>
        <v>0.2767313137719634</v>
      </c>
      <c r="M27" s="77">
        <v>100</v>
      </c>
      <c r="N27" s="79">
        <f aca="true" t="shared" si="1" ref="N27:N32">F27</f>
        <v>0.290340099274504</v>
      </c>
      <c r="P27" s="79"/>
      <c r="Q27" s="77">
        <v>100</v>
      </c>
      <c r="R27" s="79">
        <f aca="true" t="shared" si="2" ref="R27:R32">J27</f>
        <v>0.26312252826942284</v>
      </c>
      <c r="S27" s="75">
        <f>SUM((R27*Q27/100),(N27*M27/100))/T27*100/3</f>
        <v>66.66666666666667</v>
      </c>
      <c r="T27" s="79">
        <f>AVERAGE(R27,N27)</f>
        <v>0.2767313137719634</v>
      </c>
    </row>
    <row r="28" spans="2:20" ht="12.75">
      <c r="B28" s="75" t="s">
        <v>119</v>
      </c>
      <c r="D28" s="75" t="s">
        <v>27</v>
      </c>
      <c r="E28" s="77">
        <v>100</v>
      </c>
      <c r="F28" s="80">
        <f aca="true" t="shared" si="3" ref="F28:H32">F15/60*454*1000000/F$21/0.0283*(21-7)/(21-F$22)</f>
        <v>0.029034009927450397</v>
      </c>
      <c r="G28" s="80"/>
      <c r="H28" s="80"/>
      <c r="I28" s="77">
        <v>100</v>
      </c>
      <c r="J28" s="80">
        <f t="shared" si="0"/>
        <v>0.026312252826942283</v>
      </c>
      <c r="K28" s="80"/>
      <c r="L28" s="80">
        <f>AVERAGE(F28,J28)/2</f>
        <v>0.01383656568859817</v>
      </c>
      <c r="M28" s="77">
        <v>100</v>
      </c>
      <c r="N28" s="79">
        <f t="shared" si="1"/>
        <v>0.029034009927450397</v>
      </c>
      <c r="P28" s="79"/>
      <c r="Q28" s="77">
        <v>100</v>
      </c>
      <c r="R28" s="79">
        <f t="shared" si="2"/>
        <v>0.026312252826942283</v>
      </c>
      <c r="S28" s="75">
        <f aca="true" t="shared" si="4" ref="S28:S35">SUM((R28*Q28/100),(N28*M28/100))/T28*100/3</f>
        <v>133.33333333333334</v>
      </c>
      <c r="T28" s="79">
        <f>L28</f>
        <v>0.01383656568859817</v>
      </c>
    </row>
    <row r="29" spans="2:20" ht="12.75">
      <c r="B29" s="75" t="s">
        <v>57</v>
      </c>
      <c r="D29" s="75" t="s">
        <v>27</v>
      </c>
      <c r="E29" s="77"/>
      <c r="F29" s="80">
        <f t="shared" si="3"/>
        <v>0.26394554479500365</v>
      </c>
      <c r="G29" s="80"/>
      <c r="H29" s="80"/>
      <c r="I29" s="77">
        <v>100</v>
      </c>
      <c r="J29" s="80">
        <f t="shared" si="0"/>
        <v>0.10524901130776913</v>
      </c>
      <c r="K29" s="80"/>
      <c r="L29" s="80">
        <f>AVERAGE(F29,J29/2)</f>
        <v>0.1582850252244441</v>
      </c>
      <c r="N29" s="79">
        <f t="shared" si="1"/>
        <v>0.26394554479500365</v>
      </c>
      <c r="P29" s="79"/>
      <c r="Q29" s="77">
        <v>100</v>
      </c>
      <c r="R29" s="79">
        <f t="shared" si="2"/>
        <v>0.10524901130776913</v>
      </c>
      <c r="S29" s="75">
        <f t="shared" si="4"/>
        <v>22.164449049750335</v>
      </c>
      <c r="T29" s="79">
        <f>L29</f>
        <v>0.1582850252244441</v>
      </c>
    </row>
    <row r="30" spans="2:20" ht="12.75">
      <c r="B30" s="75" t="s">
        <v>49</v>
      </c>
      <c r="D30" s="75" t="s">
        <v>27</v>
      </c>
      <c r="E30" s="77"/>
      <c r="F30" s="80">
        <f t="shared" si="3"/>
        <v>1.352720917074394</v>
      </c>
      <c r="G30" s="80"/>
      <c r="H30" s="80">
        <f t="shared" si="3"/>
        <v>0.7944703316054144</v>
      </c>
      <c r="I30" s="77"/>
      <c r="J30" s="80">
        <f t="shared" si="0"/>
        <v>0.7420275483413848</v>
      </c>
      <c r="K30" s="80"/>
      <c r="L30" s="80">
        <f>AVERAGE(F30,H30,J30)</f>
        <v>0.9630729323403977</v>
      </c>
      <c r="N30" s="79">
        <f t="shared" si="1"/>
        <v>1.352720917074394</v>
      </c>
      <c r="P30" s="79">
        <f>H30</f>
        <v>0.7944703316054144</v>
      </c>
      <c r="Q30" s="77"/>
      <c r="R30" s="79">
        <f t="shared" si="2"/>
        <v>0.7420275483413848</v>
      </c>
      <c r="T30" s="79">
        <f>L30</f>
        <v>0.9630729323403977</v>
      </c>
    </row>
    <row r="31" spans="2:20" ht="12.75">
      <c r="B31" s="75" t="s">
        <v>191</v>
      </c>
      <c r="D31" s="75" t="s">
        <v>27</v>
      </c>
      <c r="E31" s="77"/>
      <c r="F31" s="80">
        <f t="shared" si="3"/>
        <v>0.759943214388948</v>
      </c>
      <c r="G31" s="80"/>
      <c r="H31" s="80">
        <f t="shared" si="3"/>
        <v>0.7944703316054144</v>
      </c>
      <c r="I31" s="77"/>
      <c r="J31" s="80">
        <f t="shared" si="0"/>
        <v>0.555970195715726</v>
      </c>
      <c r="K31" s="80"/>
      <c r="L31" s="80">
        <f>AVERAGE(F31,H31,J31)</f>
        <v>0.7034612472366962</v>
      </c>
      <c r="N31" s="79">
        <f t="shared" si="1"/>
        <v>0.759943214388948</v>
      </c>
      <c r="P31" s="79">
        <f>H31</f>
        <v>0.7944703316054144</v>
      </c>
      <c r="Q31" s="77"/>
      <c r="R31" s="79">
        <f t="shared" si="2"/>
        <v>0.555970195715726</v>
      </c>
      <c r="T31" s="79">
        <f>L31</f>
        <v>0.7034612472366962</v>
      </c>
    </row>
    <row r="32" spans="2:20" ht="12.75">
      <c r="B32" s="75" t="s">
        <v>70</v>
      </c>
      <c r="D32" s="75" t="s">
        <v>27</v>
      </c>
      <c r="E32" s="77"/>
      <c r="F32" s="80">
        <f t="shared" si="3"/>
        <v>6.653627275040716</v>
      </c>
      <c r="G32" s="80"/>
      <c r="H32" s="80"/>
      <c r="I32" s="77"/>
      <c r="J32" s="80">
        <f t="shared" si="0"/>
        <v>1.0150584563364347</v>
      </c>
      <c r="K32" s="80"/>
      <c r="L32" s="80">
        <f>AVERAGE(F32,J32)</f>
        <v>3.8343428656885754</v>
      </c>
      <c r="N32" s="79">
        <f t="shared" si="1"/>
        <v>6.653627275040716</v>
      </c>
      <c r="P32" s="79"/>
      <c r="Q32" s="77"/>
      <c r="R32" s="79">
        <f t="shared" si="2"/>
        <v>1.0150584563364347</v>
      </c>
      <c r="T32" s="79">
        <f>L32</f>
        <v>3.8343428656885754</v>
      </c>
    </row>
    <row r="33" spans="5:17" ht="12.75">
      <c r="E33" s="77"/>
      <c r="F33" s="80"/>
      <c r="G33" s="80"/>
      <c r="H33" s="80"/>
      <c r="I33" s="77"/>
      <c r="J33" s="80"/>
      <c r="K33" s="80"/>
      <c r="L33" s="80"/>
      <c r="Q33" s="77"/>
    </row>
    <row r="34" spans="2:21" ht="12.75">
      <c r="B34" s="75" t="s">
        <v>28</v>
      </c>
      <c r="D34" s="75" t="s">
        <v>27</v>
      </c>
      <c r="E34" s="77"/>
      <c r="F34" s="80">
        <f>F29</f>
        <v>0.26394554479500365</v>
      </c>
      <c r="G34" s="80"/>
      <c r="H34" s="80"/>
      <c r="I34" s="82">
        <v>100</v>
      </c>
      <c r="J34" s="80">
        <f>J29</f>
        <v>0.10524901130776913</v>
      </c>
      <c r="K34" s="80"/>
      <c r="L34" s="80">
        <f>AVERAGE(F34,J34)</f>
        <v>0.1845972780513864</v>
      </c>
      <c r="N34" s="79">
        <f>F34</f>
        <v>0.26394554479500365</v>
      </c>
      <c r="P34" s="79">
        <f>H34</f>
        <v>0</v>
      </c>
      <c r="Q34" s="82">
        <v>100</v>
      </c>
      <c r="R34" s="79">
        <f>J34</f>
        <v>0.10524901130776913</v>
      </c>
      <c r="S34" s="75">
        <f t="shared" si="4"/>
        <v>19.00515768140975</v>
      </c>
      <c r="T34" s="79">
        <f>L34</f>
        <v>0.1845972780513864</v>
      </c>
      <c r="U34" s="75" t="s">
        <v>192</v>
      </c>
    </row>
    <row r="35" spans="2:20" ht="12.75">
      <c r="B35" s="75" t="s">
        <v>29</v>
      </c>
      <c r="D35" s="75" t="s">
        <v>27</v>
      </c>
      <c r="E35" s="77"/>
      <c r="F35" s="80">
        <f>F27/2+F28/2+F30</f>
        <v>1.512407971675371</v>
      </c>
      <c r="G35" s="80"/>
      <c r="H35" s="80">
        <f>H30</f>
        <v>0.7944703316054144</v>
      </c>
      <c r="I35" s="79">
        <f>SUM(J27,J28)/J35*100</f>
        <v>28.060625466965526</v>
      </c>
      <c r="J35" s="80">
        <f>J27+J28+J30</f>
        <v>1.0314623294377498</v>
      </c>
      <c r="K35" s="80"/>
      <c r="L35" s="80">
        <f>AVERAGE(F35,H35,J35)</f>
        <v>1.1127802109061784</v>
      </c>
      <c r="N35" s="79">
        <f>F35</f>
        <v>1.512407971675371</v>
      </c>
      <c r="P35" s="79">
        <f>H35</f>
        <v>0.7944703316054144</v>
      </c>
      <c r="Q35" s="79">
        <f>SUM(R27,R28)/R35*100</f>
        <v>28.060625466965526</v>
      </c>
      <c r="R35" s="79">
        <f>J35</f>
        <v>1.0314623294377498</v>
      </c>
      <c r="S35" s="75">
        <f t="shared" si="4"/>
        <v>8.670019418020491</v>
      </c>
      <c r="T35" s="79">
        <f>L35</f>
        <v>1.1127802109061784</v>
      </c>
    </row>
    <row r="36" spans="5:11" ht="12.75">
      <c r="E36" s="77"/>
      <c r="F36" s="77"/>
      <c r="G36" s="77"/>
      <c r="H36" s="77"/>
      <c r="I36" s="77"/>
      <c r="J36" s="77"/>
      <c r="K36" s="77"/>
    </row>
    <row r="37" spans="5:11" ht="12.75">
      <c r="E37" s="77"/>
      <c r="F37" s="77"/>
      <c r="G37" s="77"/>
      <c r="H37" s="77"/>
      <c r="I37" s="77"/>
      <c r="J37" s="77"/>
      <c r="K37" s="77"/>
    </row>
    <row r="38" spans="2:12" ht="12.75">
      <c r="B38" s="15" t="s">
        <v>136</v>
      </c>
      <c r="C38" s="15"/>
      <c r="F38" s="81" t="s">
        <v>186</v>
      </c>
      <c r="G38" s="81"/>
      <c r="H38" s="81" t="s">
        <v>186</v>
      </c>
      <c r="I38" s="81"/>
      <c r="J38" s="81"/>
      <c r="K38" s="81"/>
      <c r="L38" s="81"/>
    </row>
    <row r="39" spans="7:11" ht="12.75">
      <c r="G39" s="77"/>
      <c r="H39" s="77"/>
      <c r="I39" s="77"/>
      <c r="J39" s="77"/>
      <c r="K39" s="77"/>
    </row>
    <row r="40" spans="2:8" ht="12.75">
      <c r="B40" s="75" t="s">
        <v>230</v>
      </c>
      <c r="F40" s="75" t="s">
        <v>232</v>
      </c>
      <c r="H40" s="75" t="s">
        <v>234</v>
      </c>
    </row>
    <row r="41" spans="2:8" ht="12.75">
      <c r="B41" s="75" t="s">
        <v>231</v>
      </c>
      <c r="F41" s="75" t="s">
        <v>236</v>
      </c>
      <c r="H41" s="75" t="s">
        <v>20</v>
      </c>
    </row>
    <row r="42" spans="2:8" ht="12.75">
      <c r="B42" s="75" t="s">
        <v>242</v>
      </c>
      <c r="F42" s="75" t="s">
        <v>31</v>
      </c>
      <c r="H42" s="75" t="s">
        <v>20</v>
      </c>
    </row>
    <row r="43" spans="2:8" ht="12.75">
      <c r="B43" s="75" t="s">
        <v>208</v>
      </c>
      <c r="F43" s="75" t="s">
        <v>195</v>
      </c>
      <c r="H43" s="75" t="s">
        <v>20</v>
      </c>
    </row>
    <row r="44" spans="1:11" ht="12.75">
      <c r="A44" s="75" t="s">
        <v>136</v>
      </c>
      <c r="B44" s="75" t="s">
        <v>196</v>
      </c>
      <c r="D44" s="75" t="s">
        <v>26</v>
      </c>
      <c r="E44" s="77"/>
      <c r="F44" s="77"/>
      <c r="G44" s="77"/>
      <c r="H44" s="77"/>
      <c r="I44" s="77"/>
      <c r="J44" s="77"/>
      <c r="K44" s="77"/>
    </row>
    <row r="45" spans="1:11" ht="12.75">
      <c r="A45" s="75" t="s">
        <v>136</v>
      </c>
      <c r="B45" s="75" t="s">
        <v>197</v>
      </c>
      <c r="D45" s="75" t="s">
        <v>198</v>
      </c>
      <c r="E45" s="77"/>
      <c r="F45" s="77"/>
      <c r="G45" s="77"/>
      <c r="H45" s="77"/>
      <c r="I45" s="77"/>
      <c r="J45" s="77"/>
      <c r="K45" s="77"/>
    </row>
    <row r="46" spans="1:11" ht="12.75">
      <c r="A46" s="75" t="s">
        <v>136</v>
      </c>
      <c r="B46" s="75" t="s">
        <v>22</v>
      </c>
      <c r="E46" s="77"/>
      <c r="F46" s="77"/>
      <c r="G46" s="77"/>
      <c r="H46" s="77"/>
      <c r="I46" s="77"/>
      <c r="J46" s="77"/>
      <c r="K46" s="77"/>
    </row>
    <row r="47" spans="1:11" ht="12.75">
      <c r="A47" s="75" t="s">
        <v>136</v>
      </c>
      <c r="B47" s="75" t="s">
        <v>58</v>
      </c>
      <c r="D47" s="75" t="s">
        <v>26</v>
      </c>
      <c r="E47" s="77">
        <v>1</v>
      </c>
      <c r="F47" s="77">
        <v>2.64E-05</v>
      </c>
      <c r="G47" s="77"/>
      <c r="H47" s="77"/>
      <c r="I47" s="77"/>
      <c r="J47" s="77"/>
      <c r="K47" s="77"/>
    </row>
    <row r="48" spans="1:11" ht="12.75">
      <c r="A48" s="75" t="s">
        <v>136</v>
      </c>
      <c r="B48" s="75" t="s">
        <v>56</v>
      </c>
      <c r="D48" s="75" t="s">
        <v>26</v>
      </c>
      <c r="E48" s="77">
        <v>1</v>
      </c>
      <c r="F48" s="77">
        <v>2.64E-05</v>
      </c>
      <c r="G48" s="77"/>
      <c r="H48" s="77"/>
      <c r="I48" s="77"/>
      <c r="J48" s="77"/>
      <c r="K48" s="77"/>
    </row>
    <row r="49" spans="1:11" ht="12.75">
      <c r="A49" s="75" t="s">
        <v>136</v>
      </c>
      <c r="B49" s="75" t="s">
        <v>118</v>
      </c>
      <c r="D49" s="75" t="s">
        <v>26</v>
      </c>
      <c r="E49" s="77"/>
      <c r="F49" s="77">
        <v>4.81E-05</v>
      </c>
      <c r="G49" s="77"/>
      <c r="H49" s="77"/>
      <c r="I49" s="77"/>
      <c r="J49" s="77"/>
      <c r="K49" s="77"/>
    </row>
    <row r="50" spans="1:11" ht="12.75">
      <c r="A50" s="75" t="s">
        <v>136</v>
      </c>
      <c r="B50" s="75" t="s">
        <v>119</v>
      </c>
      <c r="D50" s="75" t="s">
        <v>26</v>
      </c>
      <c r="E50" s="77">
        <v>1</v>
      </c>
      <c r="F50" s="77">
        <v>5.27E-06</v>
      </c>
      <c r="G50" s="77"/>
      <c r="H50" s="77"/>
      <c r="I50" s="77"/>
      <c r="J50" s="77"/>
      <c r="K50" s="77"/>
    </row>
    <row r="51" spans="1:11" ht="12.75">
      <c r="A51" s="75" t="s">
        <v>136</v>
      </c>
      <c r="B51" s="75" t="s">
        <v>57</v>
      </c>
      <c r="D51" s="75" t="s">
        <v>26</v>
      </c>
      <c r="E51" s="77">
        <v>1</v>
      </c>
      <c r="F51" s="77">
        <v>2.64E-05</v>
      </c>
      <c r="G51" s="77"/>
      <c r="H51" s="77"/>
      <c r="I51" s="77"/>
      <c r="J51" s="77"/>
      <c r="K51" s="77"/>
    </row>
    <row r="52" spans="1:11" ht="12.75">
      <c r="A52" s="75" t="s">
        <v>136</v>
      </c>
      <c r="B52" s="75" t="s">
        <v>49</v>
      </c>
      <c r="D52" s="75" t="s">
        <v>26</v>
      </c>
      <c r="E52" s="77"/>
      <c r="F52" s="77">
        <v>0.000142</v>
      </c>
      <c r="G52" s="77"/>
      <c r="H52" s="77"/>
      <c r="I52" s="77"/>
      <c r="J52" s="77"/>
      <c r="K52" s="77"/>
    </row>
    <row r="53" spans="1:11" ht="12.75">
      <c r="A53" s="75" t="s">
        <v>136</v>
      </c>
      <c r="B53" s="75" t="s">
        <v>191</v>
      </c>
      <c r="D53" s="75" t="s">
        <v>26</v>
      </c>
      <c r="E53" s="77">
        <v>1</v>
      </c>
      <c r="F53" s="77">
        <v>1.52E-05</v>
      </c>
      <c r="G53" s="77"/>
      <c r="H53" s="77"/>
      <c r="I53" s="77"/>
      <c r="J53" s="77"/>
      <c r="K53" s="77"/>
    </row>
    <row r="54" spans="1:11" ht="12.75">
      <c r="A54" s="75" t="s">
        <v>136</v>
      </c>
      <c r="B54" s="75" t="s">
        <v>45</v>
      </c>
      <c r="D54" s="75" t="s">
        <v>26</v>
      </c>
      <c r="E54" s="77"/>
      <c r="F54" s="77">
        <v>3.61E-05</v>
      </c>
      <c r="G54" s="77"/>
      <c r="H54" s="77"/>
      <c r="I54" s="77"/>
      <c r="J54" s="77"/>
      <c r="K54" s="77"/>
    </row>
    <row r="55" spans="1:11" ht="12.75">
      <c r="A55" s="75" t="s">
        <v>136</v>
      </c>
      <c r="B55" s="75" t="s">
        <v>143</v>
      </c>
      <c r="D55" s="75" t="s">
        <v>26</v>
      </c>
      <c r="E55" s="77">
        <v>1</v>
      </c>
      <c r="F55" s="77">
        <v>4.03E-05</v>
      </c>
      <c r="G55" s="77"/>
      <c r="H55" s="77"/>
      <c r="I55" s="77"/>
      <c r="J55" s="77"/>
      <c r="K55" s="77"/>
    </row>
    <row r="56" spans="1:11" ht="12.75">
      <c r="A56" s="75" t="s">
        <v>136</v>
      </c>
      <c r="B56" s="75" t="s">
        <v>70</v>
      </c>
      <c r="D56" s="75" t="s">
        <v>26</v>
      </c>
      <c r="E56" s="77"/>
      <c r="F56" s="77">
        <v>0.000146</v>
      </c>
      <c r="G56" s="77"/>
      <c r="H56" s="77"/>
      <c r="I56" s="77"/>
      <c r="J56" s="77"/>
      <c r="K56" s="77"/>
    </row>
    <row r="57" spans="1:11" ht="12.75">
      <c r="A57" s="75" t="s">
        <v>136</v>
      </c>
      <c r="B57" s="75" t="s">
        <v>120</v>
      </c>
      <c r="D57" s="75" t="s">
        <v>26</v>
      </c>
      <c r="E57" s="77">
        <v>1</v>
      </c>
      <c r="F57" s="77">
        <v>2.64E-05</v>
      </c>
      <c r="G57" s="77"/>
      <c r="H57" s="77"/>
      <c r="I57" s="77"/>
      <c r="J57" s="77"/>
      <c r="K57" s="77"/>
    </row>
    <row r="58" spans="1:11" ht="12.75">
      <c r="A58" s="75" t="s">
        <v>136</v>
      </c>
      <c r="B58" s="75" t="s">
        <v>72</v>
      </c>
      <c r="D58" s="75" t="s">
        <v>26</v>
      </c>
      <c r="E58" s="77">
        <v>1</v>
      </c>
      <c r="F58" s="77">
        <v>2.64E-05</v>
      </c>
      <c r="G58" s="77"/>
      <c r="H58" s="77"/>
      <c r="I58" s="77"/>
      <c r="J58" s="77"/>
      <c r="K58" s="77"/>
    </row>
    <row r="59" spans="1:11" ht="12.75">
      <c r="A59" s="75" t="s">
        <v>136</v>
      </c>
      <c r="B59" s="75" t="s">
        <v>121</v>
      </c>
      <c r="D59" s="75" t="s">
        <v>26</v>
      </c>
      <c r="E59" s="77">
        <v>1</v>
      </c>
      <c r="F59" s="77">
        <v>2.64E-05</v>
      </c>
      <c r="G59" s="77"/>
      <c r="H59" s="77"/>
      <c r="I59" s="77"/>
      <c r="J59" s="77"/>
      <c r="K59" s="77"/>
    </row>
    <row r="62" spans="2:6" ht="12.75">
      <c r="B62" s="71" t="s">
        <v>194</v>
      </c>
      <c r="C62" s="71"/>
      <c r="F62" s="75">
        <f>'emiss 2'!G55</f>
        <v>16819</v>
      </c>
    </row>
    <row r="63" spans="2:6" ht="12.75">
      <c r="B63" s="71" t="s">
        <v>61</v>
      </c>
      <c r="C63" s="71"/>
      <c r="F63" s="75">
        <f>'emiss 2'!G56</f>
        <v>5.1</v>
      </c>
    </row>
    <row r="65" spans="2:3" ht="12.75">
      <c r="B65" s="15" t="s">
        <v>62</v>
      </c>
      <c r="C65" s="15"/>
    </row>
    <row r="67" spans="2:8" ht="12.75">
      <c r="B67" s="75" t="s">
        <v>58</v>
      </c>
      <c r="D67" s="75" t="s">
        <v>27</v>
      </c>
      <c r="E67" s="77">
        <v>100</v>
      </c>
      <c r="F67" s="79">
        <f>F47/60*454*1000000/(F$62*0.0283)*(21-7)/(21-F$63)</f>
        <v>0.36953266545071467</v>
      </c>
      <c r="G67" s="77">
        <v>100</v>
      </c>
      <c r="H67" s="79">
        <f>F67</f>
        <v>0.36953266545071467</v>
      </c>
    </row>
    <row r="68" spans="2:8" ht="12.75">
      <c r="B68" s="75" t="s">
        <v>56</v>
      </c>
      <c r="D68" s="75" t="s">
        <v>27</v>
      </c>
      <c r="E68" s="77">
        <v>100</v>
      </c>
      <c r="F68" s="79">
        <f aca="true" t="shared" si="5" ref="F68:F79">F48/60*454*1000000/(F$62*0.0283)*(21-7)/(21-F$63)</f>
        <v>0.36953266545071467</v>
      </c>
      <c r="G68" s="77">
        <v>100</v>
      </c>
      <c r="H68" s="79">
        <f aca="true" t="shared" si="6" ref="H68:H79">F68</f>
        <v>0.36953266545071467</v>
      </c>
    </row>
    <row r="69" spans="2:8" ht="12.75">
      <c r="B69" s="75" t="s">
        <v>118</v>
      </c>
      <c r="D69" s="75" t="s">
        <v>27</v>
      </c>
      <c r="E69" s="77"/>
      <c r="F69" s="79">
        <f t="shared" si="5"/>
        <v>0.6732773184916429</v>
      </c>
      <c r="G69" s="77"/>
      <c r="H69" s="79">
        <f t="shared" si="6"/>
        <v>0.6732773184916429</v>
      </c>
    </row>
    <row r="70" spans="2:8" ht="12.75">
      <c r="B70" s="75" t="s">
        <v>119</v>
      </c>
      <c r="D70" s="75" t="s">
        <v>27</v>
      </c>
      <c r="E70" s="77">
        <v>100</v>
      </c>
      <c r="F70" s="79">
        <f t="shared" si="5"/>
        <v>0.07376655859565404</v>
      </c>
      <c r="G70" s="77">
        <v>100</v>
      </c>
      <c r="H70" s="79">
        <f t="shared" si="6"/>
        <v>0.07376655859565404</v>
      </c>
    </row>
    <row r="71" spans="2:8" ht="12.75">
      <c r="B71" s="75" t="s">
        <v>57</v>
      </c>
      <c r="D71" s="75" t="s">
        <v>27</v>
      </c>
      <c r="E71" s="77">
        <v>100</v>
      </c>
      <c r="F71" s="79">
        <f t="shared" si="5"/>
        <v>0.36953266545071467</v>
      </c>
      <c r="G71" s="77">
        <v>100</v>
      </c>
      <c r="H71" s="79">
        <f t="shared" si="6"/>
        <v>0.36953266545071467</v>
      </c>
    </row>
    <row r="72" spans="2:8" ht="12.75">
      <c r="B72" s="75" t="s">
        <v>49</v>
      </c>
      <c r="D72" s="75" t="s">
        <v>27</v>
      </c>
      <c r="E72" s="77"/>
      <c r="F72" s="79">
        <f t="shared" si="5"/>
        <v>1.9876378217424804</v>
      </c>
      <c r="G72" s="77"/>
      <c r="H72" s="79">
        <f t="shared" si="6"/>
        <v>1.9876378217424804</v>
      </c>
    </row>
    <row r="73" spans="2:8" ht="12.75">
      <c r="B73" s="75" t="s">
        <v>191</v>
      </c>
      <c r="D73" s="75" t="s">
        <v>27</v>
      </c>
      <c r="E73" s="77">
        <v>100</v>
      </c>
      <c r="F73" s="79">
        <f t="shared" si="5"/>
        <v>0.21276123162313873</v>
      </c>
      <c r="G73" s="77">
        <v>100</v>
      </c>
      <c r="H73" s="79">
        <f t="shared" si="6"/>
        <v>0.21276123162313873</v>
      </c>
    </row>
    <row r="74" spans="2:8" ht="12.75">
      <c r="B74" s="75" t="s">
        <v>45</v>
      </c>
      <c r="D74" s="75" t="s">
        <v>27</v>
      </c>
      <c r="E74" s="77"/>
      <c r="F74" s="79">
        <f t="shared" si="5"/>
        <v>0.5053079251049546</v>
      </c>
      <c r="G74" s="77"/>
      <c r="H74" s="79">
        <f t="shared" si="6"/>
        <v>0.5053079251049546</v>
      </c>
    </row>
    <row r="75" spans="2:8" ht="12.75">
      <c r="B75" s="75" t="s">
        <v>143</v>
      </c>
      <c r="D75" s="75" t="s">
        <v>27</v>
      </c>
      <c r="E75" s="77">
        <v>100</v>
      </c>
      <c r="F75" s="79">
        <f t="shared" si="5"/>
        <v>0.5640972127902956</v>
      </c>
      <c r="G75" s="77">
        <v>100</v>
      </c>
      <c r="H75" s="79">
        <f t="shared" si="6"/>
        <v>0.5640972127902956</v>
      </c>
    </row>
    <row r="76" spans="2:8" ht="12.75">
      <c r="B76" s="75" t="s">
        <v>70</v>
      </c>
      <c r="D76" s="75" t="s">
        <v>27</v>
      </c>
      <c r="E76" s="77"/>
      <c r="F76" s="79">
        <f t="shared" si="5"/>
        <v>2.043627619538044</v>
      </c>
      <c r="G76" s="77"/>
      <c r="H76" s="79">
        <f t="shared" si="6"/>
        <v>2.043627619538044</v>
      </c>
    </row>
    <row r="77" spans="2:8" ht="12.75">
      <c r="B77" s="75" t="s">
        <v>120</v>
      </c>
      <c r="D77" s="75" t="s">
        <v>27</v>
      </c>
      <c r="E77" s="77">
        <v>100</v>
      </c>
      <c r="F77" s="79">
        <f t="shared" si="5"/>
        <v>0.36953266545071467</v>
      </c>
      <c r="G77" s="77">
        <v>100</v>
      </c>
      <c r="H77" s="79">
        <f t="shared" si="6"/>
        <v>0.36953266545071467</v>
      </c>
    </row>
    <row r="78" spans="2:8" ht="12.75">
      <c r="B78" s="75" t="s">
        <v>72</v>
      </c>
      <c r="D78" s="75" t="s">
        <v>27</v>
      </c>
      <c r="E78" s="77">
        <v>100</v>
      </c>
      <c r="F78" s="79">
        <f t="shared" si="5"/>
        <v>0.36953266545071467</v>
      </c>
      <c r="G78" s="77">
        <v>100</v>
      </c>
      <c r="H78" s="79">
        <f t="shared" si="6"/>
        <v>0.36953266545071467</v>
      </c>
    </row>
    <row r="79" spans="2:8" ht="12.75">
      <c r="B79" s="75" t="s">
        <v>121</v>
      </c>
      <c r="D79" s="75" t="s">
        <v>27</v>
      </c>
      <c r="E79" s="77">
        <v>100</v>
      </c>
      <c r="F79" s="79">
        <f t="shared" si="5"/>
        <v>0.36953266545071467</v>
      </c>
      <c r="G79" s="77">
        <v>100</v>
      </c>
      <c r="H79" s="79">
        <f t="shared" si="6"/>
        <v>0.36953266545071467</v>
      </c>
    </row>
    <row r="81" spans="2:8" ht="12.75">
      <c r="B81" s="75" t="s">
        <v>28</v>
      </c>
      <c r="D81" s="75" t="s">
        <v>27</v>
      </c>
      <c r="E81" s="75">
        <f>F71/F81*100</f>
        <v>42.239999999999995</v>
      </c>
      <c r="F81" s="79">
        <f>F71+F74</f>
        <v>0.8748405905556693</v>
      </c>
      <c r="G81" s="75">
        <f>H71/H81*100</f>
        <v>42.239999999999995</v>
      </c>
      <c r="H81" s="79">
        <f>F81</f>
        <v>0.8748405905556693</v>
      </c>
    </row>
    <row r="82" spans="2:8" ht="12.75">
      <c r="B82" s="75" t="s">
        <v>29</v>
      </c>
      <c r="D82" s="75" t="s">
        <v>27</v>
      </c>
      <c r="E82" s="75">
        <f>SUM(F68,F70)/F82*100</f>
        <v>18.235734438878332</v>
      </c>
      <c r="F82" s="79">
        <f>F68+F70+F72</f>
        <v>2.4309370457888493</v>
      </c>
      <c r="G82" s="75">
        <f>SUM(H68,H70)/H82*100</f>
        <v>18.235734438878332</v>
      </c>
      <c r="H82" s="79">
        <f>F82</f>
        <v>2.4309370457888493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B1">
      <selection activeCell="E3" sqref="E3:G3"/>
    </sheetView>
  </sheetViews>
  <sheetFormatPr defaultColWidth="9.140625" defaultRowHeight="12.75"/>
  <cols>
    <col min="1" max="1" width="3.8515625" style="0" hidden="1" customWidth="1"/>
    <col min="2" max="2" width="36.57421875" style="0" bestFit="1" customWidth="1"/>
    <col min="3" max="3" width="12.5742187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7" t="s">
        <v>34</v>
      </c>
      <c r="C1" s="11"/>
      <c r="D1" s="11"/>
      <c r="E1" s="11"/>
      <c r="F1" s="11"/>
    </row>
    <row r="2" spans="2:8" ht="12.75">
      <c r="B2" s="11"/>
      <c r="C2" s="11"/>
      <c r="D2" s="11"/>
      <c r="E2" s="34"/>
      <c r="F2" s="34"/>
      <c r="G2" s="38"/>
      <c r="H2" s="38"/>
    </row>
    <row r="3" spans="1:7" ht="12.75">
      <c r="A3" t="s">
        <v>52</v>
      </c>
      <c r="B3" s="7" t="s">
        <v>178</v>
      </c>
      <c r="C3" s="11"/>
      <c r="D3" s="11"/>
      <c r="E3" s="34" t="s">
        <v>78</v>
      </c>
      <c r="F3" s="34" t="s">
        <v>115</v>
      </c>
      <c r="G3" s="38" t="s">
        <v>79</v>
      </c>
    </row>
    <row r="4" spans="2:4" ht="12.75">
      <c r="B4" s="7"/>
      <c r="C4" s="11"/>
      <c r="D4" s="11"/>
    </row>
    <row r="5" spans="2:7" ht="12.75">
      <c r="B5" t="s">
        <v>161</v>
      </c>
      <c r="C5" t="s">
        <v>165</v>
      </c>
      <c r="E5">
        <v>1030</v>
      </c>
      <c r="F5">
        <v>1030</v>
      </c>
      <c r="G5">
        <v>1030</v>
      </c>
    </row>
    <row r="6" spans="2:7" ht="12.75">
      <c r="B6" s="11" t="s">
        <v>162</v>
      </c>
      <c r="C6" t="s">
        <v>166</v>
      </c>
      <c r="E6">
        <v>8.75</v>
      </c>
      <c r="F6">
        <v>9.24</v>
      </c>
      <c r="G6">
        <v>8.9</v>
      </c>
    </row>
    <row r="7" spans="2:7" ht="12.75">
      <c r="B7" s="11" t="s">
        <v>163</v>
      </c>
      <c r="C7" t="s">
        <v>167</v>
      </c>
      <c r="E7">
        <v>3.5</v>
      </c>
      <c r="F7">
        <v>3.5</v>
      </c>
      <c r="G7">
        <v>3.51</v>
      </c>
    </row>
    <row r="8" spans="2:7" ht="12.75">
      <c r="B8" s="11" t="s">
        <v>164</v>
      </c>
      <c r="C8" t="s">
        <v>167</v>
      </c>
      <c r="E8">
        <v>4.4</v>
      </c>
      <c r="F8">
        <v>4.5</v>
      </c>
      <c r="G8">
        <v>4.5</v>
      </c>
    </row>
    <row r="11" spans="2:7" ht="12.75">
      <c r="B11" s="7" t="s">
        <v>179</v>
      </c>
      <c r="C11" s="11"/>
      <c r="D11" s="11"/>
      <c r="E11" s="34" t="s">
        <v>78</v>
      </c>
      <c r="F11" s="34" t="s">
        <v>115</v>
      </c>
      <c r="G11" s="38" t="s">
        <v>79</v>
      </c>
    </row>
    <row r="12" spans="2:4" ht="12.75">
      <c r="B12" s="7"/>
      <c r="C12" s="11"/>
      <c r="D12" s="11"/>
    </row>
    <row r="13" spans="2:7" ht="12.75">
      <c r="B13" t="s">
        <v>161</v>
      </c>
      <c r="C13" t="s">
        <v>165</v>
      </c>
      <c r="E13">
        <v>1150</v>
      </c>
      <c r="F13">
        <v>1148</v>
      </c>
      <c r="G13">
        <v>1150</v>
      </c>
    </row>
    <row r="14" spans="2:7" ht="12.75">
      <c r="B14" s="11" t="s">
        <v>162</v>
      </c>
      <c r="C14" t="s">
        <v>166</v>
      </c>
      <c r="E14">
        <v>7.69</v>
      </c>
      <c r="F14">
        <v>7.4</v>
      </c>
      <c r="G14">
        <v>7.55</v>
      </c>
    </row>
    <row r="15" spans="2:7" ht="12.75">
      <c r="B15" s="11" t="s">
        <v>163</v>
      </c>
      <c r="C15" t="s">
        <v>167</v>
      </c>
      <c r="E15">
        <v>3.53</v>
      </c>
      <c r="F15">
        <v>3.5</v>
      </c>
      <c r="G15">
        <v>3.51</v>
      </c>
    </row>
    <row r="16" spans="2:7" ht="12.75">
      <c r="B16" s="11" t="s">
        <v>164</v>
      </c>
      <c r="C16" t="s">
        <v>167</v>
      </c>
      <c r="E16">
        <v>4.54</v>
      </c>
      <c r="F16">
        <v>4.32</v>
      </c>
      <c r="G16">
        <v>4.44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A7" sqref="A7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00390625" style="0" customWidth="1"/>
    <col min="4" max="4" width="5.57421875" style="0" customWidth="1"/>
    <col min="5" max="5" width="9.421875" style="0" customWidth="1"/>
    <col min="6" max="6" width="9.8515625" style="0" customWidth="1"/>
    <col min="7" max="7" width="12.421875" style="0" bestFit="1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</cols>
  <sheetData>
    <row r="1" spans="1:18" ht="12.75">
      <c r="A1" s="47" t="s">
        <v>73</v>
      </c>
      <c r="B1" s="23"/>
      <c r="C1" s="23"/>
      <c r="D1" s="23"/>
      <c r="E1" s="48"/>
      <c r="F1" s="49"/>
      <c r="G1" s="48"/>
      <c r="H1" s="49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23" t="s">
        <v>246</v>
      </c>
      <c r="B2" s="23"/>
      <c r="C2" s="23"/>
      <c r="D2" s="23"/>
      <c r="E2" s="48"/>
      <c r="F2" s="49"/>
      <c r="G2" s="48"/>
      <c r="H2" s="49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23" t="s">
        <v>74</v>
      </c>
      <c r="B3" s="23"/>
      <c r="C3" s="9" t="str">
        <f>source!C5</f>
        <v>Nepera Incorporated</v>
      </c>
      <c r="D3" s="9"/>
      <c r="E3" s="48"/>
      <c r="F3" s="49"/>
      <c r="G3" s="48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23" t="s">
        <v>75</v>
      </c>
      <c r="B4" s="23"/>
      <c r="C4" s="9" t="s">
        <v>178</v>
      </c>
      <c r="D4" s="9"/>
      <c r="E4" s="51"/>
      <c r="F4" s="52"/>
      <c r="G4" s="51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23" t="s">
        <v>76</v>
      </c>
      <c r="B5" s="23"/>
      <c r="C5" s="11" t="str">
        <f>cond!C10</f>
        <v>Trial burn, max feedrate, low temp</v>
      </c>
      <c r="D5" s="11"/>
      <c r="E5" s="11"/>
      <c r="F5" s="11"/>
      <c r="G5" s="11"/>
      <c r="H5" s="11"/>
      <c r="I5" s="11"/>
      <c r="J5" s="11"/>
      <c r="K5" s="48"/>
      <c r="L5" s="11"/>
      <c r="M5" s="48"/>
      <c r="N5" s="48"/>
      <c r="O5" s="48"/>
      <c r="P5" s="48"/>
      <c r="Q5" s="48"/>
      <c r="R5" s="48"/>
    </row>
    <row r="6" spans="1:18" ht="12.75">
      <c r="A6" s="23"/>
      <c r="B6" s="23"/>
      <c r="C6" s="25"/>
      <c r="D6" s="25"/>
      <c r="E6" s="50"/>
      <c r="F6" s="49"/>
      <c r="G6" s="50"/>
      <c r="H6" s="49"/>
      <c r="I6" s="48"/>
      <c r="J6" s="50"/>
      <c r="K6" s="48"/>
      <c r="L6" s="50"/>
      <c r="M6" s="48"/>
      <c r="N6" s="48"/>
      <c r="O6" s="50"/>
      <c r="P6" s="48"/>
      <c r="Q6" s="50"/>
      <c r="R6" s="48"/>
    </row>
    <row r="7" spans="1:18" s="71" customFormat="1" ht="12.75">
      <c r="A7" s="23"/>
      <c r="B7" s="23"/>
      <c r="C7" s="25" t="s">
        <v>77</v>
      </c>
      <c r="D7" s="25"/>
      <c r="E7" s="53" t="s">
        <v>78</v>
      </c>
      <c r="F7" s="53"/>
      <c r="G7" s="53"/>
      <c r="H7" s="53"/>
      <c r="I7" s="54"/>
      <c r="J7" s="53" t="s">
        <v>115</v>
      </c>
      <c r="K7" s="53"/>
      <c r="L7" s="53"/>
      <c r="M7" s="53"/>
      <c r="N7" s="54"/>
      <c r="O7" s="53" t="s">
        <v>79</v>
      </c>
      <c r="P7" s="53"/>
      <c r="Q7" s="53"/>
      <c r="R7" s="53"/>
    </row>
    <row r="8" spans="1:18" s="71" customFormat="1" ht="12.75">
      <c r="A8" s="23"/>
      <c r="B8" s="23"/>
      <c r="C8" s="25" t="s">
        <v>80</v>
      </c>
      <c r="D8" s="23"/>
      <c r="E8" s="50" t="s">
        <v>20</v>
      </c>
      <c r="F8" s="52" t="s">
        <v>81</v>
      </c>
      <c r="G8" s="50" t="s">
        <v>20</v>
      </c>
      <c r="H8" s="52" t="s">
        <v>81</v>
      </c>
      <c r="I8" s="48"/>
      <c r="J8" s="50" t="s">
        <v>20</v>
      </c>
      <c r="K8" s="50" t="s">
        <v>82</v>
      </c>
      <c r="L8" s="50" t="s">
        <v>20</v>
      </c>
      <c r="M8" s="50" t="s">
        <v>82</v>
      </c>
      <c r="N8" s="48"/>
      <c r="O8" s="50" t="s">
        <v>20</v>
      </c>
      <c r="P8" s="50" t="s">
        <v>82</v>
      </c>
      <c r="Q8" s="50" t="s">
        <v>20</v>
      </c>
      <c r="R8" s="50" t="s">
        <v>82</v>
      </c>
    </row>
    <row r="9" spans="1:18" s="71" customFormat="1" ht="12.75">
      <c r="A9" s="23"/>
      <c r="B9" s="23"/>
      <c r="C9" s="25"/>
      <c r="D9" s="23"/>
      <c r="E9" s="50" t="s">
        <v>245</v>
      </c>
      <c r="F9" s="50" t="s">
        <v>245</v>
      </c>
      <c r="G9" s="50" t="s">
        <v>83</v>
      </c>
      <c r="H9" s="52" t="s">
        <v>83</v>
      </c>
      <c r="I9" s="48"/>
      <c r="J9" s="50" t="s">
        <v>245</v>
      </c>
      <c r="K9" s="50" t="s">
        <v>245</v>
      </c>
      <c r="L9" s="50" t="s">
        <v>83</v>
      </c>
      <c r="M9" s="52" t="s">
        <v>83</v>
      </c>
      <c r="N9" s="48"/>
      <c r="O9" s="50" t="s">
        <v>245</v>
      </c>
      <c r="P9" s="50" t="s">
        <v>245</v>
      </c>
      <c r="Q9" s="50" t="s">
        <v>83</v>
      </c>
      <c r="R9" s="52" t="s">
        <v>83</v>
      </c>
    </row>
    <row r="10" spans="1:18" ht="12.75">
      <c r="A10" s="23" t="s">
        <v>116</v>
      </c>
      <c r="B10" s="23"/>
      <c r="C10" s="23"/>
      <c r="D10" s="23"/>
      <c r="E10" s="48"/>
      <c r="F10" s="49"/>
      <c r="G10" s="48"/>
      <c r="H10" s="49"/>
      <c r="I10" s="48"/>
      <c r="J10" s="48"/>
      <c r="K10" s="48"/>
      <c r="L10" s="48"/>
      <c r="M10" s="48"/>
      <c r="N10" s="48"/>
      <c r="O10" s="26"/>
      <c r="P10" s="48"/>
      <c r="Q10" s="48"/>
      <c r="R10" s="48"/>
    </row>
    <row r="11" spans="1:18" ht="12.75">
      <c r="A11" s="23"/>
      <c r="B11" s="23" t="s">
        <v>84</v>
      </c>
      <c r="C11" s="25">
        <v>1</v>
      </c>
      <c r="D11" s="25"/>
      <c r="E11" s="55">
        <v>0.0186</v>
      </c>
      <c r="F11" s="27">
        <f aca="true" t="shared" si="0" ref="F11:H35">IF(E11="","",E11*$C11)</f>
        <v>0.0186</v>
      </c>
      <c r="G11" s="55">
        <f aca="true" t="shared" si="1" ref="G11:G35">IF(E11=0,"",IF(D11="nd",E11/2,E11))</f>
        <v>0.0186</v>
      </c>
      <c r="H11" s="27">
        <f t="shared" si="0"/>
        <v>0.0186</v>
      </c>
      <c r="I11" s="49"/>
      <c r="J11" s="63">
        <v>0.1231</v>
      </c>
      <c r="K11" s="27">
        <f aca="true" t="shared" si="2" ref="K11:K35">IF(J11="","",J11*$C11)</f>
        <v>0.1231</v>
      </c>
      <c r="L11" s="55">
        <f aca="true" t="shared" si="3" ref="L11:L35">IF(J11=0,"",IF(I11="nd",J11/2,J11))</f>
        <v>0.1231</v>
      </c>
      <c r="M11" s="27">
        <f aca="true" t="shared" si="4" ref="M11:M35">IF(L11="","",L11*$C11)</f>
        <v>0.1231</v>
      </c>
      <c r="N11" s="49"/>
      <c r="O11" s="55">
        <v>0.0064</v>
      </c>
      <c r="P11" s="55">
        <f aca="true" t="shared" si="5" ref="P11:P35">IF(O11="","",O11*$C11)</f>
        <v>0.0064</v>
      </c>
      <c r="Q11" s="55">
        <f>IF(O11=0,"",IF(N11="nd",O11/2,O11))</f>
        <v>0.0064</v>
      </c>
      <c r="R11" s="55">
        <f aca="true" t="shared" si="6" ref="R11:R35">IF(Q11="","",Q11*$C11)</f>
        <v>0.0064</v>
      </c>
    </row>
    <row r="12" spans="1:18" ht="12.75">
      <c r="A12" s="23"/>
      <c r="B12" s="23" t="s">
        <v>85</v>
      </c>
      <c r="C12" s="25">
        <v>0</v>
      </c>
      <c r="D12" s="25"/>
      <c r="E12" s="55">
        <v>0.3917</v>
      </c>
      <c r="F12" s="27">
        <f t="shared" si="0"/>
        <v>0</v>
      </c>
      <c r="G12" s="55">
        <f t="shared" si="1"/>
        <v>0.3917</v>
      </c>
      <c r="H12" s="27">
        <f t="shared" si="0"/>
        <v>0</v>
      </c>
      <c r="I12" s="49"/>
      <c r="J12" s="64">
        <v>0.7985</v>
      </c>
      <c r="K12" s="27">
        <f t="shared" si="2"/>
        <v>0</v>
      </c>
      <c r="L12" s="55">
        <f t="shared" si="3"/>
        <v>0.7985</v>
      </c>
      <c r="M12" s="27">
        <f t="shared" si="4"/>
        <v>0</v>
      </c>
      <c r="N12" s="49"/>
      <c r="O12" s="55">
        <v>0.0485</v>
      </c>
      <c r="P12" s="55">
        <f t="shared" si="5"/>
        <v>0</v>
      </c>
      <c r="Q12" s="55">
        <f>IF(O12=0,"",IF(N12="nd",O12/2,O12))</f>
        <v>0.0485</v>
      </c>
      <c r="R12" s="55">
        <f t="shared" si="6"/>
        <v>0</v>
      </c>
    </row>
    <row r="13" spans="1:18" ht="12.75">
      <c r="A13" s="23"/>
      <c r="B13" s="23" t="s">
        <v>86</v>
      </c>
      <c r="C13" s="25">
        <v>0.5</v>
      </c>
      <c r="D13" s="25"/>
      <c r="E13" s="42">
        <v>0.0836</v>
      </c>
      <c r="F13" s="27">
        <f t="shared" si="0"/>
        <v>0.0418</v>
      </c>
      <c r="G13" s="55">
        <f t="shared" si="1"/>
        <v>0.0836</v>
      </c>
      <c r="H13" s="27">
        <f t="shared" si="0"/>
        <v>0.0418</v>
      </c>
      <c r="I13" s="49"/>
      <c r="J13" s="63">
        <v>0.3737</v>
      </c>
      <c r="K13" s="27">
        <f t="shared" si="2"/>
        <v>0.18685</v>
      </c>
      <c r="L13" s="55">
        <f t="shared" si="3"/>
        <v>0.3737</v>
      </c>
      <c r="M13" s="27">
        <f t="shared" si="4"/>
        <v>0.18685</v>
      </c>
      <c r="N13" s="49"/>
      <c r="O13" s="63">
        <v>0.0315</v>
      </c>
      <c r="P13" s="55">
        <f t="shared" si="5"/>
        <v>0.01575</v>
      </c>
      <c r="Q13" s="55">
        <f aca="true" t="shared" si="7" ref="Q13:Q30">IF(O13=0,"",IF(N13="nd",O13/2,O13))</f>
        <v>0.0315</v>
      </c>
      <c r="R13" s="55">
        <f t="shared" si="6"/>
        <v>0.01575</v>
      </c>
    </row>
    <row r="14" spans="1:18" ht="12.75">
      <c r="A14" s="23"/>
      <c r="B14" s="23" t="s">
        <v>87</v>
      </c>
      <c r="C14" s="25">
        <v>0</v>
      </c>
      <c r="D14" s="25"/>
      <c r="E14" s="55">
        <v>1.091</v>
      </c>
      <c r="F14" s="27">
        <f t="shared" si="0"/>
        <v>0</v>
      </c>
      <c r="G14" s="55">
        <f t="shared" si="1"/>
        <v>1.091</v>
      </c>
      <c r="H14" s="27">
        <f t="shared" si="0"/>
        <v>0</v>
      </c>
      <c r="I14" s="49"/>
      <c r="J14" s="63">
        <v>1.7481</v>
      </c>
      <c r="K14" s="27">
        <f t="shared" si="2"/>
        <v>0</v>
      </c>
      <c r="L14" s="55">
        <f t="shared" si="3"/>
        <v>1.7481</v>
      </c>
      <c r="M14" s="27">
        <f t="shared" si="4"/>
        <v>0</v>
      </c>
      <c r="N14" s="49"/>
      <c r="O14" s="63">
        <v>0.2007</v>
      </c>
      <c r="P14" s="55">
        <f t="shared" si="5"/>
        <v>0</v>
      </c>
      <c r="Q14" s="55">
        <f>IF(O14=0,"",IF(N14="nd",O14/2,O14))</f>
        <v>0.2007</v>
      </c>
      <c r="R14" s="55">
        <f t="shared" si="6"/>
        <v>0</v>
      </c>
    </row>
    <row r="15" spans="1:18" ht="12.75">
      <c r="A15" s="23"/>
      <c r="B15" s="23" t="s">
        <v>88</v>
      </c>
      <c r="C15" s="25">
        <v>0.1</v>
      </c>
      <c r="D15" s="25"/>
      <c r="E15" s="55">
        <v>0.1602</v>
      </c>
      <c r="F15" s="27">
        <f t="shared" si="0"/>
        <v>0.016020000000000003</v>
      </c>
      <c r="G15" s="55">
        <f t="shared" si="1"/>
        <v>0.1602</v>
      </c>
      <c r="H15" s="27">
        <f t="shared" si="0"/>
        <v>0.016020000000000003</v>
      </c>
      <c r="I15" s="49"/>
      <c r="J15" s="63">
        <v>0.3551</v>
      </c>
      <c r="K15" s="27">
        <f t="shared" si="2"/>
        <v>0.03551000000000001</v>
      </c>
      <c r="L15" s="55">
        <f t="shared" si="3"/>
        <v>0.3551</v>
      </c>
      <c r="M15" s="27">
        <f t="shared" si="4"/>
        <v>0.03551000000000001</v>
      </c>
      <c r="N15" s="49"/>
      <c r="O15" s="63">
        <v>0.0449</v>
      </c>
      <c r="P15" s="55">
        <f t="shared" si="5"/>
        <v>0.00449</v>
      </c>
      <c r="Q15" s="55">
        <f t="shared" si="7"/>
        <v>0.0449</v>
      </c>
      <c r="R15" s="55">
        <f t="shared" si="6"/>
        <v>0.00449</v>
      </c>
    </row>
    <row r="16" spans="1:18" ht="12.75">
      <c r="A16" s="23"/>
      <c r="B16" s="23" t="s">
        <v>89</v>
      </c>
      <c r="C16" s="25">
        <v>0.1</v>
      </c>
      <c r="D16" s="25"/>
      <c r="E16" s="55">
        <v>0.2931</v>
      </c>
      <c r="F16" s="27">
        <f t="shared" si="0"/>
        <v>0.029310000000000003</v>
      </c>
      <c r="G16" s="55">
        <f t="shared" si="1"/>
        <v>0.2931</v>
      </c>
      <c r="H16" s="27">
        <f t="shared" si="0"/>
        <v>0.029310000000000003</v>
      </c>
      <c r="I16" s="49"/>
      <c r="J16" s="63">
        <v>0.4891</v>
      </c>
      <c r="K16" s="27">
        <f t="shared" si="2"/>
        <v>0.04891</v>
      </c>
      <c r="L16" s="55">
        <f t="shared" si="3"/>
        <v>0.4891</v>
      </c>
      <c r="M16" s="27">
        <f t="shared" si="4"/>
        <v>0.04891</v>
      </c>
      <c r="N16" s="49"/>
      <c r="O16" s="63">
        <v>0.055</v>
      </c>
      <c r="P16" s="55">
        <f t="shared" si="5"/>
        <v>0.0055000000000000005</v>
      </c>
      <c r="Q16" s="55">
        <f t="shared" si="7"/>
        <v>0.055</v>
      </c>
      <c r="R16" s="55">
        <f t="shared" si="6"/>
        <v>0.0055000000000000005</v>
      </c>
    </row>
    <row r="17" spans="1:18" ht="12.75">
      <c r="A17" s="23"/>
      <c r="B17" s="23" t="s">
        <v>90</v>
      </c>
      <c r="C17" s="25">
        <v>0.1</v>
      </c>
      <c r="D17" s="25"/>
      <c r="E17" s="55">
        <v>0.3307</v>
      </c>
      <c r="F17" s="27">
        <f t="shared" si="0"/>
        <v>0.03307</v>
      </c>
      <c r="G17" s="55">
        <f t="shared" si="1"/>
        <v>0.3307</v>
      </c>
      <c r="H17" s="27">
        <f t="shared" si="0"/>
        <v>0.03307</v>
      </c>
      <c r="I17" s="49"/>
      <c r="J17" s="63">
        <v>0.5696</v>
      </c>
      <c r="K17" s="27">
        <f t="shared" si="2"/>
        <v>0.056960000000000004</v>
      </c>
      <c r="L17" s="55">
        <f t="shared" si="3"/>
        <v>0.5696</v>
      </c>
      <c r="M17" s="27">
        <f t="shared" si="4"/>
        <v>0.056960000000000004</v>
      </c>
      <c r="N17" s="49"/>
      <c r="O17" s="63">
        <v>0.0649</v>
      </c>
      <c r="P17" s="55">
        <f t="shared" si="5"/>
        <v>0.00649</v>
      </c>
      <c r="Q17" s="55">
        <f t="shared" si="7"/>
        <v>0.0649</v>
      </c>
      <c r="R17" s="55">
        <f t="shared" si="6"/>
        <v>0.00649</v>
      </c>
    </row>
    <row r="18" spans="1:18" ht="12.75">
      <c r="A18" s="23"/>
      <c r="B18" s="23" t="s">
        <v>91</v>
      </c>
      <c r="C18" s="25">
        <v>0</v>
      </c>
      <c r="D18" s="25"/>
      <c r="E18" s="55">
        <v>2.2571</v>
      </c>
      <c r="F18" s="27">
        <f t="shared" si="0"/>
        <v>0</v>
      </c>
      <c r="G18" s="55">
        <f t="shared" si="1"/>
        <v>2.2571</v>
      </c>
      <c r="H18" s="27">
        <f t="shared" si="0"/>
        <v>0</v>
      </c>
      <c r="I18" s="49"/>
      <c r="J18" s="63">
        <v>3.2653</v>
      </c>
      <c r="K18" s="27">
        <f t="shared" si="2"/>
        <v>0</v>
      </c>
      <c r="L18" s="55">
        <f t="shared" si="3"/>
        <v>3.2653</v>
      </c>
      <c r="M18" s="27">
        <f t="shared" si="4"/>
        <v>0</v>
      </c>
      <c r="N18" s="49"/>
      <c r="O18" s="63">
        <v>0.3943</v>
      </c>
      <c r="P18" s="55">
        <f t="shared" si="5"/>
        <v>0</v>
      </c>
      <c r="Q18" s="55">
        <f>IF(O18=0,"",IF(N18="nd",O18/2,O18))</f>
        <v>0.3943</v>
      </c>
      <c r="R18" s="55">
        <f t="shared" si="6"/>
        <v>0</v>
      </c>
    </row>
    <row r="19" spans="1:18" ht="12.75">
      <c r="A19" s="23"/>
      <c r="B19" s="23" t="s">
        <v>92</v>
      </c>
      <c r="C19" s="25">
        <v>0.01</v>
      </c>
      <c r="D19" s="25"/>
      <c r="E19" s="55">
        <v>3.1228</v>
      </c>
      <c r="F19" s="27">
        <f t="shared" si="0"/>
        <v>0.031228</v>
      </c>
      <c r="G19" s="55">
        <f t="shared" si="1"/>
        <v>3.1228</v>
      </c>
      <c r="H19" s="27">
        <f t="shared" si="0"/>
        <v>0.031228</v>
      </c>
      <c r="I19" s="49"/>
      <c r="J19" s="63">
        <v>5.9596</v>
      </c>
      <c r="K19" s="27">
        <f t="shared" si="2"/>
        <v>0.059596</v>
      </c>
      <c r="L19" s="55">
        <f t="shared" si="3"/>
        <v>5.9596</v>
      </c>
      <c r="M19" s="27">
        <f t="shared" si="4"/>
        <v>0.059596</v>
      </c>
      <c r="N19" s="49"/>
      <c r="O19" s="63">
        <v>0.375</v>
      </c>
      <c r="P19" s="55">
        <f t="shared" si="5"/>
        <v>0.00375</v>
      </c>
      <c r="Q19" s="55">
        <f t="shared" si="7"/>
        <v>0.375</v>
      </c>
      <c r="R19" s="55">
        <f t="shared" si="6"/>
        <v>0.00375</v>
      </c>
    </row>
    <row r="20" spans="1:18" ht="12.75">
      <c r="A20" s="23"/>
      <c r="B20" s="23" t="s">
        <v>93</v>
      </c>
      <c r="C20" s="25">
        <v>0</v>
      </c>
      <c r="D20" s="25"/>
      <c r="E20" s="55">
        <v>2.2983</v>
      </c>
      <c r="F20" s="29">
        <f>IF(E20="","",E20*$C20)</f>
        <v>0</v>
      </c>
      <c r="G20" s="55">
        <f>IF(E20=0,"",IF(D20="nd",E20/2,E20))</f>
        <v>2.2983</v>
      </c>
      <c r="H20" s="29">
        <f>IF(G20="","",G20*$C20)</f>
        <v>0</v>
      </c>
      <c r="I20" s="49"/>
      <c r="J20" s="63">
        <v>4.5278</v>
      </c>
      <c r="K20" s="27">
        <f t="shared" si="2"/>
        <v>0</v>
      </c>
      <c r="L20" s="55">
        <f>IF(J20=0,"",IF(I20="nd",J20/2,J20))</f>
        <v>4.5278</v>
      </c>
      <c r="M20" s="27">
        <f t="shared" si="4"/>
        <v>0</v>
      </c>
      <c r="N20" s="49"/>
      <c r="O20" s="63">
        <v>0.3011</v>
      </c>
      <c r="P20" s="55">
        <f t="shared" si="5"/>
        <v>0</v>
      </c>
      <c r="Q20" s="55">
        <f>IF(O20=0,"",IF(N20="nd",O20/2,O20))</f>
        <v>0.3011</v>
      </c>
      <c r="R20" s="55">
        <f t="shared" si="6"/>
        <v>0</v>
      </c>
    </row>
    <row r="21" spans="1:18" ht="12.75">
      <c r="A21" s="23"/>
      <c r="B21" s="23" t="s">
        <v>94</v>
      </c>
      <c r="C21" s="25">
        <v>0.001</v>
      </c>
      <c r="D21" s="25"/>
      <c r="E21" s="55">
        <v>7.2099</v>
      </c>
      <c r="F21" s="27">
        <f t="shared" si="0"/>
        <v>0.0072099</v>
      </c>
      <c r="G21" s="55">
        <f t="shared" si="1"/>
        <v>7.2099</v>
      </c>
      <c r="H21" s="27">
        <f t="shared" si="0"/>
        <v>0.0072099</v>
      </c>
      <c r="I21" s="49"/>
      <c r="J21" s="63">
        <v>20.2049</v>
      </c>
      <c r="K21" s="27">
        <f t="shared" si="2"/>
        <v>0.020204899999999998</v>
      </c>
      <c r="L21" s="55">
        <f t="shared" si="3"/>
        <v>20.2049</v>
      </c>
      <c r="M21" s="27">
        <f t="shared" si="4"/>
        <v>0.020204899999999998</v>
      </c>
      <c r="N21" s="49"/>
      <c r="O21" s="63">
        <v>0.6983</v>
      </c>
      <c r="P21" s="55">
        <f t="shared" si="5"/>
        <v>0.0006983</v>
      </c>
      <c r="Q21" s="55">
        <f t="shared" si="7"/>
        <v>0.6983</v>
      </c>
      <c r="R21" s="55">
        <f t="shared" si="6"/>
        <v>0.0006983</v>
      </c>
    </row>
    <row r="22" spans="1:18" ht="12.75">
      <c r="A22" s="23"/>
      <c r="B22" s="23" t="s">
        <v>95</v>
      </c>
      <c r="C22" s="25">
        <v>0.1</v>
      </c>
      <c r="D22" s="25"/>
      <c r="E22" s="55">
        <v>0.097</v>
      </c>
      <c r="F22" s="27">
        <f t="shared" si="0"/>
        <v>0.0097</v>
      </c>
      <c r="G22" s="55">
        <f t="shared" si="1"/>
        <v>0.097</v>
      </c>
      <c r="H22" s="27">
        <f t="shared" si="0"/>
        <v>0.0097</v>
      </c>
      <c r="I22" s="49"/>
      <c r="J22" s="63">
        <v>0.428</v>
      </c>
      <c r="K22" s="27">
        <f t="shared" si="2"/>
        <v>0.042800000000000005</v>
      </c>
      <c r="L22" s="55">
        <f t="shared" si="3"/>
        <v>0.428</v>
      </c>
      <c r="M22" s="27">
        <f t="shared" si="4"/>
        <v>0.042800000000000005</v>
      </c>
      <c r="N22" s="49"/>
      <c r="O22" s="63">
        <v>0.0292</v>
      </c>
      <c r="P22" s="55">
        <f t="shared" si="5"/>
        <v>0.0029200000000000003</v>
      </c>
      <c r="Q22" s="55">
        <f t="shared" si="7"/>
        <v>0.0292</v>
      </c>
      <c r="R22" s="55">
        <f t="shared" si="6"/>
        <v>0.0029200000000000003</v>
      </c>
    </row>
    <row r="23" spans="1:18" ht="12.75">
      <c r="A23" s="23"/>
      <c r="B23" s="23" t="s">
        <v>96</v>
      </c>
      <c r="C23" s="25">
        <v>0</v>
      </c>
      <c r="D23" s="25"/>
      <c r="E23" s="55">
        <v>2.4703</v>
      </c>
      <c r="F23" s="29">
        <f>IF(E23="","",E23*$C23)</f>
        <v>0</v>
      </c>
      <c r="G23" s="55">
        <f>IF(E23=0,"",IF(D23="nd",E23/2,E23))</f>
        <v>2.4703</v>
      </c>
      <c r="H23" s="29">
        <f>IF(G23="","",G23*$C23)</f>
        <v>0</v>
      </c>
      <c r="I23" s="49"/>
      <c r="J23" s="63">
        <v>6.9642</v>
      </c>
      <c r="K23" s="27">
        <f t="shared" si="2"/>
        <v>0</v>
      </c>
      <c r="L23" s="55">
        <f>IF(J23=0,"",IF(I23="nd",J23/2,J23))</f>
        <v>6.9642</v>
      </c>
      <c r="M23" s="27">
        <f t="shared" si="4"/>
        <v>0</v>
      </c>
      <c r="N23" s="49"/>
      <c r="O23" s="63">
        <v>0.5029</v>
      </c>
      <c r="P23" s="55">
        <f t="shared" si="5"/>
        <v>0</v>
      </c>
      <c r="Q23" s="55">
        <f>IF(O23=0,"",IF(N23="nd",O23/2,O23))</f>
        <v>0.5029</v>
      </c>
      <c r="R23" s="55">
        <f t="shared" si="6"/>
        <v>0</v>
      </c>
    </row>
    <row r="24" spans="1:18" ht="12.75">
      <c r="A24" s="23"/>
      <c r="B24" s="23" t="s">
        <v>97</v>
      </c>
      <c r="C24" s="25">
        <v>0.05</v>
      </c>
      <c r="D24" s="25"/>
      <c r="E24" s="55">
        <v>0.2553</v>
      </c>
      <c r="F24" s="29">
        <f t="shared" si="0"/>
        <v>0.012765000000000002</v>
      </c>
      <c r="G24" s="55">
        <f t="shared" si="1"/>
        <v>0.2553</v>
      </c>
      <c r="H24" s="29">
        <f t="shared" si="0"/>
        <v>0.012765000000000002</v>
      </c>
      <c r="I24" s="49"/>
      <c r="J24" s="63">
        <v>0.886</v>
      </c>
      <c r="K24" s="27">
        <f t="shared" si="2"/>
        <v>0.044300000000000006</v>
      </c>
      <c r="L24" s="55">
        <f t="shared" si="3"/>
        <v>0.886</v>
      </c>
      <c r="M24" s="27">
        <f t="shared" si="4"/>
        <v>0.044300000000000006</v>
      </c>
      <c r="N24" s="49"/>
      <c r="O24" s="63">
        <v>0.0622</v>
      </c>
      <c r="P24" s="55">
        <f t="shared" si="5"/>
        <v>0.00311</v>
      </c>
      <c r="Q24" s="55">
        <f t="shared" si="7"/>
        <v>0.0622</v>
      </c>
      <c r="R24" s="55">
        <f t="shared" si="6"/>
        <v>0.00311</v>
      </c>
    </row>
    <row r="25" spans="1:18" ht="12.75">
      <c r="A25" s="23"/>
      <c r="B25" s="23" t="s">
        <v>98</v>
      </c>
      <c r="C25" s="25">
        <v>0.5</v>
      </c>
      <c r="D25" s="25"/>
      <c r="E25" s="55">
        <v>0.4206</v>
      </c>
      <c r="F25" s="29">
        <f t="shared" si="0"/>
        <v>0.2103</v>
      </c>
      <c r="G25" s="55">
        <f t="shared" si="1"/>
        <v>0.4206</v>
      </c>
      <c r="H25" s="29">
        <f t="shared" si="0"/>
        <v>0.2103</v>
      </c>
      <c r="I25" s="49"/>
      <c r="J25" s="63">
        <v>0.818</v>
      </c>
      <c r="K25" s="27">
        <f t="shared" si="2"/>
        <v>0.409</v>
      </c>
      <c r="L25" s="55">
        <f t="shared" si="3"/>
        <v>0.818</v>
      </c>
      <c r="M25" s="27">
        <f t="shared" si="4"/>
        <v>0.409</v>
      </c>
      <c r="N25" s="49"/>
      <c r="O25" s="63">
        <v>0.1122</v>
      </c>
      <c r="P25" s="55">
        <f t="shared" si="5"/>
        <v>0.0561</v>
      </c>
      <c r="Q25" s="55">
        <f t="shared" si="7"/>
        <v>0.1122</v>
      </c>
      <c r="R25" s="55">
        <f t="shared" si="6"/>
        <v>0.0561</v>
      </c>
    </row>
    <row r="26" spans="1:18" ht="12.75">
      <c r="A26" s="23"/>
      <c r="B26" s="23" t="s">
        <v>99</v>
      </c>
      <c r="C26" s="25">
        <v>0</v>
      </c>
      <c r="D26" s="25"/>
      <c r="E26" s="55">
        <v>2.6712</v>
      </c>
      <c r="F26" s="29">
        <f>IF(E26="","",E26*$C26)</f>
        <v>0</v>
      </c>
      <c r="G26" s="55">
        <f>IF(E26=0,"",IF(D26="nd",E26/2,E26))</f>
        <v>2.6712</v>
      </c>
      <c r="H26" s="29">
        <f>IF(G26="","",G26*$C26)</f>
        <v>0</v>
      </c>
      <c r="I26" s="49"/>
      <c r="J26" s="63">
        <v>6.6073</v>
      </c>
      <c r="K26" s="27">
        <f t="shared" si="2"/>
        <v>0</v>
      </c>
      <c r="L26" s="55">
        <f>IF(J26=0,"",IF(I26="nd",J26/2,J26))</f>
        <v>6.6073</v>
      </c>
      <c r="M26" s="27">
        <f t="shared" si="4"/>
        <v>0</v>
      </c>
      <c r="N26" s="49"/>
      <c r="O26" s="63">
        <v>0.6875</v>
      </c>
      <c r="P26" s="55">
        <f t="shared" si="5"/>
        <v>0</v>
      </c>
      <c r="Q26" s="55">
        <f>IF(O26=0,"",IF(N26="nd",O26/2,O26))</f>
        <v>0.6875</v>
      </c>
      <c r="R26" s="55">
        <f t="shared" si="6"/>
        <v>0</v>
      </c>
    </row>
    <row r="27" spans="1:18" ht="12.75">
      <c r="A27" s="23"/>
      <c r="B27" s="23" t="s">
        <v>100</v>
      </c>
      <c r="C27" s="25">
        <v>0.1</v>
      </c>
      <c r="D27" s="25"/>
      <c r="E27" s="55">
        <v>1.197</v>
      </c>
      <c r="F27" s="29">
        <f t="shared" si="0"/>
        <v>0.11970000000000001</v>
      </c>
      <c r="G27" s="55">
        <f t="shared" si="1"/>
        <v>1.197</v>
      </c>
      <c r="H27" s="29">
        <f t="shared" si="0"/>
        <v>0.11970000000000001</v>
      </c>
      <c r="I27" s="49"/>
      <c r="J27" s="63">
        <v>2.225</v>
      </c>
      <c r="K27" s="27">
        <f t="shared" si="2"/>
        <v>0.22250000000000003</v>
      </c>
      <c r="L27" s="55">
        <f t="shared" si="3"/>
        <v>2.225</v>
      </c>
      <c r="M27" s="27">
        <f t="shared" si="4"/>
        <v>0.22250000000000003</v>
      </c>
      <c r="N27" s="49"/>
      <c r="O27" s="63">
        <v>0.3703</v>
      </c>
      <c r="P27" s="55">
        <f t="shared" si="5"/>
        <v>0.03703</v>
      </c>
      <c r="Q27" s="55">
        <f t="shared" si="7"/>
        <v>0.3703</v>
      </c>
      <c r="R27" s="55">
        <f t="shared" si="6"/>
        <v>0.03703</v>
      </c>
    </row>
    <row r="28" spans="1:18" ht="12.75">
      <c r="A28" s="23"/>
      <c r="B28" s="23" t="s">
        <v>101</v>
      </c>
      <c r="C28" s="25">
        <v>0.1</v>
      </c>
      <c r="D28" s="25"/>
      <c r="E28" s="55">
        <v>0.5153</v>
      </c>
      <c r="F28" s="29">
        <f t="shared" si="0"/>
        <v>0.05153</v>
      </c>
      <c r="G28" s="55">
        <f t="shared" si="1"/>
        <v>0.5153</v>
      </c>
      <c r="H28" s="29">
        <f t="shared" si="0"/>
        <v>0.05153</v>
      </c>
      <c r="I28" s="49"/>
      <c r="J28" s="63">
        <v>1.0363</v>
      </c>
      <c r="K28" s="27">
        <f t="shared" si="2"/>
        <v>0.10363</v>
      </c>
      <c r="L28" s="55">
        <f t="shared" si="3"/>
        <v>1.0363</v>
      </c>
      <c r="M28" s="27">
        <f t="shared" si="4"/>
        <v>0.10363</v>
      </c>
      <c r="N28" s="49"/>
      <c r="O28" s="63">
        <v>0.1431</v>
      </c>
      <c r="P28" s="55">
        <f t="shared" si="5"/>
        <v>0.014310000000000002</v>
      </c>
      <c r="Q28" s="55">
        <f t="shared" si="7"/>
        <v>0.1431</v>
      </c>
      <c r="R28" s="55">
        <f t="shared" si="6"/>
        <v>0.014310000000000002</v>
      </c>
    </row>
    <row r="29" spans="1:18" ht="12.75">
      <c r="A29" s="23"/>
      <c r="B29" s="23" t="s">
        <v>102</v>
      </c>
      <c r="C29" s="25">
        <v>0.1</v>
      </c>
      <c r="D29" s="25"/>
      <c r="E29" s="55">
        <v>0.0983</v>
      </c>
      <c r="F29" s="29">
        <f t="shared" si="0"/>
        <v>0.00983</v>
      </c>
      <c r="G29" s="55">
        <f t="shared" si="1"/>
        <v>0.0983</v>
      </c>
      <c r="H29" s="29">
        <f t="shared" si="0"/>
        <v>0.00983</v>
      </c>
      <c r="I29" s="49"/>
      <c r="J29" s="63">
        <v>0.0939</v>
      </c>
      <c r="K29" s="27">
        <f t="shared" si="2"/>
        <v>0.00939</v>
      </c>
      <c r="L29" s="55">
        <f t="shared" si="3"/>
        <v>0.0939</v>
      </c>
      <c r="M29" s="27">
        <f t="shared" si="4"/>
        <v>0.00939</v>
      </c>
      <c r="N29" s="49"/>
      <c r="O29" s="63">
        <v>0.0167</v>
      </c>
      <c r="P29" s="55">
        <f t="shared" si="5"/>
        <v>0.00167</v>
      </c>
      <c r="Q29" s="55">
        <f t="shared" si="7"/>
        <v>0.0167</v>
      </c>
      <c r="R29" s="55">
        <f t="shared" si="6"/>
        <v>0.00167</v>
      </c>
    </row>
    <row r="30" spans="1:18" ht="12.75">
      <c r="A30" s="23"/>
      <c r="B30" s="23" t="s">
        <v>103</v>
      </c>
      <c r="C30" s="25">
        <v>0.1</v>
      </c>
      <c r="D30" s="25"/>
      <c r="E30" s="55">
        <v>0.6904</v>
      </c>
      <c r="F30" s="29">
        <f t="shared" si="0"/>
        <v>0.06904</v>
      </c>
      <c r="G30" s="55">
        <f t="shared" si="1"/>
        <v>0.6904</v>
      </c>
      <c r="H30" s="29">
        <f t="shared" si="0"/>
        <v>0.06904</v>
      </c>
      <c r="I30" s="49"/>
      <c r="J30" s="63">
        <v>0.9287</v>
      </c>
      <c r="K30" s="27">
        <f t="shared" si="2"/>
        <v>0.09287000000000001</v>
      </c>
      <c r="L30" s="55">
        <f t="shared" si="3"/>
        <v>0.9287</v>
      </c>
      <c r="M30" s="27">
        <f t="shared" si="4"/>
        <v>0.09287000000000001</v>
      </c>
      <c r="N30" s="49"/>
      <c r="O30" s="63">
        <v>0.0179</v>
      </c>
      <c r="P30" s="55">
        <f t="shared" si="5"/>
        <v>0.00179</v>
      </c>
      <c r="Q30" s="55">
        <f t="shared" si="7"/>
        <v>0.0179</v>
      </c>
      <c r="R30" s="55">
        <f t="shared" si="6"/>
        <v>0.00179</v>
      </c>
    </row>
    <row r="31" spans="1:18" ht="12.75">
      <c r="A31" s="23"/>
      <c r="B31" s="23" t="s">
        <v>104</v>
      </c>
      <c r="C31" s="25">
        <v>0</v>
      </c>
      <c r="D31" s="25"/>
      <c r="E31" s="55">
        <v>2.3066</v>
      </c>
      <c r="F31" s="29">
        <f>IF(E31="","",E31*$C31)</f>
        <v>0</v>
      </c>
      <c r="G31" s="55">
        <f>IF(E31=0,"",IF(D31="nd",E31/2,E31))</f>
        <v>2.3066</v>
      </c>
      <c r="H31" s="29">
        <f>IF(G31="","",G31*$C31)</f>
        <v>0</v>
      </c>
      <c r="I31" s="49"/>
      <c r="J31" s="63">
        <v>4.3481</v>
      </c>
      <c r="K31" s="27">
        <f t="shared" si="2"/>
        <v>0</v>
      </c>
      <c r="L31" s="55">
        <f>IF(J31=0,"",IF(I31="nd",J31/2,J31))</f>
        <v>4.3481</v>
      </c>
      <c r="M31" s="27">
        <f t="shared" si="4"/>
        <v>0</v>
      </c>
      <c r="N31" s="49"/>
      <c r="O31" s="63">
        <v>0.6514</v>
      </c>
      <c r="P31" s="55">
        <f t="shared" si="5"/>
        <v>0</v>
      </c>
      <c r="Q31" s="55">
        <f>IF(O31=0,"",IF(N31="nd",O31/2,O31))</f>
        <v>0.6514</v>
      </c>
      <c r="R31" s="55">
        <f t="shared" si="6"/>
        <v>0</v>
      </c>
    </row>
    <row r="32" spans="1:18" ht="12.75">
      <c r="A32" s="23"/>
      <c r="B32" s="23" t="s">
        <v>105</v>
      </c>
      <c r="C32" s="25">
        <v>0.01</v>
      </c>
      <c r="D32" s="25"/>
      <c r="E32" s="55">
        <v>1.8095</v>
      </c>
      <c r="F32" s="29">
        <f t="shared" si="0"/>
        <v>0.018095</v>
      </c>
      <c r="G32" s="55">
        <f t="shared" si="1"/>
        <v>1.8095</v>
      </c>
      <c r="H32" s="29">
        <f t="shared" si="0"/>
        <v>0.018095</v>
      </c>
      <c r="I32" s="49"/>
      <c r="J32" s="63">
        <v>3.1533</v>
      </c>
      <c r="K32" s="27">
        <f t="shared" si="2"/>
        <v>0.031533000000000005</v>
      </c>
      <c r="L32" s="55">
        <f t="shared" si="3"/>
        <v>3.1533</v>
      </c>
      <c r="M32" s="27">
        <f t="shared" si="4"/>
        <v>0.031533000000000005</v>
      </c>
      <c r="N32" s="49"/>
      <c r="O32" s="63">
        <v>0.4621</v>
      </c>
      <c r="P32" s="55">
        <f t="shared" si="5"/>
        <v>0.004621</v>
      </c>
      <c r="Q32" s="55">
        <f>IF(O32=0,"",IF(N32="nd",O32/2,O32))</f>
        <v>0.4621</v>
      </c>
      <c r="R32" s="55">
        <f t="shared" si="6"/>
        <v>0.004621</v>
      </c>
    </row>
    <row r="33" spans="1:18" ht="12.75">
      <c r="A33" s="23"/>
      <c r="B33" s="23" t="s">
        <v>106</v>
      </c>
      <c r="C33" s="25">
        <v>0.01</v>
      </c>
      <c r="D33" s="25"/>
      <c r="E33" s="55">
        <v>0.609</v>
      </c>
      <c r="F33" s="29">
        <f t="shared" si="0"/>
        <v>0.00609</v>
      </c>
      <c r="G33" s="55">
        <f t="shared" si="1"/>
        <v>0.609</v>
      </c>
      <c r="H33" s="29">
        <f t="shared" si="0"/>
        <v>0.00609</v>
      </c>
      <c r="I33" s="49"/>
      <c r="J33" s="63">
        <v>0.5379</v>
      </c>
      <c r="K33" s="27">
        <f t="shared" si="2"/>
        <v>0.005379000000000001</v>
      </c>
      <c r="L33" s="55">
        <f t="shared" si="3"/>
        <v>0.5379</v>
      </c>
      <c r="M33" s="27">
        <f t="shared" si="4"/>
        <v>0.005379000000000001</v>
      </c>
      <c r="N33" s="49"/>
      <c r="O33" s="63">
        <v>0.0823</v>
      </c>
      <c r="P33" s="55">
        <f t="shared" si="5"/>
        <v>0.000823</v>
      </c>
      <c r="Q33" s="55">
        <f>IF(O33=0,"",IF(N33="nd",O33/2,O33))</f>
        <v>0.0823</v>
      </c>
      <c r="R33" s="55">
        <f t="shared" si="6"/>
        <v>0.000823</v>
      </c>
    </row>
    <row r="34" spans="1:18" ht="12.75">
      <c r="A34" s="23"/>
      <c r="B34" s="23" t="s">
        <v>107</v>
      </c>
      <c r="C34" s="25">
        <v>0</v>
      </c>
      <c r="D34" s="25"/>
      <c r="E34" s="55">
        <v>0.9919</v>
      </c>
      <c r="F34" s="29">
        <f>IF(E34="","",E34*$C34)</f>
        <v>0</v>
      </c>
      <c r="G34" s="55">
        <f>IF(E34=0,"",IF(D34="nd",E34/2,E34))</f>
        <v>0.9919</v>
      </c>
      <c r="H34" s="29">
        <f>IF(G34="","",G34*$C34)</f>
        <v>0</v>
      </c>
      <c r="I34" s="49"/>
      <c r="J34" s="63">
        <v>1.2436</v>
      </c>
      <c r="K34" s="27">
        <f t="shared" si="2"/>
        <v>0</v>
      </c>
      <c r="L34" s="55">
        <f>IF(J34=0,"",IF(I34="nd",J34/2,J34))</f>
        <v>1.2436</v>
      </c>
      <c r="M34" s="27">
        <f t="shared" si="4"/>
        <v>0</v>
      </c>
      <c r="N34" s="49"/>
      <c r="O34" s="63">
        <v>0.1592</v>
      </c>
      <c r="P34" s="55">
        <f t="shared" si="5"/>
        <v>0</v>
      </c>
      <c r="Q34" s="55">
        <f>IF(O34=0,"",IF(N34="nd",O34/2,O34))</f>
        <v>0.1592</v>
      </c>
      <c r="R34" s="55">
        <f t="shared" si="6"/>
        <v>0</v>
      </c>
    </row>
    <row r="35" spans="1:18" ht="12.75">
      <c r="A35" s="23"/>
      <c r="B35" s="23" t="s">
        <v>108</v>
      </c>
      <c r="C35" s="25">
        <v>0.001</v>
      </c>
      <c r="D35" s="25"/>
      <c r="E35" s="55">
        <v>2.5397</v>
      </c>
      <c r="F35" s="29">
        <f t="shared" si="0"/>
        <v>0.0025396999999999998</v>
      </c>
      <c r="G35" s="55">
        <f t="shared" si="1"/>
        <v>2.5397</v>
      </c>
      <c r="H35" s="29">
        <f t="shared" si="0"/>
        <v>0.0025396999999999998</v>
      </c>
      <c r="I35" s="49"/>
      <c r="J35" s="63">
        <v>2.6847</v>
      </c>
      <c r="K35" s="27">
        <f t="shared" si="2"/>
        <v>0.0026847</v>
      </c>
      <c r="L35" s="55">
        <f t="shared" si="3"/>
        <v>2.6847</v>
      </c>
      <c r="M35" s="27">
        <f t="shared" si="4"/>
        <v>0.0026847</v>
      </c>
      <c r="N35" s="49"/>
      <c r="O35" s="63">
        <v>0.2396</v>
      </c>
      <c r="P35" s="55">
        <f t="shared" si="5"/>
        <v>0.00023960000000000002</v>
      </c>
      <c r="Q35" s="55">
        <f>IF(O35=0,"",IF(N35="nd",O35/2,O35))</f>
        <v>0.2396</v>
      </c>
      <c r="R35" s="55">
        <f t="shared" si="6"/>
        <v>0.00023960000000000002</v>
      </c>
    </row>
    <row r="36" spans="1:18" ht="8.25" customHeight="1">
      <c r="A36" s="23"/>
      <c r="B36" s="23"/>
      <c r="C36" s="23"/>
      <c r="D36" s="23"/>
      <c r="E36" s="27"/>
      <c r="F36" s="49"/>
      <c r="G36" s="27"/>
      <c r="H36" s="49"/>
      <c r="I36" s="27"/>
      <c r="J36" s="11"/>
      <c r="K36" s="26"/>
      <c r="L36" s="26"/>
      <c r="M36" s="26"/>
      <c r="N36" s="27"/>
      <c r="O36" s="11"/>
      <c r="P36" s="48"/>
      <c r="Q36" s="27"/>
      <c r="R36" s="48"/>
    </row>
    <row r="37" spans="1:18" ht="12.75">
      <c r="A37" s="23"/>
      <c r="B37" s="23" t="s">
        <v>109</v>
      </c>
      <c r="C37" s="23"/>
      <c r="D37" s="23"/>
      <c r="E37" s="27"/>
      <c r="F37" s="27">
        <v>122.066</v>
      </c>
      <c r="G37" s="27">
        <v>122.066</v>
      </c>
      <c r="H37" s="27">
        <v>122.066</v>
      </c>
      <c r="I37" s="27"/>
      <c r="J37" s="27"/>
      <c r="K37" s="27">
        <v>110.843</v>
      </c>
      <c r="L37" s="27">
        <v>110.843</v>
      </c>
      <c r="M37" s="27">
        <v>110.843</v>
      </c>
      <c r="N37" s="27"/>
      <c r="O37" s="27"/>
      <c r="P37" s="27">
        <v>110.097</v>
      </c>
      <c r="Q37" s="27">
        <v>110.097</v>
      </c>
      <c r="R37" s="27">
        <v>110.097</v>
      </c>
    </row>
    <row r="38" spans="1:18" ht="12.75">
      <c r="A38" s="23"/>
      <c r="B38" s="23" t="s">
        <v>110</v>
      </c>
      <c r="C38" s="23"/>
      <c r="D38" s="23"/>
      <c r="E38" s="27"/>
      <c r="F38" s="27">
        <v>5.2</v>
      </c>
      <c r="G38" s="27">
        <v>5.2</v>
      </c>
      <c r="H38" s="27">
        <v>5.2</v>
      </c>
      <c r="I38" s="27"/>
      <c r="J38" s="27"/>
      <c r="K38" s="26">
        <v>5</v>
      </c>
      <c r="L38" s="26">
        <v>5</v>
      </c>
      <c r="M38" s="26">
        <v>5</v>
      </c>
      <c r="N38" s="27"/>
      <c r="O38" s="27"/>
      <c r="P38" s="27">
        <v>5.2</v>
      </c>
      <c r="Q38" s="27">
        <v>5.2</v>
      </c>
      <c r="R38" s="27">
        <v>5.2</v>
      </c>
    </row>
    <row r="39" spans="1:18" ht="9" customHeight="1">
      <c r="A39" s="23"/>
      <c r="B39" s="23"/>
      <c r="C39" s="23"/>
      <c r="D39" s="23"/>
      <c r="E39" s="27"/>
      <c r="F39" s="11"/>
      <c r="G39" s="27"/>
      <c r="H39" s="11"/>
      <c r="I39" s="11"/>
      <c r="J39" s="27"/>
      <c r="K39" s="28"/>
      <c r="L39" s="26"/>
      <c r="M39" s="28"/>
      <c r="N39" s="27"/>
      <c r="O39" s="27"/>
      <c r="P39" s="27"/>
      <c r="Q39" s="27"/>
      <c r="R39" s="27"/>
    </row>
    <row r="40" spans="1:18" ht="12.75">
      <c r="A40" s="23"/>
      <c r="B40" s="23" t="s">
        <v>111</v>
      </c>
      <c r="C40" s="49"/>
      <c r="D40" s="49"/>
      <c r="E40" s="26"/>
      <c r="F40" s="27">
        <f>SUM(F11:F35)</f>
        <v>0.6868276</v>
      </c>
      <c r="G40" s="26">
        <f>SUM(G35,G34,G31,G26,G23,G21,G20,G18,G14,G12)</f>
        <v>24.227700000000002</v>
      </c>
      <c r="H40" s="27">
        <f>SUM(H11:H35)</f>
        <v>0.6868276</v>
      </c>
      <c r="I40" s="49"/>
      <c r="J40" s="26"/>
      <c r="K40" s="27">
        <f>SUM(K11:K35)</f>
        <v>1.4952176</v>
      </c>
      <c r="L40" s="26">
        <f>SUM(L35,L34,L31,L26,L23,L21,L20,L18,L14,L12)</f>
        <v>52.3925</v>
      </c>
      <c r="M40" s="27">
        <f>SUM(M11:M35)</f>
        <v>1.4952176</v>
      </c>
      <c r="N40" s="49"/>
      <c r="O40" s="27"/>
      <c r="P40" s="27">
        <f>SUM(P11:P35)</f>
        <v>0.16569189999999998</v>
      </c>
      <c r="Q40" s="26">
        <f>SUM(Q35,Q34,Q31,Q26,Q23,Q21,Q20,Q18,Q14,Q12)</f>
        <v>3.8835</v>
      </c>
      <c r="R40" s="27">
        <f>SUM(R11:R35)</f>
        <v>0.16569189999999998</v>
      </c>
    </row>
    <row r="41" spans="1:18" ht="12.75">
      <c r="A41" s="23"/>
      <c r="B41" s="23" t="s">
        <v>112</v>
      </c>
      <c r="C41" s="49"/>
      <c r="D41" s="26">
        <f>(F41-H41)*2/F41*100</f>
        <v>0</v>
      </c>
      <c r="E41" s="27"/>
      <c r="F41" s="49">
        <f>(F40/F37/0.0283*(21-7)/(21-F38))</f>
        <v>0.17617226529699276</v>
      </c>
      <c r="G41" s="27">
        <f>(G40/G37/0.0283*(21-7)/(21-G38))</f>
        <v>6.214439827310307</v>
      </c>
      <c r="H41" s="49">
        <f>(H40/H37/0.0283*(21-7)/(21-H38))</f>
        <v>0.17617226529699276</v>
      </c>
      <c r="I41" s="26">
        <f>(K41-M41)*2/K41*100</f>
        <v>0</v>
      </c>
      <c r="J41" s="27"/>
      <c r="K41" s="49">
        <f>(K40/K37/0.0283*(21-7)/(21-K38))</f>
        <v>0.4170784456249821</v>
      </c>
      <c r="L41" s="27">
        <f>(L40/L37/0.0283*(21-7)/(21-L38))</f>
        <v>14.614449737888904</v>
      </c>
      <c r="M41" s="49">
        <f>(M40/M37/0.0283*(21-7)/(21-M38))</f>
        <v>0.4170784456249821</v>
      </c>
      <c r="N41" s="26">
        <f>(P41-R41)*2/P41*100</f>
        <v>0</v>
      </c>
      <c r="O41" s="27"/>
      <c r="P41" s="49">
        <f>(P40/P37/0.0283*(21-7)/(21-P38))</f>
        <v>0.04712054512897628</v>
      </c>
      <c r="Q41" s="27">
        <f>(Q40/Q37/0.0283*(21-7)/(21-Q38))</f>
        <v>1.1044151042288692</v>
      </c>
      <c r="R41" s="49">
        <f>(R40/R37/0.0283*(21-7)/(21-R38))</f>
        <v>0.04712054512897628</v>
      </c>
    </row>
    <row r="42" spans="1:18" ht="9" customHeight="1">
      <c r="A42" s="23"/>
      <c r="B42" s="23"/>
      <c r="C42" s="23"/>
      <c r="D42" s="23"/>
      <c r="E42" s="55"/>
      <c r="F42" s="49"/>
      <c r="G42" s="55"/>
      <c r="H42" s="49"/>
      <c r="I42" s="55"/>
      <c r="J42" s="55"/>
      <c r="K42" s="55"/>
      <c r="L42" s="55"/>
      <c r="M42" s="55"/>
      <c r="N42" s="55"/>
      <c r="O42" s="55"/>
      <c r="P42" s="48"/>
      <c r="Q42" s="55"/>
      <c r="R42" s="48"/>
    </row>
    <row r="43" spans="1:18" ht="12.75">
      <c r="A43" s="27"/>
      <c r="B43" s="23" t="s">
        <v>113</v>
      </c>
      <c r="C43" s="55">
        <f>AVERAGE(H41,M41,R41)</f>
        <v>0.21345708535031704</v>
      </c>
      <c r="D43" s="27"/>
      <c r="E43" s="27"/>
      <c r="F43" s="49"/>
      <c r="G43" s="27"/>
      <c r="H43" s="49"/>
      <c r="I43" s="27"/>
      <c r="J43" s="27"/>
      <c r="K43" s="27"/>
      <c r="L43" s="27"/>
      <c r="M43" s="27"/>
      <c r="N43" s="27"/>
      <c r="O43" s="27"/>
      <c r="P43" s="48"/>
      <c r="Q43" s="27"/>
      <c r="R43" s="48"/>
    </row>
    <row r="44" spans="1:18" ht="12.75">
      <c r="A44" s="23"/>
      <c r="B44" s="23" t="s">
        <v>114</v>
      </c>
      <c r="C44" s="26">
        <f>AVERAGE(G41,L41,Q41)</f>
        <v>7.311101556476028</v>
      </c>
      <c r="D44" s="23"/>
      <c r="E44" s="48"/>
      <c r="F44" s="49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85" spans="1:18" ht="12.75">
      <c r="A85" s="3"/>
      <c r="B85" s="3"/>
      <c r="C85" s="3"/>
      <c r="D85" s="3"/>
      <c r="E85" s="56"/>
      <c r="G85" s="56"/>
      <c r="J85" s="56"/>
      <c r="K85" s="6"/>
      <c r="L85" s="5"/>
      <c r="M85" s="6"/>
      <c r="N85" s="56"/>
      <c r="O85" s="56"/>
      <c r="P85" s="56"/>
      <c r="Q85" s="56"/>
      <c r="R85" s="56"/>
    </row>
    <row r="86" spans="1:18" ht="12.75">
      <c r="A86" s="3"/>
      <c r="B86" s="3"/>
      <c r="C86" s="57"/>
      <c r="D86" s="57"/>
      <c r="E86" s="5"/>
      <c r="F86" s="56"/>
      <c r="G86" s="5"/>
      <c r="H86" s="56"/>
      <c r="I86" s="57"/>
      <c r="J86" s="5"/>
      <c r="K86" s="5"/>
      <c r="L86" s="5"/>
      <c r="M86" s="5"/>
      <c r="N86" s="57"/>
      <c r="O86" s="56"/>
      <c r="P86" s="57"/>
      <c r="Q86" s="57"/>
      <c r="R86" s="57"/>
    </row>
    <row r="87" spans="1:18" ht="12.75">
      <c r="A87" s="3"/>
      <c r="B87" s="3"/>
      <c r="C87" s="57"/>
      <c r="D87" s="57"/>
      <c r="E87" s="56"/>
      <c r="F87" s="57"/>
      <c r="G87" s="58"/>
      <c r="H87" s="57"/>
      <c r="I87" s="57"/>
      <c r="J87" s="56"/>
      <c r="K87" s="57"/>
      <c r="L87" s="5"/>
      <c r="M87" s="57"/>
      <c r="N87" s="57"/>
      <c r="O87" s="56"/>
      <c r="P87" s="58"/>
      <c r="Q87" s="58"/>
      <c r="R87" s="5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2004-02-20T22:44:03Z</cp:lastPrinted>
  <dcterms:created xsi:type="dcterms:W3CDTF">2000-01-10T00:44:42Z</dcterms:created>
  <dcterms:modified xsi:type="dcterms:W3CDTF">2004-02-20T22:44:31Z</dcterms:modified>
  <cp:category/>
  <cp:version/>
  <cp:contentType/>
  <cp:contentStatus/>
</cp:coreProperties>
</file>