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900" activeTab="2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<sst xmlns="http://schemas.openxmlformats.org/spreadsheetml/2006/main" count="2697" uniqueCount="275">
  <si>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</si>
  <si>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</si>
  <si>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</si>
  <si>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</si>
  <si>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</si>
  <si>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</si>
  <si>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</si>
  <si>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</si>
  <si>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</si>
  <si>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</si>
  <si>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</si>
  <si>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</si>
  <si>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</si>
  <si>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</si>
  <si>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</si>
  <si>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</si>
  <si>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</si>
  <si>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</si>
  <si>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</si>
  <si>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</si>
  <si>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Total</t>
  </si>
  <si>
    <t>Feedrate Calculations</t>
  </si>
  <si>
    <t>Feedstream Description</t>
  </si>
  <si>
    <t>Ash</t>
  </si>
  <si>
    <t>HCl</t>
  </si>
  <si>
    <t>Cl2</t>
  </si>
  <si>
    <t>DRE</t>
  </si>
  <si>
    <t>lb/hr</t>
  </si>
  <si>
    <t>Spike</t>
  </si>
  <si>
    <t>ug/dscm</t>
  </si>
  <si>
    <t>SVM</t>
  </si>
  <si>
    <t>LVM</t>
  </si>
  <si>
    <t>mg/dscm</t>
  </si>
  <si>
    <t>HW</t>
  </si>
  <si>
    <t>CO</t>
  </si>
  <si>
    <t>Combustor Characteristics</t>
  </si>
  <si>
    <t>7% O2</t>
  </si>
  <si>
    <t>Process Information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</si>
  <si>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</si>
  <si>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</si>
  <si>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</si>
  <si>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</si>
  <si>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</si>
  <si>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</si>
  <si>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</si>
  <si>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</si>
  <si>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</si>
  <si>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</si>
  <si>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</si>
  <si>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</si>
  <si>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</si>
  <si>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</si>
  <si>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</si>
  <si>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</si>
  <si>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</si>
  <si>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</si>
  <si>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</si>
  <si>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</si>
  <si>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Phase I ID No.</t>
  </si>
  <si>
    <t>Arsenic</t>
  </si>
  <si>
    <t>Cadmium</t>
  </si>
  <si>
    <t>Antimony</t>
  </si>
  <si>
    <t>CO (RA)</t>
  </si>
  <si>
    <t>Stack Gas Flowrate</t>
  </si>
  <si>
    <t>Oxygen</t>
  </si>
  <si>
    <t>Feedrate MTEC Calculations</t>
  </si>
  <si>
    <t>PM, HCl/Cl2</t>
  </si>
  <si>
    <t>Chlorine</t>
  </si>
  <si>
    <t>Heating Value</t>
  </si>
  <si>
    <t>Thermal Feedrate</t>
  </si>
  <si>
    <t>MMBtu/hr</t>
  </si>
  <si>
    <t>Metals</t>
  </si>
  <si>
    <t>Nickel</t>
  </si>
  <si>
    <t>PCDD/F</t>
  </si>
  <si>
    <t>Silver</t>
  </si>
  <si>
    <t>PCDD/PCDF</t>
  </si>
  <si>
    <t>Facility Name and ID:</t>
  </si>
  <si>
    <t>Condition ID:</t>
  </si>
  <si>
    <t>Condition/Test Date:</t>
  </si>
  <si>
    <t>I-TEF</t>
  </si>
  <si>
    <t>Run 1</t>
  </si>
  <si>
    <t>Run 3</t>
  </si>
  <si>
    <t>Wght Fact</t>
  </si>
  <si>
    <t xml:space="preserve"> TEQ</t>
  </si>
  <si>
    <t>TEQ</t>
  </si>
  <si>
    <t>1/2 ND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</si>
  <si>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</si>
  <si>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</si>
  <si>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</si>
  <si>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</si>
  <si>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</si>
  <si>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</si>
  <si>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</si>
  <si>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</si>
  <si>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</si>
  <si>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</si>
  <si>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</si>
  <si>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</si>
  <si>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</si>
  <si>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</si>
  <si>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</si>
  <si>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</si>
  <si>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</si>
  <si>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</si>
  <si>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</si>
  <si>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</si>
  <si>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</si>
  <si>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</si>
  <si>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</si>
  <si>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</si>
  <si>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</si>
  <si>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</si>
  <si>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</si>
  <si>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</si>
  <si>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</si>
  <si>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</si>
  <si>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</si>
  <si>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Run 2</t>
  </si>
  <si>
    <t>Detected in sample volume (ng)</t>
  </si>
  <si>
    <t>nd</t>
  </si>
  <si>
    <t>Barium</t>
  </si>
  <si>
    <t>Beryllium</t>
  </si>
  <si>
    <t>Selenium</t>
  </si>
  <si>
    <t>Thallium</t>
  </si>
  <si>
    <t>Cond Avg.</t>
  </si>
  <si>
    <t>Focus Environmental, Inc</t>
  </si>
  <si>
    <t>POHC DRE</t>
  </si>
  <si>
    <t>POHC Feedrate</t>
  </si>
  <si>
    <t>Emission Rate</t>
  </si>
  <si>
    <t>Mercury</t>
  </si>
  <si>
    <t>Cr+6</t>
  </si>
  <si>
    <t>Density</t>
  </si>
  <si>
    <t>g/ml</t>
  </si>
  <si>
    <t>Chamber Temp</t>
  </si>
  <si>
    <t>TXD008079212</t>
  </si>
  <si>
    <t>Dupont</t>
  </si>
  <si>
    <t>LaPorte</t>
  </si>
  <si>
    <t>TX</t>
  </si>
  <si>
    <t>Central Scrubbed Incinerator (CSI)</t>
  </si>
  <si>
    <t>March 21-23, 2001</t>
  </si>
  <si>
    <t>May 23-24, 2001</t>
  </si>
  <si>
    <t>Trial burn, min temp, max feedrate</t>
  </si>
  <si>
    <t xml:space="preserve">METCO </t>
  </si>
  <si>
    <t>Trial Burn Report, July 2001</t>
  </si>
  <si>
    <t>HC (RA)</t>
  </si>
  <si>
    <t>n</t>
  </si>
  <si>
    <t>HCl/Cl2</t>
  </si>
  <si>
    <t>Aluminum</t>
  </si>
  <si>
    <t>Cobalt</t>
  </si>
  <si>
    <t>Copper</t>
  </si>
  <si>
    <t>Iron</t>
  </si>
  <si>
    <t>Manganese</t>
  </si>
  <si>
    <t>Molybdenum</t>
  </si>
  <si>
    <t>Vanadium</t>
  </si>
  <si>
    <t>Zinc</t>
  </si>
  <si>
    <t>ODCB</t>
  </si>
  <si>
    <t>ppm</t>
  </si>
  <si>
    <t>Tier I metals</t>
  </si>
  <si>
    <t>Liq</t>
  </si>
  <si>
    <t>Liq waste</t>
  </si>
  <si>
    <t>scfm</t>
  </si>
  <si>
    <t>Viscosity</t>
  </si>
  <si>
    <t>cSt</t>
  </si>
  <si>
    <t>Btu/lb</t>
  </si>
  <si>
    <t>Ofrice scrubber Pressure Drop</t>
  </si>
  <si>
    <t>Scrubber water flow</t>
  </si>
  <si>
    <t>Scrubber pH</t>
  </si>
  <si>
    <t>oF</t>
  </si>
  <si>
    <t>in. w.c</t>
  </si>
  <si>
    <t>gpm</t>
  </si>
  <si>
    <t>pH</t>
  </si>
  <si>
    <t>Natural gas</t>
  </si>
  <si>
    <t>SC/ABS/Q</t>
  </si>
  <si>
    <t>Scrubber, absorber, quench</t>
  </si>
  <si>
    <t>PM, CO, HCl/Cl2, PCDD/F</t>
  </si>
  <si>
    <t>CO, HC</t>
  </si>
  <si>
    <t>CO, HCl/Cl2, DRE</t>
  </si>
  <si>
    <t>707C10</t>
  </si>
  <si>
    <t>707C11</t>
  </si>
  <si>
    <t>Report Name/Date</t>
  </si>
  <si>
    <t>Report Prepare</t>
  </si>
  <si>
    <t>Testing Firm</t>
  </si>
  <si>
    <t>Testing Dates</t>
  </si>
  <si>
    <t>Condition Descr</t>
  </si>
  <si>
    <t>Content</t>
  </si>
  <si>
    <t>707C1</t>
  </si>
  <si>
    <t>Dupont Central Scubbed Incinerator(CSI) Trial Burn Report, DCN 89-274-015-02, Prepared by Radian Corp., La Porte, Texas, January 5, 1989</t>
  </si>
  <si>
    <t>Entropy</t>
  </si>
  <si>
    <t>Cond Descr</t>
  </si>
  <si>
    <t>?</t>
  </si>
  <si>
    <t>Aug 12-13, 1988</t>
  </si>
  <si>
    <t>707C2</t>
  </si>
  <si>
    <t>Aug 13-14, 1988</t>
  </si>
  <si>
    <t>707C3</t>
  </si>
  <si>
    <t>707C4</t>
  </si>
  <si>
    <t>707C7</t>
  </si>
  <si>
    <t>Aug 29-30, 1988</t>
  </si>
  <si>
    <t>707C8</t>
  </si>
  <si>
    <t>707C9</t>
  </si>
  <si>
    <t>707A1</t>
  </si>
  <si>
    <t>707A2</t>
  </si>
  <si>
    <t>707A3</t>
  </si>
  <si>
    <t>707A4</t>
  </si>
  <si>
    <t>707A5</t>
  </si>
  <si>
    <t>707A6</t>
  </si>
  <si>
    <t>R1</t>
  </si>
  <si>
    <t>R2</t>
  </si>
  <si>
    <t>R3</t>
  </si>
  <si>
    <t>Cond Avg</t>
  </si>
  <si>
    <t/>
  </si>
  <si>
    <t>PM/HCl</t>
  </si>
  <si>
    <t>Carbon Tetrachloride</t>
  </si>
  <si>
    <t>o-Dichlorobenzene</t>
  </si>
  <si>
    <t>Organic</t>
  </si>
  <si>
    <t>Aqueous</t>
  </si>
  <si>
    <t>Brine Mix</t>
  </si>
  <si>
    <t>Feedrate</t>
  </si>
  <si>
    <t>Heating value</t>
  </si>
  <si>
    <t>wt %</t>
  </si>
  <si>
    <t>ppmw</t>
  </si>
  <si>
    <t>Condition Description</t>
  </si>
  <si>
    <t>Combustor Class</t>
  </si>
  <si>
    <t>Combustor Type</t>
  </si>
  <si>
    <t>Liquid injection incinerator</t>
  </si>
  <si>
    <t>McGill Environmental</t>
  </si>
  <si>
    <t>Stack Gas Emissions 1</t>
  </si>
  <si>
    <t>Stack Gas Emissions 2</t>
  </si>
  <si>
    <t>Feedstream 2</t>
  </si>
  <si>
    <t>Full ND</t>
  </si>
  <si>
    <t>70710</t>
  </si>
  <si>
    <t>Combustion Temperature</t>
  </si>
  <si>
    <t>F</t>
  </si>
  <si>
    <t>70711</t>
  </si>
  <si>
    <t>in H2O</t>
  </si>
  <si>
    <t>WS pH</t>
  </si>
  <si>
    <t>WS Pressure Drop</t>
  </si>
  <si>
    <t>Process Information 2</t>
  </si>
  <si>
    <t>Number of Sister Facilities</t>
  </si>
  <si>
    <t>APCS Detailed Acronym</t>
  </si>
  <si>
    <t>APCS General Class</t>
  </si>
  <si>
    <t>LEWS,WQ</t>
  </si>
  <si>
    <t>Cond Dates</t>
  </si>
  <si>
    <t>E1</t>
  </si>
  <si>
    <t>E2</t>
  </si>
  <si>
    <t>E3</t>
  </si>
  <si>
    <t>E4</t>
  </si>
  <si>
    <t>Total Chlorine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</si>
  <si>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</si>
  <si>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</si>
  <si>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</si>
  <si>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</si>
  <si>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</si>
  <si>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</si>
  <si>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</si>
  <si>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</si>
  <si>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</si>
  <si>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Onsite incinerator</t>
  </si>
  <si>
    <t>August 30-31, 1988</t>
  </si>
  <si>
    <t>PM (total)</t>
  </si>
  <si>
    <t>Chromium (Hex)</t>
  </si>
  <si>
    <t>Feedstream Number</t>
  </si>
  <si>
    <t>Feed Class</t>
  </si>
  <si>
    <t>F1</t>
  </si>
  <si>
    <t>Liq HW</t>
  </si>
  <si>
    <t>F2</t>
  </si>
  <si>
    <t>F3</t>
  </si>
  <si>
    <t>F4</t>
  </si>
  <si>
    <t>Liq non-HW</t>
  </si>
  <si>
    <t>F5</t>
  </si>
  <si>
    <t>Feed Class 2</t>
  </si>
  <si>
    <t>Non-HW</t>
  </si>
  <si>
    <t>Estimated Firing Rate</t>
  </si>
  <si>
    <t>Trial burn, max temp, max feedrate, worst oper cond (chlorine data invalid due to sampling errors)</t>
  </si>
  <si>
    <t>N</t>
  </si>
  <si>
    <t>HCl/Cl2 data considered invalid due to QA/QC analytical problems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</si>
</sst>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mm/dd/yy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177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5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1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3" ht="12.75">
      <c r="A3" t="s">
        <v>249</v>
      </c>
    </row>
    <row r="4" ht="12.75">
      <c r="A4" t="s">
        <v>250</v>
      </c>
    </row>
    <row r="5" ht="12.75">
      <c r="A5" t="s">
        <v>251</v>
      </c>
    </row>
    <row r="6" ht="12.75">
      <c r="A6" t="s">
        <v>252</v>
      </c>
    </row>
    <row r="7" ht="12.75">
      <c r="A7" t="s">
        <v>253</v>
      </c>
    </row>
    <row r="8" ht="12.75">
      <c r="A8" t="s">
        <v>254</v>
      </c>
    </row>
    <row r="9" ht="12.75">
      <c r="A9" t="s">
        <v>255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00390625" style="0" customWidth="1"/>
    <col min="4" max="4" width="4.8515625" style="0" customWidth="1"/>
    <col min="5" max="5" width="9.421875" style="0" customWidth="1"/>
    <col min="6" max="6" width="9.8515625" style="0" customWidth="1"/>
    <col min="7" max="7" width="12.421875" style="0" bestFit="1" customWidth="1"/>
    <col min="8" max="8" width="9.8515625" style="0" customWidth="1"/>
    <col min="9" max="9" width="4.57421875" style="0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47" t="s">
        <v>75</v>
      </c>
      <c r="B1" s="23"/>
      <c r="C1" s="23"/>
      <c r="D1" s="23"/>
      <c r="E1" s="48"/>
      <c r="F1" s="49"/>
      <c r="G1" s="48"/>
      <c r="H1" s="49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>
      <c r="A2" s="23" t="s">
        <v>273</v>
      </c>
      <c r="B2" s="23"/>
      <c r="C2" s="23"/>
      <c r="D2" s="23"/>
      <c r="E2" s="48"/>
      <c r="F2" s="49"/>
      <c r="G2" s="48"/>
      <c r="H2" s="49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>
      <c r="A3" s="23" t="s">
        <v>76</v>
      </c>
      <c r="B3" s="23"/>
      <c r="C3" s="9" t="str">
        <f>source!C5</f>
        <v>Dupont</v>
      </c>
      <c r="D3" s="9"/>
      <c r="E3" s="48"/>
      <c r="F3" s="49"/>
      <c r="G3" s="48"/>
      <c r="H3" s="49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2.75">
      <c r="A4" s="23" t="s">
        <v>77</v>
      </c>
      <c r="B4" s="23"/>
      <c r="C4" s="9" t="s">
        <v>177</v>
      </c>
      <c r="D4" s="9"/>
      <c r="E4" s="51"/>
      <c r="F4" s="52"/>
      <c r="G4" s="51"/>
      <c r="H4" s="52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8" ht="12.75">
      <c r="A5" s="23" t="s">
        <v>78</v>
      </c>
      <c r="B5" s="23"/>
      <c r="C5" s="11" t="str">
        <f>cond!C10</f>
        <v>Trial burn, max temp, max feedrate, worst oper cond (chlorine data invalid due to sampling errors)</v>
      </c>
      <c r="D5" s="11"/>
      <c r="E5" s="11"/>
      <c r="F5" s="11"/>
      <c r="G5" s="11"/>
      <c r="H5" s="11"/>
      <c r="I5" s="11"/>
      <c r="J5" s="11"/>
      <c r="K5" s="48"/>
      <c r="L5" s="11"/>
      <c r="M5" s="48"/>
      <c r="N5" s="48"/>
      <c r="O5" s="48"/>
      <c r="P5" s="48"/>
      <c r="Q5" s="48"/>
      <c r="R5" s="48"/>
    </row>
    <row r="6" spans="1:18" ht="12.75">
      <c r="A6" s="23"/>
      <c r="B6" s="23"/>
      <c r="C6" s="25"/>
      <c r="D6" s="25"/>
      <c r="E6" s="50"/>
      <c r="F6" s="49"/>
      <c r="G6" s="50"/>
      <c r="H6" s="49"/>
      <c r="I6" s="48"/>
      <c r="J6" s="50"/>
      <c r="K6" s="48"/>
      <c r="L6" s="50"/>
      <c r="M6" s="48"/>
      <c r="N6" s="48"/>
      <c r="O6" s="50"/>
      <c r="P6" s="48"/>
      <c r="Q6" s="50"/>
      <c r="R6" s="48"/>
    </row>
    <row r="7" spans="1:18" ht="12.75">
      <c r="A7" s="23"/>
      <c r="B7" s="23"/>
      <c r="C7" s="25" t="s">
        <v>79</v>
      </c>
      <c r="D7" s="25"/>
      <c r="E7" s="53" t="s">
        <v>80</v>
      </c>
      <c r="F7" s="53"/>
      <c r="G7" s="53"/>
      <c r="H7" s="53"/>
      <c r="I7" s="54"/>
      <c r="J7" s="53" t="s">
        <v>117</v>
      </c>
      <c r="K7" s="53"/>
      <c r="L7" s="53"/>
      <c r="M7" s="53"/>
      <c r="N7" s="54"/>
      <c r="O7" s="53" t="s">
        <v>81</v>
      </c>
      <c r="P7" s="53"/>
      <c r="Q7" s="53"/>
      <c r="R7" s="53"/>
    </row>
    <row r="8" spans="1:18" ht="12.75">
      <c r="A8" s="23"/>
      <c r="B8" s="23"/>
      <c r="C8" s="25" t="s">
        <v>82</v>
      </c>
      <c r="D8" s="23"/>
      <c r="E8" s="50" t="s">
        <v>20</v>
      </c>
      <c r="F8" s="52" t="s">
        <v>83</v>
      </c>
      <c r="G8" s="50" t="s">
        <v>20</v>
      </c>
      <c r="H8" s="52" t="s">
        <v>83</v>
      </c>
      <c r="I8" s="48"/>
      <c r="J8" s="50" t="s">
        <v>20</v>
      </c>
      <c r="K8" s="50" t="s">
        <v>84</v>
      </c>
      <c r="L8" s="50" t="s">
        <v>20</v>
      </c>
      <c r="M8" s="50" t="s">
        <v>84</v>
      </c>
      <c r="N8" s="48"/>
      <c r="O8" s="50" t="s">
        <v>20</v>
      </c>
      <c r="P8" s="50" t="s">
        <v>84</v>
      </c>
      <c r="Q8" s="50" t="s">
        <v>20</v>
      </c>
      <c r="R8" s="50" t="s">
        <v>84</v>
      </c>
    </row>
    <row r="9" spans="1:18" ht="12.75">
      <c r="A9" s="23"/>
      <c r="B9" s="23"/>
      <c r="C9" s="25"/>
      <c r="D9" s="23"/>
      <c r="E9" s="50" t="s">
        <v>228</v>
      </c>
      <c r="F9" s="50" t="s">
        <v>228</v>
      </c>
      <c r="G9" s="50" t="s">
        <v>85</v>
      </c>
      <c r="H9" s="52" t="s">
        <v>85</v>
      </c>
      <c r="I9" s="48"/>
      <c r="J9" s="50" t="s">
        <v>228</v>
      </c>
      <c r="K9" s="50" t="s">
        <v>228</v>
      </c>
      <c r="L9" s="50" t="s">
        <v>85</v>
      </c>
      <c r="M9" s="52" t="s">
        <v>85</v>
      </c>
      <c r="N9" s="48"/>
      <c r="O9" s="50" t="s">
        <v>228</v>
      </c>
      <c r="P9" s="50" t="s">
        <v>228</v>
      </c>
      <c r="Q9" s="50" t="s">
        <v>85</v>
      </c>
      <c r="R9" s="52" t="s">
        <v>85</v>
      </c>
    </row>
    <row r="10" spans="1:18" ht="12.75">
      <c r="A10" s="23" t="s">
        <v>118</v>
      </c>
      <c r="B10" s="23"/>
      <c r="C10" s="23"/>
      <c r="D10" s="23"/>
      <c r="E10" s="48"/>
      <c r="F10" s="49"/>
      <c r="G10" s="48"/>
      <c r="H10" s="49"/>
      <c r="I10" s="48"/>
      <c r="J10" s="48"/>
      <c r="K10" s="48"/>
      <c r="L10" s="48"/>
      <c r="M10" s="48"/>
      <c r="N10" s="48"/>
      <c r="O10" s="26"/>
      <c r="P10" s="48"/>
      <c r="Q10" s="48"/>
      <c r="R10" s="48"/>
    </row>
    <row r="11" spans="1:18" ht="12.75">
      <c r="A11" s="23"/>
      <c r="B11" s="23" t="s">
        <v>86</v>
      </c>
      <c r="C11" s="25">
        <v>1</v>
      </c>
      <c r="D11" s="25" t="s">
        <v>119</v>
      </c>
      <c r="E11" s="55">
        <f>0.0061</f>
        <v>0.0061</v>
      </c>
      <c r="F11" s="49">
        <f aca="true" t="shared" si="0" ref="F11:H35">IF(E11="","",E11*$C11)</f>
        <v>0.0061</v>
      </c>
      <c r="G11" s="55">
        <f aca="true" t="shared" si="1" ref="G11:G35">IF(E11=0,"",IF(D11="nd",E11/2,E11))</f>
        <v>0.00305</v>
      </c>
      <c r="H11" s="49">
        <f t="shared" si="0"/>
        <v>0.00305</v>
      </c>
      <c r="I11" s="49" t="s">
        <v>119</v>
      </c>
      <c r="J11" s="61">
        <f>0.00379+0.00351</f>
        <v>0.0073</v>
      </c>
      <c r="K11" s="49">
        <f aca="true" t="shared" si="2" ref="K11:K35">IF(J11="","",J11*$C11)</f>
        <v>0.0073</v>
      </c>
      <c r="L11" s="55">
        <f aca="true" t="shared" si="3" ref="L11:L35">IF(J11=0,"",IF(I11="nd",J11/2,J11))</f>
        <v>0.00365</v>
      </c>
      <c r="M11" s="49">
        <f aca="true" t="shared" si="4" ref="M11:M35">IF(L11="","",L11*$C11)</f>
        <v>0.00365</v>
      </c>
      <c r="N11" s="49"/>
      <c r="O11" s="55">
        <f>0.00242/2+0.0102</f>
        <v>0.01141</v>
      </c>
      <c r="P11" s="55">
        <f aca="true" t="shared" si="5" ref="P11:P35">IF(O11="","",O11*$C11)</f>
        <v>0.01141</v>
      </c>
      <c r="Q11" s="55">
        <f>IF(O11=0,"",IF(N11="nd",O11/2,O11))</f>
        <v>0.01141</v>
      </c>
      <c r="R11" s="55">
        <f aca="true" t="shared" si="6" ref="R11:R35">IF(Q11="","",Q11*$C11)</f>
        <v>0.01141</v>
      </c>
    </row>
    <row r="12" spans="1:18" ht="12.75">
      <c r="A12" s="23"/>
      <c r="B12" s="23" t="s">
        <v>87</v>
      </c>
      <c r="C12" s="25">
        <v>0</v>
      </c>
      <c r="D12" s="25"/>
      <c r="E12" s="55">
        <f>0.00248/2+0.071</f>
        <v>0.07224</v>
      </c>
      <c r="F12" s="49">
        <f t="shared" si="0"/>
        <v>0</v>
      </c>
      <c r="G12" s="55">
        <f t="shared" si="1"/>
        <v>0.07224</v>
      </c>
      <c r="H12" s="49">
        <f t="shared" si="0"/>
        <v>0</v>
      </c>
      <c r="I12" s="49"/>
      <c r="J12" s="62">
        <f>0.00379/2+0.111</f>
        <v>0.112895</v>
      </c>
      <c r="K12" s="49">
        <f t="shared" si="2"/>
        <v>0</v>
      </c>
      <c r="L12" s="55">
        <f t="shared" si="3"/>
        <v>0.112895</v>
      </c>
      <c r="M12" s="49">
        <f t="shared" si="4"/>
        <v>0</v>
      </c>
      <c r="N12" s="49"/>
      <c r="O12" s="55">
        <f>0.00242/2+0.463</f>
        <v>0.46421</v>
      </c>
      <c r="P12" s="55">
        <f t="shared" si="5"/>
        <v>0</v>
      </c>
      <c r="Q12" s="55">
        <f>IF(O12=0,"",IF(N12="nd",O12/2,O12))</f>
        <v>0.46421</v>
      </c>
      <c r="R12" s="55">
        <f t="shared" si="6"/>
        <v>0</v>
      </c>
    </row>
    <row r="13" spans="1:18" ht="12.75">
      <c r="A13" s="23"/>
      <c r="B13" s="23" t="s">
        <v>88</v>
      </c>
      <c r="C13" s="25">
        <v>0.5</v>
      </c>
      <c r="D13" s="25" t="s">
        <v>119</v>
      </c>
      <c r="E13" s="42">
        <f>0.00438+0.00341</f>
        <v>0.00779</v>
      </c>
      <c r="F13" s="49">
        <f t="shared" si="0"/>
        <v>0.003895</v>
      </c>
      <c r="G13" s="55">
        <f t="shared" si="1"/>
        <v>0.003895</v>
      </c>
      <c r="H13" s="49">
        <f t="shared" si="0"/>
        <v>0.0019475</v>
      </c>
      <c r="I13" s="49" t="s">
        <v>119</v>
      </c>
      <c r="J13" s="61">
        <f>0.00363/0.00442</f>
        <v>0.8212669683257918</v>
      </c>
      <c r="K13" s="49">
        <f t="shared" si="2"/>
        <v>0.4106334841628959</v>
      </c>
      <c r="L13" s="55">
        <f t="shared" si="3"/>
        <v>0.4106334841628959</v>
      </c>
      <c r="M13" s="49">
        <f t="shared" si="4"/>
        <v>0.20531674208144796</v>
      </c>
      <c r="N13" s="49"/>
      <c r="O13" s="61">
        <f>0.0078/2+0.0119</f>
        <v>0.0158</v>
      </c>
      <c r="P13" s="55">
        <f t="shared" si="5"/>
        <v>0.0079</v>
      </c>
      <c r="Q13" s="55">
        <f aca="true" t="shared" si="7" ref="Q13:Q30">IF(O13=0,"",IF(N13="nd",O13/2,O13))</f>
        <v>0.0158</v>
      </c>
      <c r="R13" s="55">
        <f t="shared" si="6"/>
        <v>0.0079</v>
      </c>
    </row>
    <row r="14" spans="1:18" ht="12.75">
      <c r="A14" s="23"/>
      <c r="B14" s="23" t="s">
        <v>89</v>
      </c>
      <c r="C14" s="25">
        <v>0</v>
      </c>
      <c r="D14" s="25"/>
      <c r="E14" s="55">
        <f>0.00438/2+0.0464</f>
        <v>0.048589999999999994</v>
      </c>
      <c r="F14" s="49">
        <f t="shared" si="0"/>
        <v>0</v>
      </c>
      <c r="G14" s="55">
        <f t="shared" si="1"/>
        <v>0.048589999999999994</v>
      </c>
      <c r="H14" s="49">
        <f t="shared" si="0"/>
        <v>0</v>
      </c>
      <c r="I14" s="49"/>
      <c r="J14" s="61">
        <f>0.00363/2+0.0653</f>
        <v>0.067115</v>
      </c>
      <c r="K14" s="49">
        <f t="shared" si="2"/>
        <v>0</v>
      </c>
      <c r="L14" s="55">
        <f t="shared" si="3"/>
        <v>0.067115</v>
      </c>
      <c r="M14" s="49">
        <f t="shared" si="4"/>
        <v>0</v>
      </c>
      <c r="N14" s="49"/>
      <c r="O14" s="61">
        <f>0.0078/2+0.274</f>
        <v>0.27790000000000004</v>
      </c>
      <c r="P14" s="55">
        <f t="shared" si="5"/>
        <v>0</v>
      </c>
      <c r="Q14" s="55">
        <f>IF(O14=0,"",IF(N14="nd",O14/2,O14))</f>
        <v>0.27790000000000004</v>
      </c>
      <c r="R14" s="55">
        <f t="shared" si="6"/>
        <v>0</v>
      </c>
    </row>
    <row r="15" spans="1:18" ht="12.75">
      <c r="A15" s="23"/>
      <c r="B15" s="23" t="s">
        <v>90</v>
      </c>
      <c r="C15" s="25">
        <v>0.1</v>
      </c>
      <c r="D15" s="25" t="s">
        <v>119</v>
      </c>
      <c r="E15" s="55">
        <f>0.00734+0.0071</f>
        <v>0.014440000000000001</v>
      </c>
      <c r="F15" s="49">
        <f t="shared" si="0"/>
        <v>0.0014440000000000002</v>
      </c>
      <c r="G15" s="55">
        <f t="shared" si="1"/>
        <v>0.007220000000000001</v>
      </c>
      <c r="H15" s="49">
        <f t="shared" si="0"/>
        <v>0.0007220000000000001</v>
      </c>
      <c r="I15" s="49" t="s">
        <v>119</v>
      </c>
      <c r="J15" s="61">
        <f>0.00773+0.00755</f>
        <v>0.01528</v>
      </c>
      <c r="K15" s="49">
        <f t="shared" si="2"/>
        <v>0.001528</v>
      </c>
      <c r="L15" s="55">
        <f t="shared" si="3"/>
        <v>0.00764</v>
      </c>
      <c r="M15" s="49">
        <f t="shared" si="4"/>
        <v>0.000764</v>
      </c>
      <c r="N15" s="49" t="s">
        <v>119</v>
      </c>
      <c r="O15" s="61">
        <f>0.00574+0.00726</f>
        <v>0.013000000000000001</v>
      </c>
      <c r="P15" s="55">
        <f t="shared" si="5"/>
        <v>0.0013000000000000002</v>
      </c>
      <c r="Q15" s="55">
        <f t="shared" si="7"/>
        <v>0.006500000000000001</v>
      </c>
      <c r="R15" s="55">
        <f t="shared" si="6"/>
        <v>0.0006500000000000001</v>
      </c>
    </row>
    <row r="16" spans="1:18" ht="12.75">
      <c r="A16" s="23"/>
      <c r="B16" s="23" t="s">
        <v>91</v>
      </c>
      <c r="C16" s="25">
        <v>0.1</v>
      </c>
      <c r="D16" s="25" t="s">
        <v>119</v>
      </c>
      <c r="E16" s="55">
        <f>0.00797+0.00772</f>
        <v>0.01569</v>
      </c>
      <c r="F16" s="49">
        <f t="shared" si="0"/>
        <v>0.001569</v>
      </c>
      <c r="G16" s="55">
        <f t="shared" si="1"/>
        <v>0.007845</v>
      </c>
      <c r="H16" s="49">
        <f t="shared" si="0"/>
        <v>0.0007845</v>
      </c>
      <c r="I16" s="49" t="s">
        <v>119</v>
      </c>
      <c r="J16" s="61">
        <f>0.0084+0.00821</f>
        <v>0.01661</v>
      </c>
      <c r="K16" s="49">
        <f t="shared" si="2"/>
        <v>0.0016610000000000001</v>
      </c>
      <c r="L16" s="55">
        <f t="shared" si="3"/>
        <v>0.008305</v>
      </c>
      <c r="M16" s="49">
        <f t="shared" si="4"/>
        <v>0.0008305000000000001</v>
      </c>
      <c r="N16" s="49" t="s">
        <v>119</v>
      </c>
      <c r="O16" s="61">
        <f>0.00623+0.00789</f>
        <v>0.01412</v>
      </c>
      <c r="P16" s="55">
        <f t="shared" si="5"/>
        <v>0.001412</v>
      </c>
      <c r="Q16" s="55">
        <f t="shared" si="7"/>
        <v>0.00706</v>
      </c>
      <c r="R16" s="55">
        <f t="shared" si="6"/>
        <v>0.000706</v>
      </c>
    </row>
    <row r="17" spans="1:18" ht="12.75">
      <c r="A17" s="23"/>
      <c r="B17" s="23" t="s">
        <v>92</v>
      </c>
      <c r="C17" s="25">
        <v>0.1</v>
      </c>
      <c r="D17" s="25" t="s">
        <v>119</v>
      </c>
      <c r="E17" s="55">
        <f>0.00716+0.00693</f>
        <v>0.01409</v>
      </c>
      <c r="F17" s="49">
        <f t="shared" si="0"/>
        <v>0.001409</v>
      </c>
      <c r="G17" s="55">
        <f t="shared" si="1"/>
        <v>0.007045</v>
      </c>
      <c r="H17" s="49">
        <f t="shared" si="0"/>
        <v>0.0007045</v>
      </c>
      <c r="I17" s="49" t="s">
        <v>119</v>
      </c>
      <c r="J17" s="61">
        <f>0.00754+0.00738</f>
        <v>0.01492</v>
      </c>
      <c r="K17" s="49">
        <f t="shared" si="2"/>
        <v>0.001492</v>
      </c>
      <c r="L17" s="55">
        <f t="shared" si="3"/>
        <v>0.00746</v>
      </c>
      <c r="M17" s="49">
        <f t="shared" si="4"/>
        <v>0.000746</v>
      </c>
      <c r="N17" s="49" t="s">
        <v>119</v>
      </c>
      <c r="O17" s="61">
        <f>0.0056+0.00709</f>
        <v>0.01269</v>
      </c>
      <c r="P17" s="55">
        <f t="shared" si="5"/>
        <v>0.0012690000000000002</v>
      </c>
      <c r="Q17" s="55">
        <f t="shared" si="7"/>
        <v>0.006345</v>
      </c>
      <c r="R17" s="55">
        <f t="shared" si="6"/>
        <v>0.0006345000000000001</v>
      </c>
    </row>
    <row r="18" spans="1:18" ht="12.75">
      <c r="A18" s="23"/>
      <c r="B18" s="23" t="s">
        <v>93</v>
      </c>
      <c r="C18" s="25">
        <v>0</v>
      </c>
      <c r="D18" s="25"/>
      <c r="E18" s="55">
        <f>0.141+0.0231</f>
        <v>0.1641</v>
      </c>
      <c r="F18" s="49">
        <f t="shared" si="0"/>
        <v>0</v>
      </c>
      <c r="G18" s="55">
        <f t="shared" si="1"/>
        <v>0.1641</v>
      </c>
      <c r="H18" s="49">
        <f t="shared" si="0"/>
        <v>0</v>
      </c>
      <c r="I18" s="49"/>
      <c r="J18" s="61">
        <f>0.00787/2+0.0434</f>
        <v>0.047335</v>
      </c>
      <c r="K18" s="49">
        <f t="shared" si="2"/>
        <v>0</v>
      </c>
      <c r="L18" s="55">
        <f t="shared" si="3"/>
        <v>0.047335</v>
      </c>
      <c r="M18" s="49">
        <f t="shared" si="4"/>
        <v>0</v>
      </c>
      <c r="N18" s="49"/>
      <c r="O18" s="61">
        <f>0.0203+0.109</f>
        <v>0.1293</v>
      </c>
      <c r="P18" s="55">
        <f t="shared" si="5"/>
        <v>0</v>
      </c>
      <c r="Q18" s="55">
        <f>IF(O18=0,"",IF(N18="nd",O18/2,O18))</f>
        <v>0.1293</v>
      </c>
      <c r="R18" s="55">
        <f t="shared" si="6"/>
        <v>0</v>
      </c>
    </row>
    <row r="19" spans="1:18" ht="12.75">
      <c r="A19" s="23"/>
      <c r="B19" s="23" t="s">
        <v>94</v>
      </c>
      <c r="C19" s="25">
        <v>0.01</v>
      </c>
      <c r="D19" s="25" t="s">
        <v>119</v>
      </c>
      <c r="E19" s="55">
        <f>0.00996+0.0116</f>
        <v>0.02156</v>
      </c>
      <c r="F19" s="49">
        <f t="shared" si="0"/>
        <v>0.0002156</v>
      </c>
      <c r="G19" s="55">
        <f t="shared" si="1"/>
        <v>0.01078</v>
      </c>
      <c r="H19" s="49">
        <f t="shared" si="0"/>
        <v>0.0001078</v>
      </c>
      <c r="I19" s="49" t="s">
        <v>119</v>
      </c>
      <c r="J19" s="61">
        <f>0.00556+0.0127</f>
        <v>0.01826</v>
      </c>
      <c r="K19" s="49">
        <f t="shared" si="2"/>
        <v>0.0001826</v>
      </c>
      <c r="L19" s="55">
        <f t="shared" si="3"/>
        <v>0.00913</v>
      </c>
      <c r="M19" s="49">
        <f t="shared" si="4"/>
        <v>9.13E-05</v>
      </c>
      <c r="N19" s="49"/>
      <c r="O19" s="61">
        <f>0.00943/2+0.0171</f>
        <v>0.021815</v>
      </c>
      <c r="P19" s="55">
        <f t="shared" si="5"/>
        <v>0.00021815000000000002</v>
      </c>
      <c r="Q19" s="55">
        <f t="shared" si="7"/>
        <v>0.021815</v>
      </c>
      <c r="R19" s="55">
        <f t="shared" si="6"/>
        <v>0.00021815000000000002</v>
      </c>
    </row>
    <row r="20" spans="1:18" ht="12.75">
      <c r="A20" s="23"/>
      <c r="B20" s="23" t="s">
        <v>95</v>
      </c>
      <c r="C20" s="25">
        <v>0</v>
      </c>
      <c r="D20" s="25" t="s">
        <v>119</v>
      </c>
      <c r="E20" s="55">
        <f>0.00996+0.0116</f>
        <v>0.02156</v>
      </c>
      <c r="F20" s="49">
        <f>IF(E20="","",E20*$C20)</f>
        <v>0</v>
      </c>
      <c r="G20" s="55">
        <f>IF(E20=0,"",IF(D20="nd",E20/2,E20))</f>
        <v>0.01078</v>
      </c>
      <c r="H20" s="49">
        <f>IF(G20="","",G20*$C20)</f>
        <v>0</v>
      </c>
      <c r="I20" s="49" t="s">
        <v>119</v>
      </c>
      <c r="J20" s="61">
        <f>0.00556+0.0127</f>
        <v>0.01826</v>
      </c>
      <c r="K20" s="49">
        <f t="shared" si="2"/>
        <v>0</v>
      </c>
      <c r="L20" s="55">
        <f>IF(J20=0,"",IF(I20="nd",J20/2,J20))</f>
        <v>0.00913</v>
      </c>
      <c r="M20" s="49">
        <f t="shared" si="4"/>
        <v>0</v>
      </c>
      <c r="N20" s="49"/>
      <c r="O20" s="61">
        <f>0.00943/2+0.0336</f>
        <v>0.038314999999999995</v>
      </c>
      <c r="P20" s="55">
        <f t="shared" si="5"/>
        <v>0</v>
      </c>
      <c r="Q20" s="55">
        <f>IF(O20=0,"",IF(N20="nd",O20/2,O20))</f>
        <v>0.038314999999999995</v>
      </c>
      <c r="R20" s="55">
        <f t="shared" si="6"/>
        <v>0</v>
      </c>
    </row>
    <row r="21" spans="1:18" ht="12.75">
      <c r="A21" s="23"/>
      <c r="B21" s="23" t="s">
        <v>96</v>
      </c>
      <c r="C21" s="25">
        <v>0.001</v>
      </c>
      <c r="D21" s="25"/>
      <c r="E21" s="55">
        <f>0.0155+0.0262</f>
        <v>0.0417</v>
      </c>
      <c r="F21" s="49">
        <f t="shared" si="0"/>
        <v>4.1700000000000004E-05</v>
      </c>
      <c r="G21" s="55">
        <f t="shared" si="1"/>
        <v>0.0417</v>
      </c>
      <c r="H21" s="49">
        <f t="shared" si="0"/>
        <v>4.1700000000000004E-05</v>
      </c>
      <c r="I21" s="49"/>
      <c r="J21" s="61">
        <f>0.0138/2+0.0265</f>
        <v>0.0334</v>
      </c>
      <c r="K21" s="49">
        <f t="shared" si="2"/>
        <v>3.34E-05</v>
      </c>
      <c r="L21" s="55">
        <f t="shared" si="3"/>
        <v>0.0334</v>
      </c>
      <c r="M21" s="49">
        <f t="shared" si="4"/>
        <v>3.34E-05</v>
      </c>
      <c r="N21" s="49" t="s">
        <v>119</v>
      </c>
      <c r="O21" s="61">
        <f>0.0162+0.0269</f>
        <v>0.0431</v>
      </c>
      <c r="P21" s="55">
        <f t="shared" si="5"/>
        <v>4.31E-05</v>
      </c>
      <c r="Q21" s="55">
        <f t="shared" si="7"/>
        <v>0.02155</v>
      </c>
      <c r="R21" s="55">
        <f t="shared" si="6"/>
        <v>2.155E-05</v>
      </c>
    </row>
    <row r="22" spans="1:18" ht="12.75">
      <c r="A22" s="23"/>
      <c r="B22" s="23" t="s">
        <v>97</v>
      </c>
      <c r="C22" s="25">
        <v>0.1</v>
      </c>
      <c r="D22" s="25"/>
      <c r="E22" s="70">
        <f>0.00182/2+0.0283</f>
        <v>0.02921</v>
      </c>
      <c r="F22" s="49">
        <f t="shared" si="0"/>
        <v>0.002921</v>
      </c>
      <c r="G22" s="55">
        <f t="shared" si="1"/>
        <v>0.02921</v>
      </c>
      <c r="H22" s="49">
        <f t="shared" si="0"/>
        <v>0.002921</v>
      </c>
      <c r="I22" s="49"/>
      <c r="J22" s="61">
        <f>0.00209/2+0.114</f>
        <v>0.11504500000000001</v>
      </c>
      <c r="K22" s="49">
        <f t="shared" si="2"/>
        <v>0.0115045</v>
      </c>
      <c r="L22" s="55">
        <f t="shared" si="3"/>
        <v>0.11504500000000001</v>
      </c>
      <c r="M22" s="49">
        <f t="shared" si="4"/>
        <v>0.0115045</v>
      </c>
      <c r="N22" s="49"/>
      <c r="O22" s="61">
        <f>0.0016/2+0.196</f>
        <v>0.1968</v>
      </c>
      <c r="P22" s="55">
        <f t="shared" si="5"/>
        <v>0.019680000000000003</v>
      </c>
      <c r="Q22" s="55">
        <f t="shared" si="7"/>
        <v>0.1968</v>
      </c>
      <c r="R22" s="55">
        <f t="shared" si="6"/>
        <v>0.019680000000000003</v>
      </c>
    </row>
    <row r="23" spans="1:18" ht="12.75">
      <c r="A23" s="23"/>
      <c r="B23" s="23" t="s">
        <v>98</v>
      </c>
      <c r="C23" s="25">
        <v>0</v>
      </c>
      <c r="D23" s="25"/>
      <c r="E23" s="55">
        <f>0.00182+0.383</f>
        <v>0.38482</v>
      </c>
      <c r="F23" s="49">
        <f>IF(E23="","",E23*$C23)</f>
        <v>0</v>
      </c>
      <c r="G23" s="55">
        <f>IF(E23=0,"",IF(D23="nd",E23/2,E23))</f>
        <v>0.38482</v>
      </c>
      <c r="H23" s="49">
        <f>IF(G23="","",G23*$C23)</f>
        <v>0</v>
      </c>
      <c r="I23" s="49"/>
      <c r="J23" s="61">
        <f>0.00209/2+1.11</f>
        <v>1.111045</v>
      </c>
      <c r="K23" s="49">
        <f t="shared" si="2"/>
        <v>0</v>
      </c>
      <c r="L23" s="55">
        <f>IF(J23=0,"",IF(I23="nd",J23/2,J23))</f>
        <v>1.111045</v>
      </c>
      <c r="M23" s="49">
        <f t="shared" si="4"/>
        <v>0</v>
      </c>
      <c r="N23" s="49"/>
      <c r="O23" s="61">
        <f>0.0016/2+2.59</f>
        <v>2.5907999999999998</v>
      </c>
      <c r="P23" s="55">
        <f t="shared" si="5"/>
        <v>0</v>
      </c>
      <c r="Q23" s="55">
        <f>IF(O23=0,"",IF(N23="nd",O23/2,O23))</f>
        <v>2.5907999999999998</v>
      </c>
      <c r="R23" s="55">
        <f t="shared" si="6"/>
        <v>0</v>
      </c>
    </row>
    <row r="24" spans="1:18" ht="12.75">
      <c r="A24" s="23"/>
      <c r="B24" s="23" t="s">
        <v>99</v>
      </c>
      <c r="C24" s="25">
        <v>0.05</v>
      </c>
      <c r="D24" s="25" t="s">
        <v>119</v>
      </c>
      <c r="E24" s="55">
        <f>0.00202+0.00469</f>
        <v>0.00671</v>
      </c>
      <c r="F24" s="49">
        <f t="shared" si="0"/>
        <v>0.0003355</v>
      </c>
      <c r="G24" s="55">
        <f t="shared" si="1"/>
        <v>0.003355</v>
      </c>
      <c r="H24" s="49">
        <f t="shared" si="0"/>
        <v>0.00016775</v>
      </c>
      <c r="I24" s="49" t="s">
        <v>119</v>
      </c>
      <c r="J24" s="61">
        <f>0.00212+0.00404</f>
        <v>0.0061600000000000005</v>
      </c>
      <c r="K24" s="49">
        <f t="shared" si="2"/>
        <v>0.00030800000000000006</v>
      </c>
      <c r="L24" s="55">
        <f t="shared" si="3"/>
        <v>0.0030800000000000003</v>
      </c>
      <c r="M24" s="49">
        <f t="shared" si="4"/>
        <v>0.00015400000000000003</v>
      </c>
      <c r="N24" s="49"/>
      <c r="O24" s="61">
        <f>0.0022/2+0.0619</f>
        <v>0.063</v>
      </c>
      <c r="P24" s="55">
        <f t="shared" si="5"/>
        <v>0.00315</v>
      </c>
      <c r="Q24" s="55">
        <f t="shared" si="7"/>
        <v>0.063</v>
      </c>
      <c r="R24" s="55">
        <f t="shared" si="6"/>
        <v>0.00315</v>
      </c>
    </row>
    <row r="25" spans="1:18" ht="12.75">
      <c r="A25" s="23"/>
      <c r="B25" s="23" t="s">
        <v>100</v>
      </c>
      <c r="C25" s="25">
        <v>0.5</v>
      </c>
      <c r="D25" s="25" t="s">
        <v>119</v>
      </c>
      <c r="E25" s="55">
        <f>0.00199+0.00463</f>
        <v>0.006619999999999999</v>
      </c>
      <c r="F25" s="49">
        <f t="shared" si="0"/>
        <v>0.0033099999999999996</v>
      </c>
      <c r="G25" s="55">
        <f t="shared" si="1"/>
        <v>0.0033099999999999996</v>
      </c>
      <c r="H25" s="49">
        <f t="shared" si="0"/>
        <v>0.0016549999999999998</v>
      </c>
      <c r="I25" s="49"/>
      <c r="J25" s="61">
        <f>0.00209/2+0.00651</f>
        <v>0.007555</v>
      </c>
      <c r="K25" s="49">
        <f t="shared" si="2"/>
        <v>0.0037775</v>
      </c>
      <c r="L25" s="55">
        <f t="shared" si="3"/>
        <v>0.007555</v>
      </c>
      <c r="M25" s="49">
        <f t="shared" si="4"/>
        <v>0.0037775</v>
      </c>
      <c r="N25" s="49"/>
      <c r="O25" s="61">
        <f>0.00217/2+0.0203</f>
        <v>0.021384999999999998</v>
      </c>
      <c r="P25" s="55">
        <f t="shared" si="5"/>
        <v>0.010692499999999999</v>
      </c>
      <c r="Q25" s="55">
        <f t="shared" si="7"/>
        <v>0.021384999999999998</v>
      </c>
      <c r="R25" s="55">
        <f t="shared" si="6"/>
        <v>0.010692499999999999</v>
      </c>
    </row>
    <row r="26" spans="1:18" ht="12.75">
      <c r="A26" s="23"/>
      <c r="B26" s="23" t="s">
        <v>101</v>
      </c>
      <c r="C26" s="25">
        <v>0</v>
      </c>
      <c r="D26" s="25"/>
      <c r="E26" s="55">
        <f>0.002/2+0.0372</f>
        <v>0.0382</v>
      </c>
      <c r="F26" s="49">
        <f>IF(E26="","",E26*$C26)</f>
        <v>0</v>
      </c>
      <c r="G26" s="55">
        <f>IF(E26=0,"",IF(D26="nd",E26/2,E26))</f>
        <v>0.0382</v>
      </c>
      <c r="H26" s="49">
        <f>IF(G26="","",G26*$C26)</f>
        <v>0</v>
      </c>
      <c r="I26" s="49"/>
      <c r="J26" s="61">
        <f>0.0021/2+0.0608</f>
        <v>0.06185</v>
      </c>
      <c r="K26" s="49">
        <f t="shared" si="2"/>
        <v>0</v>
      </c>
      <c r="L26" s="55">
        <f>IF(J26=0,"",IF(I26="nd",J26/2,J26))</f>
        <v>0.06185</v>
      </c>
      <c r="M26" s="49">
        <f t="shared" si="4"/>
        <v>0</v>
      </c>
      <c r="N26" s="49"/>
      <c r="O26" s="61">
        <f>0.00218+0.266</f>
        <v>0.26818000000000003</v>
      </c>
      <c r="P26" s="55">
        <f t="shared" si="5"/>
        <v>0</v>
      </c>
      <c r="Q26" s="55">
        <f>IF(O26=0,"",IF(N26="nd",O26/2,O26))</f>
        <v>0.26818000000000003</v>
      </c>
      <c r="R26" s="55">
        <f t="shared" si="6"/>
        <v>0</v>
      </c>
    </row>
    <row r="27" spans="1:18" ht="12.75">
      <c r="A27" s="23"/>
      <c r="B27" s="23" t="s">
        <v>102</v>
      </c>
      <c r="C27" s="25">
        <v>0.1</v>
      </c>
      <c r="D27" s="25" t="s">
        <v>119</v>
      </c>
      <c r="E27" s="55">
        <f>0.00232+0.00395</f>
        <v>0.00627</v>
      </c>
      <c r="F27" s="49">
        <f t="shared" si="0"/>
        <v>0.0006270000000000001</v>
      </c>
      <c r="G27" s="55">
        <f t="shared" si="1"/>
        <v>0.003135</v>
      </c>
      <c r="H27" s="49">
        <f t="shared" si="0"/>
        <v>0.00031350000000000003</v>
      </c>
      <c r="I27" s="49" t="s">
        <v>119</v>
      </c>
      <c r="J27" s="61">
        <f>0.00217+0.00415</f>
        <v>0.00632</v>
      </c>
      <c r="K27" s="49">
        <f t="shared" si="2"/>
        <v>0.0006320000000000001</v>
      </c>
      <c r="L27" s="55">
        <f t="shared" si="3"/>
        <v>0.00316</v>
      </c>
      <c r="M27" s="49">
        <f t="shared" si="4"/>
        <v>0.00031600000000000004</v>
      </c>
      <c r="N27" s="49"/>
      <c r="O27" s="61">
        <f>0.00223/2+0.0361</f>
        <v>0.037215</v>
      </c>
      <c r="P27" s="55">
        <f t="shared" si="5"/>
        <v>0.0037215</v>
      </c>
      <c r="Q27" s="55">
        <f t="shared" si="7"/>
        <v>0.037215</v>
      </c>
      <c r="R27" s="55">
        <f t="shared" si="6"/>
        <v>0.0037215</v>
      </c>
    </row>
    <row r="28" spans="1:18" ht="12.75">
      <c r="A28" s="23"/>
      <c r="B28" s="23" t="s">
        <v>103</v>
      </c>
      <c r="C28" s="25">
        <v>0.1</v>
      </c>
      <c r="D28" s="25" t="s">
        <v>119</v>
      </c>
      <c r="E28" s="55">
        <f>0.00206+0.00351</f>
        <v>0.00557</v>
      </c>
      <c r="F28" s="49">
        <f t="shared" si="0"/>
        <v>0.0005570000000000001</v>
      </c>
      <c r="G28" s="55">
        <f t="shared" si="1"/>
        <v>0.002785</v>
      </c>
      <c r="H28" s="49">
        <f t="shared" si="0"/>
        <v>0.00027850000000000005</v>
      </c>
      <c r="I28" s="49" t="s">
        <v>119</v>
      </c>
      <c r="J28" s="61">
        <f>0.00192+0.00368</f>
        <v>0.0056</v>
      </c>
      <c r="K28" s="49">
        <f t="shared" si="2"/>
        <v>0.0005600000000000001</v>
      </c>
      <c r="L28" s="55">
        <f t="shared" si="3"/>
        <v>0.0028</v>
      </c>
      <c r="M28" s="49">
        <f t="shared" si="4"/>
        <v>0.00028000000000000003</v>
      </c>
      <c r="N28" s="49"/>
      <c r="O28" s="61">
        <f>0.00198/2+0.0122</f>
        <v>0.01319</v>
      </c>
      <c r="P28" s="55">
        <f t="shared" si="5"/>
        <v>0.001319</v>
      </c>
      <c r="Q28" s="55">
        <f t="shared" si="7"/>
        <v>0.01319</v>
      </c>
      <c r="R28" s="55">
        <f t="shared" si="6"/>
        <v>0.001319</v>
      </c>
    </row>
    <row r="29" spans="1:18" ht="12.75">
      <c r="A29" s="23"/>
      <c r="B29" s="23" t="s">
        <v>104</v>
      </c>
      <c r="C29" s="25">
        <v>0.1</v>
      </c>
      <c r="D29" s="25" t="s">
        <v>119</v>
      </c>
      <c r="E29" s="55">
        <f>0.0023+0.00393</f>
        <v>0.00623</v>
      </c>
      <c r="F29" s="49">
        <f t="shared" si="0"/>
        <v>0.0006230000000000001</v>
      </c>
      <c r="G29" s="55">
        <f t="shared" si="1"/>
        <v>0.003115</v>
      </c>
      <c r="H29" s="49">
        <f t="shared" si="0"/>
        <v>0.00031150000000000004</v>
      </c>
      <c r="I29" s="49" t="s">
        <v>119</v>
      </c>
      <c r="J29" s="61">
        <f>0.00215+0.00412</f>
        <v>0.00627</v>
      </c>
      <c r="K29" s="49">
        <f t="shared" si="2"/>
        <v>0.0006270000000000001</v>
      </c>
      <c r="L29" s="55">
        <f t="shared" si="3"/>
        <v>0.003135</v>
      </c>
      <c r="M29" s="49">
        <f t="shared" si="4"/>
        <v>0.00031350000000000003</v>
      </c>
      <c r="N29" s="49"/>
      <c r="O29" s="61">
        <f>0.00221/2+0.00777</f>
        <v>0.008875000000000001</v>
      </c>
      <c r="P29" s="55">
        <f t="shared" si="5"/>
        <v>0.0008875000000000002</v>
      </c>
      <c r="Q29" s="55">
        <f t="shared" si="7"/>
        <v>0.008875000000000001</v>
      </c>
      <c r="R29" s="55">
        <f t="shared" si="6"/>
        <v>0.0008875000000000002</v>
      </c>
    </row>
    <row r="30" spans="1:18" ht="12.75">
      <c r="A30" s="23"/>
      <c r="B30" s="23" t="s">
        <v>105</v>
      </c>
      <c r="C30" s="25">
        <v>0.1</v>
      </c>
      <c r="D30" s="25" t="s">
        <v>119</v>
      </c>
      <c r="E30" s="55">
        <f>0.00272+0.00379</f>
        <v>0.00651</v>
      </c>
      <c r="F30" s="49">
        <f t="shared" si="0"/>
        <v>0.0006510000000000001</v>
      </c>
      <c r="G30" s="55">
        <f t="shared" si="1"/>
        <v>0.003255</v>
      </c>
      <c r="H30" s="49">
        <f t="shared" si="0"/>
        <v>0.00032550000000000005</v>
      </c>
      <c r="I30" s="49" t="s">
        <v>119</v>
      </c>
      <c r="J30" s="61">
        <f>0.00254+0.00486</f>
        <v>0.0074</v>
      </c>
      <c r="K30" s="49">
        <f t="shared" si="2"/>
        <v>0.0007400000000000001</v>
      </c>
      <c r="L30" s="55">
        <f t="shared" si="3"/>
        <v>0.0037</v>
      </c>
      <c r="M30" s="49">
        <f t="shared" si="4"/>
        <v>0.00037000000000000005</v>
      </c>
      <c r="N30" s="49"/>
      <c r="O30" s="61">
        <f>0.00261/2+0.0095</f>
        <v>0.010805</v>
      </c>
      <c r="P30" s="55">
        <f t="shared" si="5"/>
        <v>0.0010805</v>
      </c>
      <c r="Q30" s="55">
        <f t="shared" si="7"/>
        <v>0.010805</v>
      </c>
      <c r="R30" s="55">
        <f t="shared" si="6"/>
        <v>0.0010805</v>
      </c>
    </row>
    <row r="31" spans="1:18" ht="12.75">
      <c r="A31" s="23"/>
      <c r="B31" s="23" t="s">
        <v>106</v>
      </c>
      <c r="C31" s="25">
        <v>0</v>
      </c>
      <c r="D31" s="25" t="s">
        <v>119</v>
      </c>
      <c r="E31" s="55">
        <f>0.0233+0.0037</f>
        <v>0.027000000000000003</v>
      </c>
      <c r="F31" s="49">
        <f>IF(E31="","",E31*$C31)</f>
        <v>0</v>
      </c>
      <c r="G31" s="55">
        <f>IF(E31=0,"",IF(D31="nd",E31/2,E31))</f>
        <v>0.013500000000000002</v>
      </c>
      <c r="H31" s="49">
        <f>IF(G31="","",G31*$C31)</f>
        <v>0</v>
      </c>
      <c r="I31" s="49" t="s">
        <v>119</v>
      </c>
      <c r="J31" s="61">
        <f>0.00217+0.00416</f>
        <v>0.00633</v>
      </c>
      <c r="K31" s="49">
        <f t="shared" si="2"/>
        <v>0</v>
      </c>
      <c r="L31" s="55">
        <f>IF(J31=0,"",IF(I31="nd",J31/2,J31))</f>
        <v>0.003165</v>
      </c>
      <c r="M31" s="49">
        <f t="shared" si="4"/>
        <v>0</v>
      </c>
      <c r="N31" s="49"/>
      <c r="O31" s="61">
        <f>0.00224/2+0.0886</f>
        <v>0.08972</v>
      </c>
      <c r="P31" s="55">
        <f t="shared" si="5"/>
        <v>0</v>
      </c>
      <c r="Q31" s="55">
        <f>IF(O31=0,"",IF(N31="nd",O31/2,O31))</f>
        <v>0.08972</v>
      </c>
      <c r="R31" s="55">
        <f t="shared" si="6"/>
        <v>0</v>
      </c>
    </row>
    <row r="32" spans="1:18" ht="12.75">
      <c r="A32" s="23"/>
      <c r="B32" s="23" t="s">
        <v>107</v>
      </c>
      <c r="C32" s="25">
        <v>0.01</v>
      </c>
      <c r="D32" s="25" t="s">
        <v>119</v>
      </c>
      <c r="E32" s="55">
        <f>0.00208+0.00286</f>
        <v>0.00494</v>
      </c>
      <c r="F32" s="49">
        <f t="shared" si="0"/>
        <v>4.94E-05</v>
      </c>
      <c r="G32" s="55">
        <f t="shared" si="1"/>
        <v>0.00247</v>
      </c>
      <c r="H32" s="49">
        <f t="shared" si="0"/>
        <v>2.47E-05</v>
      </c>
      <c r="I32" s="49" t="s">
        <v>119</v>
      </c>
      <c r="J32" s="61">
        <f>0.00236+0.00346</f>
        <v>0.0058200000000000005</v>
      </c>
      <c r="K32" s="49">
        <f t="shared" si="2"/>
        <v>5.8200000000000005E-05</v>
      </c>
      <c r="L32" s="55">
        <f t="shared" si="3"/>
        <v>0.0029100000000000003</v>
      </c>
      <c r="M32" s="49">
        <f t="shared" si="4"/>
        <v>2.9100000000000003E-05</v>
      </c>
      <c r="N32" s="49"/>
      <c r="O32" s="61">
        <f>0.003/2+0.0206</f>
        <v>0.0221</v>
      </c>
      <c r="P32" s="55">
        <f t="shared" si="5"/>
        <v>0.00022100000000000003</v>
      </c>
      <c r="Q32" s="55">
        <f>IF(O31=0,"",IF(N32="nd",O31/2,O31))</f>
        <v>0.08972</v>
      </c>
      <c r="R32" s="55">
        <f t="shared" si="6"/>
        <v>0.0008971999999999999</v>
      </c>
    </row>
    <row r="33" spans="1:18" ht="12.75">
      <c r="A33" s="23"/>
      <c r="B33" s="23" t="s">
        <v>108</v>
      </c>
      <c r="C33" s="25">
        <v>0.01</v>
      </c>
      <c r="D33" s="25" t="s">
        <v>119</v>
      </c>
      <c r="E33" s="55">
        <f>0.00276+0.00379</f>
        <v>0.00655</v>
      </c>
      <c r="F33" s="49">
        <f t="shared" si="0"/>
        <v>6.55E-05</v>
      </c>
      <c r="G33" s="55">
        <f t="shared" si="1"/>
        <v>0.003275</v>
      </c>
      <c r="H33" s="49">
        <f t="shared" si="0"/>
        <v>3.275E-05</v>
      </c>
      <c r="I33" s="49" t="s">
        <v>119</v>
      </c>
      <c r="J33" s="61">
        <f>0.00313+0.00459</f>
        <v>0.00772</v>
      </c>
      <c r="K33" s="49">
        <f t="shared" si="2"/>
        <v>7.72E-05</v>
      </c>
      <c r="L33" s="55">
        <f t="shared" si="3"/>
        <v>0.00386</v>
      </c>
      <c r="M33" s="49">
        <f t="shared" si="4"/>
        <v>3.86E-05</v>
      </c>
      <c r="N33" s="49" t="s">
        <v>119</v>
      </c>
      <c r="O33" s="61">
        <f>0.00398+0.00582</f>
        <v>0.0098</v>
      </c>
      <c r="P33" s="55">
        <f t="shared" si="5"/>
        <v>9.8E-05</v>
      </c>
      <c r="Q33" s="55">
        <f>IF(O32=0,"",IF(N33="nd",O32/2,O32))</f>
        <v>0.01105</v>
      </c>
      <c r="R33" s="55">
        <f t="shared" si="6"/>
        <v>0.00011050000000000002</v>
      </c>
    </row>
    <row r="34" spans="1:18" ht="12.75">
      <c r="A34" s="23"/>
      <c r="B34" s="23" t="s">
        <v>109</v>
      </c>
      <c r="C34" s="25">
        <v>0</v>
      </c>
      <c r="D34" s="25" t="s">
        <v>119</v>
      </c>
      <c r="E34" s="55">
        <f>0.00237+0.00326</f>
        <v>0.00563</v>
      </c>
      <c r="F34" s="49">
        <f>IF(E34="","",E34*$C34)</f>
        <v>0</v>
      </c>
      <c r="G34" s="55">
        <f>IF(E34=0,"",IF(D34="nd",E34/2,E34))</f>
        <v>0.002815</v>
      </c>
      <c r="H34" s="49">
        <f>IF(G34="","",G34*$C34)</f>
        <v>0</v>
      </c>
      <c r="I34" s="49" t="s">
        <v>119</v>
      </c>
      <c r="J34" s="61">
        <f>0.00269+0.00395</f>
        <v>0.00664</v>
      </c>
      <c r="K34" s="49">
        <f t="shared" si="2"/>
        <v>0</v>
      </c>
      <c r="L34" s="55">
        <f>IF(J34=0,"",IF(I34="nd",J34/2,J34))</f>
        <v>0.00332</v>
      </c>
      <c r="M34" s="49">
        <f t="shared" si="4"/>
        <v>0</v>
      </c>
      <c r="N34" s="49"/>
      <c r="O34" s="61">
        <f>0.00342/2+0.0206</f>
        <v>0.02231</v>
      </c>
      <c r="P34" s="55">
        <f t="shared" si="5"/>
        <v>0</v>
      </c>
      <c r="Q34" s="55">
        <f>IF(O33=0,"",IF(N34="nd",O33/2,O33))</f>
        <v>0.0098</v>
      </c>
      <c r="R34" s="55">
        <f t="shared" si="6"/>
        <v>0</v>
      </c>
    </row>
    <row r="35" spans="1:18" ht="12.75">
      <c r="A35" s="23"/>
      <c r="B35" s="23" t="s">
        <v>110</v>
      </c>
      <c r="C35" s="25">
        <v>0.001</v>
      </c>
      <c r="D35" s="25" t="s">
        <v>119</v>
      </c>
      <c r="E35" s="55">
        <f>0.0111+0.0119</f>
        <v>0.023</v>
      </c>
      <c r="F35" s="49">
        <f t="shared" si="0"/>
        <v>2.3E-05</v>
      </c>
      <c r="G35" s="55">
        <f t="shared" si="1"/>
        <v>0.0115</v>
      </c>
      <c r="H35" s="49">
        <f t="shared" si="0"/>
        <v>1.15E-05</v>
      </c>
      <c r="I35" s="49" t="s">
        <v>119</v>
      </c>
      <c r="J35" s="61">
        <f>0.013+0.0119</f>
        <v>0.0249</v>
      </c>
      <c r="K35" s="49">
        <f t="shared" si="2"/>
        <v>2.49E-05</v>
      </c>
      <c r="L35" s="55">
        <f t="shared" si="3"/>
        <v>0.01245</v>
      </c>
      <c r="M35" s="49">
        <f t="shared" si="4"/>
        <v>1.245E-05</v>
      </c>
      <c r="N35" s="49"/>
      <c r="O35" s="61">
        <f>0.00815/2+0.0268</f>
        <v>0.030875</v>
      </c>
      <c r="P35" s="55">
        <f t="shared" si="5"/>
        <v>3.0875E-05</v>
      </c>
      <c r="Q35" s="55">
        <f>IF(O34=0,"",IF(N35="nd",O34/2,O34))</f>
        <v>0.02231</v>
      </c>
      <c r="R35" s="55">
        <f t="shared" si="6"/>
        <v>2.231E-05</v>
      </c>
    </row>
    <row r="36" spans="1:18" ht="12.75">
      <c r="A36" s="23"/>
      <c r="B36" s="23"/>
      <c r="C36" s="23"/>
      <c r="D36" s="23"/>
      <c r="E36" s="27"/>
      <c r="F36" s="49"/>
      <c r="G36" s="27"/>
      <c r="H36" s="49"/>
      <c r="I36" s="27"/>
      <c r="J36" s="11"/>
      <c r="K36" s="26"/>
      <c r="L36" s="26"/>
      <c r="M36" s="26"/>
      <c r="N36" s="27"/>
      <c r="O36" s="11"/>
      <c r="P36" s="48"/>
      <c r="Q36" s="27"/>
      <c r="R36" s="48"/>
    </row>
    <row r="37" spans="1:18" ht="12.75">
      <c r="A37" s="23"/>
      <c r="B37" s="23" t="s">
        <v>111</v>
      </c>
      <c r="C37" s="23"/>
      <c r="D37" s="23"/>
      <c r="E37" s="27"/>
      <c r="F37" s="27">
        <v>112.955</v>
      </c>
      <c r="G37" s="27">
        <v>112.955</v>
      </c>
      <c r="H37" s="27">
        <v>112.955</v>
      </c>
      <c r="I37" s="27"/>
      <c r="J37" s="27"/>
      <c r="K37" s="27">
        <v>112.651</v>
      </c>
      <c r="L37" s="27">
        <v>112.651</v>
      </c>
      <c r="M37" s="27">
        <v>112.651</v>
      </c>
      <c r="N37" s="27"/>
      <c r="O37" s="27"/>
      <c r="P37" s="27">
        <v>116.566</v>
      </c>
      <c r="Q37" s="27">
        <v>116.566</v>
      </c>
      <c r="R37" s="27">
        <v>116.566</v>
      </c>
    </row>
    <row r="38" spans="1:18" ht="12.75">
      <c r="A38" s="23"/>
      <c r="B38" s="23" t="s">
        <v>112</v>
      </c>
      <c r="C38" s="23"/>
      <c r="D38" s="23"/>
      <c r="E38" s="27"/>
      <c r="F38" s="27">
        <v>9.2</v>
      </c>
      <c r="G38" s="27">
        <v>9.2</v>
      </c>
      <c r="H38" s="27">
        <v>9.2</v>
      </c>
      <c r="I38" s="27"/>
      <c r="J38" s="27"/>
      <c r="K38" s="26">
        <v>9.1</v>
      </c>
      <c r="L38" s="26">
        <v>9.1</v>
      </c>
      <c r="M38" s="26">
        <v>9.1</v>
      </c>
      <c r="N38" s="27"/>
      <c r="O38" s="27"/>
      <c r="P38" s="27">
        <v>9.2</v>
      </c>
      <c r="Q38" s="27">
        <v>9.2</v>
      </c>
      <c r="R38" s="27">
        <v>9.2</v>
      </c>
    </row>
    <row r="39" spans="1:18" ht="12.75">
      <c r="A39" s="23"/>
      <c r="B39" s="23"/>
      <c r="C39" s="23"/>
      <c r="D39" s="23"/>
      <c r="E39" s="27"/>
      <c r="F39" s="11"/>
      <c r="G39" s="27"/>
      <c r="H39" s="11"/>
      <c r="I39" s="11"/>
      <c r="J39" s="27"/>
      <c r="K39" s="28"/>
      <c r="L39" s="26"/>
      <c r="M39" s="28"/>
      <c r="N39" s="27"/>
      <c r="O39" s="27"/>
      <c r="P39" s="27"/>
      <c r="Q39" s="27"/>
      <c r="R39" s="27"/>
    </row>
    <row r="40" spans="1:18" ht="12.75">
      <c r="A40" s="23"/>
      <c r="B40" s="23" t="s">
        <v>113</v>
      </c>
      <c r="C40" s="49"/>
      <c r="D40" s="49"/>
      <c r="E40" s="26"/>
      <c r="F40" s="27">
        <f>SUM(F11:F35)</f>
        <v>0.023836699999999995</v>
      </c>
      <c r="G40" s="26">
        <f>SUM(G35,G34,G31,G26,G23,G21,G20,G18,G14,G12)</f>
        <v>0.788245</v>
      </c>
      <c r="H40" s="27">
        <f>SUM(H11:H35)</f>
        <v>0.013399699999999999</v>
      </c>
      <c r="I40" s="49"/>
      <c r="J40" s="26"/>
      <c r="K40" s="27">
        <f>SUM(K11:K35)</f>
        <v>0.44113978416289584</v>
      </c>
      <c r="L40" s="26">
        <f>SUM(L35,L34,L31,L26,L23,L21,L20,L18,L14,L12)</f>
        <v>1.461705</v>
      </c>
      <c r="M40" s="27">
        <f>SUM(M11:M35)</f>
        <v>0.2282275920814479</v>
      </c>
      <c r="N40" s="49"/>
      <c r="O40" s="27"/>
      <c r="P40" s="27">
        <f>SUM(P11:P35)</f>
        <v>0.06443312500000001</v>
      </c>
      <c r="Q40" s="26">
        <f>SUM(Q35,Q34,Q31,Q26,Q23,Q21,Q20,Q18,Q14,Q12)</f>
        <v>3.912085</v>
      </c>
      <c r="R40" s="27">
        <f>SUM(R11:R35)</f>
        <v>0.06310121</v>
      </c>
    </row>
    <row r="41" spans="1:18" ht="12.75">
      <c r="A41" s="23"/>
      <c r="B41" s="23" t="s">
        <v>114</v>
      </c>
      <c r="C41" s="49"/>
      <c r="D41" s="26">
        <f>(F41-H41)*2/F41*100</f>
        <v>87.57084663565003</v>
      </c>
      <c r="E41" s="27"/>
      <c r="F41" s="49">
        <f>(F40/F37/0.0283*(21-7)/(21-F38))</f>
        <v>0.008847086298156687</v>
      </c>
      <c r="G41" s="27">
        <f>(G40/G37/0.0283*(21-7)/(21-G38))</f>
        <v>0.29256027634238463</v>
      </c>
      <c r="H41" s="49">
        <f>(H40/H37/0.0283*(21-7)/(21-H38))</f>
        <v>0.004973352111215487</v>
      </c>
      <c r="I41" s="26">
        <f>(K41-M41)*2/K41*100</f>
        <v>96.52822063440448</v>
      </c>
      <c r="J41" s="27"/>
      <c r="K41" s="49">
        <f>(K40/K37/0.0283*(21-7)/(21-K38))</f>
        <v>0.1627930327134412</v>
      </c>
      <c r="L41" s="27">
        <f>(L40/L37/0.0283*(21-7)/(21-L38))</f>
        <v>0.5394104055564684</v>
      </c>
      <c r="M41" s="49">
        <f>(M40/M37/0.0283*(21-7)/(21-M38))</f>
        <v>0.0842224238159068</v>
      </c>
      <c r="N41" s="26">
        <f>(P41-R41)*2/P41*100</f>
        <v>4.134255478063475</v>
      </c>
      <c r="O41" s="27"/>
      <c r="P41" s="49">
        <f>(P40/P37/0.0283*(21-7)/(21-P38))</f>
        <v>0.023173780773365106</v>
      </c>
      <c r="Q41" s="27">
        <f>(Q40/Q37/0.0283*(21-7)/(21-Q38))</f>
        <v>1.407006103720253</v>
      </c>
      <c r="R41" s="49">
        <f>(R40/R37/0.0283*(21-7)/(21-R38))</f>
        <v>0.022694749122816472</v>
      </c>
    </row>
    <row r="42" spans="1:18" ht="12.75">
      <c r="A42" s="23"/>
      <c r="B42" s="23"/>
      <c r="C42" s="23"/>
      <c r="D42" s="23"/>
      <c r="E42" s="55"/>
      <c r="F42" s="49"/>
      <c r="G42" s="55"/>
      <c r="H42" s="49"/>
      <c r="I42" s="55"/>
      <c r="J42" s="55"/>
      <c r="K42" s="55"/>
      <c r="L42" s="55"/>
      <c r="M42" s="55"/>
      <c r="N42" s="55"/>
      <c r="O42" s="55"/>
      <c r="P42" s="48"/>
      <c r="Q42" s="55"/>
      <c r="R42" s="48"/>
    </row>
    <row r="43" spans="1:18" ht="12.75">
      <c r="A43" s="27"/>
      <c r="B43" s="23" t="s">
        <v>115</v>
      </c>
      <c r="C43" s="55">
        <f>AVERAGE(H41,M41,R41)</f>
        <v>0.037296841683312924</v>
      </c>
      <c r="D43" s="27"/>
      <c r="E43" s="27"/>
      <c r="F43" s="49"/>
      <c r="G43" s="27"/>
      <c r="H43" s="49"/>
      <c r="I43" s="27"/>
      <c r="J43" s="27"/>
      <c r="K43" s="27"/>
      <c r="L43" s="27"/>
      <c r="M43" s="27"/>
      <c r="N43" s="27"/>
      <c r="O43" s="27"/>
      <c r="P43" s="48"/>
      <c r="Q43" s="27"/>
      <c r="R43" s="48"/>
    </row>
    <row r="44" spans="1:18" ht="12.75">
      <c r="A44" s="23"/>
      <c r="B44" s="23" t="s">
        <v>116</v>
      </c>
      <c r="C44" s="26">
        <f>AVERAGE(G41,L41,Q41)</f>
        <v>0.7463255952063687</v>
      </c>
      <c r="D44" s="23"/>
      <c r="E44" s="48"/>
      <c r="F44" s="49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</row>
    <row r="85" spans="1:18" ht="12.75">
      <c r="A85" s="3"/>
      <c r="B85" s="3"/>
      <c r="C85" s="3"/>
      <c r="D85" s="3"/>
      <c r="E85" s="56"/>
      <c r="G85" s="56"/>
      <c r="J85" s="56"/>
      <c r="K85" s="6"/>
      <c r="L85" s="5"/>
      <c r="M85" s="6"/>
      <c r="N85" s="56"/>
      <c r="O85" s="56"/>
      <c r="P85" s="56"/>
      <c r="Q85" s="56"/>
      <c r="R85" s="56"/>
    </row>
    <row r="86" spans="1:18" ht="12.75">
      <c r="A86" s="3"/>
      <c r="B86" s="3"/>
      <c r="C86" s="57"/>
      <c r="D86" s="57"/>
      <c r="E86" s="5"/>
      <c r="F86" s="56"/>
      <c r="G86" s="5"/>
      <c r="H86" s="56"/>
      <c r="I86" s="57"/>
      <c r="J86" s="5"/>
      <c r="K86" s="5"/>
      <c r="L86" s="5"/>
      <c r="M86" s="5"/>
      <c r="N86" s="57"/>
      <c r="O86" s="56"/>
      <c r="P86" s="57"/>
      <c r="Q86" s="57"/>
      <c r="R86" s="57"/>
    </row>
    <row r="87" spans="1:18" ht="12.75">
      <c r="A87" s="3"/>
      <c r="B87" s="3"/>
      <c r="C87" s="57"/>
      <c r="D87" s="57"/>
      <c r="E87" s="56"/>
      <c r="F87" s="57"/>
      <c r="G87" s="58"/>
      <c r="H87" s="57"/>
      <c r="I87" s="57"/>
      <c r="J87" s="56"/>
      <c r="K87" s="57"/>
      <c r="L87" s="5"/>
      <c r="M87" s="57"/>
      <c r="N87" s="57"/>
      <c r="O87" s="56"/>
      <c r="P87" s="58"/>
      <c r="Q87" s="58"/>
      <c r="R87" s="5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40"/>
  <sheetViews>
    <sheetView workbookViewId="0" topLeftCell="B1">
      <selection activeCell="C2" sqref="C2"/>
    </sheetView>
  </sheetViews>
  <sheetFormatPr defaultColWidth="9.140625" defaultRowHeight="12.75"/>
  <cols>
    <col min="1" max="1" width="1.1484375" style="1" hidden="1" customWidth="1"/>
    <col min="2" max="2" width="26.57421875" style="1" customWidth="1"/>
    <col min="3" max="3" width="58.421875" style="1" customWidth="1"/>
    <col min="4" max="16384" width="8.8515625" style="1" customWidth="1"/>
  </cols>
  <sheetData>
    <row r="1" spans="2:12" ht="12.75">
      <c r="B1" s="7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2.7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2.75">
      <c r="B3" s="11" t="s">
        <v>58</v>
      </c>
      <c r="C3" s="12">
        <v>707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1" t="s">
        <v>0</v>
      </c>
      <c r="C4" s="11" t="s">
        <v>134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1" t="s">
        <v>1</v>
      </c>
      <c r="C5" s="11" t="s">
        <v>135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1" t="s">
        <v>3</v>
      </c>
      <c r="C7" s="11" t="s">
        <v>136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12.75">
      <c r="B8" s="11" t="s">
        <v>4</v>
      </c>
      <c r="C8" s="11" t="s">
        <v>137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12.75">
      <c r="B9" s="11" t="s">
        <v>5</v>
      </c>
      <c r="C9" s="11" t="s">
        <v>138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1" t="s">
        <v>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1" t="s">
        <v>237</v>
      </c>
      <c r="C11" s="12">
        <v>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12.75">
      <c r="B12" s="11" t="s">
        <v>221</v>
      </c>
      <c r="C12" s="11" t="s">
        <v>256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2.75">
      <c r="B13" s="11" t="s">
        <v>222</v>
      </c>
      <c r="C13" s="11" t="s">
        <v>223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2:12" s="31" customFormat="1" ht="12.75">
      <c r="B14" s="30" t="s">
        <v>35</v>
      </c>
      <c r="C14" s="30" t="s">
        <v>224</v>
      </c>
      <c r="D14" s="30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30" t="s">
        <v>40</v>
      </c>
      <c r="C15" s="32"/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11" t="s">
        <v>44</v>
      </c>
      <c r="C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30" t="s">
        <v>238</v>
      </c>
      <c r="C17" s="30" t="s">
        <v>172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30" t="s">
        <v>239</v>
      </c>
      <c r="C18" s="30" t="s">
        <v>240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12.75">
      <c r="B19" s="30" t="s">
        <v>7</v>
      </c>
      <c r="C19" s="30" t="s">
        <v>173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ht="12.75">
      <c r="B20" s="11" t="s">
        <v>38</v>
      </c>
      <c r="C20" s="30" t="s">
        <v>158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2.75">
      <c r="B21" s="11" t="s">
        <v>45</v>
      </c>
      <c r="C21" s="36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2.75">
      <c r="B22" s="11" t="s">
        <v>39</v>
      </c>
      <c r="C22" s="30" t="s">
        <v>171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2:12" ht="12.75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2:12" ht="12.75">
      <c r="B24" s="11" t="s">
        <v>8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</row>
    <row r="25" spans="2:12" ht="12.75">
      <c r="B25" s="11" t="s">
        <v>9</v>
      </c>
      <c r="C25" s="35">
        <v>2.71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2:12" ht="12.75">
      <c r="B26" s="11" t="s">
        <v>10</v>
      </c>
      <c r="C26" s="13">
        <v>105</v>
      </c>
      <c r="D26" s="11"/>
      <c r="E26" s="11"/>
      <c r="F26" s="11"/>
      <c r="G26" s="11"/>
      <c r="H26" s="11"/>
      <c r="I26" s="11"/>
      <c r="J26" s="11"/>
      <c r="K26" s="11"/>
      <c r="L26" s="11"/>
    </row>
    <row r="27" spans="2:12" ht="12.75">
      <c r="B27" s="11" t="s">
        <v>41</v>
      </c>
      <c r="C27" s="13">
        <f>967/60</f>
        <v>16.116666666666667</v>
      </c>
      <c r="D27" s="11"/>
      <c r="E27" s="11"/>
      <c r="F27" s="11"/>
      <c r="G27" s="11"/>
      <c r="H27" s="11"/>
      <c r="I27" s="11"/>
      <c r="J27" s="11"/>
      <c r="K27" s="11"/>
      <c r="L27" s="11"/>
    </row>
    <row r="28" spans="2:12" ht="14.25" customHeight="1">
      <c r="B28" s="11" t="s">
        <v>42</v>
      </c>
      <c r="C28" s="12">
        <v>180</v>
      </c>
      <c r="D28" s="11"/>
      <c r="E28" s="11"/>
      <c r="F28" s="11"/>
      <c r="G28" s="11"/>
      <c r="H28" s="11"/>
      <c r="I28" s="11"/>
      <c r="J28" s="11"/>
      <c r="K28" s="11"/>
      <c r="L28" s="11"/>
    </row>
    <row r="29" spans="2:12" ht="12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12.75">
      <c r="B30" s="11" t="s">
        <v>11</v>
      </c>
      <c r="C30" s="11" t="s">
        <v>157</v>
      </c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11" t="s">
        <v>57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2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50" spans="2:1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2:1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2:1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2:1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2:1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2:1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2:1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2:1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2:1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2:1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2:1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2:1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2:1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2:1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2:1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2:1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2:1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2:1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2:1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2:1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2:1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2:1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2:1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2:1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2:1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2:1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2:1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2:1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2:1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2:1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2:1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2:1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2:1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2:1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2:1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2:1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2:1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2:1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2:1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2:1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2:1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2:1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2:1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2:1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2:1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2:1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2:1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2:1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2:1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2:1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2:1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2:1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2:1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2:1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2:1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2:1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2:1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2:1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2:1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2:1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2:1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2:1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2:1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2:1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2:1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2:1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2:1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2:1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2:1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2:1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2:1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2:1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2:1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2:1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2:1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2:1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2:1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2:1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2:1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2:1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2:1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2:1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2:1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2:1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2:1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2:1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2:1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2:1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2:1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2:1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2:1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2:1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2:1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2:1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2:1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2:1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2:1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2:1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2:1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2:1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2:1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2:1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2:1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2:1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2:1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2:1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2:1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2:1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2:1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2:1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2:1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2:1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2:1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2:1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2:1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2:1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2:1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2:1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2:1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2:1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2:1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2:1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2:1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2:1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2:1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2:1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2:1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2:1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2:1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2:1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2:1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2:1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2:1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2:1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2:1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2:1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2:1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2:1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2:1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2:1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2:1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2:1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2:1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2:1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2:1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2:1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2:1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2:1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2:1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2:1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2:1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2:1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2:1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2:1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2:1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2:1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2:1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2:1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2:1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2:1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2:1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2:1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2:1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2:1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2:1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2:1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2:1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2:1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2:1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2:1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2:1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2:1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2:1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2:1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2:1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2:1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2:1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2:1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2:1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2:1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2:1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2:1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2:1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2:1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2:1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2:1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2:1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2:1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2:1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2:1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2:1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2:1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2:1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2:1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2:1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2:1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2:1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2:1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2:1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2:1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2:1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2:1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2:1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2:1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2:1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2:1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2:1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2:1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2:1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2:1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2:1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2:1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2:1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2:1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2:1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2:1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2:1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2:1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2:1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2:1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2:1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2:1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2:1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2:1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2:1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2:1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2:1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2:1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2:1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2:1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2:1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2:1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2:1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2:1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2:1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2:1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2:1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2:1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2:1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2:1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2:1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2:1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2:1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2:1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2:1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2:1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2:1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2:1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2:1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2:1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2:1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2:1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2:1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2:1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2:1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2:1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2:1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2:1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2:1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2:1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2:1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2:1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2:1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2:1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2:1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2:1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2:1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2:1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2:1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2:1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2:1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2:1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2:1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2:1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2:1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2:1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2:1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2:1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2:1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2:1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2:1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2:1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2:1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2:1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2:1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2:1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2:1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2:1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2:1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2:1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2:1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2:1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2:1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2:1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2:1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2:1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2:1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2:1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2:1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2:1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2:1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2:1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2:1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2:1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2:1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2:1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2:1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2:1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2:1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2:1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2:1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2:1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2:1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1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2:1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2:1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2:1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2:1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2:1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2:1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2:1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2:1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2:1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2:1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2:1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2:1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2:1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2:1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2:1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2:1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2:1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2:1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2:1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2:1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2:1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2:1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2:1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2:1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2:1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2:1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2:1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2:1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2:1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2:1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2:1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2:1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2:1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2:1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2:1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2:1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2:1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2:1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2:1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2:1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2:1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2:1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2:1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2:1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2:1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2:1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2:1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2:1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2:1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2:1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2:1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2:1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2:1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2:1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2:1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2:1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2:1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2:1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2:1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2:1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2:1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tabSelected="1" workbookViewId="0" topLeftCell="B1">
      <selection activeCell="B2" sqref="B2"/>
    </sheetView>
  </sheetViews>
  <sheetFormatPr defaultColWidth="9.140625" defaultRowHeight="12.75"/>
  <cols>
    <col min="1" max="1" width="5.8515625" style="0" hidden="1" customWidth="1"/>
    <col min="2" max="2" width="18.140625" style="0" customWidth="1"/>
    <col min="3" max="3" width="63.421875" style="40" customWidth="1"/>
  </cols>
  <sheetData>
    <row r="1" ht="12.75">
      <c r="B1" s="7" t="s">
        <v>220</v>
      </c>
    </row>
    <row r="3" spans="2:12" s="1" customFormat="1" ht="12.75">
      <c r="B3" s="7" t="s">
        <v>177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s="1" customFormat="1" ht="12.75">
      <c r="B4" s="7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2:12" s="1" customFormat="1" ht="12.75">
      <c r="B5" s="39" t="s">
        <v>179</v>
      </c>
      <c r="C5" s="36" t="s">
        <v>143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s="1" customFormat="1" ht="12.75">
      <c r="B6" s="11" t="s">
        <v>180</v>
      </c>
      <c r="C6" s="11" t="s">
        <v>125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s="1" customFormat="1" ht="12.75">
      <c r="B7" s="11" t="s">
        <v>181</v>
      </c>
      <c r="C7" s="11" t="s">
        <v>142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s="1" customFormat="1" ht="12.75">
      <c r="B8" s="11" t="s">
        <v>182</v>
      </c>
      <c r="C8" s="14" t="s">
        <v>139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s="1" customFormat="1" ht="12.75">
      <c r="B9" s="11" t="s">
        <v>241</v>
      </c>
      <c r="C9" s="82">
        <v>36973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s="1" customFormat="1" ht="25.5">
      <c r="B10" s="30" t="s">
        <v>183</v>
      </c>
      <c r="C10" s="30" t="s">
        <v>272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s="1" customFormat="1" ht="12.75">
      <c r="B11" s="39" t="s">
        <v>184</v>
      </c>
      <c r="C11" s="37" t="s">
        <v>174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s="1" customFormat="1" ht="12.75">
      <c r="B12" s="39"/>
      <c r="C12" s="37"/>
      <c r="D12" s="11"/>
      <c r="E12" s="11"/>
      <c r="F12" s="11"/>
      <c r="G12" s="11"/>
      <c r="H12" s="11"/>
      <c r="I12" s="11"/>
      <c r="J12" s="11"/>
      <c r="K12" s="11"/>
      <c r="L12" s="11"/>
    </row>
    <row r="13" spans="2:12" s="1" customFormat="1" ht="12.75">
      <c r="B13" s="7" t="s">
        <v>178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1" customFormat="1" ht="12.75"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1" customFormat="1" ht="12.75">
      <c r="B15" s="39" t="s">
        <v>179</v>
      </c>
      <c r="C15" s="36" t="s">
        <v>143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2:12" s="1" customFormat="1" ht="12.75">
      <c r="B16" s="11" t="s">
        <v>180</v>
      </c>
      <c r="C16" s="11" t="s">
        <v>125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2:12" s="1" customFormat="1" ht="12.75">
      <c r="B17" s="11" t="s">
        <v>181</v>
      </c>
      <c r="C17" s="11" t="s">
        <v>142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2:12" s="1" customFormat="1" ht="12.75">
      <c r="B18" s="11" t="s">
        <v>182</v>
      </c>
      <c r="C18" s="14" t="s">
        <v>140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s="1" customFormat="1" ht="12.75">
      <c r="B19" s="11" t="s">
        <v>241</v>
      </c>
      <c r="C19" s="82">
        <v>36974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2:12" s="1" customFormat="1" ht="12.75">
      <c r="B20" s="11" t="s">
        <v>183</v>
      </c>
      <c r="C20" s="11" t="s">
        <v>141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2:12" s="1" customFormat="1" ht="12.75">
      <c r="B21" s="39" t="s">
        <v>184</v>
      </c>
      <c r="C21" s="37" t="s">
        <v>176</v>
      </c>
      <c r="D21" s="11"/>
      <c r="E21" s="11"/>
      <c r="F21" s="11"/>
      <c r="G21" s="11"/>
      <c r="H21" s="11"/>
      <c r="I21" s="11"/>
      <c r="J21" s="11"/>
      <c r="K21" s="11"/>
      <c r="L21" s="11"/>
    </row>
    <row r="23" ht="12.75">
      <c r="B23" s="7" t="s">
        <v>185</v>
      </c>
    </row>
    <row r="24" ht="12.75">
      <c r="B24" s="7"/>
    </row>
    <row r="25" spans="2:3" ht="25.5">
      <c r="B25" s="71" t="s">
        <v>179</v>
      </c>
      <c r="C25" s="72" t="s">
        <v>186</v>
      </c>
    </row>
    <row r="26" spans="2:3" ht="12.75">
      <c r="B26" t="s">
        <v>180</v>
      </c>
      <c r="C26" s="40" t="s">
        <v>187</v>
      </c>
    </row>
    <row r="27" spans="2:3" ht="12.75">
      <c r="B27" t="s">
        <v>181</v>
      </c>
      <c r="C27" s="40" t="s">
        <v>187</v>
      </c>
    </row>
    <row r="28" spans="1:3" ht="12.75">
      <c r="A28" t="s">
        <v>185</v>
      </c>
      <c r="B28" t="s">
        <v>188</v>
      </c>
      <c r="C28" s="40" t="s">
        <v>189</v>
      </c>
    </row>
    <row r="29" spans="1:3" ht="12.75">
      <c r="A29" t="s">
        <v>185</v>
      </c>
      <c r="B29" t="s">
        <v>182</v>
      </c>
      <c r="C29" s="40" t="s">
        <v>190</v>
      </c>
    </row>
    <row r="30" spans="2:3" ht="12.75">
      <c r="B30" t="s">
        <v>241</v>
      </c>
      <c r="C30" s="83">
        <v>32513</v>
      </c>
    </row>
    <row r="32" ht="12.75">
      <c r="B32" s="7" t="s">
        <v>191</v>
      </c>
    </row>
    <row r="33" ht="12.75">
      <c r="B33" s="7"/>
    </row>
    <row r="34" spans="2:3" ht="25.5">
      <c r="B34" s="71" t="s">
        <v>179</v>
      </c>
      <c r="C34" s="72" t="s">
        <v>186</v>
      </c>
    </row>
    <row r="35" spans="2:3" ht="12.75">
      <c r="B35" t="s">
        <v>180</v>
      </c>
      <c r="C35" s="40" t="s">
        <v>187</v>
      </c>
    </row>
    <row r="36" spans="2:3" ht="12.75">
      <c r="B36" t="s">
        <v>181</v>
      </c>
      <c r="C36" s="40" t="s">
        <v>187</v>
      </c>
    </row>
    <row r="37" spans="1:3" ht="12.75">
      <c r="A37" t="s">
        <v>191</v>
      </c>
      <c r="B37" t="s">
        <v>188</v>
      </c>
      <c r="C37" s="40" t="s">
        <v>189</v>
      </c>
    </row>
    <row r="38" spans="1:3" ht="12.75">
      <c r="A38" t="s">
        <v>191</v>
      </c>
      <c r="B38" t="s">
        <v>182</v>
      </c>
      <c r="C38" s="40" t="s">
        <v>192</v>
      </c>
    </row>
    <row r="39" spans="2:3" ht="12.75">
      <c r="B39" t="s">
        <v>241</v>
      </c>
      <c r="C39" s="83">
        <v>32513</v>
      </c>
    </row>
    <row r="41" ht="12.75">
      <c r="B41" s="7" t="s">
        <v>193</v>
      </c>
    </row>
    <row r="42" ht="12.75">
      <c r="B42" s="7"/>
    </row>
    <row r="43" spans="2:3" ht="25.5">
      <c r="B43" s="71" t="s">
        <v>179</v>
      </c>
      <c r="C43" s="72" t="s">
        <v>186</v>
      </c>
    </row>
    <row r="44" spans="2:3" ht="12.75">
      <c r="B44" t="s">
        <v>180</v>
      </c>
      <c r="C44" s="40" t="s">
        <v>187</v>
      </c>
    </row>
    <row r="45" spans="2:3" ht="12.75">
      <c r="B45" t="s">
        <v>181</v>
      </c>
      <c r="C45" s="40" t="s">
        <v>187</v>
      </c>
    </row>
    <row r="46" spans="1:3" ht="12.75">
      <c r="A46" t="s">
        <v>193</v>
      </c>
      <c r="B46" t="s">
        <v>188</v>
      </c>
      <c r="C46" s="40" t="s">
        <v>189</v>
      </c>
    </row>
    <row r="47" spans="2:3" ht="12.75">
      <c r="B47" t="s">
        <v>182</v>
      </c>
      <c r="C47" s="73">
        <v>32369</v>
      </c>
    </row>
    <row r="48" spans="2:3" ht="12.75">
      <c r="B48" t="s">
        <v>241</v>
      </c>
      <c r="C48" s="83">
        <v>32513</v>
      </c>
    </row>
    <row r="50" ht="12.75">
      <c r="B50" s="7" t="s">
        <v>194</v>
      </c>
    </row>
    <row r="51" ht="12.75">
      <c r="B51" s="7"/>
    </row>
    <row r="52" spans="2:3" ht="25.5">
      <c r="B52" s="71" t="s">
        <v>179</v>
      </c>
      <c r="C52" s="72" t="s">
        <v>186</v>
      </c>
    </row>
    <row r="53" spans="2:3" ht="12.75">
      <c r="B53" t="s">
        <v>180</v>
      </c>
      <c r="C53" s="40" t="s">
        <v>187</v>
      </c>
    </row>
    <row r="54" spans="2:3" ht="12.75">
      <c r="B54" t="s">
        <v>181</v>
      </c>
      <c r="C54" s="40" t="s">
        <v>187</v>
      </c>
    </row>
    <row r="55" spans="1:3" ht="12.75">
      <c r="A55" t="s">
        <v>194</v>
      </c>
      <c r="B55" t="s">
        <v>188</v>
      </c>
      <c r="C55" s="40" t="s">
        <v>189</v>
      </c>
    </row>
    <row r="56" spans="2:3" ht="12.75">
      <c r="B56" t="s">
        <v>182</v>
      </c>
      <c r="C56" s="84">
        <v>32420</v>
      </c>
    </row>
    <row r="57" spans="2:3" ht="12.75">
      <c r="B57" t="s">
        <v>241</v>
      </c>
      <c r="C57" s="83">
        <v>32421</v>
      </c>
    </row>
    <row r="59" ht="12.75">
      <c r="B59" s="7" t="s">
        <v>195</v>
      </c>
    </row>
    <row r="60" ht="12.75">
      <c r="B60" s="7"/>
    </row>
    <row r="61" spans="2:3" ht="25.5">
      <c r="B61" s="71" t="s">
        <v>179</v>
      </c>
      <c r="C61" s="72" t="s">
        <v>186</v>
      </c>
    </row>
    <row r="62" spans="2:3" ht="12.75">
      <c r="B62" t="s">
        <v>180</v>
      </c>
      <c r="C62" s="40" t="s">
        <v>187</v>
      </c>
    </row>
    <row r="63" spans="2:3" ht="12.75">
      <c r="B63" t="s">
        <v>181</v>
      </c>
      <c r="C63" s="40" t="s">
        <v>187</v>
      </c>
    </row>
    <row r="64" spans="1:3" ht="12.75">
      <c r="A64" t="s">
        <v>195</v>
      </c>
      <c r="B64" t="s">
        <v>188</v>
      </c>
      <c r="C64" s="40" t="s">
        <v>189</v>
      </c>
    </row>
    <row r="65" spans="1:3" ht="12.75">
      <c r="A65" t="s">
        <v>195</v>
      </c>
      <c r="B65" t="s">
        <v>182</v>
      </c>
      <c r="C65" s="40" t="s">
        <v>196</v>
      </c>
    </row>
    <row r="66" spans="2:3" ht="12.75">
      <c r="B66" t="s">
        <v>241</v>
      </c>
      <c r="C66" s="83">
        <v>32360</v>
      </c>
    </row>
    <row r="68" ht="12.75">
      <c r="B68" s="7" t="s">
        <v>197</v>
      </c>
    </row>
    <row r="69" ht="12.75">
      <c r="B69" s="7"/>
    </row>
    <row r="70" spans="2:3" ht="25.5">
      <c r="B70" s="71" t="s">
        <v>179</v>
      </c>
      <c r="C70" s="72" t="s">
        <v>186</v>
      </c>
    </row>
    <row r="71" spans="2:3" ht="12.75">
      <c r="B71" t="s">
        <v>180</v>
      </c>
      <c r="C71" s="40" t="s">
        <v>187</v>
      </c>
    </row>
    <row r="72" spans="2:3" ht="12.75">
      <c r="B72" t="s">
        <v>181</v>
      </c>
      <c r="C72" s="40" t="s">
        <v>187</v>
      </c>
    </row>
    <row r="73" spans="1:3" ht="12.75">
      <c r="A73" t="s">
        <v>197</v>
      </c>
      <c r="B73" t="s">
        <v>188</v>
      </c>
      <c r="C73" s="40" t="s">
        <v>189</v>
      </c>
    </row>
    <row r="74" spans="1:3" ht="12.75">
      <c r="A74" t="s">
        <v>197</v>
      </c>
      <c r="B74" t="s">
        <v>182</v>
      </c>
      <c r="C74" s="40" t="s">
        <v>257</v>
      </c>
    </row>
    <row r="75" spans="2:3" ht="12.75">
      <c r="B75" t="s">
        <v>241</v>
      </c>
      <c r="C75" s="83">
        <v>32360</v>
      </c>
    </row>
    <row r="78" ht="12.75">
      <c r="B78" s="7" t="s">
        <v>198</v>
      </c>
    </row>
    <row r="79" ht="12.75">
      <c r="B79" s="7"/>
    </row>
    <row r="80" spans="2:3" ht="25.5">
      <c r="B80" s="71" t="s">
        <v>179</v>
      </c>
      <c r="C80" s="72" t="s">
        <v>186</v>
      </c>
    </row>
    <row r="81" spans="2:3" ht="12.75">
      <c r="B81" t="s">
        <v>180</v>
      </c>
      <c r="C81" s="40" t="s">
        <v>187</v>
      </c>
    </row>
    <row r="82" spans="2:3" ht="12.75">
      <c r="B82" t="s">
        <v>181</v>
      </c>
      <c r="C82" s="40" t="s">
        <v>187</v>
      </c>
    </row>
    <row r="83" spans="1:3" ht="12.75">
      <c r="A83" t="s">
        <v>198</v>
      </c>
      <c r="B83" t="s">
        <v>188</v>
      </c>
      <c r="C83" s="40" t="s">
        <v>189</v>
      </c>
    </row>
    <row r="84" spans="2:3" ht="12.75">
      <c r="B84" t="s">
        <v>182</v>
      </c>
      <c r="C84" s="84">
        <v>32396</v>
      </c>
    </row>
    <row r="85" spans="2:3" ht="12.75">
      <c r="B85" t="s">
        <v>241</v>
      </c>
      <c r="C85" s="83">
        <v>32391</v>
      </c>
    </row>
    <row r="87" ht="12.75">
      <c r="B87" s="7" t="s">
        <v>199</v>
      </c>
    </row>
    <row r="88" ht="12.75">
      <c r="B88" s="7"/>
    </row>
    <row r="89" spans="2:3" ht="25.5">
      <c r="B89" s="71" t="s">
        <v>179</v>
      </c>
      <c r="C89" s="72" t="s">
        <v>186</v>
      </c>
    </row>
    <row r="90" spans="2:3" ht="12.75">
      <c r="B90" t="s">
        <v>180</v>
      </c>
      <c r="C90" s="40" t="s">
        <v>187</v>
      </c>
    </row>
    <row r="91" spans="2:3" ht="12.75">
      <c r="B91" t="s">
        <v>181</v>
      </c>
      <c r="C91" s="40" t="s">
        <v>187</v>
      </c>
    </row>
    <row r="92" spans="1:3" ht="12.75">
      <c r="A92" t="s">
        <v>199</v>
      </c>
      <c r="B92" t="s">
        <v>188</v>
      </c>
      <c r="C92" s="40" t="s">
        <v>189</v>
      </c>
    </row>
    <row r="93" spans="1:3" ht="12.75">
      <c r="A93" t="s">
        <v>199</v>
      </c>
      <c r="B93" t="s">
        <v>182</v>
      </c>
      <c r="C93" s="84">
        <v>32397</v>
      </c>
    </row>
    <row r="94" spans="2:3" ht="12.75">
      <c r="B94" t="s">
        <v>241</v>
      </c>
      <c r="C94" s="83">
        <v>32391</v>
      </c>
    </row>
    <row r="96" ht="12.75">
      <c r="B96" s="7" t="s">
        <v>200</v>
      </c>
    </row>
    <row r="97" ht="12.75">
      <c r="B97" s="7"/>
    </row>
    <row r="98" spans="2:3" ht="25.5">
      <c r="B98" s="71" t="s">
        <v>179</v>
      </c>
      <c r="C98" s="72" t="s">
        <v>186</v>
      </c>
    </row>
    <row r="99" spans="2:3" ht="12.75">
      <c r="B99" t="s">
        <v>180</v>
      </c>
      <c r="C99" s="40" t="s">
        <v>187</v>
      </c>
    </row>
    <row r="100" spans="2:3" ht="12.75">
      <c r="B100" t="s">
        <v>181</v>
      </c>
      <c r="C100" s="40" t="s">
        <v>187</v>
      </c>
    </row>
    <row r="101" spans="1:3" ht="12.75">
      <c r="A101" t="s">
        <v>200</v>
      </c>
      <c r="B101" t="s">
        <v>188</v>
      </c>
      <c r="C101" s="40" t="s">
        <v>189</v>
      </c>
    </row>
    <row r="102" spans="2:3" ht="12.75">
      <c r="B102" t="s">
        <v>182</v>
      </c>
      <c r="C102" s="84">
        <v>32391</v>
      </c>
    </row>
    <row r="103" spans="2:3" ht="12.75">
      <c r="B103" t="s">
        <v>241</v>
      </c>
      <c r="C103" s="83">
        <v>32391</v>
      </c>
    </row>
    <row r="105" ht="13.5" customHeight="1">
      <c r="B105" s="7" t="s">
        <v>201</v>
      </c>
    </row>
    <row r="106" ht="13.5" customHeight="1">
      <c r="B106" s="7"/>
    </row>
    <row r="107" spans="2:3" ht="13.5" customHeight="1">
      <c r="B107" s="71" t="s">
        <v>179</v>
      </c>
      <c r="C107" s="72" t="s">
        <v>186</v>
      </c>
    </row>
    <row r="108" spans="2:3" ht="13.5" customHeight="1">
      <c r="B108" t="s">
        <v>180</v>
      </c>
      <c r="C108" s="40" t="s">
        <v>187</v>
      </c>
    </row>
    <row r="109" spans="2:3" ht="12.75">
      <c r="B109" t="s">
        <v>181</v>
      </c>
      <c r="C109" s="40" t="s">
        <v>187</v>
      </c>
    </row>
    <row r="110" spans="1:3" ht="12.75">
      <c r="A110" t="s">
        <v>201</v>
      </c>
      <c r="B110" t="s">
        <v>188</v>
      </c>
      <c r="C110" s="40" t="s">
        <v>189</v>
      </c>
    </row>
    <row r="111" spans="2:3" ht="12.75">
      <c r="B111" t="s">
        <v>182</v>
      </c>
      <c r="C111" s="84">
        <v>32387</v>
      </c>
    </row>
    <row r="112" spans="2:3" ht="12.75">
      <c r="B112" t="s">
        <v>241</v>
      </c>
      <c r="C112" s="83">
        <v>32391</v>
      </c>
    </row>
    <row r="114" ht="12.75">
      <c r="B114" s="7" t="s">
        <v>202</v>
      </c>
    </row>
    <row r="115" ht="12.75">
      <c r="B115" s="7"/>
    </row>
    <row r="116" spans="2:3" ht="25.5">
      <c r="B116" s="71" t="s">
        <v>179</v>
      </c>
      <c r="C116" s="72" t="s">
        <v>186</v>
      </c>
    </row>
    <row r="117" spans="2:3" ht="12.75">
      <c r="B117" t="s">
        <v>180</v>
      </c>
      <c r="C117" s="40" t="s">
        <v>187</v>
      </c>
    </row>
    <row r="118" spans="2:3" ht="12.75">
      <c r="B118" t="s">
        <v>181</v>
      </c>
      <c r="C118" s="40" t="s">
        <v>187</v>
      </c>
    </row>
    <row r="119" spans="1:3" ht="12.75">
      <c r="A119" t="s">
        <v>202</v>
      </c>
      <c r="B119" t="s">
        <v>188</v>
      </c>
      <c r="C119" s="40" t="s">
        <v>189</v>
      </c>
    </row>
    <row r="120" spans="2:3" ht="12.75">
      <c r="B120" t="s">
        <v>182</v>
      </c>
      <c r="C120" s="84">
        <v>32388</v>
      </c>
    </row>
    <row r="121" spans="2:3" ht="12.75">
      <c r="B121" t="s">
        <v>241</v>
      </c>
      <c r="C121" s="83">
        <v>32391</v>
      </c>
    </row>
    <row r="123" ht="12.75">
      <c r="B123" s="7" t="s">
        <v>203</v>
      </c>
    </row>
    <row r="124" ht="12.75">
      <c r="B124" s="7"/>
    </row>
    <row r="125" spans="2:3" ht="25.5">
      <c r="B125" s="71" t="s">
        <v>179</v>
      </c>
      <c r="C125" s="72" t="s">
        <v>186</v>
      </c>
    </row>
    <row r="126" spans="2:3" ht="12.75">
      <c r="B126" t="s">
        <v>180</v>
      </c>
      <c r="C126" s="40" t="s">
        <v>187</v>
      </c>
    </row>
    <row r="127" spans="2:3" ht="12.75">
      <c r="B127" t="s">
        <v>181</v>
      </c>
      <c r="C127" s="40" t="s">
        <v>187</v>
      </c>
    </row>
    <row r="128" spans="1:3" ht="12.75">
      <c r="A128" t="s">
        <v>203</v>
      </c>
      <c r="B128" t="s">
        <v>188</v>
      </c>
      <c r="C128" s="40" t="s">
        <v>189</v>
      </c>
    </row>
    <row r="129" spans="2:3" ht="12.75">
      <c r="B129" t="s">
        <v>182</v>
      </c>
      <c r="C129" s="84">
        <v>32389</v>
      </c>
    </row>
    <row r="130" spans="2:3" ht="12.75">
      <c r="B130" t="s">
        <v>241</v>
      </c>
      <c r="C130" s="83">
        <v>32391</v>
      </c>
    </row>
    <row r="132" ht="12.75">
      <c r="B132" s="7" t="s">
        <v>204</v>
      </c>
    </row>
    <row r="133" ht="12.75">
      <c r="B133" s="7"/>
    </row>
    <row r="134" spans="2:3" ht="25.5">
      <c r="B134" s="71" t="s">
        <v>179</v>
      </c>
      <c r="C134" s="72" t="s">
        <v>186</v>
      </c>
    </row>
    <row r="135" spans="2:3" ht="12.75">
      <c r="B135" t="s">
        <v>180</v>
      </c>
      <c r="C135" s="40" t="s">
        <v>187</v>
      </c>
    </row>
    <row r="136" spans="2:3" ht="12.75">
      <c r="B136" t="s">
        <v>181</v>
      </c>
      <c r="C136" s="40" t="s">
        <v>187</v>
      </c>
    </row>
    <row r="137" spans="1:3" ht="12.75">
      <c r="A137" t="s">
        <v>204</v>
      </c>
      <c r="B137" t="s">
        <v>188</v>
      </c>
      <c r="C137" s="40" t="s">
        <v>189</v>
      </c>
    </row>
    <row r="138" spans="2:3" ht="12.75">
      <c r="B138" t="s">
        <v>182</v>
      </c>
      <c r="C138" s="84">
        <v>32394</v>
      </c>
    </row>
    <row r="139" spans="2:3" ht="12.75">
      <c r="B139" t="s">
        <v>241</v>
      </c>
      <c r="C139" s="83">
        <v>32391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B1">
      <selection activeCell="B5" sqref="B5"/>
    </sheetView>
  </sheetViews>
  <sheetFormatPr defaultColWidth="9.140625" defaultRowHeight="12.75"/>
  <cols>
    <col min="1" max="1" width="3.00390625" style="16" hidden="1" customWidth="1"/>
    <col min="2" max="2" width="21.140625" style="16" customWidth="1"/>
    <col min="3" max="3" width="8.7109375" style="16" customWidth="1"/>
    <col min="4" max="4" width="8.8515625" style="8" customWidth="1"/>
    <col min="5" max="5" width="6.140625" style="8" customWidth="1"/>
    <col min="6" max="6" width="3.7109375" style="8" customWidth="1"/>
    <col min="7" max="7" width="11.28125" style="16" customWidth="1"/>
    <col min="8" max="8" width="3.421875" style="16" customWidth="1"/>
    <col min="9" max="9" width="11.00390625" style="17" customWidth="1"/>
    <col min="10" max="10" width="3.57421875" style="16" customWidth="1"/>
    <col min="11" max="11" width="10.8515625" style="16" customWidth="1"/>
    <col min="12" max="12" width="4.140625" style="16" customWidth="1"/>
    <col min="13" max="16384" width="8.8515625" style="16" customWidth="1"/>
  </cols>
  <sheetData>
    <row r="1" spans="2:3" ht="12.75">
      <c r="B1" s="15" t="s">
        <v>225</v>
      </c>
      <c r="C1" s="15"/>
    </row>
    <row r="2" spans="2:11" ht="12.75">
      <c r="B2" s="18"/>
      <c r="C2" s="18"/>
      <c r="G2" s="18"/>
      <c r="H2" s="18"/>
      <c r="I2" s="19"/>
      <c r="J2" s="18"/>
      <c r="K2" s="18"/>
    </row>
    <row r="3" spans="2:5" ht="12.75">
      <c r="B3" s="11"/>
      <c r="C3" s="11" t="s">
        <v>49</v>
      </c>
      <c r="D3" s="8" t="s">
        <v>12</v>
      </c>
      <c r="E3" s="8" t="s">
        <v>36</v>
      </c>
    </row>
    <row r="4" spans="2:11" ht="12.75">
      <c r="B4" s="11"/>
      <c r="C4" s="11"/>
      <c r="G4" s="18"/>
      <c r="H4" s="18"/>
      <c r="I4" s="19"/>
      <c r="J4" s="18"/>
      <c r="K4" s="18"/>
    </row>
    <row r="5" spans="2:11" ht="12.75">
      <c r="B5" s="11"/>
      <c r="C5" s="11"/>
      <c r="G5" s="18"/>
      <c r="H5" s="18"/>
      <c r="I5" s="19"/>
      <c r="J5" s="18"/>
      <c r="K5" s="18"/>
    </row>
    <row r="6" spans="1:13" ht="12.75">
      <c r="A6" s="16">
        <v>1</v>
      </c>
      <c r="B6" s="20" t="s">
        <v>177</v>
      </c>
      <c r="C6" s="20"/>
      <c r="G6" s="18" t="s">
        <v>205</v>
      </c>
      <c r="H6" s="18"/>
      <c r="I6" s="19" t="s">
        <v>206</v>
      </c>
      <c r="J6" s="18"/>
      <c r="K6" s="18" t="s">
        <v>207</v>
      </c>
      <c r="M6" s="16" t="s">
        <v>208</v>
      </c>
    </row>
    <row r="7" spans="2:11" ht="12.75">
      <c r="B7" s="20"/>
      <c r="C7" s="20"/>
      <c r="G7" s="18"/>
      <c r="H7" s="18"/>
      <c r="I7" s="19"/>
      <c r="J7" s="18"/>
      <c r="K7" s="18"/>
    </row>
    <row r="8" spans="2:13" ht="12.75">
      <c r="B8" s="8" t="s">
        <v>258</v>
      </c>
      <c r="C8" s="8" t="s">
        <v>242</v>
      </c>
      <c r="D8" s="8" t="s">
        <v>14</v>
      </c>
      <c r="E8" s="8" t="s">
        <v>15</v>
      </c>
      <c r="F8"/>
      <c r="G8" s="16">
        <v>0.1609</v>
      </c>
      <c r="I8" s="17">
        <v>0.2332</v>
      </c>
      <c r="K8" s="16">
        <v>0.1644</v>
      </c>
      <c r="M8" s="42">
        <f>AVERAGE(I8,G8,K8)</f>
        <v>0.18616666666666667</v>
      </c>
    </row>
    <row r="9" spans="2:13" ht="12.75">
      <c r="B9" s="8" t="s">
        <v>13</v>
      </c>
      <c r="C9" s="8" t="s">
        <v>242</v>
      </c>
      <c r="D9" s="8" t="s">
        <v>14</v>
      </c>
      <c r="E9" s="8" t="s">
        <v>15</v>
      </c>
      <c r="F9"/>
      <c r="G9" s="16">
        <v>0.0335</v>
      </c>
      <c r="I9" s="17">
        <v>0.0463</v>
      </c>
      <c r="K9" s="16">
        <v>0.0561</v>
      </c>
      <c r="M9" s="42">
        <f>AVERAGE(I9,G9,K9)</f>
        <v>0.04530000000000001</v>
      </c>
    </row>
    <row r="10" spans="2:13" ht="12.75">
      <c r="B10" s="8" t="s">
        <v>62</v>
      </c>
      <c r="C10" s="8" t="s">
        <v>242</v>
      </c>
      <c r="D10" s="11" t="s">
        <v>16</v>
      </c>
      <c r="E10" s="8" t="s">
        <v>15</v>
      </c>
      <c r="F10"/>
      <c r="G10">
        <v>1116</v>
      </c>
      <c r="H10"/>
      <c r="I10">
        <v>1217.4</v>
      </c>
      <c r="J10"/>
      <c r="K10">
        <v>827.9</v>
      </c>
      <c r="M10" s="6">
        <f>AVERAGE(I10,G10,K10)</f>
        <v>1053.7666666666667</v>
      </c>
    </row>
    <row r="11" spans="2:13" ht="12.75">
      <c r="B11" s="16" t="s">
        <v>144</v>
      </c>
      <c r="D11" s="11" t="s">
        <v>16</v>
      </c>
      <c r="E11" s="8" t="s">
        <v>145</v>
      </c>
      <c r="G11">
        <v>12.4</v>
      </c>
      <c r="H11"/>
      <c r="I11">
        <v>13.4</v>
      </c>
      <c r="J11"/>
      <c r="K11">
        <v>10.5</v>
      </c>
      <c r="M11" s="6">
        <f>AVERAGE(I11,G11,K11)</f>
        <v>12.1</v>
      </c>
    </row>
    <row r="12" spans="3:13" ht="12.75">
      <c r="C12" s="16" t="s">
        <v>274</v>
      </c>
      <c r="G12"/>
      <c r="H12"/>
      <c r="I12"/>
      <c r="J12"/>
      <c r="K12"/>
      <c r="M12" s="42"/>
    </row>
    <row r="13" spans="2:13" ht="12.75">
      <c r="B13" s="8" t="s">
        <v>24</v>
      </c>
      <c r="C13" s="8"/>
      <c r="D13" s="11" t="s">
        <v>16</v>
      </c>
      <c r="E13" s="8" t="s">
        <v>145</v>
      </c>
      <c r="G13" s="21">
        <v>0.22</v>
      </c>
      <c r="H13" s="8"/>
      <c r="I13" s="17">
        <v>0.2</v>
      </c>
      <c r="J13" s="8"/>
      <c r="K13" s="16">
        <v>1.06</v>
      </c>
      <c r="M13" s="6"/>
    </row>
    <row r="14" spans="2:13" ht="13.5" customHeight="1">
      <c r="B14" s="8" t="s">
        <v>25</v>
      </c>
      <c r="C14" s="8"/>
      <c r="D14" s="11" t="s">
        <v>16</v>
      </c>
      <c r="E14" s="8" t="s">
        <v>145</v>
      </c>
      <c r="F14"/>
      <c r="G14" s="16">
        <v>0.01</v>
      </c>
      <c r="H14"/>
      <c r="I14" s="17">
        <v>0.02</v>
      </c>
      <c r="J14" t="s">
        <v>119</v>
      </c>
      <c r="K14" s="16">
        <v>0.01</v>
      </c>
      <c r="M14" s="6"/>
    </row>
    <row r="15" spans="2:13" ht="12.75">
      <c r="B15" s="8"/>
      <c r="C15" s="8"/>
      <c r="F15" s="16"/>
      <c r="G15"/>
      <c r="I15"/>
      <c r="K15"/>
      <c r="L15"/>
      <c r="M15"/>
    </row>
    <row r="16" spans="2:13" ht="12.75">
      <c r="B16" s="8" t="s">
        <v>147</v>
      </c>
      <c r="C16" s="8" t="s">
        <v>243</v>
      </c>
      <c r="D16" s="8" t="s">
        <v>29</v>
      </c>
      <c r="E16" s="8" t="s">
        <v>15</v>
      </c>
      <c r="F16" s="16"/>
      <c r="G16">
        <v>89.7</v>
      </c>
      <c r="I16">
        <v>106</v>
      </c>
      <c r="K16">
        <v>89.2</v>
      </c>
      <c r="L16"/>
      <c r="M16" s="41">
        <f aca="true" t="shared" si="0" ref="M16:M27">AVERAGE(I16,G16,K16)</f>
        <v>94.96666666666665</v>
      </c>
    </row>
    <row r="17" spans="2:13" ht="12.75">
      <c r="B17" s="8" t="s">
        <v>61</v>
      </c>
      <c r="C17" s="8" t="s">
        <v>243</v>
      </c>
      <c r="D17" s="8" t="s">
        <v>29</v>
      </c>
      <c r="E17" s="8" t="s">
        <v>15</v>
      </c>
      <c r="F17" s="16"/>
      <c r="G17">
        <v>0.653</v>
      </c>
      <c r="I17">
        <v>0.495</v>
      </c>
      <c r="J17" s="16" t="s">
        <v>119</v>
      </c>
      <c r="K17">
        <v>32.5</v>
      </c>
      <c r="L17"/>
      <c r="M17" s="41">
        <f t="shared" si="0"/>
        <v>11.216000000000001</v>
      </c>
    </row>
    <row r="18" spans="2:13" ht="12.75">
      <c r="B18" s="8" t="s">
        <v>59</v>
      </c>
      <c r="C18" s="8" t="s">
        <v>243</v>
      </c>
      <c r="D18" s="8" t="s">
        <v>29</v>
      </c>
      <c r="E18" s="8" t="s">
        <v>15</v>
      </c>
      <c r="F18" s="16"/>
      <c r="G18">
        <v>1.26</v>
      </c>
      <c r="I18">
        <v>1.95</v>
      </c>
      <c r="K18">
        <v>2.69</v>
      </c>
      <c r="L18"/>
      <c r="M18" s="41">
        <f t="shared" si="0"/>
        <v>1.9666666666666668</v>
      </c>
    </row>
    <row r="19" spans="2:13" ht="12.75">
      <c r="B19" s="8" t="s">
        <v>120</v>
      </c>
      <c r="C19" s="8" t="s">
        <v>243</v>
      </c>
      <c r="D19" s="8" t="s">
        <v>29</v>
      </c>
      <c r="E19" s="8" t="s">
        <v>15</v>
      </c>
      <c r="F19" s="16"/>
      <c r="G19">
        <v>2.23</v>
      </c>
      <c r="I19">
        <v>1.84</v>
      </c>
      <c r="K19">
        <v>1.95</v>
      </c>
      <c r="L19"/>
      <c r="M19" s="41">
        <f t="shared" si="0"/>
        <v>2.006666666666667</v>
      </c>
    </row>
    <row r="20" spans="2:13" ht="12.75">
      <c r="B20" s="8" t="s">
        <v>121</v>
      </c>
      <c r="C20" s="8" t="s">
        <v>243</v>
      </c>
      <c r="D20" s="8" t="s">
        <v>29</v>
      </c>
      <c r="E20" s="8" t="s">
        <v>15</v>
      </c>
      <c r="F20" s="8" t="s">
        <v>119</v>
      </c>
      <c r="G20">
        <v>0.0274</v>
      </c>
      <c r="H20" s="8" t="s">
        <v>119</v>
      </c>
      <c r="I20">
        <v>0.0271</v>
      </c>
      <c r="J20" s="8" t="s">
        <v>119</v>
      </c>
      <c r="K20">
        <v>0.0277</v>
      </c>
      <c r="L20"/>
      <c r="M20" s="41">
        <f t="shared" si="0"/>
        <v>0.027399999999999997</v>
      </c>
    </row>
    <row r="21" spans="2:13" ht="12.75">
      <c r="B21" s="8" t="s">
        <v>60</v>
      </c>
      <c r="C21" s="8" t="s">
        <v>243</v>
      </c>
      <c r="D21" s="8" t="s">
        <v>29</v>
      </c>
      <c r="E21" s="8" t="s">
        <v>15</v>
      </c>
      <c r="F21" s="16"/>
      <c r="G21">
        <v>0.233</v>
      </c>
      <c r="I21">
        <v>0.286</v>
      </c>
      <c r="J21" s="16" t="s">
        <v>119</v>
      </c>
      <c r="K21">
        <v>0.0608</v>
      </c>
      <c r="L21"/>
      <c r="M21" s="41">
        <f t="shared" si="0"/>
        <v>0.19326666666666667</v>
      </c>
    </row>
    <row r="22" spans="2:13" ht="12.75">
      <c r="B22" s="8" t="s">
        <v>52</v>
      </c>
      <c r="C22" s="8" t="s">
        <v>243</v>
      </c>
      <c r="D22" s="8" t="s">
        <v>29</v>
      </c>
      <c r="E22" s="8" t="s">
        <v>15</v>
      </c>
      <c r="F22" s="16"/>
      <c r="G22">
        <v>3.32</v>
      </c>
      <c r="I22">
        <v>4.3</v>
      </c>
      <c r="K22">
        <v>2.99</v>
      </c>
      <c r="L22"/>
      <c r="M22" s="41">
        <f t="shared" si="0"/>
        <v>3.5366666666666666</v>
      </c>
    </row>
    <row r="23" spans="2:13" ht="12.75">
      <c r="B23" s="8" t="s">
        <v>148</v>
      </c>
      <c r="C23" s="8" t="s">
        <v>243</v>
      </c>
      <c r="D23" s="8" t="s">
        <v>29</v>
      </c>
      <c r="E23" s="8" t="s">
        <v>15</v>
      </c>
      <c r="F23" s="16"/>
      <c r="G23">
        <v>0.139</v>
      </c>
      <c r="I23">
        <v>0.101</v>
      </c>
      <c r="J23" s="16" t="s">
        <v>119</v>
      </c>
      <c r="K23">
        <v>0.177</v>
      </c>
      <c r="L23"/>
      <c r="M23" s="41">
        <f t="shared" si="0"/>
        <v>0.139</v>
      </c>
    </row>
    <row r="24" spans="2:13" ht="12.75">
      <c r="B24" s="8" t="s">
        <v>149</v>
      </c>
      <c r="C24" s="8" t="s">
        <v>243</v>
      </c>
      <c r="D24" s="8" t="s">
        <v>29</v>
      </c>
      <c r="E24" s="8" t="s">
        <v>15</v>
      </c>
      <c r="F24" s="16"/>
      <c r="G24">
        <v>5</v>
      </c>
      <c r="I24">
        <v>5.46</v>
      </c>
      <c r="K24">
        <v>6.53</v>
      </c>
      <c r="L24"/>
      <c r="M24" s="41">
        <f t="shared" si="0"/>
        <v>5.663333333333334</v>
      </c>
    </row>
    <row r="25" spans="2:13" ht="12.75">
      <c r="B25" s="8" t="s">
        <v>150</v>
      </c>
      <c r="C25" s="8" t="s">
        <v>243</v>
      </c>
      <c r="D25" s="8" t="s">
        <v>29</v>
      </c>
      <c r="E25" s="8" t="s">
        <v>15</v>
      </c>
      <c r="F25" s="16"/>
      <c r="G25">
        <v>47.4</v>
      </c>
      <c r="I25">
        <v>64.7</v>
      </c>
      <c r="K25">
        <v>60.8</v>
      </c>
      <c r="L25"/>
      <c r="M25" s="41">
        <f t="shared" si="0"/>
        <v>57.633333333333326</v>
      </c>
    </row>
    <row r="26" spans="2:13" ht="12.75">
      <c r="B26" s="8" t="s">
        <v>48</v>
      </c>
      <c r="C26" s="8" t="s">
        <v>243</v>
      </c>
      <c r="D26" s="8" t="s">
        <v>29</v>
      </c>
      <c r="E26" s="8" t="s">
        <v>15</v>
      </c>
      <c r="F26" s="16"/>
      <c r="G26">
        <v>2.81</v>
      </c>
      <c r="I26">
        <v>2.59</v>
      </c>
      <c r="K26">
        <v>0.863</v>
      </c>
      <c r="L26"/>
      <c r="M26" s="41">
        <f t="shared" si="0"/>
        <v>2.087666666666667</v>
      </c>
    </row>
    <row r="27" spans="2:13" ht="12.75">
      <c r="B27" s="8" t="s">
        <v>151</v>
      </c>
      <c r="C27" s="8" t="s">
        <v>243</v>
      </c>
      <c r="D27" s="8" t="s">
        <v>29</v>
      </c>
      <c r="E27" s="8" t="s">
        <v>15</v>
      </c>
      <c r="F27" s="16"/>
      <c r="G27">
        <v>5.14</v>
      </c>
      <c r="I27">
        <v>2.06</v>
      </c>
      <c r="K27">
        <v>1.81</v>
      </c>
      <c r="L27"/>
      <c r="M27" s="41">
        <f t="shared" si="0"/>
        <v>3.0033333333333334</v>
      </c>
    </row>
    <row r="28" spans="2:13" ht="12.75">
      <c r="B28" s="8" t="s">
        <v>129</v>
      </c>
      <c r="C28" s="8" t="s">
        <v>243</v>
      </c>
      <c r="D28" s="8" t="s">
        <v>29</v>
      </c>
      <c r="E28" s="8" t="s">
        <v>15</v>
      </c>
      <c r="F28" s="8" t="s">
        <v>119</v>
      </c>
      <c r="G28">
        <v>4.41</v>
      </c>
      <c r="H28" s="8" t="s">
        <v>119</v>
      </c>
      <c r="I28">
        <v>2.53</v>
      </c>
      <c r="J28" s="8" t="s">
        <v>119</v>
      </c>
      <c r="K28">
        <v>1.46</v>
      </c>
      <c r="L28" s="8">
        <v>100</v>
      </c>
      <c r="M28" s="41">
        <f>AVERAGE(I28,G28,K28)</f>
        <v>2.7999999999999994</v>
      </c>
    </row>
    <row r="29" spans="2:13" ht="12.75">
      <c r="B29" s="8" t="s">
        <v>152</v>
      </c>
      <c r="C29" s="8" t="s">
        <v>243</v>
      </c>
      <c r="D29" s="8" t="s">
        <v>29</v>
      </c>
      <c r="E29" s="8" t="s">
        <v>15</v>
      </c>
      <c r="F29" s="16"/>
      <c r="G29">
        <v>3.94</v>
      </c>
      <c r="I29">
        <v>4.22</v>
      </c>
      <c r="K29">
        <v>4.5</v>
      </c>
      <c r="L29"/>
      <c r="M29" s="41">
        <f aca="true" t="shared" si="1" ref="M29:M36">AVERAGE(I29,G29,K29)</f>
        <v>4.22</v>
      </c>
    </row>
    <row r="30" spans="2:13" ht="12.75">
      <c r="B30" s="8" t="s">
        <v>72</v>
      </c>
      <c r="C30" s="8" t="s">
        <v>243</v>
      </c>
      <c r="D30" s="8" t="s">
        <v>29</v>
      </c>
      <c r="E30" s="8" t="s">
        <v>15</v>
      </c>
      <c r="F30" s="16"/>
      <c r="G30">
        <v>2.48</v>
      </c>
      <c r="I30">
        <v>3.04</v>
      </c>
      <c r="K30">
        <v>3.98</v>
      </c>
      <c r="L30"/>
      <c r="M30" s="41">
        <f t="shared" si="1"/>
        <v>3.1666666666666665</v>
      </c>
    </row>
    <row r="31" spans="2:13" ht="12.75">
      <c r="B31" s="8" t="s">
        <v>122</v>
      </c>
      <c r="C31" s="8" t="s">
        <v>243</v>
      </c>
      <c r="D31" s="8" t="s">
        <v>29</v>
      </c>
      <c r="E31" s="8" t="s">
        <v>15</v>
      </c>
      <c r="F31" s="16"/>
      <c r="G31">
        <v>4.19</v>
      </c>
      <c r="I31">
        <v>2.49</v>
      </c>
      <c r="K31">
        <v>2.43</v>
      </c>
      <c r="L31"/>
      <c r="M31" s="41">
        <f t="shared" si="1"/>
        <v>3.036666666666667</v>
      </c>
    </row>
    <row r="32" spans="2:13" ht="12.75">
      <c r="B32" s="8" t="s">
        <v>74</v>
      </c>
      <c r="C32" s="8" t="s">
        <v>243</v>
      </c>
      <c r="D32" s="8" t="s">
        <v>29</v>
      </c>
      <c r="E32" s="8" t="s">
        <v>15</v>
      </c>
      <c r="F32" s="8" t="s">
        <v>119</v>
      </c>
      <c r="G32">
        <v>0.255</v>
      </c>
      <c r="H32" s="8" t="s">
        <v>119</v>
      </c>
      <c r="I32">
        <v>0.112</v>
      </c>
      <c r="J32" s="8" t="s">
        <v>119</v>
      </c>
      <c r="K32">
        <v>0.0922</v>
      </c>
      <c r="L32"/>
      <c r="M32" s="41">
        <f t="shared" si="1"/>
        <v>0.15306666666666666</v>
      </c>
    </row>
    <row r="33" spans="2:13" ht="12.75">
      <c r="B33" s="8" t="s">
        <v>123</v>
      </c>
      <c r="C33" s="8" t="s">
        <v>243</v>
      </c>
      <c r="D33" s="8" t="s">
        <v>29</v>
      </c>
      <c r="E33" s="8" t="s">
        <v>15</v>
      </c>
      <c r="F33" s="8" t="s">
        <v>119</v>
      </c>
      <c r="G33" s="21">
        <v>0.137</v>
      </c>
      <c r="H33" s="8" t="s">
        <v>119</v>
      </c>
      <c r="I33" s="21">
        <v>0.136</v>
      </c>
      <c r="J33" s="8" t="s">
        <v>119</v>
      </c>
      <c r="K33" s="21">
        <v>0.138</v>
      </c>
      <c r="M33" s="41">
        <f t="shared" si="1"/>
        <v>0.137</v>
      </c>
    </row>
    <row r="34" spans="2:13" ht="12.75">
      <c r="B34" s="8" t="s">
        <v>153</v>
      </c>
      <c r="C34" s="8" t="s">
        <v>243</v>
      </c>
      <c r="D34" s="8" t="s">
        <v>29</v>
      </c>
      <c r="E34" s="8" t="s">
        <v>15</v>
      </c>
      <c r="G34" s="21">
        <v>0.182</v>
      </c>
      <c r="H34" s="8"/>
      <c r="I34" s="21">
        <v>0.351</v>
      </c>
      <c r="J34" s="8"/>
      <c r="K34" s="21">
        <v>0.325</v>
      </c>
      <c r="M34" s="41">
        <f t="shared" si="1"/>
        <v>0.286</v>
      </c>
    </row>
    <row r="35" spans="2:13" ht="12.75">
      <c r="B35" s="8" t="s">
        <v>154</v>
      </c>
      <c r="C35" s="8" t="s">
        <v>243</v>
      </c>
      <c r="D35" s="8" t="s">
        <v>29</v>
      </c>
      <c r="E35" s="8" t="s">
        <v>15</v>
      </c>
      <c r="G35" s="21">
        <v>33.2</v>
      </c>
      <c r="H35" s="8"/>
      <c r="I35" s="21">
        <v>26</v>
      </c>
      <c r="J35" s="8"/>
      <c r="K35" s="21">
        <v>37.2</v>
      </c>
      <c r="M35" s="41">
        <f t="shared" si="1"/>
        <v>32.13333333333333</v>
      </c>
    </row>
    <row r="36" spans="2:13" ht="12.75">
      <c r="B36" s="8" t="s">
        <v>259</v>
      </c>
      <c r="C36" s="8" t="s">
        <v>244</v>
      </c>
      <c r="D36" s="8" t="s">
        <v>29</v>
      </c>
      <c r="E36" s="8" t="s">
        <v>15</v>
      </c>
      <c r="G36" s="21">
        <v>0.26</v>
      </c>
      <c r="H36" s="8"/>
      <c r="I36" s="21">
        <v>0.343</v>
      </c>
      <c r="J36" s="8" t="s">
        <v>119</v>
      </c>
      <c r="K36" s="21">
        <v>0.0548</v>
      </c>
      <c r="M36" s="41">
        <f t="shared" si="1"/>
        <v>0.21926666666666664</v>
      </c>
    </row>
    <row r="37" spans="2:13" ht="12.75">
      <c r="B37" s="8" t="s">
        <v>30</v>
      </c>
      <c r="C37" s="8" t="s">
        <v>243</v>
      </c>
      <c r="D37" s="8" t="s">
        <v>29</v>
      </c>
      <c r="E37" s="8" t="s">
        <v>15</v>
      </c>
      <c r="G37" s="89">
        <f>G21+G26</f>
        <v>3.043</v>
      </c>
      <c r="H37" s="90"/>
      <c r="I37" s="89">
        <f>I21+I26</f>
        <v>2.876</v>
      </c>
      <c r="J37" s="90"/>
      <c r="K37" s="89">
        <f>K21+K26</f>
        <v>0.9238</v>
      </c>
      <c r="M37" s="41">
        <f>AVERAGE(I37,G37,K37)</f>
        <v>2.2809333333333335</v>
      </c>
    </row>
    <row r="38" spans="2:13" ht="12.75">
      <c r="B38" s="8" t="s">
        <v>31</v>
      </c>
      <c r="C38" s="8" t="s">
        <v>243</v>
      </c>
      <c r="D38" s="8" t="s">
        <v>29</v>
      </c>
      <c r="E38" s="8" t="s">
        <v>15</v>
      </c>
      <c r="G38" s="89">
        <f>G22+G18+G20</f>
        <v>4.6074</v>
      </c>
      <c r="H38" s="90"/>
      <c r="I38" s="89">
        <f>I22+I18+I20</f>
        <v>6.2771</v>
      </c>
      <c r="J38" s="90"/>
      <c r="K38" s="89">
        <f>K22+K18+K20</f>
        <v>5.7077</v>
      </c>
      <c r="M38" s="41">
        <f>AVERAGE(I38,G38,K38)</f>
        <v>5.530733333333333</v>
      </c>
    </row>
    <row r="39" spans="2:11" ht="12.75">
      <c r="B39" s="8"/>
      <c r="C39" s="8"/>
      <c r="G39" s="21"/>
      <c r="H39" s="8"/>
      <c r="I39" s="21"/>
      <c r="J39" s="8"/>
      <c r="K39" s="21"/>
    </row>
    <row r="40" spans="2:13" ht="12.75">
      <c r="B40" s="8" t="s">
        <v>53</v>
      </c>
      <c r="C40" s="8" t="s">
        <v>66</v>
      </c>
      <c r="D40" s="8" t="s">
        <v>242</v>
      </c>
      <c r="F40"/>
      <c r="I40" s="16"/>
      <c r="M40"/>
    </row>
    <row r="41" spans="2:13" ht="12.75">
      <c r="B41" s="8" t="s">
        <v>47</v>
      </c>
      <c r="C41" s="8"/>
      <c r="D41" s="8" t="s">
        <v>17</v>
      </c>
      <c r="F41"/>
      <c r="G41">
        <v>23648</v>
      </c>
      <c r="I41">
        <v>23491</v>
      </c>
      <c r="K41">
        <v>22109</v>
      </c>
      <c r="M41" s="6">
        <f>AVERAGE(K41,G41,I41)</f>
        <v>23082.666666666668</v>
      </c>
    </row>
    <row r="42" spans="2:13" ht="12.75">
      <c r="B42" s="8" t="s">
        <v>50</v>
      </c>
      <c r="C42" s="8"/>
      <c r="D42" s="8" t="s">
        <v>18</v>
      </c>
      <c r="F42"/>
      <c r="G42">
        <v>9.2</v>
      </c>
      <c r="H42"/>
      <c r="I42">
        <v>9.1</v>
      </c>
      <c r="J42"/>
      <c r="K42">
        <v>9.2</v>
      </c>
      <c r="M42" s="6">
        <f>AVERAGE(I42,G42,K42)</f>
        <v>9.166666666666666</v>
      </c>
    </row>
    <row r="43" spans="2:13" ht="12.75">
      <c r="B43" s="8" t="s">
        <v>51</v>
      </c>
      <c r="C43" s="8"/>
      <c r="D43" s="8" t="s">
        <v>18</v>
      </c>
      <c r="F43"/>
      <c r="G43">
        <v>57.59</v>
      </c>
      <c r="H43"/>
      <c r="I43">
        <v>59.72</v>
      </c>
      <c r="J43"/>
      <c r="K43">
        <v>58.25</v>
      </c>
      <c r="M43" s="6">
        <f>AVERAGE(I43,G43,K43)</f>
        <v>58.52</v>
      </c>
    </row>
    <row r="44" spans="2:13" ht="12.75">
      <c r="B44" s="8" t="s">
        <v>46</v>
      </c>
      <c r="C44" s="8"/>
      <c r="D44" s="8" t="s">
        <v>19</v>
      </c>
      <c r="F44"/>
      <c r="G44">
        <v>186</v>
      </c>
      <c r="H44"/>
      <c r="I44">
        <v>187</v>
      </c>
      <c r="J44"/>
      <c r="K44">
        <v>186</v>
      </c>
      <c r="M44" s="6">
        <f>AVERAGE(I44,G44,K44)</f>
        <v>186.33333333333334</v>
      </c>
    </row>
    <row r="45" spans="2:11" ht="12.75">
      <c r="B45" s="8"/>
      <c r="C45" s="8"/>
      <c r="G45" s="21"/>
      <c r="H45" s="8"/>
      <c r="I45" s="21"/>
      <c r="J45" s="8"/>
      <c r="K45" s="21"/>
    </row>
    <row r="46" spans="2:13" ht="12.75">
      <c r="B46" s="8" t="s">
        <v>53</v>
      </c>
      <c r="C46" s="8" t="s">
        <v>71</v>
      </c>
      <c r="D46" s="8" t="s">
        <v>243</v>
      </c>
      <c r="F46"/>
      <c r="I46" s="16"/>
      <c r="M46"/>
    </row>
    <row r="47" spans="2:13" ht="12.75">
      <c r="B47" s="8" t="s">
        <v>47</v>
      </c>
      <c r="C47" s="8"/>
      <c r="D47" s="8" t="s">
        <v>17</v>
      </c>
      <c r="F47"/>
      <c r="G47">
        <v>22441</v>
      </c>
      <c r="I47">
        <v>23010</v>
      </c>
      <c r="K47">
        <v>22250</v>
      </c>
      <c r="M47" s="6">
        <f>AVERAGE(K47,G47,I47)</f>
        <v>22567</v>
      </c>
    </row>
    <row r="48" spans="2:13" ht="12.75">
      <c r="B48" s="8" t="s">
        <v>50</v>
      </c>
      <c r="C48" s="8"/>
      <c r="D48" s="8" t="s">
        <v>18</v>
      </c>
      <c r="F48"/>
      <c r="G48">
        <v>9.2</v>
      </c>
      <c r="H48"/>
      <c r="I48">
        <v>9.1</v>
      </c>
      <c r="J48"/>
      <c r="K48">
        <v>9.2</v>
      </c>
      <c r="M48" s="6">
        <f>AVERAGE(I48,G48,K48)</f>
        <v>9.166666666666666</v>
      </c>
    </row>
    <row r="49" spans="2:13" ht="12.75">
      <c r="B49" s="8" t="s">
        <v>51</v>
      </c>
      <c r="C49" s="8"/>
      <c r="D49" s="8" t="s">
        <v>18</v>
      </c>
      <c r="F49"/>
      <c r="G49">
        <v>59.5</v>
      </c>
      <c r="H49"/>
      <c r="I49">
        <v>57.9</v>
      </c>
      <c r="J49"/>
      <c r="K49">
        <v>58.1</v>
      </c>
      <c r="M49" s="6">
        <f>AVERAGE(I49,G49,K49)</f>
        <v>58.5</v>
      </c>
    </row>
    <row r="50" spans="2:13" ht="12.75">
      <c r="B50" s="8" t="s">
        <v>46</v>
      </c>
      <c r="C50" s="8"/>
      <c r="D50" s="8" t="s">
        <v>19</v>
      </c>
      <c r="F50"/>
      <c r="G50">
        <v>186</v>
      </c>
      <c r="H50"/>
      <c r="I50">
        <v>186</v>
      </c>
      <c r="J50"/>
      <c r="K50">
        <v>187</v>
      </c>
      <c r="M50" s="6">
        <f>AVERAGE(I50,G50,K50)</f>
        <v>186.33333333333334</v>
      </c>
    </row>
    <row r="51" spans="2:11" ht="12.75">
      <c r="B51" s="8"/>
      <c r="C51" s="8"/>
      <c r="G51" s="21"/>
      <c r="H51" s="8"/>
      <c r="I51" s="21"/>
      <c r="J51" s="8"/>
      <c r="K51" s="21"/>
    </row>
    <row r="52" spans="2:13" ht="12.75">
      <c r="B52" s="8" t="s">
        <v>53</v>
      </c>
      <c r="C52" s="8" t="s">
        <v>130</v>
      </c>
      <c r="D52" s="8" t="s">
        <v>244</v>
      </c>
      <c r="F52"/>
      <c r="I52" s="16"/>
      <c r="M52"/>
    </row>
    <row r="53" spans="2:13" ht="12.75">
      <c r="B53" s="8" t="s">
        <v>47</v>
      </c>
      <c r="C53" s="8"/>
      <c r="D53" s="8" t="s">
        <v>17</v>
      </c>
      <c r="F53"/>
      <c r="G53">
        <v>22931</v>
      </c>
      <c r="I53">
        <v>21529</v>
      </c>
      <c r="K53">
        <v>22506</v>
      </c>
      <c r="M53" s="6">
        <f>AVERAGE(K53,G53,I53)</f>
        <v>22322</v>
      </c>
    </row>
    <row r="54" spans="2:13" ht="12.75">
      <c r="B54" s="8" t="s">
        <v>50</v>
      </c>
      <c r="C54" s="8"/>
      <c r="D54" s="8" t="s">
        <v>18</v>
      </c>
      <c r="F54"/>
      <c r="G54">
        <v>9.2</v>
      </c>
      <c r="H54"/>
      <c r="I54">
        <v>9.1</v>
      </c>
      <c r="J54"/>
      <c r="K54">
        <v>9.2</v>
      </c>
      <c r="M54" s="6">
        <f>AVERAGE(I54,G54,K54)</f>
        <v>9.166666666666666</v>
      </c>
    </row>
    <row r="55" spans="2:13" ht="12.75">
      <c r="B55" s="8" t="s">
        <v>51</v>
      </c>
      <c r="C55" s="8"/>
      <c r="D55" s="8" t="s">
        <v>18</v>
      </c>
      <c r="F55"/>
      <c r="G55">
        <v>57.2</v>
      </c>
      <c r="H55"/>
      <c r="I55">
        <v>57.9</v>
      </c>
      <c r="J55"/>
      <c r="K55">
        <v>57.1</v>
      </c>
      <c r="M55" s="6">
        <f>AVERAGE(I55,G55,K55)</f>
        <v>57.4</v>
      </c>
    </row>
    <row r="56" spans="2:13" ht="12.75">
      <c r="B56" s="8" t="s">
        <v>46</v>
      </c>
      <c r="C56" s="8"/>
      <c r="D56" s="8" t="s">
        <v>19</v>
      </c>
      <c r="F56"/>
      <c r="G56">
        <v>185</v>
      </c>
      <c r="H56"/>
      <c r="I56">
        <v>185</v>
      </c>
      <c r="J56"/>
      <c r="K56">
        <v>185</v>
      </c>
      <c r="M56" s="6">
        <f>AVERAGE(I56,G56,K56)</f>
        <v>185</v>
      </c>
    </row>
    <row r="57" spans="2:13" ht="12" customHeight="1">
      <c r="B57" s="8"/>
      <c r="C57" s="8"/>
      <c r="F57"/>
      <c r="G57"/>
      <c r="H57"/>
      <c r="I57"/>
      <c r="J57"/>
      <c r="K57"/>
      <c r="M57"/>
    </row>
    <row r="58" spans="2:13" ht="12.75">
      <c r="B58" s="8" t="s">
        <v>53</v>
      </c>
      <c r="C58" s="8" t="s">
        <v>73</v>
      </c>
      <c r="D58" s="8" t="s">
        <v>245</v>
      </c>
      <c r="F58"/>
      <c r="I58" s="16"/>
      <c r="M58"/>
    </row>
    <row r="59" spans="2:13" ht="12.75">
      <c r="B59" s="8" t="s">
        <v>47</v>
      </c>
      <c r="C59" s="8"/>
      <c r="D59" s="8" t="s">
        <v>17</v>
      </c>
      <c r="F59"/>
      <c r="G59" s="6">
        <v>22064</v>
      </c>
      <c r="I59" s="16">
        <v>21611</v>
      </c>
      <c r="K59" s="6">
        <v>22076</v>
      </c>
      <c r="M59" s="6">
        <f>AVERAGE(K59,G59,I59)</f>
        <v>21917</v>
      </c>
    </row>
    <row r="60" spans="2:13" ht="12.75">
      <c r="B60" s="8" t="s">
        <v>50</v>
      </c>
      <c r="C60" s="8"/>
      <c r="D60" s="8" t="s">
        <v>18</v>
      </c>
      <c r="F60"/>
      <c r="G60" s="16">
        <v>9.2</v>
      </c>
      <c r="H60"/>
      <c r="I60" s="16">
        <v>9.1</v>
      </c>
      <c r="J60"/>
      <c r="K60" s="16">
        <v>9.2</v>
      </c>
      <c r="M60" s="6">
        <f>AVERAGE(I60,G60,K60)</f>
        <v>9.166666666666666</v>
      </c>
    </row>
    <row r="61" spans="2:13" ht="12.75">
      <c r="B61" s="8" t="s">
        <v>51</v>
      </c>
      <c r="C61" s="8"/>
      <c r="D61" s="8" t="s">
        <v>18</v>
      </c>
      <c r="F61"/>
      <c r="G61" s="16">
        <v>56.1</v>
      </c>
      <c r="H61"/>
      <c r="I61" s="16">
        <v>57.21</v>
      </c>
      <c r="J61"/>
      <c r="K61" s="16">
        <v>57.82</v>
      </c>
      <c r="M61" s="6">
        <f>AVERAGE(I61,G61,K61)</f>
        <v>57.04333333333333</v>
      </c>
    </row>
    <row r="62" spans="2:13" ht="12.75">
      <c r="B62" s="8" t="s">
        <v>46</v>
      </c>
      <c r="C62" s="8"/>
      <c r="D62" s="8" t="s">
        <v>19</v>
      </c>
      <c r="F62"/>
      <c r="G62" s="16">
        <v>187</v>
      </c>
      <c r="H62"/>
      <c r="I62" s="16">
        <v>188</v>
      </c>
      <c r="J62"/>
      <c r="K62" s="16">
        <v>188</v>
      </c>
      <c r="M62" s="6">
        <f>AVERAGE(I62,G62,K62)</f>
        <v>187.66666666666666</v>
      </c>
    </row>
    <row r="63" spans="2:13" ht="12.75">
      <c r="B63" s="8"/>
      <c r="C63" s="8"/>
      <c r="F63"/>
      <c r="H63"/>
      <c r="I63" s="16"/>
      <c r="J63"/>
      <c r="M63" s="6"/>
    </row>
    <row r="64" spans="2:13" ht="12.75">
      <c r="B64" s="16" t="s">
        <v>144</v>
      </c>
      <c r="C64" s="8" t="s">
        <v>242</v>
      </c>
      <c r="D64" s="11" t="s">
        <v>16</v>
      </c>
      <c r="E64" s="8" t="s">
        <v>15</v>
      </c>
      <c r="F64"/>
      <c r="G64" s="66">
        <f>G11*(21-7)/(21-G$42)</f>
        <v>14.71186440677966</v>
      </c>
      <c r="H64"/>
      <c r="I64" s="66">
        <f>I11*(21-7)/(21-I$42)</f>
        <v>15.76470588235294</v>
      </c>
      <c r="J64"/>
      <c r="K64" s="66">
        <f>K11*(21-7)/(21-K$42)</f>
        <v>12.457627118644067</v>
      </c>
      <c r="M64" s="6">
        <f>AVERAGE(K64,G64,I64)</f>
        <v>14.311399135925555</v>
      </c>
    </row>
    <row r="65" spans="2:13" ht="12.75">
      <c r="B65" s="8"/>
      <c r="C65" s="8"/>
      <c r="F65"/>
      <c r="H65"/>
      <c r="I65" s="16"/>
      <c r="J65"/>
      <c r="M65" s="6"/>
    </row>
    <row r="66" spans="2:13" ht="12.75">
      <c r="B66" s="8" t="s">
        <v>24</v>
      </c>
      <c r="C66" s="8" t="s">
        <v>242</v>
      </c>
      <c r="D66" s="11" t="s">
        <v>16</v>
      </c>
      <c r="E66" s="8" t="s">
        <v>15</v>
      </c>
      <c r="G66" s="60">
        <f>G13*(21-7)/(21-G$42)</f>
        <v>0.26101694915254237</v>
      </c>
      <c r="H66" s="8"/>
      <c r="I66" s="60">
        <f>I13*(21-7)/(21-I$42)</f>
        <v>0.23529411764705885</v>
      </c>
      <c r="J66" s="8"/>
      <c r="K66" s="60">
        <f>K13*(21-7)/(21-K$42)</f>
        <v>1.2576271186440677</v>
      </c>
      <c r="M66" s="6">
        <f>AVERAGE(K66,G66,I66)</f>
        <v>0.5846460618145564</v>
      </c>
    </row>
    <row r="67" spans="2:13" ht="13.5" customHeight="1">
      <c r="B67" s="8" t="s">
        <v>25</v>
      </c>
      <c r="C67" s="8" t="s">
        <v>242</v>
      </c>
      <c r="D67" s="11" t="s">
        <v>16</v>
      </c>
      <c r="E67" s="8" t="s">
        <v>15</v>
      </c>
      <c r="F67"/>
      <c r="G67" s="60">
        <f>G14*(21-7)/(21-G$42)</f>
        <v>0.011864406779661017</v>
      </c>
      <c r="H67"/>
      <c r="I67" s="60">
        <f>I14*(21-7)/(21-I$42)</f>
        <v>0.023529411764705885</v>
      </c>
      <c r="J67" t="s">
        <v>119</v>
      </c>
      <c r="K67" s="60">
        <f>K14*(21-7)/(21-K$42)</f>
        <v>0.011864406779661017</v>
      </c>
      <c r="M67" s="6">
        <f>AVERAGE(K67,G67,I67)</f>
        <v>0.015752741774675973</v>
      </c>
    </row>
    <row r="68" spans="2:13" ht="12.75">
      <c r="B68" s="8" t="s">
        <v>246</v>
      </c>
      <c r="C68" s="8" t="s">
        <v>242</v>
      </c>
      <c r="D68" s="11" t="s">
        <v>16</v>
      </c>
      <c r="E68" s="8" t="s">
        <v>15</v>
      </c>
      <c r="G68" s="41">
        <f>G66+G67*2</f>
        <v>0.2847457627118644</v>
      </c>
      <c r="H68"/>
      <c r="I68" s="41">
        <f>I66+I67*2</f>
        <v>0.28235294117647064</v>
      </c>
      <c r="J68"/>
      <c r="K68" s="41">
        <f>K66+K67*2</f>
        <v>1.2813559322033898</v>
      </c>
      <c r="L68"/>
      <c r="M68" s="6">
        <f>AVERAGE(K68,G68,I68)</f>
        <v>0.6161515453639083</v>
      </c>
    </row>
    <row r="70" spans="1:13" ht="12.75">
      <c r="A70" s="16">
        <v>1</v>
      </c>
      <c r="B70" s="20" t="s">
        <v>178</v>
      </c>
      <c r="C70" s="20"/>
      <c r="G70" s="18" t="s">
        <v>205</v>
      </c>
      <c r="H70" s="18"/>
      <c r="I70" s="19" t="s">
        <v>206</v>
      </c>
      <c r="J70" s="18"/>
      <c r="K70" s="18" t="s">
        <v>207</v>
      </c>
      <c r="M70" s="16" t="s">
        <v>208</v>
      </c>
    </row>
    <row r="71" spans="2:11" ht="12.75">
      <c r="B71" s="20"/>
      <c r="C71" s="20"/>
      <c r="G71" s="18"/>
      <c r="H71" s="18"/>
      <c r="I71" s="19"/>
      <c r="J71" s="18"/>
      <c r="K71" s="18"/>
    </row>
    <row r="72" spans="2:13" ht="12.75">
      <c r="B72" s="8" t="s">
        <v>62</v>
      </c>
      <c r="C72" s="8" t="s">
        <v>244</v>
      </c>
      <c r="D72" s="11" t="s">
        <v>16</v>
      </c>
      <c r="E72" s="8" t="s">
        <v>15</v>
      </c>
      <c r="F72"/>
      <c r="G72">
        <v>1053.9</v>
      </c>
      <c r="H72"/>
      <c r="I72">
        <v>1412.6</v>
      </c>
      <c r="J72"/>
      <c r="K72">
        <v>660.5</v>
      </c>
      <c r="M72" s="6">
        <f>AVERAGE(I72,G72,K72)</f>
        <v>1042.3333333333333</v>
      </c>
    </row>
    <row r="73" spans="2:13" ht="12.75">
      <c r="B73" s="16" t="s">
        <v>144</v>
      </c>
      <c r="D73" s="11" t="s">
        <v>16</v>
      </c>
      <c r="E73" s="8" t="s">
        <v>145</v>
      </c>
      <c r="G73">
        <v>4.5</v>
      </c>
      <c r="H73"/>
      <c r="I73">
        <v>16.3</v>
      </c>
      <c r="J73"/>
      <c r="K73">
        <v>4</v>
      </c>
      <c r="M73" s="6">
        <f>AVERAGE(I73,G73,K73)</f>
        <v>8.266666666666667</v>
      </c>
    </row>
    <row r="74" spans="4:13" ht="12.75">
      <c r="D74" s="11"/>
      <c r="G74"/>
      <c r="H74"/>
      <c r="I74"/>
      <c r="J74"/>
      <c r="K74"/>
      <c r="M74" s="6"/>
    </row>
    <row r="75" spans="2:13" ht="12.75">
      <c r="B75" s="8" t="s">
        <v>24</v>
      </c>
      <c r="C75" s="8"/>
      <c r="D75" s="11" t="s">
        <v>156</v>
      </c>
      <c r="E75" s="8" t="s">
        <v>145</v>
      </c>
      <c r="G75" s="21">
        <v>8.86</v>
      </c>
      <c r="H75" s="8"/>
      <c r="I75" s="17">
        <v>6.74</v>
      </c>
      <c r="J75" s="8"/>
      <c r="K75" s="16">
        <v>5.67</v>
      </c>
      <c r="M75" s="6"/>
    </row>
    <row r="76" spans="2:13" ht="13.5" customHeight="1">
      <c r="B76" s="8" t="s">
        <v>25</v>
      </c>
      <c r="C76" s="8"/>
      <c r="D76" s="11" t="s">
        <v>156</v>
      </c>
      <c r="E76" s="8" t="s">
        <v>145</v>
      </c>
      <c r="F76"/>
      <c r="G76" s="16">
        <v>0.04</v>
      </c>
      <c r="H76"/>
      <c r="I76" s="17">
        <v>0.04</v>
      </c>
      <c r="J76"/>
      <c r="K76" s="16">
        <v>0.08</v>
      </c>
      <c r="M76" s="6"/>
    </row>
    <row r="77" spans="2:13" ht="12.75">
      <c r="B77" s="8"/>
      <c r="C77" s="8"/>
      <c r="D77" s="11"/>
      <c r="G77" s="41"/>
      <c r="H77"/>
      <c r="I77" s="41"/>
      <c r="J77"/>
      <c r="K77" s="41"/>
      <c r="L77"/>
      <c r="M77" s="6"/>
    </row>
    <row r="78" spans="2:13" ht="12.75">
      <c r="B78" s="8" t="s">
        <v>126</v>
      </c>
      <c r="C78" s="8" t="s">
        <v>155</v>
      </c>
      <c r="D78" s="8" t="s">
        <v>242</v>
      </c>
      <c r="F78"/>
      <c r="G78"/>
      <c r="H78"/>
      <c r="I78"/>
      <c r="J78"/>
      <c r="K78"/>
      <c r="L78"/>
      <c r="M78"/>
    </row>
    <row r="79" spans="2:13" ht="12.75">
      <c r="B79" s="8" t="s">
        <v>127</v>
      </c>
      <c r="C79" s="8"/>
      <c r="D79" s="8" t="s">
        <v>27</v>
      </c>
      <c r="F79"/>
      <c r="G79">
        <v>120.2</v>
      </c>
      <c r="H79"/>
      <c r="I79">
        <v>118.4</v>
      </c>
      <c r="J79"/>
      <c r="K79">
        <v>124.2</v>
      </c>
      <c r="L79"/>
      <c r="M79"/>
    </row>
    <row r="80" spans="2:13" ht="12.75">
      <c r="B80" s="8" t="s">
        <v>128</v>
      </c>
      <c r="C80" s="8" t="s">
        <v>242</v>
      </c>
      <c r="D80" s="8" t="s">
        <v>27</v>
      </c>
      <c r="F80" t="s">
        <v>119</v>
      </c>
      <c r="G80" s="46">
        <v>4.07E-05</v>
      </c>
      <c r="H80" t="s">
        <v>119</v>
      </c>
      <c r="I80" s="46">
        <v>4.93E-05</v>
      </c>
      <c r="J80" t="s">
        <v>119</v>
      </c>
      <c r="K80" s="46">
        <v>3.86E-05</v>
      </c>
      <c r="L80"/>
      <c r="M80"/>
    </row>
    <row r="81" spans="2:13" ht="12.75">
      <c r="B81" s="8" t="s">
        <v>26</v>
      </c>
      <c r="C81" s="8" t="s">
        <v>242</v>
      </c>
      <c r="D81" s="8" t="s">
        <v>18</v>
      </c>
      <c r="F81" s="16"/>
      <c r="G81">
        <v>99.9999661</v>
      </c>
      <c r="I81">
        <v>99.9999584</v>
      </c>
      <c r="K81">
        <v>99.9999645</v>
      </c>
      <c r="L81"/>
      <c r="M81"/>
    </row>
    <row r="82" spans="2:11" ht="12.75">
      <c r="B82" s="8"/>
      <c r="C82" s="8"/>
      <c r="G82" s="41"/>
      <c r="H82" s="8"/>
      <c r="I82" s="41"/>
      <c r="J82" s="8"/>
      <c r="K82" s="41"/>
    </row>
    <row r="83" spans="2:13" ht="12.75">
      <c r="B83" s="8" t="s">
        <v>53</v>
      </c>
      <c r="C83" s="8" t="s">
        <v>146</v>
      </c>
      <c r="D83" s="8" t="s">
        <v>243</v>
      </c>
      <c r="F83"/>
      <c r="I83" s="16"/>
      <c r="M83"/>
    </row>
    <row r="84" spans="2:13" ht="12.75">
      <c r="B84" s="8" t="s">
        <v>47</v>
      </c>
      <c r="C84" s="8"/>
      <c r="D84" s="8" t="s">
        <v>17</v>
      </c>
      <c r="F84"/>
      <c r="G84">
        <v>17257</v>
      </c>
      <c r="I84">
        <v>17835</v>
      </c>
      <c r="K84">
        <v>16529</v>
      </c>
      <c r="M84" s="6">
        <f>AVERAGE(K84,G84,I84)</f>
        <v>17207</v>
      </c>
    </row>
    <row r="85" spans="2:13" ht="12.75">
      <c r="B85" s="8" t="s">
        <v>50</v>
      </c>
      <c r="C85" s="8"/>
      <c r="D85" s="8" t="s">
        <v>18</v>
      </c>
      <c r="F85"/>
      <c r="G85">
        <v>8.7</v>
      </c>
      <c r="H85"/>
      <c r="I85">
        <v>8.6</v>
      </c>
      <c r="J85"/>
      <c r="K85">
        <v>8.8</v>
      </c>
      <c r="M85" s="6">
        <f>AVERAGE(I85,G85,K85)</f>
        <v>8.7</v>
      </c>
    </row>
    <row r="86" spans="2:13" ht="12.75">
      <c r="B86" s="8" t="s">
        <v>51</v>
      </c>
      <c r="C86" s="8"/>
      <c r="D86" s="8" t="s">
        <v>18</v>
      </c>
      <c r="F86"/>
      <c r="G86">
        <v>60.07</v>
      </c>
      <c r="H86"/>
      <c r="I86">
        <v>60.48</v>
      </c>
      <c r="J86"/>
      <c r="K86">
        <v>59.88</v>
      </c>
      <c r="M86" s="6">
        <f>AVERAGE(I86,G86,K86)</f>
        <v>60.14333333333334</v>
      </c>
    </row>
    <row r="87" spans="2:13" ht="12.75">
      <c r="B87" s="8" t="s">
        <v>46</v>
      </c>
      <c r="C87" s="8"/>
      <c r="D87" s="8" t="s">
        <v>19</v>
      </c>
      <c r="F87"/>
      <c r="G87">
        <v>189</v>
      </c>
      <c r="H87"/>
      <c r="I87">
        <v>189</v>
      </c>
      <c r="J87"/>
      <c r="K87">
        <v>189</v>
      </c>
      <c r="M87" s="6">
        <f>AVERAGE(I87,G87,K87)</f>
        <v>189</v>
      </c>
    </row>
    <row r="88" spans="2:11" ht="12.75">
      <c r="B88" s="8"/>
      <c r="C88" s="8"/>
      <c r="G88" s="41"/>
      <c r="H88" s="8"/>
      <c r="I88" s="41"/>
      <c r="J88" s="8"/>
      <c r="K88" s="41"/>
    </row>
    <row r="89" spans="2:13" ht="12.75">
      <c r="B89" s="8" t="s">
        <v>53</v>
      </c>
      <c r="C89" s="8" t="s">
        <v>175</v>
      </c>
      <c r="D89" s="8" t="s">
        <v>244</v>
      </c>
      <c r="F89"/>
      <c r="I89" s="16"/>
      <c r="M89"/>
    </row>
    <row r="90" spans="2:13" ht="12.75">
      <c r="B90" s="8" t="s">
        <v>47</v>
      </c>
      <c r="C90" s="8"/>
      <c r="D90" s="8" t="s">
        <v>17</v>
      </c>
      <c r="F90"/>
      <c r="G90">
        <v>18499</v>
      </c>
      <c r="I90">
        <v>18398</v>
      </c>
      <c r="K90">
        <v>17283</v>
      </c>
      <c r="M90" s="6">
        <f>AVERAGE(K90,G90,I90)</f>
        <v>18060</v>
      </c>
    </row>
    <row r="91" spans="2:13" ht="12.75">
      <c r="B91" s="8" t="s">
        <v>50</v>
      </c>
      <c r="C91" s="8"/>
      <c r="D91" s="8" t="s">
        <v>18</v>
      </c>
      <c r="F91"/>
      <c r="G91">
        <v>8.7</v>
      </c>
      <c r="H91"/>
      <c r="I91">
        <v>8.6</v>
      </c>
      <c r="J91"/>
      <c r="K91">
        <v>8.8</v>
      </c>
      <c r="M91" s="6">
        <f>AVERAGE(I91,G91,K91)</f>
        <v>8.7</v>
      </c>
    </row>
    <row r="92" spans="2:13" ht="12.75">
      <c r="B92" s="8" t="s">
        <v>51</v>
      </c>
      <c r="C92" s="8"/>
      <c r="D92" s="8" t="s">
        <v>18</v>
      </c>
      <c r="F92"/>
      <c r="G92">
        <v>60.02</v>
      </c>
      <c r="H92"/>
      <c r="I92">
        <v>60.13</v>
      </c>
      <c r="J92"/>
      <c r="K92">
        <v>60.2</v>
      </c>
      <c r="M92" s="6">
        <f>AVERAGE(I92,G92,K92)</f>
        <v>60.116666666666674</v>
      </c>
    </row>
    <row r="93" spans="2:13" ht="12.75">
      <c r="B93" s="8" t="s">
        <v>46</v>
      </c>
      <c r="C93" s="8"/>
      <c r="D93" s="8" t="s">
        <v>19</v>
      </c>
      <c r="F93"/>
      <c r="G93"/>
      <c r="H93"/>
      <c r="I93"/>
      <c r="J93"/>
      <c r="K93"/>
      <c r="M93" s="6"/>
    </row>
    <row r="94" ht="12.75">
      <c r="B94" s="8"/>
    </row>
    <row r="95" spans="2:13" ht="12.75">
      <c r="B95" s="16" t="s">
        <v>144</v>
      </c>
      <c r="C95" s="16" t="s">
        <v>244</v>
      </c>
      <c r="D95" s="11" t="s">
        <v>16</v>
      </c>
      <c r="E95" s="8" t="s">
        <v>15</v>
      </c>
      <c r="G95" s="41">
        <f>G73*(21-7)/(21-G$85)</f>
        <v>5.121951219512195</v>
      </c>
      <c r="I95" s="41">
        <f>I73*(21-7)/(21-I$85)</f>
        <v>18.403225806451612</v>
      </c>
      <c r="K95" s="41">
        <f>K73*(21-7)/(21-K$85)</f>
        <v>4.59016393442623</v>
      </c>
      <c r="M95" s="6">
        <f>AVERAGE(K95,G95,I95)</f>
        <v>9.371780320130012</v>
      </c>
    </row>
    <row r="96" ht="12.75">
      <c r="B96" s="8"/>
    </row>
    <row r="97" spans="2:13" ht="12.75">
      <c r="B97" s="8" t="s">
        <v>24</v>
      </c>
      <c r="C97" s="8" t="s">
        <v>243</v>
      </c>
      <c r="D97" s="11" t="s">
        <v>16</v>
      </c>
      <c r="E97" s="8" t="s">
        <v>15</v>
      </c>
      <c r="G97" s="60">
        <f>G75*(21-7)/(21-G$85)</f>
        <v>10.084552845528455</v>
      </c>
      <c r="H97" s="8"/>
      <c r="I97" s="60">
        <f>I75*(21-7)/(21-I$85)</f>
        <v>7.609677419354838</v>
      </c>
      <c r="J97" s="8"/>
      <c r="K97" s="60">
        <f>K75*(21-7)/(21-K$85)</f>
        <v>6.50655737704918</v>
      </c>
      <c r="M97" s="6">
        <f>AVERAGE(K97,G97,I97)</f>
        <v>8.06692921397749</v>
      </c>
    </row>
    <row r="98" spans="2:13" ht="13.5" customHeight="1">
      <c r="B98" s="8" t="s">
        <v>25</v>
      </c>
      <c r="C98" s="8" t="s">
        <v>243</v>
      </c>
      <c r="D98" s="11" t="s">
        <v>16</v>
      </c>
      <c r="E98" s="8" t="s">
        <v>15</v>
      </c>
      <c r="G98" s="60">
        <f>G76*(21-7)/(21-G$85)</f>
        <v>0.04552845528455285</v>
      </c>
      <c r="H98"/>
      <c r="I98" s="60">
        <f>I76*(21-7)/(21-I$85)</f>
        <v>0.04516129032258065</v>
      </c>
      <c r="J98"/>
      <c r="K98" s="60">
        <f>K76*(21-7)/(21-K$85)</f>
        <v>0.0918032786885246</v>
      </c>
      <c r="M98" s="6">
        <f>AVERAGE(K98,G98,I98)</f>
        <v>0.06083100809855271</v>
      </c>
    </row>
    <row r="99" spans="2:13" ht="12.75">
      <c r="B99" s="8" t="s">
        <v>246</v>
      </c>
      <c r="C99" s="8" t="s">
        <v>243</v>
      </c>
      <c r="D99" s="11" t="s">
        <v>16</v>
      </c>
      <c r="E99" s="8" t="s">
        <v>15</v>
      </c>
      <c r="G99" s="41">
        <f>G98*2+G97</f>
        <v>10.175609756097561</v>
      </c>
      <c r="H99"/>
      <c r="I99" s="41">
        <f>I98*2+I97</f>
        <v>7.699999999999999</v>
      </c>
      <c r="J99"/>
      <c r="K99" s="41">
        <f>K98*2+K97</f>
        <v>6.69016393442623</v>
      </c>
      <c r="L99"/>
      <c r="M99" s="6">
        <f>AVERAGE(K99,G99,I99)</f>
        <v>8.188591230174596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47"/>
  <sheetViews>
    <sheetView workbookViewId="0" topLeftCell="B1">
      <selection activeCell="B3" sqref="B3"/>
    </sheetView>
  </sheetViews>
  <sheetFormatPr defaultColWidth="9.140625" defaultRowHeight="12.75"/>
  <cols>
    <col min="1" max="1" width="9.140625" style="0" hidden="1" customWidth="1"/>
    <col min="2" max="2" width="19.00390625" style="0" customWidth="1"/>
    <col min="3" max="3" width="7.57421875" style="0" customWidth="1"/>
    <col min="5" max="5" width="2.8515625" style="0" customWidth="1"/>
    <col min="6" max="6" width="2.421875" style="0" customWidth="1"/>
    <col min="8" max="8" width="2.28125" style="0" customWidth="1"/>
    <col min="10" max="10" width="2.140625" style="0" customWidth="1"/>
    <col min="12" max="12" width="2.57421875" style="0" customWidth="1"/>
    <col min="13" max="13" width="9.57421875" style="0" bestFit="1" customWidth="1"/>
    <col min="14" max="14" width="2.28125" style="0" hidden="1" customWidth="1"/>
    <col min="15" max="15" width="0" style="0" hidden="1" customWidth="1"/>
    <col min="16" max="16" width="2.421875" style="0" hidden="1" customWidth="1"/>
    <col min="17" max="24" width="0" style="0" hidden="1" customWidth="1"/>
  </cols>
  <sheetData>
    <row r="1" ht="12.75">
      <c r="B1" s="7" t="s">
        <v>226</v>
      </c>
    </row>
    <row r="2" ht="12.75">
      <c r="B2" s="7"/>
    </row>
    <row r="3" ht="12.75">
      <c r="B3" s="7"/>
    </row>
    <row r="5" spans="2:13" ht="12.75">
      <c r="B5" s="7" t="s">
        <v>185</v>
      </c>
      <c r="G5" s="38" t="s">
        <v>205</v>
      </c>
      <c r="H5" s="38"/>
      <c r="I5" s="38" t="s">
        <v>206</v>
      </c>
      <c r="J5" s="38"/>
      <c r="K5" s="38" t="s">
        <v>207</v>
      </c>
      <c r="L5" s="38"/>
      <c r="M5" s="38" t="s">
        <v>208</v>
      </c>
    </row>
    <row r="7" spans="1:24" s="74" customFormat="1" ht="12.75">
      <c r="A7" s="74" t="s">
        <v>185</v>
      </c>
      <c r="B7" s="74" t="s">
        <v>13</v>
      </c>
      <c r="C7" s="74" t="s">
        <v>242</v>
      </c>
      <c r="D7" s="74" t="s">
        <v>14</v>
      </c>
      <c r="E7" s="74" t="s">
        <v>15</v>
      </c>
      <c r="F7" s="75" t="s">
        <v>209</v>
      </c>
      <c r="G7" s="76">
        <v>0.048600482112</v>
      </c>
      <c r="H7" s="76" t="s">
        <v>209</v>
      </c>
      <c r="I7" s="76">
        <v>0.03950039184</v>
      </c>
      <c r="J7" s="76" t="s">
        <v>209</v>
      </c>
      <c r="K7" s="76">
        <v>0.026200259904</v>
      </c>
      <c r="L7" s="76" t="s">
        <v>209</v>
      </c>
      <c r="M7" s="76">
        <f>AVERAGE(G7,I7,K7)</f>
        <v>0.038100377952000004</v>
      </c>
      <c r="N7" s="76" t="s">
        <v>209</v>
      </c>
      <c r="O7" s="76"/>
      <c r="P7" s="76" t="s">
        <v>209</v>
      </c>
      <c r="Q7" s="76"/>
      <c r="R7" s="76" t="s">
        <v>209</v>
      </c>
      <c r="S7" s="76"/>
      <c r="T7" s="76" t="s">
        <v>209</v>
      </c>
      <c r="U7" s="76"/>
      <c r="V7" s="75" t="s">
        <v>209</v>
      </c>
      <c r="W7" s="75"/>
      <c r="X7" s="74">
        <v>0.038100377952</v>
      </c>
    </row>
    <row r="8" spans="1:24" s="74" customFormat="1" ht="12.75">
      <c r="A8" s="74" t="s">
        <v>185</v>
      </c>
      <c r="B8" s="74" t="s">
        <v>62</v>
      </c>
      <c r="C8" s="74" t="s">
        <v>242</v>
      </c>
      <c r="D8" s="74" t="s">
        <v>16</v>
      </c>
      <c r="E8" s="74" t="s">
        <v>15</v>
      </c>
      <c r="F8" s="75" t="s">
        <v>209</v>
      </c>
      <c r="G8" s="77">
        <v>9964.705882352939</v>
      </c>
      <c r="H8" s="77" t="s">
        <v>209</v>
      </c>
      <c r="I8" s="77">
        <v>9509.433962264151</v>
      </c>
      <c r="J8" s="77" t="s">
        <v>209</v>
      </c>
      <c r="K8" s="77">
        <v>11680.981595092</v>
      </c>
      <c r="L8" s="75" t="s">
        <v>209</v>
      </c>
      <c r="M8" s="77">
        <f>AVERAGE(G8,I8,K8)</f>
        <v>10385.04047990303</v>
      </c>
      <c r="N8" s="75" t="s">
        <v>209</v>
      </c>
      <c r="O8" s="75"/>
      <c r="P8" s="75" t="s">
        <v>209</v>
      </c>
      <c r="Q8" s="75"/>
      <c r="R8" s="75" t="s">
        <v>209</v>
      </c>
      <c r="S8" s="75"/>
      <c r="T8" s="75" t="s">
        <v>209</v>
      </c>
      <c r="U8" s="75"/>
      <c r="V8" s="75" t="s">
        <v>209</v>
      </c>
      <c r="W8" s="75"/>
      <c r="X8" s="74">
        <v>10385.04047990303</v>
      </c>
    </row>
    <row r="9" spans="1:24" s="74" customFormat="1" ht="12.75">
      <c r="A9" s="74" t="s">
        <v>185</v>
      </c>
      <c r="B9" s="74" t="s">
        <v>24</v>
      </c>
      <c r="C9" s="74" t="s">
        <v>242</v>
      </c>
      <c r="D9" s="74" t="s">
        <v>16</v>
      </c>
      <c r="E9" s="74" t="s">
        <v>15</v>
      </c>
      <c r="F9" s="75" t="s">
        <v>209</v>
      </c>
      <c r="G9" s="77">
        <v>0.5259604162266611</v>
      </c>
      <c r="H9" s="77" t="s">
        <v>209</v>
      </c>
      <c r="I9" s="77">
        <v>3.3008912375467</v>
      </c>
      <c r="J9" s="77" t="s">
        <v>209</v>
      </c>
      <c r="K9" s="77">
        <v>0.7816198438598811</v>
      </c>
      <c r="L9" s="75" t="s">
        <v>209</v>
      </c>
      <c r="M9" s="77">
        <f>AVERAGE(G9,I9,K9)</f>
        <v>1.5361571658777475</v>
      </c>
      <c r="N9" s="75" t="s">
        <v>209</v>
      </c>
      <c r="O9" s="75"/>
      <c r="P9" s="75" t="s">
        <v>209</v>
      </c>
      <c r="Q9" s="75"/>
      <c r="R9" s="75" t="s">
        <v>209</v>
      </c>
      <c r="S9" s="75"/>
      <c r="T9" s="75" t="s">
        <v>209</v>
      </c>
      <c r="U9" s="75"/>
      <c r="V9" s="75" t="s">
        <v>209</v>
      </c>
      <c r="W9" s="75"/>
      <c r="X9" s="74">
        <v>1.5361571658777475</v>
      </c>
    </row>
    <row r="10" spans="6:23" s="74" customFormat="1" ht="12.75">
      <c r="F10" s="75"/>
      <c r="G10" s="77"/>
      <c r="H10" s="77"/>
      <c r="I10" s="77"/>
      <c r="J10" s="77"/>
      <c r="K10" s="77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</row>
    <row r="11" spans="2:23" s="74" customFormat="1" ht="12.75">
      <c r="B11" s="74" t="s">
        <v>53</v>
      </c>
      <c r="C11" s="74" t="s">
        <v>210</v>
      </c>
      <c r="D11" s="78" t="s">
        <v>242</v>
      </c>
      <c r="F11" s="75"/>
      <c r="G11" s="77"/>
      <c r="H11" s="77"/>
      <c r="I11" s="77"/>
      <c r="J11" s="77"/>
      <c r="K11" s="77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2:63" s="74" customFormat="1" ht="12.75">
      <c r="B12" s="8" t="s">
        <v>47</v>
      </c>
      <c r="C12" s="8"/>
      <c r="D12" s="8" t="s">
        <v>17</v>
      </c>
      <c r="G12" s="77">
        <v>19350</v>
      </c>
      <c r="H12" s="77"/>
      <c r="I12" s="77">
        <v>20250</v>
      </c>
      <c r="J12" s="77"/>
      <c r="K12" s="77">
        <v>19400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</row>
    <row r="13" spans="2:63" s="74" customFormat="1" ht="12.75">
      <c r="B13" s="8" t="s">
        <v>50</v>
      </c>
      <c r="C13" s="8"/>
      <c r="D13" s="8" t="s">
        <v>18</v>
      </c>
      <c r="G13" s="77">
        <v>4</v>
      </c>
      <c r="H13" s="77"/>
      <c r="I13" s="77">
        <v>5.1</v>
      </c>
      <c r="J13" s="77"/>
      <c r="K13" s="77">
        <v>4.7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</row>
    <row r="14" spans="1:63" s="74" customFormat="1" ht="12.75">
      <c r="A14" s="74" t="s">
        <v>185</v>
      </c>
      <c r="B14" s="8" t="s">
        <v>51</v>
      </c>
      <c r="C14" s="8"/>
      <c r="D14" s="8" t="s">
        <v>18</v>
      </c>
      <c r="G14" s="77">
        <v>61.7</v>
      </c>
      <c r="H14" s="77"/>
      <c r="I14" s="77">
        <v>59.1</v>
      </c>
      <c r="J14" s="77"/>
      <c r="K14" s="77">
        <v>60.6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</row>
    <row r="15" spans="2:63" s="74" customFormat="1" ht="12.75">
      <c r="B15" s="8" t="s">
        <v>46</v>
      </c>
      <c r="C15" s="8"/>
      <c r="D15" s="8" t="s">
        <v>19</v>
      </c>
      <c r="G15" s="77">
        <v>186</v>
      </c>
      <c r="H15" s="77"/>
      <c r="I15" s="77">
        <v>186</v>
      </c>
      <c r="J15" s="77"/>
      <c r="K15" s="77">
        <v>187</v>
      </c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</row>
    <row r="16" spans="6:23" s="74" customFormat="1" ht="12.75">
      <c r="F16" s="75"/>
      <c r="G16" s="77"/>
      <c r="H16" s="77"/>
      <c r="I16" s="77"/>
      <c r="J16" s="77"/>
      <c r="K16" s="77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2:23" s="74" customFormat="1" ht="12.75">
      <c r="B17" s="47" t="s">
        <v>191</v>
      </c>
      <c r="F17" s="75"/>
      <c r="G17" s="38" t="s">
        <v>205</v>
      </c>
      <c r="H17" s="38"/>
      <c r="I17" s="38" t="s">
        <v>206</v>
      </c>
      <c r="J17" s="38"/>
      <c r="K17" s="38" t="s">
        <v>207</v>
      </c>
      <c r="L17" s="38"/>
      <c r="M17" s="38" t="s">
        <v>208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6:23" s="74" customFormat="1" ht="12.75">
      <c r="F18" s="75"/>
      <c r="G18" s="77"/>
      <c r="H18" s="77"/>
      <c r="I18" s="77"/>
      <c r="J18" s="77"/>
      <c r="K18" s="77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4" s="74" customFormat="1" ht="12.75">
      <c r="A19" s="74" t="s">
        <v>191</v>
      </c>
      <c r="B19" s="74" t="s">
        <v>13</v>
      </c>
      <c r="C19" s="74" t="s">
        <v>242</v>
      </c>
      <c r="D19" s="74" t="s">
        <v>14</v>
      </c>
      <c r="E19" s="74" t="s">
        <v>15</v>
      </c>
      <c r="F19" s="75" t="s">
        <v>209</v>
      </c>
      <c r="G19" s="76">
        <v>0.030300300576</v>
      </c>
      <c r="H19" s="76" t="s">
        <v>209</v>
      </c>
      <c r="I19" s="76">
        <v>0.0350003472</v>
      </c>
      <c r="J19" s="76" t="s">
        <v>209</v>
      </c>
      <c r="K19" s="76">
        <v>0.035800355136</v>
      </c>
      <c r="L19" s="76" t="s">
        <v>209</v>
      </c>
      <c r="M19" s="76">
        <f>AVERAGE(G19,I19,K19)</f>
        <v>0.033700334304</v>
      </c>
      <c r="N19" s="76" t="s">
        <v>209</v>
      </c>
      <c r="O19" s="76"/>
      <c r="P19" s="76" t="s">
        <v>209</v>
      </c>
      <c r="Q19" s="76"/>
      <c r="R19" s="76" t="s">
        <v>209</v>
      </c>
      <c r="S19" s="76"/>
      <c r="T19" s="76" t="s">
        <v>209</v>
      </c>
      <c r="U19" s="76"/>
      <c r="V19" s="75" t="s">
        <v>209</v>
      </c>
      <c r="W19" s="75"/>
      <c r="X19" s="74">
        <v>0.033700334304</v>
      </c>
    </row>
    <row r="20" spans="1:24" s="74" customFormat="1" ht="12.75">
      <c r="A20" s="74" t="s">
        <v>191</v>
      </c>
      <c r="B20" s="74" t="s">
        <v>62</v>
      </c>
      <c r="C20" s="74" t="s">
        <v>242</v>
      </c>
      <c r="D20" s="74" t="s">
        <v>16</v>
      </c>
      <c r="E20" s="74" t="s">
        <v>15</v>
      </c>
      <c r="F20" s="75" t="s">
        <v>209</v>
      </c>
      <c r="G20" s="77">
        <v>6661.146496815286</v>
      </c>
      <c r="H20" s="77" t="s">
        <v>209</v>
      </c>
      <c r="I20" s="77">
        <v>7611.920529801325</v>
      </c>
      <c r="J20" s="77" t="s">
        <v>209</v>
      </c>
      <c r="K20" s="77">
        <v>5858.59872611465</v>
      </c>
      <c r="L20" s="75" t="s">
        <v>209</v>
      </c>
      <c r="M20" s="77">
        <f>AVERAGE(G20,I20,K20)</f>
        <v>6710.55525091042</v>
      </c>
      <c r="N20" s="75" t="s">
        <v>209</v>
      </c>
      <c r="O20" s="75"/>
      <c r="P20" s="75" t="s">
        <v>209</v>
      </c>
      <c r="Q20" s="75"/>
      <c r="R20" s="75" t="s">
        <v>209</v>
      </c>
      <c r="S20" s="75"/>
      <c r="T20" s="75" t="s">
        <v>209</v>
      </c>
      <c r="U20" s="75"/>
      <c r="V20" s="75" t="s">
        <v>209</v>
      </c>
      <c r="W20" s="75"/>
      <c r="X20" s="74">
        <v>6710.55525091042</v>
      </c>
    </row>
    <row r="21" spans="1:24" s="74" customFormat="1" ht="12.75">
      <c r="A21" s="74" t="s">
        <v>191</v>
      </c>
      <c r="B21" s="74" t="s">
        <v>24</v>
      </c>
      <c r="C21" s="74" t="s">
        <v>242</v>
      </c>
      <c r="D21" s="74" t="s">
        <v>16</v>
      </c>
      <c r="E21" s="74" t="s">
        <v>15</v>
      </c>
      <c r="F21" s="75" t="s">
        <v>209</v>
      </c>
      <c r="G21" s="77">
        <v>9.3093216218144</v>
      </c>
      <c r="H21" s="77" t="s">
        <v>209</v>
      </c>
      <c r="I21" s="77">
        <v>3.121614421862237</v>
      </c>
      <c r="J21" s="77" t="s">
        <v>209</v>
      </c>
      <c r="K21" s="77">
        <v>9.4936183505237</v>
      </c>
      <c r="L21" s="75" t="s">
        <v>209</v>
      </c>
      <c r="M21" s="77">
        <f>AVERAGE(G21,I21,K21)</f>
        <v>7.308184798066779</v>
      </c>
      <c r="N21" s="75" t="s">
        <v>209</v>
      </c>
      <c r="O21" s="75"/>
      <c r="P21" s="75" t="s">
        <v>209</v>
      </c>
      <c r="Q21" s="75"/>
      <c r="R21" s="75" t="s">
        <v>209</v>
      </c>
      <c r="S21" s="75"/>
      <c r="T21" s="75" t="s">
        <v>209</v>
      </c>
      <c r="U21" s="75"/>
      <c r="V21" s="75" t="s">
        <v>209</v>
      </c>
      <c r="W21" s="75"/>
      <c r="X21" s="74">
        <v>7.308184798066779</v>
      </c>
    </row>
    <row r="22" spans="6:23" s="74" customFormat="1" ht="12.75">
      <c r="F22" s="75"/>
      <c r="G22" s="77"/>
      <c r="H22" s="77"/>
      <c r="I22" s="77"/>
      <c r="J22" s="77"/>
      <c r="K22" s="77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  <row r="23" spans="1:57" s="78" customFormat="1" ht="12.75">
      <c r="A23" s="78" t="s">
        <v>191</v>
      </c>
      <c r="B23" s="78" t="s">
        <v>211</v>
      </c>
      <c r="C23" s="78" t="s">
        <v>242</v>
      </c>
      <c r="D23" s="78" t="s">
        <v>18</v>
      </c>
      <c r="G23" s="79">
        <v>99.99995</v>
      </c>
      <c r="H23" s="79"/>
      <c r="I23" s="79">
        <v>99.99995</v>
      </c>
      <c r="J23" s="79"/>
      <c r="K23" s="79">
        <v>99.99996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</row>
    <row r="24" spans="1:57" s="78" customFormat="1" ht="12.75">
      <c r="A24" s="78" t="s">
        <v>191</v>
      </c>
      <c r="B24" s="78" t="s">
        <v>212</v>
      </c>
      <c r="C24" s="78" t="s">
        <v>242</v>
      </c>
      <c r="D24" s="78" t="s">
        <v>18</v>
      </c>
      <c r="G24" s="79">
        <v>99.99947</v>
      </c>
      <c r="H24" s="79"/>
      <c r="I24" s="79">
        <v>99.99996</v>
      </c>
      <c r="J24" s="79"/>
      <c r="K24" s="79">
        <v>99.99996</v>
      </c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</row>
    <row r="25" spans="6:23" s="74" customFormat="1" ht="12.75">
      <c r="F25" s="75"/>
      <c r="G25" s="77"/>
      <c r="H25" s="77"/>
      <c r="I25" s="77"/>
      <c r="J25" s="77"/>
      <c r="K25" s="77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2:23" s="74" customFormat="1" ht="12.75">
      <c r="B26" s="74" t="s">
        <v>53</v>
      </c>
      <c r="C26" s="74" t="s">
        <v>210</v>
      </c>
      <c r="D26" s="78" t="s">
        <v>242</v>
      </c>
      <c r="F26" s="75"/>
      <c r="G26" s="77"/>
      <c r="H26" s="77"/>
      <c r="I26" s="77"/>
      <c r="J26" s="77"/>
      <c r="K26" s="77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63" s="74" customFormat="1" ht="12.75">
      <c r="B27" s="8" t="s">
        <v>47</v>
      </c>
      <c r="C27" s="8"/>
      <c r="D27" s="8" t="s">
        <v>17</v>
      </c>
      <c r="G27" s="77">
        <v>19616.6667</v>
      </c>
      <c r="H27" s="77"/>
      <c r="I27" s="77">
        <v>20450</v>
      </c>
      <c r="J27" s="77"/>
      <c r="K27" s="77">
        <v>19733.3333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</row>
    <row r="28" spans="2:63" s="74" customFormat="1" ht="12.75">
      <c r="B28" s="8" t="s">
        <v>50</v>
      </c>
      <c r="C28" s="8"/>
      <c r="D28" s="8" t="s">
        <v>18</v>
      </c>
      <c r="G28" s="77">
        <v>5.3</v>
      </c>
      <c r="H28" s="77"/>
      <c r="I28" s="77">
        <v>5.9</v>
      </c>
      <c r="J28" s="77"/>
      <c r="K28" s="77">
        <v>5.3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</row>
    <row r="29" spans="1:63" s="74" customFormat="1" ht="12.75">
      <c r="A29" s="74" t="s">
        <v>191</v>
      </c>
      <c r="B29" s="8" t="s">
        <v>51</v>
      </c>
      <c r="C29" s="8"/>
      <c r="D29" s="8" t="s">
        <v>18</v>
      </c>
      <c r="G29" s="77">
        <v>60.6</v>
      </c>
      <c r="H29" s="77"/>
      <c r="I29" s="77">
        <v>58.5</v>
      </c>
      <c r="J29" s="77"/>
      <c r="K29" s="77">
        <v>60.8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</row>
    <row r="30" spans="2:63" s="74" customFormat="1" ht="12.75">
      <c r="B30" s="8" t="s">
        <v>46</v>
      </c>
      <c r="C30" s="8"/>
      <c r="D30" s="8" t="s">
        <v>19</v>
      </c>
      <c r="G30" s="77">
        <v>186</v>
      </c>
      <c r="H30" s="77"/>
      <c r="I30" s="77">
        <v>186</v>
      </c>
      <c r="J30" s="77"/>
      <c r="K30" s="77">
        <v>187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</row>
    <row r="31" spans="6:23" s="74" customFormat="1" ht="12.75">
      <c r="F31" s="75"/>
      <c r="G31" s="77"/>
      <c r="H31" s="77"/>
      <c r="I31" s="77"/>
      <c r="J31" s="77"/>
      <c r="K31" s="77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</row>
    <row r="32" spans="2:23" s="74" customFormat="1" ht="12.75">
      <c r="B32" s="47" t="s">
        <v>193</v>
      </c>
      <c r="F32" s="75"/>
      <c r="G32" s="38" t="s">
        <v>205</v>
      </c>
      <c r="H32" s="38"/>
      <c r="I32" s="38" t="s">
        <v>206</v>
      </c>
      <c r="J32" s="38"/>
      <c r="K32" s="38" t="s">
        <v>207</v>
      </c>
      <c r="L32" s="38"/>
      <c r="M32" s="38" t="s">
        <v>208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6:23" s="74" customFormat="1" ht="12.75">
      <c r="F33" s="75"/>
      <c r="G33" s="77"/>
      <c r="H33" s="77"/>
      <c r="I33" s="77"/>
      <c r="J33" s="77"/>
      <c r="K33" s="77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</row>
    <row r="34" spans="1:24" s="74" customFormat="1" ht="12.75">
      <c r="A34" s="74" t="s">
        <v>193</v>
      </c>
      <c r="B34" s="74" t="s">
        <v>13</v>
      </c>
      <c r="C34" s="74" t="s">
        <v>242</v>
      </c>
      <c r="D34" s="74" t="s">
        <v>14</v>
      </c>
      <c r="E34" s="74" t="s">
        <v>15</v>
      </c>
      <c r="F34" s="75" t="s">
        <v>209</v>
      </c>
      <c r="G34" s="76">
        <v>0.019800196416</v>
      </c>
      <c r="H34" s="76" t="s">
        <v>209</v>
      </c>
      <c r="I34" s="76">
        <v>0.009700096224</v>
      </c>
      <c r="J34" s="76" t="s">
        <v>209</v>
      </c>
      <c r="K34" s="76">
        <v>0.015200150784</v>
      </c>
      <c r="L34" s="76" t="s">
        <v>209</v>
      </c>
      <c r="M34" s="76">
        <f>AVERAGE(G34,I34,K34)</f>
        <v>0.014900147808000001</v>
      </c>
      <c r="N34" s="76" t="s">
        <v>209</v>
      </c>
      <c r="O34" s="76"/>
      <c r="P34" s="76" t="s">
        <v>209</v>
      </c>
      <c r="Q34" s="76"/>
      <c r="R34" s="76" t="s">
        <v>209</v>
      </c>
      <c r="S34" s="76"/>
      <c r="T34" s="76" t="s">
        <v>209</v>
      </c>
      <c r="U34" s="76"/>
      <c r="V34" s="75" t="s">
        <v>209</v>
      </c>
      <c r="W34" s="75"/>
      <c r="X34" s="74">
        <v>0.014900147807999998</v>
      </c>
    </row>
    <row r="35" spans="1:24" s="74" customFormat="1" ht="12.75">
      <c r="A35" s="74" t="s">
        <v>193</v>
      </c>
      <c r="B35" s="74" t="s">
        <v>62</v>
      </c>
      <c r="C35" s="74" t="s">
        <v>242</v>
      </c>
      <c r="D35" s="74" t="s">
        <v>16</v>
      </c>
      <c r="E35" s="74" t="s">
        <v>15</v>
      </c>
      <c r="F35" s="75" t="s">
        <v>209</v>
      </c>
      <c r="G35" s="77">
        <v>5637.333333333332</v>
      </c>
      <c r="H35" s="77" t="s">
        <v>209</v>
      </c>
      <c r="I35" s="77">
        <v>6069.512195121952</v>
      </c>
      <c r="J35" s="77" t="s">
        <v>209</v>
      </c>
      <c r="K35" s="77">
        <v>5651.851851851852</v>
      </c>
      <c r="L35" s="75" t="s">
        <v>209</v>
      </c>
      <c r="M35" s="77">
        <f>AVERAGE(G35,I35,K35)</f>
        <v>5786.232460102379</v>
      </c>
      <c r="N35" s="75" t="s">
        <v>209</v>
      </c>
      <c r="O35" s="75"/>
      <c r="P35" s="75" t="s">
        <v>209</v>
      </c>
      <c r="Q35" s="75"/>
      <c r="R35" s="75" t="s">
        <v>209</v>
      </c>
      <c r="S35" s="75"/>
      <c r="T35" s="75" t="s">
        <v>209</v>
      </c>
      <c r="U35" s="75"/>
      <c r="V35" s="75" t="s">
        <v>209</v>
      </c>
      <c r="W35" s="75"/>
      <c r="X35" s="74">
        <v>5786.232460102379</v>
      </c>
    </row>
    <row r="36" spans="1:24" s="74" customFormat="1" ht="12.75">
      <c r="A36" s="74" t="s">
        <v>193</v>
      </c>
      <c r="B36" s="74" t="s">
        <v>24</v>
      </c>
      <c r="C36" s="74" t="s">
        <v>242</v>
      </c>
      <c r="D36" s="74" t="s">
        <v>16</v>
      </c>
      <c r="E36" s="74" t="s">
        <v>15</v>
      </c>
      <c r="F36" s="75" t="s">
        <v>209</v>
      </c>
      <c r="G36" s="77">
        <v>6.8783227753554</v>
      </c>
      <c r="H36" s="77" t="s">
        <v>209</v>
      </c>
      <c r="I36" s="77">
        <v>8.54589458076147</v>
      </c>
      <c r="J36" s="77" t="s">
        <v>209</v>
      </c>
      <c r="K36" s="77">
        <v>8.83094032183036</v>
      </c>
      <c r="L36" s="75" t="s">
        <v>209</v>
      </c>
      <c r="M36" s="77">
        <f>AVERAGE(G36,I36,K36)</f>
        <v>8.085052559315743</v>
      </c>
      <c r="N36" s="75" t="s">
        <v>209</v>
      </c>
      <c r="O36" s="75"/>
      <c r="P36" s="75" t="s">
        <v>209</v>
      </c>
      <c r="Q36" s="75"/>
      <c r="R36" s="75" t="s">
        <v>209</v>
      </c>
      <c r="S36" s="75"/>
      <c r="T36" s="75" t="s">
        <v>209</v>
      </c>
      <c r="U36" s="75"/>
      <c r="V36" s="75" t="s">
        <v>209</v>
      </c>
      <c r="W36" s="75"/>
      <c r="X36" s="74">
        <v>8.085052559315743</v>
      </c>
    </row>
    <row r="37" spans="6:23" s="74" customFormat="1" ht="12.75">
      <c r="F37" s="75"/>
      <c r="G37" s="77"/>
      <c r="H37" s="77"/>
      <c r="I37" s="77"/>
      <c r="J37" s="77"/>
      <c r="K37" s="77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57" s="78" customFormat="1" ht="12.75">
      <c r="A38" s="78" t="s">
        <v>193</v>
      </c>
      <c r="B38" s="78" t="s">
        <v>211</v>
      </c>
      <c r="C38" s="78" t="s">
        <v>242</v>
      </c>
      <c r="D38" s="78" t="s">
        <v>18</v>
      </c>
      <c r="G38" s="79">
        <v>99.99996</v>
      </c>
      <c r="H38" s="79"/>
      <c r="I38" s="79">
        <v>99.99996</v>
      </c>
      <c r="J38" s="79"/>
      <c r="K38" s="79">
        <v>99.99994</v>
      </c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</row>
    <row r="39" spans="1:57" s="78" customFormat="1" ht="12.75">
      <c r="A39" s="78" t="s">
        <v>193</v>
      </c>
      <c r="B39" s="78" t="s">
        <v>212</v>
      </c>
      <c r="C39" s="78" t="s">
        <v>242</v>
      </c>
      <c r="D39" s="78" t="s">
        <v>18</v>
      </c>
      <c r="G39" s="79">
        <v>99.98518</v>
      </c>
      <c r="H39" s="79"/>
      <c r="I39" s="79">
        <v>99.96242</v>
      </c>
      <c r="J39" s="79"/>
      <c r="K39" s="79">
        <v>99.97469</v>
      </c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</row>
    <row r="40" spans="6:23" s="74" customFormat="1" ht="12.75">
      <c r="F40" s="75"/>
      <c r="G40" s="77"/>
      <c r="H40" s="77"/>
      <c r="I40" s="77"/>
      <c r="J40" s="77"/>
      <c r="K40" s="77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</row>
    <row r="41" spans="2:23" s="74" customFormat="1" ht="12.75">
      <c r="B41" s="74" t="s">
        <v>53</v>
      </c>
      <c r="C41" s="74" t="s">
        <v>210</v>
      </c>
      <c r="D41" s="78" t="s">
        <v>242</v>
      </c>
      <c r="F41" s="75"/>
      <c r="G41" s="77"/>
      <c r="H41" s="77"/>
      <c r="I41" s="77"/>
      <c r="J41" s="77"/>
      <c r="K41" s="77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</row>
    <row r="42" spans="2:63" s="74" customFormat="1" ht="12.75">
      <c r="B42" s="8" t="s">
        <v>47</v>
      </c>
      <c r="C42" s="8"/>
      <c r="D42" s="8" t="s">
        <v>17</v>
      </c>
      <c r="G42" s="77">
        <v>19883.3333</v>
      </c>
      <c r="H42" s="77"/>
      <c r="I42" s="77">
        <v>20633.3333</v>
      </c>
      <c r="J42" s="77"/>
      <c r="K42" s="77">
        <v>19350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</row>
    <row r="43" spans="2:63" s="74" customFormat="1" ht="12.75">
      <c r="B43" s="8" t="s">
        <v>50</v>
      </c>
      <c r="C43" s="8"/>
      <c r="D43" s="8" t="s">
        <v>18</v>
      </c>
      <c r="G43" s="77">
        <v>6</v>
      </c>
      <c r="H43" s="77"/>
      <c r="I43" s="77">
        <v>4.6</v>
      </c>
      <c r="J43" s="77"/>
      <c r="K43" s="77">
        <v>4.8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</row>
    <row r="44" spans="1:63" s="74" customFormat="1" ht="12.75">
      <c r="A44" s="74" t="s">
        <v>193</v>
      </c>
      <c r="B44" s="8" t="s">
        <v>51</v>
      </c>
      <c r="C44" s="8"/>
      <c r="D44" s="8" t="s">
        <v>18</v>
      </c>
      <c r="G44" s="77">
        <v>60.9</v>
      </c>
      <c r="H44" s="77"/>
      <c r="I44" s="77">
        <v>59.6</v>
      </c>
      <c r="J44" s="77"/>
      <c r="K44" s="77">
        <v>61.3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</row>
    <row r="45" spans="2:63" s="74" customFormat="1" ht="12.75">
      <c r="B45" s="8" t="s">
        <v>46</v>
      </c>
      <c r="C45" s="8"/>
      <c r="D45" s="8" t="s">
        <v>19</v>
      </c>
      <c r="G45" s="77">
        <v>187</v>
      </c>
      <c r="H45" s="77"/>
      <c r="I45" s="77">
        <v>187</v>
      </c>
      <c r="J45" s="77"/>
      <c r="K45" s="77">
        <v>187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</row>
    <row r="46" spans="6:23" s="74" customFormat="1" ht="12.75">
      <c r="F46" s="75"/>
      <c r="G46" s="77"/>
      <c r="H46" s="77"/>
      <c r="I46" s="77"/>
      <c r="J46" s="77"/>
      <c r="K46" s="77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</row>
    <row r="47" spans="2:23" s="74" customFormat="1" ht="12.75">
      <c r="B47" s="47" t="s">
        <v>194</v>
      </c>
      <c r="F47" s="75"/>
      <c r="G47" s="38" t="s">
        <v>205</v>
      </c>
      <c r="H47" s="38"/>
      <c r="I47" s="38" t="s">
        <v>206</v>
      </c>
      <c r="J47" s="38"/>
      <c r="K47" s="38" t="s">
        <v>207</v>
      </c>
      <c r="L47" s="38"/>
      <c r="M47" s="38" t="s">
        <v>208</v>
      </c>
      <c r="N47" s="75"/>
      <c r="O47" s="75"/>
      <c r="P47" s="75"/>
      <c r="Q47" s="75"/>
      <c r="R47" s="75"/>
      <c r="S47" s="75"/>
      <c r="T47" s="75"/>
      <c r="U47" s="75"/>
      <c r="V47" s="75"/>
      <c r="W47" s="75"/>
    </row>
    <row r="48" spans="6:23" s="74" customFormat="1" ht="12.75">
      <c r="F48" s="75"/>
      <c r="G48" s="77"/>
      <c r="H48" s="77"/>
      <c r="I48" s="77"/>
      <c r="J48" s="77"/>
      <c r="K48" s="77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  <row r="49" spans="1:24" s="74" customFormat="1" ht="12.75">
      <c r="A49" s="74" t="s">
        <v>194</v>
      </c>
      <c r="B49" s="74" t="s">
        <v>13</v>
      </c>
      <c r="C49" s="74" t="s">
        <v>242</v>
      </c>
      <c r="D49" s="74" t="s">
        <v>14</v>
      </c>
      <c r="E49" s="74" t="s">
        <v>15</v>
      </c>
      <c r="F49" s="75" t="s">
        <v>209</v>
      </c>
      <c r="G49" s="76">
        <v>0.037800374976</v>
      </c>
      <c r="H49" s="76" t="s">
        <v>209</v>
      </c>
      <c r="I49" s="76">
        <v>0.036300360096</v>
      </c>
      <c r="J49" s="76" t="s">
        <v>209</v>
      </c>
      <c r="K49" s="76">
        <v>0.036100358112</v>
      </c>
      <c r="L49" s="76" t="s">
        <v>209</v>
      </c>
      <c r="M49" s="76">
        <f>AVERAGE(G49,I49,K49)</f>
        <v>0.036733697728</v>
      </c>
      <c r="N49" s="76" t="s">
        <v>209</v>
      </c>
      <c r="O49" s="76"/>
      <c r="P49" s="76" t="s">
        <v>209</v>
      </c>
      <c r="Q49" s="76"/>
      <c r="R49" s="76" t="s">
        <v>209</v>
      </c>
      <c r="S49" s="76"/>
      <c r="T49" s="76" t="s">
        <v>209</v>
      </c>
      <c r="U49" s="76"/>
      <c r="V49" s="75" t="s">
        <v>209</v>
      </c>
      <c r="W49" s="75"/>
      <c r="X49" s="74">
        <v>0.036733697728</v>
      </c>
    </row>
    <row r="50" spans="1:24" s="74" customFormat="1" ht="12.75">
      <c r="A50" s="74" t="s">
        <v>194</v>
      </c>
      <c r="B50" s="74" t="s">
        <v>62</v>
      </c>
      <c r="C50" s="74" t="s">
        <v>242</v>
      </c>
      <c r="D50" s="74" t="s">
        <v>16</v>
      </c>
      <c r="E50" s="74" t="s">
        <v>15</v>
      </c>
      <c r="F50" s="75" t="s">
        <v>209</v>
      </c>
      <c r="G50" s="77">
        <v>3478.7878787878785</v>
      </c>
      <c r="H50" s="77" t="s">
        <v>209</v>
      </c>
      <c r="I50" s="77">
        <v>4800</v>
      </c>
      <c r="J50" s="77" t="s">
        <v>209</v>
      </c>
      <c r="K50" s="77">
        <v>4290.9090909091</v>
      </c>
      <c r="L50" s="75" t="s">
        <v>209</v>
      </c>
      <c r="M50" s="77">
        <f>AVERAGE(G50,I50,K50)</f>
        <v>4189.898989898993</v>
      </c>
      <c r="N50" s="75" t="s">
        <v>209</v>
      </c>
      <c r="O50" s="75"/>
      <c r="P50" s="75" t="s">
        <v>209</v>
      </c>
      <c r="Q50" s="75"/>
      <c r="R50" s="75" t="s">
        <v>209</v>
      </c>
      <c r="S50" s="75"/>
      <c r="T50" s="75" t="s">
        <v>209</v>
      </c>
      <c r="U50" s="75"/>
      <c r="V50" s="75" t="s">
        <v>209</v>
      </c>
      <c r="W50" s="75"/>
      <c r="X50" s="74">
        <v>4189.898989898992</v>
      </c>
    </row>
    <row r="51" spans="1:24" s="74" customFormat="1" ht="12.75">
      <c r="A51" s="74" t="s">
        <v>194</v>
      </c>
      <c r="B51" s="74" t="s">
        <v>24</v>
      </c>
      <c r="C51" s="74" t="s">
        <v>242</v>
      </c>
      <c r="D51" s="74" t="s">
        <v>16</v>
      </c>
      <c r="E51" s="74" t="s">
        <v>15</v>
      </c>
      <c r="F51" s="75" t="s">
        <v>209</v>
      </c>
      <c r="G51" s="77">
        <v>12.420762107751239</v>
      </c>
      <c r="H51" s="77" t="s">
        <v>209</v>
      </c>
      <c r="I51" s="77">
        <v>9.954477752739443</v>
      </c>
      <c r="J51" s="77" t="s">
        <v>209</v>
      </c>
      <c r="K51" s="77">
        <v>10.872309125146831</v>
      </c>
      <c r="L51" s="75" t="s">
        <v>209</v>
      </c>
      <c r="M51" s="77">
        <f>AVERAGE(G51,I51,K51)</f>
        <v>11.082516328545836</v>
      </c>
      <c r="N51" s="75" t="s">
        <v>209</v>
      </c>
      <c r="O51" s="75"/>
      <c r="P51" s="75" t="s">
        <v>209</v>
      </c>
      <c r="Q51" s="75"/>
      <c r="R51" s="75" t="s">
        <v>209</v>
      </c>
      <c r="S51" s="75"/>
      <c r="T51" s="75" t="s">
        <v>209</v>
      </c>
      <c r="U51" s="75"/>
      <c r="V51" s="75" t="s">
        <v>209</v>
      </c>
      <c r="W51" s="75"/>
      <c r="X51" s="74">
        <v>11.082516328545838</v>
      </c>
    </row>
    <row r="52" spans="6:23" s="74" customFormat="1" ht="12.75">
      <c r="F52" s="75"/>
      <c r="G52" s="77"/>
      <c r="H52" s="77"/>
      <c r="I52" s="77"/>
      <c r="J52" s="77"/>
      <c r="K52" s="77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2:23" s="74" customFormat="1" ht="12.75">
      <c r="B53" s="74" t="s">
        <v>53</v>
      </c>
      <c r="C53" s="74" t="s">
        <v>210</v>
      </c>
      <c r="D53" s="78" t="s">
        <v>242</v>
      </c>
      <c r="F53" s="75"/>
      <c r="G53" s="77"/>
      <c r="H53" s="77"/>
      <c r="I53" s="77"/>
      <c r="J53" s="77"/>
      <c r="K53" s="77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</row>
    <row r="54" spans="2:63" s="74" customFormat="1" ht="12.75">
      <c r="B54" s="8" t="s">
        <v>47</v>
      </c>
      <c r="C54" s="8"/>
      <c r="D54" s="8" t="s">
        <v>17</v>
      </c>
      <c r="G54" s="77">
        <v>20050</v>
      </c>
      <c r="H54" s="77"/>
      <c r="I54" s="77">
        <v>20100</v>
      </c>
      <c r="J54" s="77"/>
      <c r="K54" s="77">
        <v>19633.3333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2:63" s="74" customFormat="1" ht="12.75">
      <c r="B55" s="8" t="s">
        <v>50</v>
      </c>
      <c r="C55" s="8"/>
      <c r="D55" s="8" t="s">
        <v>18</v>
      </c>
      <c r="G55" s="77">
        <v>7.8</v>
      </c>
      <c r="H55" s="77"/>
      <c r="I55" s="77">
        <v>6.3</v>
      </c>
      <c r="J55" s="77"/>
      <c r="K55" s="77">
        <v>5.6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s="74" customFormat="1" ht="12.75">
      <c r="A56" s="74" t="s">
        <v>194</v>
      </c>
      <c r="B56" s="8" t="s">
        <v>51</v>
      </c>
      <c r="C56" s="8"/>
      <c r="D56" s="8" t="s">
        <v>18</v>
      </c>
      <c r="G56" s="77">
        <v>56.1</v>
      </c>
      <c r="H56" s="77"/>
      <c r="I56" s="77">
        <v>56.5</v>
      </c>
      <c r="J56" s="77"/>
      <c r="K56" s="77">
        <v>56.6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2:63" s="74" customFormat="1" ht="12.75">
      <c r="B57" s="8" t="s">
        <v>46</v>
      </c>
      <c r="C57" s="8"/>
      <c r="D57" s="8" t="s">
        <v>19</v>
      </c>
      <c r="G57" s="77">
        <v>184</v>
      </c>
      <c r="H57" s="77"/>
      <c r="I57" s="77">
        <v>184</v>
      </c>
      <c r="J57" s="77"/>
      <c r="K57" s="77">
        <v>185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7:63" s="74" customFormat="1" ht="12.75"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57" s="78" customFormat="1" ht="12.75">
      <c r="A59" s="78" t="s">
        <v>194</v>
      </c>
      <c r="B59" s="78" t="s">
        <v>211</v>
      </c>
      <c r="C59" s="78" t="s">
        <v>242</v>
      </c>
      <c r="D59" s="78" t="s">
        <v>18</v>
      </c>
      <c r="G59" s="79">
        <v>99.99996</v>
      </c>
      <c r="H59" s="79"/>
      <c r="I59" s="79">
        <v>99.99995</v>
      </c>
      <c r="J59" s="79"/>
      <c r="K59" s="79">
        <v>99.99961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</row>
    <row r="60" spans="1:57" s="78" customFormat="1" ht="12.75">
      <c r="A60" s="78" t="s">
        <v>194</v>
      </c>
      <c r="B60" s="78" t="s">
        <v>212</v>
      </c>
      <c r="C60" s="78" t="s">
        <v>242</v>
      </c>
      <c r="D60" s="78" t="s">
        <v>18</v>
      </c>
      <c r="G60" s="79">
        <v>99.99997</v>
      </c>
      <c r="H60" s="79"/>
      <c r="I60" s="79">
        <v>99.99021</v>
      </c>
      <c r="J60" s="79"/>
      <c r="K60" s="79">
        <v>99.97361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</row>
    <row r="61" spans="6:23" s="74" customFormat="1" ht="12.75">
      <c r="F61" s="75"/>
      <c r="G61" s="77"/>
      <c r="H61" s="77"/>
      <c r="I61" s="77"/>
      <c r="J61" s="77"/>
      <c r="K61" s="77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 s="74" customFormat="1" ht="12.75">
      <c r="B62" s="47" t="s">
        <v>195</v>
      </c>
      <c r="F62" s="75"/>
      <c r="G62" s="38" t="s">
        <v>205</v>
      </c>
      <c r="H62" s="38"/>
      <c r="I62" s="38" t="s">
        <v>206</v>
      </c>
      <c r="J62" s="38"/>
      <c r="K62" s="38" t="s">
        <v>207</v>
      </c>
      <c r="L62" s="38"/>
      <c r="M62" s="38" t="s">
        <v>208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</row>
    <row r="63" spans="6:23" s="74" customFormat="1" ht="12.75">
      <c r="F63" s="75"/>
      <c r="G63" s="77"/>
      <c r="H63" s="77"/>
      <c r="I63" s="77"/>
      <c r="J63" s="77"/>
      <c r="K63" s="77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</row>
    <row r="64" spans="1:24" s="74" customFormat="1" ht="12.75">
      <c r="A64" s="74" t="s">
        <v>195</v>
      </c>
      <c r="B64" s="74" t="s">
        <v>13</v>
      </c>
      <c r="C64" s="74" t="s">
        <v>242</v>
      </c>
      <c r="D64" s="74" t="s">
        <v>14</v>
      </c>
      <c r="E64" s="74" t="s">
        <v>15</v>
      </c>
      <c r="F64" s="75" t="s">
        <v>209</v>
      </c>
      <c r="G64" s="76">
        <v>0.0300002976</v>
      </c>
      <c r="H64" s="76" t="s">
        <v>209</v>
      </c>
      <c r="I64" s="76">
        <v>0.026800265856</v>
      </c>
      <c r="J64" s="76" t="s">
        <v>209</v>
      </c>
      <c r="K64" s="76">
        <v>0.025900256928</v>
      </c>
      <c r="L64" s="76" t="s">
        <v>209</v>
      </c>
      <c r="M64" s="76">
        <f>AVERAGE(G64,I64,K64)</f>
        <v>0.027566940128</v>
      </c>
      <c r="N64" s="76" t="s">
        <v>209</v>
      </c>
      <c r="O64" s="76"/>
      <c r="P64" s="76" t="s">
        <v>209</v>
      </c>
      <c r="Q64" s="76"/>
      <c r="R64" s="76" t="s">
        <v>209</v>
      </c>
      <c r="S64" s="76"/>
      <c r="T64" s="76" t="s">
        <v>209</v>
      </c>
      <c r="U64" s="76"/>
      <c r="V64" s="75" t="s">
        <v>209</v>
      </c>
      <c r="W64" s="75"/>
      <c r="X64" s="74">
        <v>0.027566940128</v>
      </c>
    </row>
    <row r="65" spans="1:24" s="74" customFormat="1" ht="12.75">
      <c r="A65" s="74" t="s">
        <v>195</v>
      </c>
      <c r="B65" s="74" t="s">
        <v>62</v>
      </c>
      <c r="C65" s="74" t="s">
        <v>242</v>
      </c>
      <c r="D65" s="74" t="s">
        <v>16</v>
      </c>
      <c r="E65" s="74" t="s">
        <v>15</v>
      </c>
      <c r="F65" s="75" t="s">
        <v>209</v>
      </c>
      <c r="G65" s="77">
        <v>10351.515151515152</v>
      </c>
      <c r="H65" s="77" t="s">
        <v>209</v>
      </c>
      <c r="I65" s="77">
        <v>11200</v>
      </c>
      <c r="J65" s="77" t="s">
        <v>209</v>
      </c>
      <c r="K65" s="77">
        <v>9421.383647798742</v>
      </c>
      <c r="L65" s="75" t="s">
        <v>209</v>
      </c>
      <c r="M65" s="77">
        <f>AVERAGE(G65,I65,K65)</f>
        <v>10324.299599771299</v>
      </c>
      <c r="N65" s="75" t="s">
        <v>209</v>
      </c>
      <c r="O65" s="75"/>
      <c r="P65" s="75" t="s">
        <v>209</v>
      </c>
      <c r="Q65" s="75"/>
      <c r="R65" s="75" t="s">
        <v>209</v>
      </c>
      <c r="S65" s="75"/>
      <c r="T65" s="75" t="s">
        <v>209</v>
      </c>
      <c r="U65" s="75"/>
      <c r="V65" s="75" t="s">
        <v>209</v>
      </c>
      <c r="W65" s="75"/>
      <c r="X65" s="74">
        <v>10324.299599771299</v>
      </c>
    </row>
    <row r="66" spans="1:24" s="74" customFormat="1" ht="12.75">
      <c r="A66" s="74" t="s">
        <v>195</v>
      </c>
      <c r="B66" s="74" t="s">
        <v>24</v>
      </c>
      <c r="C66" s="74" t="s">
        <v>242</v>
      </c>
      <c r="D66" s="74" t="s">
        <v>16</v>
      </c>
      <c r="E66" s="74" t="s">
        <v>15</v>
      </c>
      <c r="F66" s="75" t="s">
        <v>209</v>
      </c>
      <c r="G66" s="77">
        <v>0.5756781754237552</v>
      </c>
      <c r="H66" s="77" t="s">
        <v>209</v>
      </c>
      <c r="I66" s="77">
        <v>0.45887923327987307</v>
      </c>
      <c r="J66" s="77" t="s">
        <v>209</v>
      </c>
      <c r="K66" s="77">
        <v>0.5088741869364652</v>
      </c>
      <c r="L66" s="75" t="s">
        <v>209</v>
      </c>
      <c r="M66" s="77">
        <f>AVERAGE(G66,I66,K66)</f>
        <v>0.5144771985466978</v>
      </c>
      <c r="N66" s="75" t="s">
        <v>209</v>
      </c>
      <c r="O66" s="75"/>
      <c r="P66" s="75" t="s">
        <v>209</v>
      </c>
      <c r="Q66" s="75"/>
      <c r="R66" s="75" t="s">
        <v>209</v>
      </c>
      <c r="S66" s="75"/>
      <c r="T66" s="75" t="s">
        <v>209</v>
      </c>
      <c r="U66" s="75"/>
      <c r="V66" s="75" t="s">
        <v>209</v>
      </c>
      <c r="W66" s="75"/>
      <c r="X66" s="74">
        <v>0.5144771985466978</v>
      </c>
    </row>
    <row r="67" spans="6:23" s="74" customFormat="1" ht="12.75">
      <c r="F67" s="75"/>
      <c r="G67" s="77"/>
      <c r="H67" s="77"/>
      <c r="I67" s="77"/>
      <c r="J67" s="77"/>
      <c r="K67" s="77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</row>
    <row r="68" spans="2:23" s="74" customFormat="1" ht="12.75">
      <c r="B68" s="74" t="s">
        <v>53</v>
      </c>
      <c r="C68" s="74" t="s">
        <v>210</v>
      </c>
      <c r="D68" s="78" t="s">
        <v>242</v>
      </c>
      <c r="F68" s="75"/>
      <c r="G68" s="77"/>
      <c r="H68" s="77"/>
      <c r="I68" s="77"/>
      <c r="J68" s="77"/>
      <c r="K68" s="77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</row>
    <row r="69" spans="2:63" s="74" customFormat="1" ht="12.75">
      <c r="B69" s="8" t="s">
        <v>47</v>
      </c>
      <c r="C69" s="8"/>
      <c r="D69" s="8" t="s">
        <v>17</v>
      </c>
      <c r="G69" s="77">
        <v>20816.6667</v>
      </c>
      <c r="H69" s="77"/>
      <c r="I69" s="77">
        <v>20850</v>
      </c>
      <c r="J69" s="77"/>
      <c r="K69" s="77">
        <v>21383.3333</v>
      </c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2:63" s="74" customFormat="1" ht="12.75">
      <c r="B70" s="8" t="s">
        <v>50</v>
      </c>
      <c r="C70" s="8"/>
      <c r="D70" s="8" t="s">
        <v>18</v>
      </c>
      <c r="G70" s="77">
        <v>4.5</v>
      </c>
      <c r="H70" s="77"/>
      <c r="I70" s="77">
        <v>5.5</v>
      </c>
      <c r="J70" s="77"/>
      <c r="K70" s="77">
        <v>5.1</v>
      </c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s="74" customFormat="1" ht="12.75">
      <c r="A71" s="74" t="s">
        <v>195</v>
      </c>
      <c r="B71" s="8" t="s">
        <v>51</v>
      </c>
      <c r="C71" s="8"/>
      <c r="D71" s="8" t="s">
        <v>18</v>
      </c>
      <c r="G71" s="77">
        <v>60.7</v>
      </c>
      <c r="H71" s="77"/>
      <c r="I71" s="77">
        <v>60.2</v>
      </c>
      <c r="J71" s="77"/>
      <c r="K71" s="77">
        <v>59.7</v>
      </c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2:63" s="74" customFormat="1" ht="12.75">
      <c r="B72" s="8" t="s">
        <v>46</v>
      </c>
      <c r="C72" s="8"/>
      <c r="D72" s="8" t="s">
        <v>19</v>
      </c>
      <c r="G72" s="77">
        <v>186</v>
      </c>
      <c r="H72" s="77"/>
      <c r="I72" s="77">
        <v>186</v>
      </c>
      <c r="J72" s="77"/>
      <c r="K72" s="77">
        <v>186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6:23" s="74" customFormat="1" ht="12.75">
      <c r="F73" s="75"/>
      <c r="G73" s="77"/>
      <c r="H73" s="77"/>
      <c r="I73" s="77"/>
      <c r="J73" s="77"/>
      <c r="K73" s="77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</row>
    <row r="74" spans="2:23" s="74" customFormat="1" ht="12.75">
      <c r="B74" s="47" t="s">
        <v>197</v>
      </c>
      <c r="F74" s="75"/>
      <c r="G74" s="38" t="s">
        <v>205</v>
      </c>
      <c r="H74" s="38"/>
      <c r="I74" s="38" t="s">
        <v>206</v>
      </c>
      <c r="J74" s="38"/>
      <c r="K74" s="38" t="s">
        <v>207</v>
      </c>
      <c r="L74" s="38"/>
      <c r="M74" s="38" t="s">
        <v>208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</row>
    <row r="75" spans="6:23" s="74" customFormat="1" ht="12.75">
      <c r="F75" s="75"/>
      <c r="G75" s="77"/>
      <c r="H75" s="77"/>
      <c r="I75" s="77"/>
      <c r="J75" s="77"/>
      <c r="K75" s="77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</row>
    <row r="76" spans="1:24" s="74" customFormat="1" ht="12.75">
      <c r="A76" s="74" t="s">
        <v>197</v>
      </c>
      <c r="B76" s="74" t="s">
        <v>13</v>
      </c>
      <c r="C76" s="74" t="s">
        <v>242</v>
      </c>
      <c r="D76" s="74" t="s">
        <v>14</v>
      </c>
      <c r="E76" s="74" t="s">
        <v>15</v>
      </c>
      <c r="F76" s="75" t="s">
        <v>209</v>
      </c>
      <c r="G76" s="76">
        <v>0.042600422592</v>
      </c>
      <c r="H76" s="76" t="s">
        <v>209</v>
      </c>
      <c r="I76" s="76">
        <v>0.047100467232</v>
      </c>
      <c r="J76" s="76" t="s">
        <v>209</v>
      </c>
      <c r="K76" s="76">
        <v>0.0450004464</v>
      </c>
      <c r="L76" s="76" t="s">
        <v>209</v>
      </c>
      <c r="M76" s="76">
        <f>AVERAGE(G76,I76,K76)</f>
        <v>0.044900445408</v>
      </c>
      <c r="N76" s="76" t="s">
        <v>209</v>
      </c>
      <c r="O76" s="76"/>
      <c r="P76" s="76" t="s">
        <v>209</v>
      </c>
      <c r="Q76" s="76"/>
      <c r="R76" s="76" t="s">
        <v>209</v>
      </c>
      <c r="S76" s="76"/>
      <c r="T76" s="76" t="s">
        <v>209</v>
      </c>
      <c r="U76" s="76"/>
      <c r="V76" s="75" t="s">
        <v>209</v>
      </c>
      <c r="W76" s="75"/>
      <c r="X76" s="74">
        <v>0.044900445408</v>
      </c>
    </row>
    <row r="77" spans="1:24" s="74" customFormat="1" ht="12.75">
      <c r="A77" s="74" t="s">
        <v>197</v>
      </c>
      <c r="B77" s="74" t="s">
        <v>62</v>
      </c>
      <c r="C77" s="74" t="s">
        <v>242</v>
      </c>
      <c r="D77" s="74" t="s">
        <v>16</v>
      </c>
      <c r="E77" s="74" t="s">
        <v>15</v>
      </c>
      <c r="F77" s="75" t="s">
        <v>209</v>
      </c>
      <c r="G77" s="77">
        <v>9826.086956521738</v>
      </c>
      <c r="H77" s="77" t="s">
        <v>209</v>
      </c>
      <c r="I77" s="77">
        <v>8680</v>
      </c>
      <c r="J77" s="77" t="s">
        <v>209</v>
      </c>
      <c r="K77" s="77">
        <v>10251.968503937</v>
      </c>
      <c r="L77" s="75" t="s">
        <v>209</v>
      </c>
      <c r="M77" s="77">
        <f>AVERAGE(G77,I77,K77)</f>
        <v>9586.01848681958</v>
      </c>
      <c r="N77" s="75" t="s">
        <v>209</v>
      </c>
      <c r="O77" s="75"/>
      <c r="P77" s="75" t="s">
        <v>209</v>
      </c>
      <c r="Q77" s="75"/>
      <c r="R77" s="75" t="s">
        <v>209</v>
      </c>
      <c r="S77" s="75"/>
      <c r="T77" s="75" t="s">
        <v>209</v>
      </c>
      <c r="U77" s="75"/>
      <c r="V77" s="75" t="s">
        <v>209</v>
      </c>
      <c r="W77" s="75"/>
      <c r="X77" s="74">
        <v>9586.01848681958</v>
      </c>
    </row>
    <row r="78" spans="1:24" s="74" customFormat="1" ht="12.75">
      <c r="A78" s="74" t="s">
        <v>197</v>
      </c>
      <c r="B78" s="74" t="s">
        <v>24</v>
      </c>
      <c r="C78" s="74" t="s">
        <v>242</v>
      </c>
      <c r="D78" s="74" t="s">
        <v>16</v>
      </c>
      <c r="E78" s="74" t="s">
        <v>15</v>
      </c>
      <c r="F78" s="75" t="s">
        <v>209</v>
      </c>
      <c r="G78" s="77">
        <v>0.6800629085785642</v>
      </c>
      <c r="H78" s="77" t="s">
        <v>209</v>
      </c>
      <c r="I78" s="77">
        <v>0.582051063504574</v>
      </c>
      <c r="J78" s="77" t="s">
        <v>209</v>
      </c>
      <c r="K78" s="77">
        <v>11.520816753126688</v>
      </c>
      <c r="L78" s="75" t="s">
        <v>209</v>
      </c>
      <c r="M78" s="77">
        <f>AVERAGE(G78,I78,K78)</f>
        <v>4.260976908403276</v>
      </c>
      <c r="N78" s="75" t="s">
        <v>209</v>
      </c>
      <c r="O78" s="75"/>
      <c r="P78" s="75" t="s">
        <v>209</v>
      </c>
      <c r="Q78" s="75"/>
      <c r="R78" s="75" t="s">
        <v>209</v>
      </c>
      <c r="S78" s="75"/>
      <c r="T78" s="75" t="s">
        <v>209</v>
      </c>
      <c r="U78" s="75"/>
      <c r="V78" s="75" t="s">
        <v>209</v>
      </c>
      <c r="W78" s="75"/>
      <c r="X78" s="74">
        <v>4.260976908403276</v>
      </c>
    </row>
    <row r="79" spans="6:23" s="74" customFormat="1" ht="12.75">
      <c r="F79" s="75"/>
      <c r="G79" s="77"/>
      <c r="H79" s="77"/>
      <c r="I79" s="77"/>
      <c r="J79" s="77"/>
      <c r="K79" s="77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</row>
    <row r="80" spans="2:23" s="74" customFormat="1" ht="12.75">
      <c r="B80" s="74" t="s">
        <v>53</v>
      </c>
      <c r="C80" s="74" t="s">
        <v>210</v>
      </c>
      <c r="D80" s="78" t="s">
        <v>242</v>
      </c>
      <c r="F80" s="75"/>
      <c r="G80" s="77"/>
      <c r="H80" s="77"/>
      <c r="I80" s="77"/>
      <c r="J80" s="77"/>
      <c r="K80" s="77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</row>
    <row r="81" spans="2:63" s="74" customFormat="1" ht="12.75">
      <c r="B81" s="8" t="s">
        <v>47</v>
      </c>
      <c r="C81" s="8"/>
      <c r="D81" s="8" t="s">
        <v>17</v>
      </c>
      <c r="G81" s="77">
        <v>20316.6667</v>
      </c>
      <c r="H81" s="77"/>
      <c r="I81" s="77">
        <v>19816.6667</v>
      </c>
      <c r="J81" s="77"/>
      <c r="K81" s="77">
        <v>19933.3333</v>
      </c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2:63" s="74" customFormat="1" ht="12.75">
      <c r="B82" s="8" t="s">
        <v>50</v>
      </c>
      <c r="C82" s="8"/>
      <c r="D82" s="8" t="s">
        <v>18</v>
      </c>
      <c r="G82" s="77">
        <v>4.9</v>
      </c>
      <c r="H82" s="77"/>
      <c r="I82" s="77">
        <v>6</v>
      </c>
      <c r="J82" s="77"/>
      <c r="K82" s="77">
        <v>8.3</v>
      </c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s="74" customFormat="1" ht="12.75">
      <c r="A83" s="74" t="s">
        <v>197</v>
      </c>
      <c r="B83" s="8" t="s">
        <v>51</v>
      </c>
      <c r="C83" s="8"/>
      <c r="D83" s="8" t="s">
        <v>18</v>
      </c>
      <c r="G83" s="77">
        <v>59.8</v>
      </c>
      <c r="H83" s="77"/>
      <c r="I83" s="77">
        <v>60.2</v>
      </c>
      <c r="J83" s="77"/>
      <c r="K83" s="77">
        <v>59.4</v>
      </c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2:63" s="74" customFormat="1" ht="12.75">
      <c r="B84" s="8" t="s">
        <v>46</v>
      </c>
      <c r="C84" s="8"/>
      <c r="D84" s="8" t="s">
        <v>19</v>
      </c>
      <c r="G84" s="77">
        <v>186</v>
      </c>
      <c r="H84" s="77"/>
      <c r="I84" s="77">
        <v>185</v>
      </c>
      <c r="J84" s="77"/>
      <c r="K84" s="77">
        <v>183</v>
      </c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6:23" s="74" customFormat="1" ht="12.75">
      <c r="F85" s="75"/>
      <c r="G85" s="77"/>
      <c r="H85" s="77"/>
      <c r="I85" s="77"/>
      <c r="J85" s="77"/>
      <c r="K85" s="77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</row>
    <row r="86" spans="2:23" s="74" customFormat="1" ht="12.75">
      <c r="B86" s="47" t="s">
        <v>198</v>
      </c>
      <c r="F86" s="75"/>
      <c r="G86" s="38" t="s">
        <v>205</v>
      </c>
      <c r="H86" s="38"/>
      <c r="I86" s="38" t="s">
        <v>206</v>
      </c>
      <c r="J86" s="38"/>
      <c r="K86" s="38" t="s">
        <v>207</v>
      </c>
      <c r="L86" s="38"/>
      <c r="M86" s="38" t="s">
        <v>208</v>
      </c>
      <c r="N86" s="75"/>
      <c r="O86" s="75"/>
      <c r="P86" s="75"/>
      <c r="Q86" s="75"/>
      <c r="R86" s="75"/>
      <c r="S86" s="75"/>
      <c r="T86" s="75"/>
      <c r="U86" s="75"/>
      <c r="V86" s="75"/>
      <c r="W86" s="75"/>
    </row>
    <row r="87" spans="6:23" s="74" customFormat="1" ht="12.75">
      <c r="F87" s="75"/>
      <c r="G87" s="77"/>
      <c r="H87" s="77"/>
      <c r="I87" s="77"/>
      <c r="J87" s="77"/>
      <c r="K87" s="77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</row>
    <row r="88" spans="1:24" s="74" customFormat="1" ht="12.75">
      <c r="A88" s="74" t="s">
        <v>198</v>
      </c>
      <c r="B88" s="74" t="s">
        <v>13</v>
      </c>
      <c r="C88" s="74" t="s">
        <v>242</v>
      </c>
      <c r="D88" s="74" t="s">
        <v>14</v>
      </c>
      <c r="E88" s="74" t="s">
        <v>15</v>
      </c>
      <c r="F88" s="75" t="s">
        <v>209</v>
      </c>
      <c r="G88" s="76">
        <v>0.055900554528</v>
      </c>
      <c r="H88" s="76" t="s">
        <v>209</v>
      </c>
      <c r="I88" s="76">
        <v>0.029200289664</v>
      </c>
      <c r="J88" s="76" t="s">
        <v>209</v>
      </c>
      <c r="K88" s="76">
        <v>0.0850008432</v>
      </c>
      <c r="L88" s="76" t="s">
        <v>209</v>
      </c>
      <c r="M88" s="76">
        <f>AVERAGE(G88,I88,K88)</f>
        <v>0.056700562463999994</v>
      </c>
      <c r="N88" s="76" t="s">
        <v>209</v>
      </c>
      <c r="O88" s="76"/>
      <c r="P88" s="76" t="s">
        <v>209</v>
      </c>
      <c r="Q88" s="76"/>
      <c r="R88" s="76" t="s">
        <v>209</v>
      </c>
      <c r="S88" s="76"/>
      <c r="T88" s="76" t="s">
        <v>209</v>
      </c>
      <c r="U88" s="76"/>
      <c r="V88" s="75" t="s">
        <v>209</v>
      </c>
      <c r="W88" s="75"/>
      <c r="X88" s="74">
        <v>0.056700562463999994</v>
      </c>
    </row>
    <row r="89" spans="1:24" s="74" customFormat="1" ht="12.75">
      <c r="A89" s="74" t="s">
        <v>198</v>
      </c>
      <c r="B89" s="74" t="s">
        <v>62</v>
      </c>
      <c r="C89" s="74" t="s">
        <v>242</v>
      </c>
      <c r="D89" s="74" t="s">
        <v>16</v>
      </c>
      <c r="E89" s="74" t="s">
        <v>15</v>
      </c>
      <c r="F89" s="75" t="s">
        <v>209</v>
      </c>
      <c r="G89" s="77">
        <v>11120.567375886525</v>
      </c>
      <c r="H89" s="77" t="s">
        <v>209</v>
      </c>
      <c r="I89" s="77">
        <v>11428.571428571428</v>
      </c>
      <c r="J89" s="77" t="s">
        <v>209</v>
      </c>
      <c r="K89" s="77">
        <v>8830.769230769229</v>
      </c>
      <c r="L89" s="75" t="s">
        <v>209</v>
      </c>
      <c r="M89" s="77">
        <f>AVERAGE(G89,I89,K89)</f>
        <v>10459.969345075726</v>
      </c>
      <c r="N89" s="75" t="s">
        <v>209</v>
      </c>
      <c r="O89" s="75"/>
      <c r="P89" s="75" t="s">
        <v>209</v>
      </c>
      <c r="Q89" s="75"/>
      <c r="R89" s="75" t="s">
        <v>209</v>
      </c>
      <c r="S89" s="75"/>
      <c r="T89" s="75" t="s">
        <v>209</v>
      </c>
      <c r="U89" s="75"/>
      <c r="V89" s="75" t="s">
        <v>209</v>
      </c>
      <c r="W89" s="75"/>
      <c r="X89" s="74">
        <v>10459.969345075726</v>
      </c>
    </row>
    <row r="90" spans="1:24" s="74" customFormat="1" ht="12.75">
      <c r="A90" s="74" t="s">
        <v>198</v>
      </c>
      <c r="B90" s="74" t="s">
        <v>24</v>
      </c>
      <c r="C90" s="74" t="s">
        <v>242</v>
      </c>
      <c r="D90" s="74" t="s">
        <v>16</v>
      </c>
      <c r="E90" s="74" t="s">
        <v>15</v>
      </c>
      <c r="F90" s="75" t="s">
        <v>209</v>
      </c>
      <c r="G90" s="77">
        <v>3.623714258920685</v>
      </c>
      <c r="H90" s="77" t="s">
        <v>209</v>
      </c>
      <c r="I90" s="77">
        <v>5.12531049323</v>
      </c>
      <c r="J90" s="77" t="s">
        <v>209</v>
      </c>
      <c r="K90" s="77">
        <v>12.235833021058</v>
      </c>
      <c r="L90" s="75" t="s">
        <v>209</v>
      </c>
      <c r="M90" s="77">
        <f>AVERAGE(G90,I90,K90)</f>
        <v>6.994952591069562</v>
      </c>
      <c r="N90" s="75" t="s">
        <v>209</v>
      </c>
      <c r="O90" s="75"/>
      <c r="P90" s="75" t="s">
        <v>209</v>
      </c>
      <c r="Q90" s="75"/>
      <c r="R90" s="75" t="s">
        <v>209</v>
      </c>
      <c r="S90" s="75"/>
      <c r="T90" s="75" t="s">
        <v>209</v>
      </c>
      <c r="U90" s="75"/>
      <c r="V90" s="75" t="s">
        <v>209</v>
      </c>
      <c r="W90" s="75"/>
      <c r="X90" s="74">
        <v>6.994952591069562</v>
      </c>
    </row>
    <row r="91" spans="6:23" s="74" customFormat="1" ht="12.75">
      <c r="F91" s="75"/>
      <c r="G91" s="77"/>
      <c r="H91" s="77"/>
      <c r="I91" s="77"/>
      <c r="J91" s="77"/>
      <c r="K91" s="77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</row>
    <row r="92" spans="2:23" s="74" customFormat="1" ht="12.75">
      <c r="B92" s="74" t="s">
        <v>53</v>
      </c>
      <c r="C92" s="74" t="s">
        <v>210</v>
      </c>
      <c r="D92" s="78" t="s">
        <v>242</v>
      </c>
      <c r="F92" s="75"/>
      <c r="G92" s="77"/>
      <c r="H92" s="77"/>
      <c r="I92" s="77"/>
      <c r="J92" s="77"/>
      <c r="K92" s="77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</row>
    <row r="93" spans="2:63" s="74" customFormat="1" ht="12.75">
      <c r="B93" s="8" t="s">
        <v>47</v>
      </c>
      <c r="C93" s="8"/>
      <c r="D93" s="8" t="s">
        <v>17</v>
      </c>
      <c r="G93" s="77">
        <v>19833.3333</v>
      </c>
      <c r="H93" s="77"/>
      <c r="I93" s="77">
        <v>19683.3333</v>
      </c>
      <c r="J93" s="77"/>
      <c r="K93" s="77">
        <v>20200</v>
      </c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2:63" s="74" customFormat="1" ht="12.75">
      <c r="B94" s="8" t="s">
        <v>50</v>
      </c>
      <c r="C94" s="8"/>
      <c r="D94" s="8" t="s">
        <v>18</v>
      </c>
      <c r="G94" s="77">
        <v>6.9</v>
      </c>
      <c r="H94" s="77"/>
      <c r="I94" s="77">
        <v>6.3</v>
      </c>
      <c r="J94" s="77"/>
      <c r="K94" s="77">
        <v>5.4</v>
      </c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s="74" customFormat="1" ht="12.75">
      <c r="A95" s="74" t="s">
        <v>198</v>
      </c>
      <c r="B95" s="8" t="s">
        <v>51</v>
      </c>
      <c r="C95" s="8"/>
      <c r="D95" s="8" t="s">
        <v>18</v>
      </c>
      <c r="G95" s="77">
        <v>57.8</v>
      </c>
      <c r="H95" s="77"/>
      <c r="I95" s="77">
        <v>58.4</v>
      </c>
      <c r="J95" s="77"/>
      <c r="K95" s="77">
        <v>59</v>
      </c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2:63" s="74" customFormat="1" ht="12.75">
      <c r="B96" s="8" t="s">
        <v>46</v>
      </c>
      <c r="C96" s="8"/>
      <c r="D96" s="8" t="s">
        <v>19</v>
      </c>
      <c r="G96" s="77">
        <v>185</v>
      </c>
      <c r="H96" s="77"/>
      <c r="I96" s="77">
        <v>184</v>
      </c>
      <c r="J96" s="77"/>
      <c r="K96" s="77">
        <v>184</v>
      </c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7:63" s="74" customFormat="1" ht="12.75"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57" s="78" customFormat="1" ht="12.75">
      <c r="A98" s="78" t="s">
        <v>198</v>
      </c>
      <c r="B98" s="78" t="s">
        <v>211</v>
      </c>
      <c r="C98" s="78" t="s">
        <v>242</v>
      </c>
      <c r="D98" s="78" t="s">
        <v>18</v>
      </c>
      <c r="G98" s="79">
        <v>99.99812</v>
      </c>
      <c r="H98" s="79"/>
      <c r="I98" s="79">
        <v>99.99997</v>
      </c>
      <c r="J98" s="79"/>
      <c r="K98" s="79">
        <v>99.99996</v>
      </c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</row>
    <row r="99" spans="1:57" s="78" customFormat="1" ht="12.75">
      <c r="A99" s="78" t="s">
        <v>198</v>
      </c>
      <c r="B99" s="78" t="s">
        <v>212</v>
      </c>
      <c r="C99" s="78" t="s">
        <v>242</v>
      </c>
      <c r="D99" s="78" t="s">
        <v>18</v>
      </c>
      <c r="G99" s="79">
        <v>99.99715</v>
      </c>
      <c r="H99" s="79"/>
      <c r="I99" s="79">
        <v>99.99924</v>
      </c>
      <c r="J99" s="79"/>
      <c r="K99" s="79">
        <v>99.99868</v>
      </c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</row>
    <row r="100" spans="7:63" s="74" customFormat="1" ht="12.75"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2:63" s="74" customFormat="1" ht="12.75">
      <c r="B101" s="47" t="s">
        <v>199</v>
      </c>
      <c r="G101" s="38" t="s">
        <v>205</v>
      </c>
      <c r="H101" s="38"/>
      <c r="I101" s="38" t="s">
        <v>206</v>
      </c>
      <c r="J101" s="38"/>
      <c r="K101" s="38" t="s">
        <v>207</v>
      </c>
      <c r="L101" s="38"/>
      <c r="M101" s="38" t="s">
        <v>208</v>
      </c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3" spans="1:24" s="74" customFormat="1" ht="12.75">
      <c r="A103" s="74" t="s">
        <v>199</v>
      </c>
      <c r="B103" s="74" t="s">
        <v>13</v>
      </c>
      <c r="C103" s="74" t="s">
        <v>242</v>
      </c>
      <c r="D103" s="74" t="s">
        <v>14</v>
      </c>
      <c r="E103" s="74" t="s">
        <v>15</v>
      </c>
      <c r="F103" s="75" t="s">
        <v>209</v>
      </c>
      <c r="G103" s="76">
        <v>0.048600482112</v>
      </c>
      <c r="H103" s="76" t="s">
        <v>209</v>
      </c>
      <c r="I103" s="76">
        <v>0.045700453344</v>
      </c>
      <c r="J103" s="76" t="s">
        <v>209</v>
      </c>
      <c r="K103" s="76">
        <v>0.042600422592</v>
      </c>
      <c r="L103" s="76" t="s">
        <v>209</v>
      </c>
      <c r="M103" s="76">
        <f>AVERAGE(G103,I103,K103)</f>
        <v>0.045633786015999996</v>
      </c>
      <c r="N103" s="76" t="s">
        <v>209</v>
      </c>
      <c r="O103" s="76"/>
      <c r="P103" s="76" t="s">
        <v>209</v>
      </c>
      <c r="Q103" s="76"/>
      <c r="R103" s="76" t="s">
        <v>209</v>
      </c>
      <c r="S103" s="76"/>
      <c r="T103" s="76" t="s">
        <v>209</v>
      </c>
      <c r="U103" s="76"/>
      <c r="V103" s="75" t="s">
        <v>209</v>
      </c>
      <c r="W103" s="75"/>
      <c r="X103" s="74">
        <v>0.045633786015999996</v>
      </c>
    </row>
    <row r="104" spans="1:24" s="74" customFormat="1" ht="12.75">
      <c r="A104" s="74" t="s">
        <v>199</v>
      </c>
      <c r="B104" s="74" t="s">
        <v>62</v>
      </c>
      <c r="C104" s="74" t="s">
        <v>242</v>
      </c>
      <c r="D104" s="74" t="s">
        <v>16</v>
      </c>
      <c r="E104" s="74" t="s">
        <v>15</v>
      </c>
      <c r="F104" s="75" t="s">
        <v>209</v>
      </c>
      <c r="G104" s="77">
        <v>9771.812080536913</v>
      </c>
      <c r="H104" s="77" t="s">
        <v>209</v>
      </c>
      <c r="I104" s="77">
        <v>9053.947368421053</v>
      </c>
      <c r="J104" s="77" t="s">
        <v>209</v>
      </c>
      <c r="K104" s="77">
        <v>11293.333333333332</v>
      </c>
      <c r="L104" s="75" t="s">
        <v>209</v>
      </c>
      <c r="M104" s="77">
        <f>AVERAGE(G104,I104,K104)</f>
        <v>10039.697594097099</v>
      </c>
      <c r="N104" s="75" t="s">
        <v>209</v>
      </c>
      <c r="O104" s="75"/>
      <c r="P104" s="75" t="s">
        <v>209</v>
      </c>
      <c r="Q104" s="75"/>
      <c r="R104" s="75" t="s">
        <v>209</v>
      </c>
      <c r="S104" s="75"/>
      <c r="T104" s="75" t="s">
        <v>209</v>
      </c>
      <c r="U104" s="75"/>
      <c r="V104" s="75" t="s">
        <v>209</v>
      </c>
      <c r="W104" s="75"/>
      <c r="X104" s="74">
        <v>10039.6975940971</v>
      </c>
    </row>
    <row r="105" spans="1:24" s="74" customFormat="1" ht="12.75">
      <c r="A105" s="74" t="s">
        <v>199</v>
      </c>
      <c r="B105" s="74" t="s">
        <v>24</v>
      </c>
      <c r="C105" s="74" t="s">
        <v>242</v>
      </c>
      <c r="D105" s="74" t="s">
        <v>16</v>
      </c>
      <c r="E105" s="74" t="s">
        <v>15</v>
      </c>
      <c r="F105" s="75" t="s">
        <v>209</v>
      </c>
      <c r="G105" s="77">
        <v>6.943887746318727</v>
      </c>
      <c r="H105" s="77" t="s">
        <v>209</v>
      </c>
      <c r="I105" s="77">
        <v>5.262477832980982</v>
      </c>
      <c r="J105" s="77" t="s">
        <v>209</v>
      </c>
      <c r="K105" s="77">
        <v>7.578542444643</v>
      </c>
      <c r="L105" s="75" t="s">
        <v>209</v>
      </c>
      <c r="M105" s="77">
        <f>AVERAGE(G105,I105,K105)</f>
        <v>6.594969341314236</v>
      </c>
      <c r="N105" s="75" t="s">
        <v>209</v>
      </c>
      <c r="O105" s="75"/>
      <c r="P105" s="75" t="s">
        <v>209</v>
      </c>
      <c r="Q105" s="75"/>
      <c r="R105" s="75" t="s">
        <v>209</v>
      </c>
      <c r="S105" s="75"/>
      <c r="T105" s="75" t="s">
        <v>209</v>
      </c>
      <c r="U105" s="75"/>
      <c r="V105" s="75" t="s">
        <v>209</v>
      </c>
      <c r="W105" s="75"/>
      <c r="X105" s="74">
        <v>6.594969341314236</v>
      </c>
    </row>
    <row r="106" spans="6:23" s="74" customFormat="1" ht="12.75">
      <c r="F106" s="75"/>
      <c r="G106" s="77"/>
      <c r="H106" s="77"/>
      <c r="I106" s="77"/>
      <c r="J106" s="77"/>
      <c r="K106" s="77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</row>
    <row r="107" spans="2:23" s="74" customFormat="1" ht="12.75">
      <c r="B107" s="74" t="s">
        <v>53</v>
      </c>
      <c r="C107" s="74" t="s">
        <v>210</v>
      </c>
      <c r="D107" s="78" t="s">
        <v>242</v>
      </c>
      <c r="F107" s="75"/>
      <c r="G107" s="77"/>
      <c r="H107" s="77"/>
      <c r="I107" s="77"/>
      <c r="J107" s="77"/>
      <c r="K107" s="77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</row>
    <row r="108" spans="2:63" s="74" customFormat="1" ht="12.75">
      <c r="B108" s="8" t="s">
        <v>47</v>
      </c>
      <c r="C108" s="8"/>
      <c r="D108" s="8" t="s">
        <v>17</v>
      </c>
      <c r="G108" s="77">
        <v>20066.6667</v>
      </c>
      <c r="H108" s="77"/>
      <c r="I108" s="77">
        <v>19466.6667</v>
      </c>
      <c r="J108" s="77"/>
      <c r="K108" s="77">
        <v>19133.3333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2:63" s="74" customFormat="1" ht="12.75">
      <c r="B109" s="8" t="s">
        <v>50</v>
      </c>
      <c r="C109" s="8"/>
      <c r="D109" s="8" t="s">
        <v>18</v>
      </c>
      <c r="G109" s="77">
        <v>6.1</v>
      </c>
      <c r="H109" s="77"/>
      <c r="I109" s="77">
        <v>5.8</v>
      </c>
      <c r="J109" s="77"/>
      <c r="K109" s="77">
        <v>6</v>
      </c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s="74" customFormat="1" ht="12.75">
      <c r="A110" s="74" t="s">
        <v>199</v>
      </c>
      <c r="B110" s="8" t="s">
        <v>51</v>
      </c>
      <c r="C110" s="8"/>
      <c r="D110" s="8" t="s">
        <v>18</v>
      </c>
      <c r="G110" s="77">
        <v>58.6</v>
      </c>
      <c r="H110" s="77"/>
      <c r="I110" s="77">
        <v>58.7</v>
      </c>
      <c r="J110" s="77"/>
      <c r="K110" s="77">
        <v>58.5</v>
      </c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2:63" s="74" customFormat="1" ht="12.75">
      <c r="B111" s="8" t="s">
        <v>46</v>
      </c>
      <c r="C111" s="8"/>
      <c r="D111" s="8" t="s">
        <v>19</v>
      </c>
      <c r="G111" s="77">
        <v>185</v>
      </c>
      <c r="H111" s="77"/>
      <c r="I111" s="77">
        <v>184</v>
      </c>
      <c r="J111" s="77"/>
      <c r="K111" s="77">
        <v>184</v>
      </c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6:23" s="74" customFormat="1" ht="12.75">
      <c r="F112" s="75"/>
      <c r="G112" s="77"/>
      <c r="H112" s="77"/>
      <c r="I112" s="77"/>
      <c r="J112" s="77"/>
      <c r="K112" s="77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</row>
    <row r="113" spans="2:23" s="74" customFormat="1" ht="12.75">
      <c r="B113" s="47" t="s">
        <v>200</v>
      </c>
      <c r="F113" s="75"/>
      <c r="G113" s="38" t="s">
        <v>205</v>
      </c>
      <c r="H113" s="38"/>
      <c r="I113" s="38" t="s">
        <v>206</v>
      </c>
      <c r="J113" s="38"/>
      <c r="K113" s="38" t="s">
        <v>207</v>
      </c>
      <c r="L113" s="38"/>
      <c r="M113" s="38" t="s">
        <v>208</v>
      </c>
      <c r="N113" s="75"/>
      <c r="O113" s="75"/>
      <c r="P113" s="75"/>
      <c r="Q113" s="75"/>
      <c r="R113" s="75"/>
      <c r="S113" s="75"/>
      <c r="T113" s="75"/>
      <c r="U113" s="75"/>
      <c r="V113" s="75"/>
      <c r="W113" s="75"/>
    </row>
    <row r="114" spans="6:23" s="74" customFormat="1" ht="12.75">
      <c r="F114" s="75"/>
      <c r="G114" s="77"/>
      <c r="H114" s="77"/>
      <c r="I114" s="77"/>
      <c r="J114" s="77"/>
      <c r="K114" s="77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</row>
    <row r="115" spans="1:24" s="74" customFormat="1" ht="12.75">
      <c r="A115" s="74" t="s">
        <v>200</v>
      </c>
      <c r="B115" s="74" t="s">
        <v>13</v>
      </c>
      <c r="C115" s="74" t="s">
        <v>242</v>
      </c>
      <c r="D115" s="74" t="s">
        <v>14</v>
      </c>
      <c r="E115" s="74" t="s">
        <v>15</v>
      </c>
      <c r="F115" s="75" t="s">
        <v>209</v>
      </c>
      <c r="G115" s="76">
        <v>0.038100377952</v>
      </c>
      <c r="H115" s="76" t="s">
        <v>209</v>
      </c>
      <c r="I115" s="76">
        <v>0.032100318432</v>
      </c>
      <c r="J115" s="76" t="s">
        <v>209</v>
      </c>
      <c r="K115" s="76">
        <v>0.02800027776</v>
      </c>
      <c r="L115" s="76" t="s">
        <v>209</v>
      </c>
      <c r="M115" s="76">
        <f>AVERAGE(G115,I115,K115)</f>
        <v>0.032733658048</v>
      </c>
      <c r="N115" s="76" t="s">
        <v>209</v>
      </c>
      <c r="O115" s="76"/>
      <c r="P115" s="76" t="s">
        <v>209</v>
      </c>
      <c r="Q115" s="76"/>
      <c r="R115" s="76" t="s">
        <v>209</v>
      </c>
      <c r="S115" s="76"/>
      <c r="T115" s="76" t="s">
        <v>209</v>
      </c>
      <c r="U115" s="76"/>
      <c r="V115" s="75" t="s">
        <v>209</v>
      </c>
      <c r="W115" s="75"/>
      <c r="X115" s="74">
        <v>0.032733658048</v>
      </c>
    </row>
    <row r="116" spans="1:24" s="74" customFormat="1" ht="12.75">
      <c r="A116" s="74" t="s">
        <v>200</v>
      </c>
      <c r="B116" s="74" t="s">
        <v>62</v>
      </c>
      <c r="C116" s="74" t="s">
        <v>242</v>
      </c>
      <c r="D116" s="74" t="s">
        <v>16</v>
      </c>
      <c r="E116" s="74" t="s">
        <v>15</v>
      </c>
      <c r="F116" s="75" t="s">
        <v>209</v>
      </c>
      <c r="G116" s="77">
        <v>4373.553719008264</v>
      </c>
      <c r="H116" s="77" t="s">
        <v>209</v>
      </c>
      <c r="I116" s="77">
        <v>3316.3120567375886</v>
      </c>
      <c r="J116" s="77" t="s">
        <v>209</v>
      </c>
      <c r="K116" s="77">
        <v>3485.7142857142853</v>
      </c>
      <c r="L116" s="75" t="s">
        <v>209</v>
      </c>
      <c r="M116" s="77">
        <f>AVERAGE(G116,I116,K116)</f>
        <v>3725.1933538200465</v>
      </c>
      <c r="N116" s="75" t="s">
        <v>209</v>
      </c>
      <c r="O116" s="75"/>
      <c r="P116" s="75" t="s">
        <v>209</v>
      </c>
      <c r="Q116" s="75"/>
      <c r="R116" s="75" t="s">
        <v>209</v>
      </c>
      <c r="S116" s="75"/>
      <c r="T116" s="75" t="s">
        <v>209</v>
      </c>
      <c r="U116" s="75"/>
      <c r="V116" s="75" t="s">
        <v>209</v>
      </c>
      <c r="W116" s="75"/>
      <c r="X116" s="74">
        <v>3725.1933538200465</v>
      </c>
    </row>
    <row r="117" spans="1:24" s="74" customFormat="1" ht="12.75">
      <c r="A117" s="74" t="s">
        <v>200</v>
      </c>
      <c r="B117" s="74" t="s">
        <v>24</v>
      </c>
      <c r="C117" s="74" t="s">
        <v>242</v>
      </c>
      <c r="D117" s="74" t="s">
        <v>16</v>
      </c>
      <c r="E117" s="74" t="s">
        <v>15</v>
      </c>
      <c r="F117" s="75" t="s">
        <v>209</v>
      </c>
      <c r="G117" s="77">
        <v>2.440600202461543</v>
      </c>
      <c r="H117" s="77" t="s">
        <v>209</v>
      </c>
      <c r="I117" s="77">
        <v>3.3175750847758</v>
      </c>
      <c r="J117" s="77" t="s">
        <v>209</v>
      </c>
      <c r="K117" s="77">
        <v>1.9781018569457518</v>
      </c>
      <c r="L117" s="75" t="s">
        <v>209</v>
      </c>
      <c r="M117" s="77">
        <f>AVERAGE(G117,I117,K117)</f>
        <v>2.578759048061032</v>
      </c>
      <c r="N117" s="75" t="s">
        <v>209</v>
      </c>
      <c r="O117" s="75"/>
      <c r="P117" s="75" t="s">
        <v>209</v>
      </c>
      <c r="Q117" s="75"/>
      <c r="R117" s="75" t="s">
        <v>209</v>
      </c>
      <c r="S117" s="75"/>
      <c r="T117" s="75" t="s">
        <v>209</v>
      </c>
      <c r="U117" s="75"/>
      <c r="V117" s="75" t="s">
        <v>209</v>
      </c>
      <c r="W117" s="75"/>
      <c r="X117" s="74">
        <v>2.578759048061032</v>
      </c>
    </row>
    <row r="118" spans="6:23" s="74" customFormat="1" ht="12.75">
      <c r="F118" s="75"/>
      <c r="G118" s="77"/>
      <c r="H118" s="77"/>
      <c r="I118" s="77"/>
      <c r="J118" s="77"/>
      <c r="K118" s="77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</row>
    <row r="119" spans="2:23" s="74" customFormat="1" ht="12.75">
      <c r="B119" s="74" t="s">
        <v>53</v>
      </c>
      <c r="C119" s="74" t="s">
        <v>210</v>
      </c>
      <c r="D119" s="78" t="s">
        <v>242</v>
      </c>
      <c r="F119" s="75"/>
      <c r="G119" s="77"/>
      <c r="H119" s="77"/>
      <c r="I119" s="77"/>
      <c r="J119" s="77"/>
      <c r="K119" s="77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</row>
    <row r="120" spans="2:63" s="74" customFormat="1" ht="12.75">
      <c r="B120" s="8" t="s">
        <v>47</v>
      </c>
      <c r="C120" s="8"/>
      <c r="D120" s="8" t="s">
        <v>17</v>
      </c>
      <c r="G120" s="77">
        <v>19250</v>
      </c>
      <c r="H120" s="77"/>
      <c r="I120" s="77">
        <v>19550</v>
      </c>
      <c r="J120" s="77"/>
      <c r="K120" s="77">
        <v>19550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2:63" s="74" customFormat="1" ht="12.75">
      <c r="B121" s="8" t="s">
        <v>50</v>
      </c>
      <c r="C121" s="8"/>
      <c r="D121" s="8" t="s">
        <v>18</v>
      </c>
      <c r="G121" s="77">
        <v>8.9</v>
      </c>
      <c r="H121" s="77"/>
      <c r="I121" s="77">
        <v>6.9</v>
      </c>
      <c r="J121" s="77"/>
      <c r="K121" s="77">
        <v>6.3</v>
      </c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s="74" customFormat="1" ht="12.75">
      <c r="A122" s="74" t="s">
        <v>200</v>
      </c>
      <c r="B122" s="8" t="s">
        <v>51</v>
      </c>
      <c r="C122" s="8"/>
      <c r="D122" s="8" t="s">
        <v>18</v>
      </c>
      <c r="G122" s="77">
        <v>56.8</v>
      </c>
      <c r="H122" s="77"/>
      <c r="I122" s="77">
        <v>57.2</v>
      </c>
      <c r="J122" s="77"/>
      <c r="K122" s="77">
        <v>57.6</v>
      </c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2:63" s="74" customFormat="1" ht="12.75">
      <c r="B123" s="8" t="s">
        <v>46</v>
      </c>
      <c r="C123" s="8"/>
      <c r="D123" s="8" t="s">
        <v>19</v>
      </c>
      <c r="G123" s="77">
        <v>187</v>
      </c>
      <c r="H123" s="77"/>
      <c r="I123" s="77">
        <v>184</v>
      </c>
      <c r="J123" s="77"/>
      <c r="K123" s="77">
        <v>186</v>
      </c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6:23" s="74" customFormat="1" ht="12.75">
      <c r="F124" s="75"/>
      <c r="G124" s="77"/>
      <c r="H124" s="77"/>
      <c r="I124" s="77"/>
      <c r="J124" s="77"/>
      <c r="K124" s="77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</row>
    <row r="125" spans="2:23" s="74" customFormat="1" ht="12.75">
      <c r="B125" s="47" t="s">
        <v>201</v>
      </c>
      <c r="F125" s="75"/>
      <c r="G125" s="38" t="s">
        <v>205</v>
      </c>
      <c r="H125" s="38"/>
      <c r="I125" s="38" t="s">
        <v>206</v>
      </c>
      <c r="J125" s="38"/>
      <c r="K125" s="38" t="s">
        <v>207</v>
      </c>
      <c r="L125" s="38"/>
      <c r="M125" s="38" t="s">
        <v>208</v>
      </c>
      <c r="N125" s="75"/>
      <c r="O125" s="75"/>
      <c r="P125" s="75"/>
      <c r="Q125" s="75"/>
      <c r="R125" s="75"/>
      <c r="S125" s="75"/>
      <c r="T125" s="75"/>
      <c r="U125" s="75"/>
      <c r="V125" s="75"/>
      <c r="W125" s="75"/>
    </row>
    <row r="126" spans="6:23" s="74" customFormat="1" ht="12.75">
      <c r="F126" s="75"/>
      <c r="G126" s="77"/>
      <c r="H126" s="77"/>
      <c r="I126" s="77"/>
      <c r="J126" s="77"/>
      <c r="K126" s="77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</row>
    <row r="127" spans="1:24" s="74" customFormat="1" ht="12.75">
      <c r="A127" s="74" t="s">
        <v>201</v>
      </c>
      <c r="B127" s="74" t="s">
        <v>34</v>
      </c>
      <c r="D127" s="74" t="s">
        <v>16</v>
      </c>
      <c r="E127" s="74" t="s">
        <v>15</v>
      </c>
      <c r="F127" s="75" t="s">
        <v>209</v>
      </c>
      <c r="G127" s="77">
        <v>6714.656227061414</v>
      </c>
      <c r="H127" s="77" t="s">
        <v>209</v>
      </c>
      <c r="I127" s="77">
        <v>7177.098115977489</v>
      </c>
      <c r="J127" s="77" t="s">
        <v>209</v>
      </c>
      <c r="K127" s="77">
        <v>7029.116711524346</v>
      </c>
      <c r="L127" s="75" t="s">
        <v>209</v>
      </c>
      <c r="M127" s="77">
        <f>AVERAGE(G127,I127,K127)</f>
        <v>6973.623684854417</v>
      </c>
      <c r="N127" s="75" t="s">
        <v>209</v>
      </c>
      <c r="O127" s="75"/>
      <c r="P127" s="75" t="s">
        <v>209</v>
      </c>
      <c r="Q127" s="75"/>
      <c r="R127" s="75" t="s">
        <v>209</v>
      </c>
      <c r="S127" s="75"/>
      <c r="T127" s="75" t="s">
        <v>209</v>
      </c>
      <c r="U127" s="75"/>
      <c r="V127" s="75" t="s">
        <v>209</v>
      </c>
      <c r="W127" s="75"/>
      <c r="X127" s="74">
        <v>6973.623684854417</v>
      </c>
    </row>
    <row r="128" spans="1:57" s="78" customFormat="1" ht="12.75">
      <c r="A128" s="78" t="s">
        <v>201</v>
      </c>
      <c r="B128" s="78" t="s">
        <v>211</v>
      </c>
      <c r="C128" s="78" t="s">
        <v>26</v>
      </c>
      <c r="D128" s="78" t="s">
        <v>18</v>
      </c>
      <c r="G128" s="79">
        <v>99.99996</v>
      </c>
      <c r="H128" s="79"/>
      <c r="I128" s="79">
        <v>99.99996</v>
      </c>
      <c r="J128" s="79"/>
      <c r="K128" s="79">
        <v>99.99996</v>
      </c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</row>
    <row r="129" spans="1:57" s="78" customFormat="1" ht="12.75">
      <c r="A129" s="78" t="s">
        <v>201</v>
      </c>
      <c r="B129" s="78" t="s">
        <v>212</v>
      </c>
      <c r="C129" s="78" t="s">
        <v>26</v>
      </c>
      <c r="D129" s="78" t="s">
        <v>18</v>
      </c>
      <c r="G129" s="79">
        <v>99.99987</v>
      </c>
      <c r="H129" s="79"/>
      <c r="I129" s="79">
        <v>99.99986</v>
      </c>
      <c r="J129" s="79"/>
      <c r="K129" s="79">
        <v>99.9996</v>
      </c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</row>
    <row r="130" spans="6:23" s="74" customFormat="1" ht="12.75">
      <c r="F130" s="75"/>
      <c r="G130" s="77"/>
      <c r="H130" s="77"/>
      <c r="I130" s="77"/>
      <c r="J130" s="77"/>
      <c r="K130" s="77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</row>
    <row r="131" spans="2:23" s="74" customFormat="1" ht="12.75">
      <c r="B131" s="47" t="s">
        <v>202</v>
      </c>
      <c r="F131" s="75"/>
      <c r="G131" s="38" t="s">
        <v>205</v>
      </c>
      <c r="H131" s="38"/>
      <c r="I131" s="38" t="s">
        <v>206</v>
      </c>
      <c r="J131" s="38"/>
      <c r="K131" s="38" t="s">
        <v>207</v>
      </c>
      <c r="L131" s="38"/>
      <c r="M131" s="38" t="s">
        <v>208</v>
      </c>
      <c r="N131" s="75"/>
      <c r="O131" s="75"/>
      <c r="P131" s="75"/>
      <c r="Q131" s="75"/>
      <c r="R131" s="75"/>
      <c r="S131" s="75"/>
      <c r="T131" s="75"/>
      <c r="U131" s="75"/>
      <c r="V131" s="75"/>
      <c r="W131" s="75"/>
    </row>
    <row r="132" spans="6:23" s="74" customFormat="1" ht="12.75">
      <c r="F132" s="75"/>
      <c r="G132" s="77"/>
      <c r="H132" s="77"/>
      <c r="I132" s="77"/>
      <c r="J132" s="77"/>
      <c r="K132" s="77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</row>
    <row r="133" spans="1:24" s="74" customFormat="1" ht="12.75">
      <c r="A133" s="74" t="s">
        <v>202</v>
      </c>
      <c r="B133" s="74" t="s">
        <v>34</v>
      </c>
      <c r="D133" s="74" t="s">
        <v>16</v>
      </c>
      <c r="E133" s="74" t="s">
        <v>15</v>
      </c>
      <c r="F133" s="75" t="s">
        <v>209</v>
      </c>
      <c r="G133" s="77">
        <v>3070.61414240274</v>
      </c>
      <c r="H133" s="77" t="s">
        <v>209</v>
      </c>
      <c r="I133" s="77">
        <v>2728.4071446048447</v>
      </c>
      <c r="J133" s="77" t="s">
        <v>209</v>
      </c>
      <c r="K133" s="77">
        <v>3634.7932468803533</v>
      </c>
      <c r="L133" s="75" t="s">
        <v>209</v>
      </c>
      <c r="M133" s="77">
        <f>AVERAGE(G133,I133,K133)</f>
        <v>3144.604844629313</v>
      </c>
      <c r="N133" s="75" t="s">
        <v>209</v>
      </c>
      <c r="O133" s="75"/>
      <c r="P133" s="75" t="s">
        <v>209</v>
      </c>
      <c r="Q133" s="75"/>
      <c r="R133" s="75" t="s">
        <v>209</v>
      </c>
      <c r="S133" s="75"/>
      <c r="T133" s="75" t="s">
        <v>209</v>
      </c>
      <c r="U133" s="75"/>
      <c r="V133" s="75" t="s">
        <v>209</v>
      </c>
      <c r="W133" s="75"/>
      <c r="X133" s="74">
        <v>3144.604844629312</v>
      </c>
    </row>
    <row r="134" spans="1:57" s="78" customFormat="1" ht="12.75">
      <c r="A134" s="78" t="s">
        <v>202</v>
      </c>
      <c r="B134" s="78" t="s">
        <v>211</v>
      </c>
      <c r="C134" s="78" t="s">
        <v>26</v>
      </c>
      <c r="D134" s="78" t="s">
        <v>18</v>
      </c>
      <c r="G134" s="79">
        <v>99.99996</v>
      </c>
      <c r="H134" s="79"/>
      <c r="I134" s="79">
        <v>99.99996</v>
      </c>
      <c r="J134" s="79"/>
      <c r="K134" s="79">
        <v>99.99995</v>
      </c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</row>
    <row r="135" spans="1:57" s="78" customFormat="1" ht="12.75">
      <c r="A135" s="78" t="s">
        <v>202</v>
      </c>
      <c r="B135" s="78" t="s">
        <v>212</v>
      </c>
      <c r="C135" s="78" t="s">
        <v>26</v>
      </c>
      <c r="D135" s="78" t="s">
        <v>18</v>
      </c>
      <c r="G135" s="79">
        <v>99.99997</v>
      </c>
      <c r="H135" s="79"/>
      <c r="I135" s="79">
        <v>99.99997</v>
      </c>
      <c r="J135" s="79"/>
      <c r="K135" s="79">
        <v>99.99997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</row>
    <row r="136" spans="6:23" s="74" customFormat="1" ht="12.75">
      <c r="F136" s="75"/>
      <c r="G136" s="77"/>
      <c r="H136" s="77"/>
      <c r="I136" s="77"/>
      <c r="J136" s="77"/>
      <c r="K136" s="77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</row>
    <row r="137" spans="2:23" s="74" customFormat="1" ht="12.75">
      <c r="B137" s="47" t="s">
        <v>203</v>
      </c>
      <c r="F137" s="75"/>
      <c r="G137" s="38" t="s">
        <v>205</v>
      </c>
      <c r="H137" s="38"/>
      <c r="I137" s="38" t="s">
        <v>206</v>
      </c>
      <c r="J137" s="38"/>
      <c r="K137" s="38" t="s">
        <v>207</v>
      </c>
      <c r="L137" s="38"/>
      <c r="M137" s="38" t="s">
        <v>208</v>
      </c>
      <c r="N137" s="75"/>
      <c r="O137" s="75"/>
      <c r="P137" s="75"/>
      <c r="Q137" s="75"/>
      <c r="R137" s="75"/>
      <c r="S137" s="75"/>
      <c r="T137" s="75"/>
      <c r="U137" s="75"/>
      <c r="V137" s="75"/>
      <c r="W137" s="75"/>
    </row>
    <row r="138" spans="6:23" s="74" customFormat="1" ht="12.75">
      <c r="F138" s="75"/>
      <c r="G138" s="77"/>
      <c r="H138" s="77"/>
      <c r="I138" s="77"/>
      <c r="J138" s="77"/>
      <c r="K138" s="77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</row>
    <row r="139" spans="1:24" s="74" customFormat="1" ht="12.75">
      <c r="A139" s="74" t="s">
        <v>203</v>
      </c>
      <c r="B139" s="74" t="s">
        <v>34</v>
      </c>
      <c r="D139" s="74" t="s">
        <v>16</v>
      </c>
      <c r="E139" s="74" t="s">
        <v>15</v>
      </c>
      <c r="F139" s="75" t="s">
        <v>209</v>
      </c>
      <c r="G139" s="77">
        <v>1609.2977734279425</v>
      </c>
      <c r="H139" s="77" t="s">
        <v>209</v>
      </c>
      <c r="I139" s="77">
        <v>1868.2652312209445</v>
      </c>
      <c r="J139" s="77" t="s">
        <v>209</v>
      </c>
      <c r="K139" s="77">
        <v>1646.2931245412285</v>
      </c>
      <c r="L139" s="75" t="s">
        <v>209</v>
      </c>
      <c r="M139" s="77">
        <f>AVERAGE(G139,I139,K139)</f>
        <v>1707.9520430633718</v>
      </c>
      <c r="N139" s="75" t="s">
        <v>209</v>
      </c>
      <c r="O139" s="75"/>
      <c r="P139" s="75" t="s">
        <v>209</v>
      </c>
      <c r="Q139" s="75"/>
      <c r="R139" s="75" t="s">
        <v>209</v>
      </c>
      <c r="S139" s="75"/>
      <c r="T139" s="75" t="s">
        <v>209</v>
      </c>
      <c r="U139" s="75"/>
      <c r="V139" s="75" t="s">
        <v>209</v>
      </c>
      <c r="W139" s="75"/>
      <c r="X139" s="74">
        <v>1707.9520430633718</v>
      </c>
    </row>
    <row r="140" spans="1:57" s="78" customFormat="1" ht="12.75">
      <c r="A140" s="78" t="s">
        <v>203</v>
      </c>
      <c r="B140" s="78" t="s">
        <v>211</v>
      </c>
      <c r="C140" s="78" t="s">
        <v>26</v>
      </c>
      <c r="D140" s="78" t="s">
        <v>18</v>
      </c>
      <c r="G140" s="79">
        <v>99.99995</v>
      </c>
      <c r="H140" s="79"/>
      <c r="I140" s="79">
        <v>99.99996</v>
      </c>
      <c r="J140" s="79"/>
      <c r="K140" s="79">
        <v>99.99996</v>
      </c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</row>
    <row r="141" spans="1:57" s="78" customFormat="1" ht="12.75">
      <c r="A141" s="78" t="s">
        <v>203</v>
      </c>
      <c r="B141" s="78" t="s">
        <v>212</v>
      </c>
      <c r="C141" s="78" t="s">
        <v>26</v>
      </c>
      <c r="D141" s="78" t="s">
        <v>18</v>
      </c>
      <c r="G141" s="79">
        <v>99.99997</v>
      </c>
      <c r="H141" s="79"/>
      <c r="I141" s="79">
        <v>99.99997</v>
      </c>
      <c r="J141" s="79"/>
      <c r="K141" s="79">
        <v>99.99997</v>
      </c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</row>
    <row r="142" spans="6:23" s="74" customFormat="1" ht="12.75">
      <c r="F142" s="75"/>
      <c r="G142" s="77"/>
      <c r="H142" s="77"/>
      <c r="I142" s="77"/>
      <c r="J142" s="77"/>
      <c r="K142" s="77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</row>
    <row r="143" spans="2:23" s="74" customFormat="1" ht="12.75">
      <c r="B143" s="47" t="s">
        <v>204</v>
      </c>
      <c r="F143" s="75"/>
      <c r="G143" s="38" t="s">
        <v>205</v>
      </c>
      <c r="H143" s="38"/>
      <c r="I143" s="38" t="s">
        <v>206</v>
      </c>
      <c r="J143" s="38"/>
      <c r="K143" s="38" t="s">
        <v>207</v>
      </c>
      <c r="L143" s="38"/>
      <c r="M143" s="38" t="s">
        <v>208</v>
      </c>
      <c r="N143" s="75"/>
      <c r="O143" s="75"/>
      <c r="P143" s="75"/>
      <c r="Q143" s="75"/>
      <c r="R143" s="75"/>
      <c r="S143" s="75"/>
      <c r="T143" s="75"/>
      <c r="U143" s="75"/>
      <c r="V143" s="75"/>
      <c r="W143" s="75"/>
    </row>
    <row r="144" spans="6:23" s="74" customFormat="1" ht="12.75">
      <c r="F144" s="75"/>
      <c r="G144" s="77"/>
      <c r="H144" s="77"/>
      <c r="I144" s="77"/>
      <c r="J144" s="77"/>
      <c r="K144" s="77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</row>
    <row r="145" spans="1:24" s="74" customFormat="1" ht="12.75">
      <c r="A145" s="74" t="s">
        <v>204</v>
      </c>
      <c r="B145" s="74" t="s">
        <v>34</v>
      </c>
      <c r="D145" s="74" t="s">
        <v>16</v>
      </c>
      <c r="E145" s="74" t="s">
        <v>15</v>
      </c>
      <c r="F145" s="75" t="s">
        <v>209</v>
      </c>
      <c r="G145" s="77">
        <v>5151.60264252508</v>
      </c>
      <c r="H145" s="77" t="s">
        <v>209</v>
      </c>
      <c r="I145" s="77">
        <v>6307.707364815268</v>
      </c>
      <c r="J145" s="77" t="s">
        <v>209</v>
      </c>
      <c r="K145" s="77">
        <v>6344.702715928554</v>
      </c>
      <c r="L145" s="75" t="s">
        <v>209</v>
      </c>
      <c r="M145" s="77">
        <f>AVERAGE(G145,I145,K145)</f>
        <v>5934.6709077563</v>
      </c>
      <c r="N145" s="75" t="s">
        <v>209</v>
      </c>
      <c r="O145" s="75"/>
      <c r="P145" s="75" t="s">
        <v>209</v>
      </c>
      <c r="Q145" s="75"/>
      <c r="R145" s="75" t="s">
        <v>209</v>
      </c>
      <c r="S145" s="75"/>
      <c r="T145" s="75" t="s">
        <v>209</v>
      </c>
      <c r="U145" s="75"/>
      <c r="V145" s="75" t="s">
        <v>209</v>
      </c>
      <c r="W145" s="75"/>
      <c r="X145" s="74">
        <v>5934.670907756302</v>
      </c>
    </row>
    <row r="146" spans="1:57" s="78" customFormat="1" ht="12.75">
      <c r="A146" s="78" t="s">
        <v>204</v>
      </c>
      <c r="B146" s="78" t="s">
        <v>211</v>
      </c>
      <c r="C146" s="78" t="s">
        <v>26</v>
      </c>
      <c r="D146" s="78" t="s">
        <v>18</v>
      </c>
      <c r="G146" s="79">
        <v>99.99996</v>
      </c>
      <c r="H146" s="79"/>
      <c r="I146" s="79">
        <v>99.99996</v>
      </c>
      <c r="J146" s="79"/>
      <c r="K146" s="79">
        <v>99.99996</v>
      </c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</row>
    <row r="147" spans="1:57" s="78" customFormat="1" ht="12.75">
      <c r="A147" s="78" t="s">
        <v>204</v>
      </c>
      <c r="B147" s="78" t="s">
        <v>212</v>
      </c>
      <c r="C147" s="78" t="s">
        <v>26</v>
      </c>
      <c r="D147" s="78" t="s">
        <v>18</v>
      </c>
      <c r="G147" s="79">
        <v>99.97787</v>
      </c>
      <c r="H147" s="79"/>
      <c r="I147" s="79">
        <v>99.96887</v>
      </c>
      <c r="J147" s="79"/>
      <c r="K147" s="79">
        <v>99.98391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95"/>
  <sheetViews>
    <sheetView workbookViewId="0" topLeftCell="B1">
      <selection activeCell="D3" sqref="D3"/>
    </sheetView>
  </sheetViews>
  <sheetFormatPr defaultColWidth="9.140625" defaultRowHeight="12.75"/>
  <cols>
    <col min="1" max="1" width="2.28125" style="3" hidden="1" customWidth="1"/>
    <col min="2" max="2" width="22.57421875" style="2" customWidth="1"/>
    <col min="3" max="3" width="2.8515625" style="2" customWidth="1"/>
    <col min="4" max="4" width="9.28125" style="2" customWidth="1"/>
    <col min="5" max="5" width="2.8515625" style="3" customWidth="1"/>
    <col min="6" max="6" width="9.57421875" style="4" bestFit="1" customWidth="1"/>
    <col min="7" max="7" width="3.140625" style="4" bestFit="1" customWidth="1"/>
    <col min="8" max="8" width="9.57421875" style="3" bestFit="1" customWidth="1"/>
    <col min="9" max="9" width="3.140625" style="3" bestFit="1" customWidth="1"/>
    <col min="10" max="10" width="8.8515625" style="3" bestFit="1" customWidth="1"/>
    <col min="11" max="11" width="3.421875" style="3" customWidth="1"/>
    <col min="12" max="12" width="9.57421875" style="3" bestFit="1" customWidth="1"/>
    <col min="13" max="13" width="2.7109375" style="3" customWidth="1"/>
    <col min="14" max="14" width="9.57421875" style="3" customWidth="1"/>
    <col min="15" max="15" width="2.7109375" style="3" customWidth="1"/>
    <col min="16" max="16" width="11.421875" style="3" customWidth="1"/>
    <col min="17" max="17" width="2.28125" style="3" customWidth="1"/>
    <col min="18" max="18" width="9.57421875" style="3" bestFit="1" customWidth="1"/>
    <col min="19" max="19" width="2.7109375" style="3" customWidth="1"/>
    <col min="20" max="20" width="9.57421875" style="3" customWidth="1"/>
    <col min="21" max="21" width="3.140625" style="3" customWidth="1"/>
    <col min="22" max="22" width="9.57421875" style="3" bestFit="1" customWidth="1"/>
    <col min="23" max="23" width="3.140625" style="3" bestFit="1" customWidth="1"/>
    <col min="24" max="24" width="9.57421875" style="3" bestFit="1" customWidth="1"/>
    <col min="25" max="25" width="3.140625" style="3" bestFit="1" customWidth="1"/>
    <col min="26" max="26" width="9.57421875" style="3" bestFit="1" customWidth="1"/>
    <col min="27" max="27" width="2.57421875" style="3" customWidth="1"/>
    <col min="28" max="28" width="9.57421875" style="3" bestFit="1" customWidth="1"/>
    <col min="29" max="29" width="2.57421875" style="3" customWidth="1"/>
    <col min="30" max="16384" width="8.8515625" style="3" customWidth="1"/>
  </cols>
  <sheetData>
    <row r="1" spans="2:23" ht="12.75">
      <c r="B1" s="22" t="s">
        <v>21</v>
      </c>
      <c r="C1" s="22"/>
      <c r="D1" s="9"/>
      <c r="E1" s="23"/>
      <c r="F1" s="24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2:23" ht="12.75">
      <c r="B2" s="9"/>
      <c r="C2" s="9"/>
      <c r="D2" s="9"/>
      <c r="E2" s="23"/>
      <c r="F2" s="24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2:23" ht="12.75">
      <c r="B3" s="9"/>
      <c r="C3" s="9"/>
      <c r="D3" s="9"/>
      <c r="E3" s="23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9" ht="12.75">
      <c r="A4" s="3" t="s">
        <v>55</v>
      </c>
      <c r="B4" s="22" t="s">
        <v>177</v>
      </c>
      <c r="C4" s="22" t="s">
        <v>54</v>
      </c>
      <c r="D4" s="9"/>
      <c r="E4" s="23"/>
      <c r="F4" s="40" t="s">
        <v>205</v>
      </c>
      <c r="G4" s="40"/>
      <c r="H4" s="40" t="s">
        <v>206</v>
      </c>
      <c r="I4" s="40"/>
      <c r="J4" s="40" t="s">
        <v>207</v>
      </c>
      <c r="K4" s="40"/>
      <c r="L4" s="40" t="s">
        <v>124</v>
      </c>
      <c r="M4" s="40"/>
      <c r="N4" s="40" t="s">
        <v>205</v>
      </c>
      <c r="O4" s="40"/>
      <c r="P4" s="40" t="s">
        <v>206</v>
      </c>
      <c r="Q4" s="40"/>
      <c r="R4" s="40" t="s">
        <v>207</v>
      </c>
      <c r="S4" s="40"/>
      <c r="T4" s="40" t="s">
        <v>124</v>
      </c>
      <c r="U4" s="40"/>
      <c r="V4" s="40" t="s">
        <v>205</v>
      </c>
      <c r="W4" s="40"/>
      <c r="X4" s="40" t="s">
        <v>206</v>
      </c>
      <c r="Y4" s="40"/>
      <c r="Z4" s="40" t="s">
        <v>207</v>
      </c>
      <c r="AA4" s="40"/>
      <c r="AB4" s="40" t="s">
        <v>124</v>
      </c>
      <c r="AC4" s="23"/>
    </row>
    <row r="5" spans="2:29" ht="12.75">
      <c r="B5" s="9"/>
      <c r="C5" s="9"/>
      <c r="D5" s="9"/>
      <c r="E5" s="23"/>
      <c r="AC5" s="40"/>
    </row>
    <row r="6" spans="2:29" ht="12.75">
      <c r="B6" s="9" t="s">
        <v>260</v>
      </c>
      <c r="C6" s="9"/>
      <c r="D6" s="9"/>
      <c r="E6" s="23"/>
      <c r="F6" s="4" t="s">
        <v>262</v>
      </c>
      <c r="H6" s="4" t="s">
        <v>262</v>
      </c>
      <c r="J6" s="4" t="s">
        <v>262</v>
      </c>
      <c r="L6" s="4" t="s">
        <v>262</v>
      </c>
      <c r="N6" s="3" t="s">
        <v>264</v>
      </c>
      <c r="P6" s="3" t="s">
        <v>264</v>
      </c>
      <c r="R6" s="3" t="s">
        <v>264</v>
      </c>
      <c r="T6" s="3" t="s">
        <v>264</v>
      </c>
      <c r="V6" s="3" t="s">
        <v>265</v>
      </c>
      <c r="X6" s="3" t="s">
        <v>265</v>
      </c>
      <c r="Z6" s="3" t="s">
        <v>265</v>
      </c>
      <c r="AB6" s="3" t="s">
        <v>265</v>
      </c>
      <c r="AC6" s="40"/>
    </row>
    <row r="7" spans="2:29" ht="12.75">
      <c r="B7" s="9" t="s">
        <v>261</v>
      </c>
      <c r="C7" s="9"/>
      <c r="D7" s="9"/>
      <c r="E7" s="23"/>
      <c r="F7" s="4" t="s">
        <v>263</v>
      </c>
      <c r="H7" s="4" t="s">
        <v>263</v>
      </c>
      <c r="J7" s="4" t="s">
        <v>263</v>
      </c>
      <c r="L7" s="4" t="s">
        <v>263</v>
      </c>
      <c r="N7" s="3" t="s">
        <v>28</v>
      </c>
      <c r="P7" s="3" t="s">
        <v>28</v>
      </c>
      <c r="R7" s="3" t="s">
        <v>28</v>
      </c>
      <c r="T7" s="3" t="s">
        <v>28</v>
      </c>
      <c r="V7" s="3" t="s">
        <v>20</v>
      </c>
      <c r="X7" s="3" t="s">
        <v>20</v>
      </c>
      <c r="Z7" s="3" t="s">
        <v>20</v>
      </c>
      <c r="AB7" s="3" t="s">
        <v>20</v>
      </c>
      <c r="AC7" s="40"/>
    </row>
    <row r="8" spans="2:29" ht="12.75">
      <c r="B8" s="9" t="s">
        <v>269</v>
      </c>
      <c r="C8" s="9"/>
      <c r="D8" s="9"/>
      <c r="E8" s="23"/>
      <c r="F8" s="4" t="s">
        <v>33</v>
      </c>
      <c r="H8" s="4" t="s">
        <v>33</v>
      </c>
      <c r="J8" s="4" t="s">
        <v>33</v>
      </c>
      <c r="L8" s="4" t="s">
        <v>33</v>
      </c>
      <c r="N8" s="3" t="s">
        <v>28</v>
      </c>
      <c r="P8" s="3" t="s">
        <v>28</v>
      </c>
      <c r="R8" s="3" t="s">
        <v>28</v>
      </c>
      <c r="T8" s="3" t="s">
        <v>28</v>
      </c>
      <c r="V8" s="3" t="s">
        <v>20</v>
      </c>
      <c r="X8" s="3" t="s">
        <v>20</v>
      </c>
      <c r="Z8" s="3" t="s">
        <v>20</v>
      </c>
      <c r="AB8" s="3" t="s">
        <v>20</v>
      </c>
      <c r="AC8" s="40"/>
    </row>
    <row r="9" spans="2:29" s="44" customFormat="1" ht="12.75">
      <c r="B9" s="44" t="s">
        <v>22</v>
      </c>
      <c r="E9" s="45"/>
      <c r="F9" s="25" t="s">
        <v>159</v>
      </c>
      <c r="G9" s="25"/>
      <c r="H9" s="25" t="s">
        <v>159</v>
      </c>
      <c r="I9" s="25"/>
      <c r="J9" s="25" t="s">
        <v>159</v>
      </c>
      <c r="K9" s="25"/>
      <c r="L9" s="25" t="s">
        <v>159</v>
      </c>
      <c r="M9" s="25"/>
      <c r="N9" s="25" t="s">
        <v>28</v>
      </c>
      <c r="O9" s="25"/>
      <c r="P9" s="25" t="s">
        <v>28</v>
      </c>
      <c r="Q9" s="25"/>
      <c r="R9" s="25" t="s">
        <v>28</v>
      </c>
      <c r="S9" s="25"/>
      <c r="T9" s="25" t="s">
        <v>28</v>
      </c>
      <c r="U9" s="25"/>
      <c r="V9" s="59" t="s">
        <v>20</v>
      </c>
      <c r="W9" s="59"/>
      <c r="X9" s="59" t="s">
        <v>20</v>
      </c>
      <c r="Y9" s="59"/>
      <c r="Z9" s="59" t="s">
        <v>20</v>
      </c>
      <c r="AA9" s="59"/>
      <c r="AB9" s="59" t="s">
        <v>20</v>
      </c>
      <c r="AC9" s="59"/>
    </row>
    <row r="10" spans="2:29" ht="12.75">
      <c r="B10" s="9" t="s">
        <v>56</v>
      </c>
      <c r="C10" s="9"/>
      <c r="D10" s="9" t="s">
        <v>27</v>
      </c>
      <c r="E10"/>
      <c r="F10" s="4">
        <v>16320</v>
      </c>
      <c r="H10" s="3">
        <v>16272</v>
      </c>
      <c r="J10" s="3">
        <v>16320</v>
      </c>
      <c r="L10" s="10">
        <f>AVERAGE(J10,H10,F10)</f>
        <v>16304</v>
      </c>
      <c r="M10" s="5"/>
      <c r="N10" s="3">
        <v>89.87</v>
      </c>
      <c r="P10" s="3">
        <v>92.84</v>
      </c>
      <c r="R10" s="3">
        <v>91.65</v>
      </c>
      <c r="T10" s="10">
        <f>AVERAGE(R10,P10,N10)</f>
        <v>91.45333333333333</v>
      </c>
      <c r="U10" s="5"/>
      <c r="V10" s="26">
        <f>N10+F10</f>
        <v>16409.87</v>
      </c>
      <c r="X10" s="26">
        <f>P10+H10</f>
        <v>16364.84</v>
      </c>
      <c r="Z10" s="26">
        <f>R10+J10</f>
        <v>16411.65</v>
      </c>
      <c r="AB10" s="26">
        <f>T10+L10</f>
        <v>16395.453333333335</v>
      </c>
      <c r="AC10" s="5"/>
    </row>
    <row r="11" spans="2:29" ht="12.75">
      <c r="B11" s="9" t="s">
        <v>56</v>
      </c>
      <c r="C11" s="9"/>
      <c r="D11" s="9" t="s">
        <v>160</v>
      </c>
      <c r="E11"/>
      <c r="F11" s="3"/>
      <c r="L11" s="5"/>
      <c r="M11" s="5"/>
      <c r="T11" s="5"/>
      <c r="U11" s="5"/>
      <c r="AB11" s="5"/>
      <c r="AC11" s="5"/>
    </row>
    <row r="12" spans="2:10" ht="12.75">
      <c r="B12" s="9" t="s">
        <v>131</v>
      </c>
      <c r="C12" s="9"/>
      <c r="D12" s="9" t="s">
        <v>132</v>
      </c>
      <c r="E12"/>
      <c r="F12" s="4">
        <v>1</v>
      </c>
      <c r="H12" s="3">
        <v>1.02</v>
      </c>
      <c r="J12" s="3">
        <v>1.01</v>
      </c>
    </row>
    <row r="13" spans="2:10" ht="12.75">
      <c r="B13" s="9" t="s">
        <v>161</v>
      </c>
      <c r="C13" s="9"/>
      <c r="D13" s="9" t="s">
        <v>162</v>
      </c>
      <c r="E13"/>
      <c r="F13" s="4">
        <v>2.78</v>
      </c>
      <c r="H13" s="3">
        <v>2.2</v>
      </c>
      <c r="J13" s="3">
        <v>1.71</v>
      </c>
    </row>
    <row r="14" spans="2:23" ht="12.75">
      <c r="B14" s="9" t="s">
        <v>68</v>
      </c>
      <c r="C14" s="9"/>
      <c r="D14" s="9" t="s">
        <v>163</v>
      </c>
      <c r="E14"/>
      <c r="F14" s="6">
        <v>1210</v>
      </c>
      <c r="G14" s="46"/>
      <c r="H14">
        <v>2250</v>
      </c>
      <c r="I14"/>
      <c r="J14" s="69">
        <v>539</v>
      </c>
      <c r="K14" s="41"/>
      <c r="L14" s="29"/>
      <c r="M14" s="29"/>
      <c r="N14" s="29"/>
      <c r="O14" s="29"/>
      <c r="P14" s="41"/>
      <c r="Q14" s="41"/>
      <c r="R14" s="23"/>
      <c r="S14" s="23"/>
      <c r="T14" s="23"/>
      <c r="U14" s="23"/>
      <c r="V14" s="23"/>
      <c r="W14" s="23"/>
    </row>
    <row r="15" spans="2:28" ht="12.75">
      <c r="B15" s="9" t="s">
        <v>69</v>
      </c>
      <c r="C15" s="9"/>
      <c r="D15" s="9" t="s">
        <v>70</v>
      </c>
      <c r="E15"/>
      <c r="F15" s="6">
        <v>92.3</v>
      </c>
      <c r="G15" s="46"/>
      <c r="H15">
        <v>89.2</v>
      </c>
      <c r="I15"/>
      <c r="J15" s="69">
        <v>93.1</v>
      </c>
      <c r="K15" s="41"/>
      <c r="L15" s="10">
        <f>AVERAGE(J15,H15,F15)</f>
        <v>91.53333333333335</v>
      </c>
      <c r="M15" s="29"/>
      <c r="N15" s="29"/>
      <c r="O15" s="29"/>
      <c r="P15" s="41"/>
      <c r="Q15" s="41"/>
      <c r="R15" s="23"/>
      <c r="S15" s="23"/>
      <c r="T15" s="23"/>
      <c r="U15" s="23"/>
      <c r="V15" s="26">
        <f>N15+F15</f>
        <v>92.3</v>
      </c>
      <c r="W15" s="23"/>
      <c r="X15" s="26">
        <f>P15+H15</f>
        <v>89.2</v>
      </c>
      <c r="Z15" s="26">
        <f>R15+J15</f>
        <v>93.1</v>
      </c>
      <c r="AB15" s="26">
        <f>T15+L15</f>
        <v>91.53333333333335</v>
      </c>
    </row>
    <row r="16" spans="2:21" ht="12.75">
      <c r="B16" s="9" t="s">
        <v>23</v>
      </c>
      <c r="C16" s="9"/>
      <c r="D16" s="9" t="s">
        <v>27</v>
      </c>
      <c r="E16"/>
      <c r="F16" s="6">
        <v>511</v>
      </c>
      <c r="G16" s="6"/>
      <c r="H16" s="6">
        <v>550</v>
      </c>
      <c r="I16" s="42"/>
      <c r="J16" s="69">
        <v>264</v>
      </c>
      <c r="K16" s="41"/>
      <c r="L16" s="5"/>
      <c r="M16" s="5"/>
      <c r="N16" s="26"/>
      <c r="O16" s="26"/>
      <c r="P16" s="41"/>
      <c r="Q16" s="41"/>
      <c r="R16" s="23"/>
      <c r="S16" s="23"/>
      <c r="T16" s="5"/>
      <c r="U16" s="5"/>
    </row>
    <row r="17" spans="2:23" ht="12.75">
      <c r="B17" s="9" t="s">
        <v>67</v>
      </c>
      <c r="C17" s="9"/>
      <c r="D17" s="9" t="s">
        <v>27</v>
      </c>
      <c r="E17"/>
      <c r="F17" s="6">
        <v>8.49</v>
      </c>
      <c r="G17" s="6"/>
      <c r="H17" s="6">
        <v>8.69</v>
      </c>
      <c r="I17" s="42"/>
      <c r="J17" s="41">
        <v>4.49</v>
      </c>
      <c r="K17" s="41"/>
      <c r="L17" s="5"/>
      <c r="M17" s="5"/>
      <c r="N17" s="29">
        <v>43.14</v>
      </c>
      <c r="O17" s="29"/>
      <c r="P17" s="41">
        <v>44.56</v>
      </c>
      <c r="Q17" s="41"/>
      <c r="R17" s="23">
        <v>43.99</v>
      </c>
      <c r="S17" s="23"/>
      <c r="T17" s="5"/>
      <c r="U17" s="5"/>
      <c r="V17" s="23"/>
      <c r="W17" s="23"/>
    </row>
    <row r="18" spans="2:23" ht="12.75">
      <c r="B18" s="8" t="s">
        <v>147</v>
      </c>
      <c r="C18" s="9"/>
      <c r="D18" s="9" t="s">
        <v>27</v>
      </c>
      <c r="E18"/>
      <c r="F18" s="46">
        <v>0.31</v>
      </c>
      <c r="G18" s="6"/>
      <c r="H18" s="67">
        <v>0.31</v>
      </c>
      <c r="I18" s="67"/>
      <c r="J18" s="67">
        <v>0.2</v>
      </c>
      <c r="K18" s="41"/>
      <c r="L18" s="5"/>
      <c r="M18" s="5"/>
      <c r="N18" s="29"/>
      <c r="O18" s="29"/>
      <c r="P18" s="41"/>
      <c r="Q18" s="41"/>
      <c r="R18" s="23"/>
      <c r="S18" s="23"/>
      <c r="T18" s="5"/>
      <c r="U18" s="5"/>
      <c r="V18" s="23"/>
      <c r="W18" s="23"/>
    </row>
    <row r="19" spans="2:23" ht="12.75">
      <c r="B19" s="8" t="s">
        <v>61</v>
      </c>
      <c r="C19" s="9"/>
      <c r="D19" s="9" t="s">
        <v>27</v>
      </c>
      <c r="E19"/>
      <c r="F19" s="46">
        <v>0.018</v>
      </c>
      <c r="G19" s="6"/>
      <c r="H19" s="67">
        <v>0.018</v>
      </c>
      <c r="I19" s="67"/>
      <c r="J19" s="67">
        <v>0.018</v>
      </c>
      <c r="K19" s="41"/>
      <c r="L19" s="5"/>
      <c r="M19" s="5"/>
      <c r="N19" s="29"/>
      <c r="O19" s="29"/>
      <c r="P19" s="41"/>
      <c r="Q19" s="41"/>
      <c r="R19" s="23"/>
      <c r="S19" s="23"/>
      <c r="T19" s="5"/>
      <c r="U19" s="5"/>
      <c r="V19" s="23"/>
      <c r="W19" s="23"/>
    </row>
    <row r="20" spans="2:23" ht="12.75">
      <c r="B20" s="8" t="s">
        <v>59</v>
      </c>
      <c r="C20" s="9"/>
      <c r="D20" s="9" t="s">
        <v>27</v>
      </c>
      <c r="E20"/>
      <c r="F20" s="46">
        <v>0.0052</v>
      </c>
      <c r="G20" s="6"/>
      <c r="H20" s="67">
        <v>0.0052</v>
      </c>
      <c r="I20" s="67"/>
      <c r="J20" s="67">
        <v>0.0052</v>
      </c>
      <c r="K20" s="41"/>
      <c r="L20" s="5"/>
      <c r="M20" s="5"/>
      <c r="N20" s="29"/>
      <c r="O20" s="29"/>
      <c r="P20" s="41"/>
      <c r="Q20" s="41"/>
      <c r="R20" s="23"/>
      <c r="S20" s="23"/>
      <c r="T20" s="5"/>
      <c r="U20" s="5"/>
      <c r="V20" s="23"/>
      <c r="W20" s="23"/>
    </row>
    <row r="21" spans="2:23" ht="12.75">
      <c r="B21" s="8" t="s">
        <v>120</v>
      </c>
      <c r="C21" s="9"/>
      <c r="D21" s="9" t="s">
        <v>27</v>
      </c>
      <c r="E21"/>
      <c r="F21" s="46">
        <v>0.0012</v>
      </c>
      <c r="G21" s="6"/>
      <c r="H21" s="67">
        <v>0.0012</v>
      </c>
      <c r="I21" s="67"/>
      <c r="J21" s="67">
        <v>0.0029</v>
      </c>
      <c r="K21" s="41"/>
      <c r="L21" s="5"/>
      <c r="M21" s="5"/>
      <c r="N21" s="29"/>
      <c r="O21" s="29"/>
      <c r="P21" s="41"/>
      <c r="Q21" s="41"/>
      <c r="R21" s="23"/>
      <c r="S21" s="23"/>
      <c r="T21" s="5"/>
      <c r="U21" s="5"/>
      <c r="V21" s="23"/>
      <c r="W21" s="23"/>
    </row>
    <row r="22" spans="2:23" ht="12.75">
      <c r="B22" s="8" t="s">
        <v>121</v>
      </c>
      <c r="C22" s="9"/>
      <c r="D22" s="9" t="s">
        <v>27</v>
      </c>
      <c r="E22"/>
      <c r="F22" s="46">
        <v>0.0021</v>
      </c>
      <c r="G22" s="6"/>
      <c r="H22" s="67">
        <v>0.0021</v>
      </c>
      <c r="I22" s="67"/>
      <c r="J22" s="67">
        <v>0.0021</v>
      </c>
      <c r="K22" s="41"/>
      <c r="L22" s="5"/>
      <c r="M22" s="5"/>
      <c r="N22" s="29"/>
      <c r="O22" s="29"/>
      <c r="P22" s="41"/>
      <c r="Q22" s="41"/>
      <c r="R22" s="23"/>
      <c r="S22" s="23"/>
      <c r="T22" s="5"/>
      <c r="U22" s="5"/>
      <c r="V22" s="23"/>
      <c r="W22" s="23"/>
    </row>
    <row r="23" spans="2:23" ht="12.75">
      <c r="B23" s="8" t="s">
        <v>60</v>
      </c>
      <c r="C23" s="9"/>
      <c r="D23" s="9" t="s">
        <v>27</v>
      </c>
      <c r="E23"/>
      <c r="F23" s="46">
        <v>0.0024</v>
      </c>
      <c r="G23" s="6"/>
      <c r="H23" s="67">
        <v>0.0024</v>
      </c>
      <c r="I23" s="67"/>
      <c r="J23" s="67">
        <v>0.0024</v>
      </c>
      <c r="K23" s="41"/>
      <c r="L23" s="5"/>
      <c r="M23" s="5"/>
      <c r="N23" s="29"/>
      <c r="O23" s="29"/>
      <c r="P23" s="41"/>
      <c r="Q23" s="41"/>
      <c r="R23" s="23"/>
      <c r="S23" s="23"/>
      <c r="T23" s="5"/>
      <c r="U23" s="5"/>
      <c r="V23" s="23"/>
      <c r="W23" s="23"/>
    </row>
    <row r="24" spans="2:23" ht="12.75">
      <c r="B24" s="8" t="s">
        <v>52</v>
      </c>
      <c r="C24" s="9"/>
      <c r="D24" s="9" t="s">
        <v>27</v>
      </c>
      <c r="E24"/>
      <c r="F24" s="46">
        <v>0.0026</v>
      </c>
      <c r="G24" s="6"/>
      <c r="H24" s="67">
        <v>0.003</v>
      </c>
      <c r="I24" s="67"/>
      <c r="J24" s="67">
        <v>0.0057</v>
      </c>
      <c r="K24" s="41"/>
      <c r="L24" s="5"/>
      <c r="M24" s="5"/>
      <c r="N24" s="29"/>
      <c r="O24" s="29"/>
      <c r="P24" s="41"/>
      <c r="Q24" s="41"/>
      <c r="R24" s="23"/>
      <c r="S24" s="23"/>
      <c r="T24" s="5"/>
      <c r="U24" s="5"/>
      <c r="V24" s="23"/>
      <c r="W24" s="23"/>
    </row>
    <row r="25" spans="2:23" ht="12.75">
      <c r="B25" s="8" t="s">
        <v>148</v>
      </c>
      <c r="C25" s="9"/>
      <c r="D25" s="9" t="s">
        <v>27</v>
      </c>
      <c r="E25"/>
      <c r="F25" s="46">
        <v>0.0036</v>
      </c>
      <c r="G25" s="6"/>
      <c r="H25" s="67">
        <v>0.0036</v>
      </c>
      <c r="I25" s="67"/>
      <c r="J25" s="67">
        <v>0.0036</v>
      </c>
      <c r="K25" s="41"/>
      <c r="L25" s="5"/>
      <c r="M25" s="5"/>
      <c r="N25" s="29"/>
      <c r="O25" s="29"/>
      <c r="P25" s="41"/>
      <c r="Q25" s="41"/>
      <c r="R25" s="23"/>
      <c r="S25" s="23"/>
      <c r="T25" s="5"/>
      <c r="U25" s="5"/>
      <c r="V25" s="23"/>
      <c r="W25" s="23"/>
    </row>
    <row r="26" spans="2:28" ht="12.75">
      <c r="B26" s="8" t="s">
        <v>149</v>
      </c>
      <c r="C26" s="9"/>
      <c r="D26" s="9" t="s">
        <v>27</v>
      </c>
      <c r="F26" s="64">
        <v>0.026</v>
      </c>
      <c r="G26" s="3"/>
      <c r="H26" s="63">
        <v>0.011</v>
      </c>
      <c r="I26" s="63"/>
      <c r="J26" s="63">
        <v>0.02</v>
      </c>
      <c r="L26" s="5"/>
      <c r="M26"/>
      <c r="N26" s="6"/>
      <c r="O26"/>
      <c r="P26" s="6"/>
      <c r="Q26"/>
      <c r="R26" s="41"/>
      <c r="S26" s="41"/>
      <c r="T26" s="5"/>
      <c r="U26" s="5"/>
      <c r="V26" s="23"/>
      <c r="W26" s="23"/>
      <c r="AB26" s="63"/>
    </row>
    <row r="27" spans="2:28" ht="12.75">
      <c r="B27" s="8" t="s">
        <v>150</v>
      </c>
      <c r="C27" s="9"/>
      <c r="D27" s="9" t="s">
        <v>27</v>
      </c>
      <c r="F27" s="64">
        <v>0.3</v>
      </c>
      <c r="G27" s="3"/>
      <c r="H27" s="63">
        <v>0.3</v>
      </c>
      <c r="I27" s="63"/>
      <c r="J27" s="63">
        <v>0.16</v>
      </c>
      <c r="L27" s="5"/>
      <c r="M27"/>
      <c r="N27" s="6"/>
      <c r="O27"/>
      <c r="P27" s="6"/>
      <c r="Q27"/>
      <c r="R27" s="41"/>
      <c r="S27" s="41"/>
      <c r="T27" s="5"/>
      <c r="U27" s="5"/>
      <c r="V27" s="23"/>
      <c r="W27" s="23"/>
      <c r="AB27" s="63"/>
    </row>
    <row r="28" spans="2:28" ht="12.75">
      <c r="B28" s="8" t="s">
        <v>48</v>
      </c>
      <c r="C28" s="9"/>
      <c r="D28" s="9" t="s">
        <v>27</v>
      </c>
      <c r="F28" s="64">
        <v>0.0029</v>
      </c>
      <c r="G28" s="3"/>
      <c r="H28" s="63">
        <v>0.0029</v>
      </c>
      <c r="I28" s="63"/>
      <c r="J28" s="63">
        <v>0.0029</v>
      </c>
      <c r="L28" s="5"/>
      <c r="M28"/>
      <c r="N28" s="6"/>
      <c r="O28"/>
      <c r="P28" s="6"/>
      <c r="Q28"/>
      <c r="R28" s="41"/>
      <c r="S28" s="41"/>
      <c r="T28" s="5"/>
      <c r="U28" s="5"/>
      <c r="V28" s="23"/>
      <c r="W28" s="23"/>
      <c r="AB28" s="63"/>
    </row>
    <row r="29" spans="2:28" ht="12.75">
      <c r="B29" s="8" t="s">
        <v>151</v>
      </c>
      <c r="C29" s="9"/>
      <c r="D29" s="9" t="s">
        <v>27</v>
      </c>
      <c r="F29" s="64">
        <v>0.0056</v>
      </c>
      <c r="G29" s="3"/>
      <c r="H29" s="63">
        <v>0.0086</v>
      </c>
      <c r="I29" s="63"/>
      <c r="J29" s="63">
        <v>0.0034</v>
      </c>
      <c r="L29" s="5"/>
      <c r="M29"/>
      <c r="N29" s="6"/>
      <c r="O29"/>
      <c r="P29" s="6"/>
      <c r="Q29"/>
      <c r="R29" s="41"/>
      <c r="S29" s="41"/>
      <c r="T29" s="5"/>
      <c r="U29" s="5"/>
      <c r="V29" s="23"/>
      <c r="W29" s="23"/>
      <c r="AB29" s="63"/>
    </row>
    <row r="30" spans="2:28" ht="12.75">
      <c r="B30" s="8" t="s">
        <v>129</v>
      </c>
      <c r="C30" s="9"/>
      <c r="D30" s="9" t="s">
        <v>27</v>
      </c>
      <c r="F30" s="64">
        <v>0.00054</v>
      </c>
      <c r="G30" s="3"/>
      <c r="H30" s="63">
        <v>0.00054</v>
      </c>
      <c r="I30" s="63"/>
      <c r="J30" s="63">
        <v>0.00054</v>
      </c>
      <c r="L30" s="5"/>
      <c r="M30"/>
      <c r="N30" s="6"/>
      <c r="O30"/>
      <c r="P30" s="6"/>
      <c r="Q30"/>
      <c r="R30" s="41"/>
      <c r="S30" s="41"/>
      <c r="T30" s="5"/>
      <c r="U30" s="5"/>
      <c r="V30" s="16"/>
      <c r="W30" s="5"/>
      <c r="Y30" s="5"/>
      <c r="AB30" s="63"/>
    </row>
    <row r="31" spans="2:28" ht="12.75">
      <c r="B31" s="8" t="s">
        <v>152</v>
      </c>
      <c r="C31" s="9"/>
      <c r="D31" s="9" t="s">
        <v>27</v>
      </c>
      <c r="F31" s="64">
        <v>0.015</v>
      </c>
      <c r="G31" s="3"/>
      <c r="H31" s="63">
        <v>0.015</v>
      </c>
      <c r="I31" s="63"/>
      <c r="J31" s="63">
        <v>0.015</v>
      </c>
      <c r="L31" s="5"/>
      <c r="M31"/>
      <c r="N31" s="6"/>
      <c r="O31"/>
      <c r="P31" s="6"/>
      <c r="Q31"/>
      <c r="R31" s="41"/>
      <c r="S31" s="41"/>
      <c r="T31" s="5"/>
      <c r="U31" s="5"/>
      <c r="V31" s="16"/>
      <c r="W31" s="5"/>
      <c r="Y31" s="5"/>
      <c r="AB31" s="63"/>
    </row>
    <row r="32" spans="2:28" ht="12.75">
      <c r="B32" s="8" t="s">
        <v>72</v>
      </c>
      <c r="C32" s="9"/>
      <c r="D32" s="9" t="s">
        <v>27</v>
      </c>
      <c r="F32" s="64">
        <v>0.016</v>
      </c>
      <c r="G32" s="3"/>
      <c r="H32" s="63">
        <v>0.015</v>
      </c>
      <c r="I32" s="63"/>
      <c r="J32" s="63">
        <v>0.0084</v>
      </c>
      <c r="L32" s="5"/>
      <c r="M32"/>
      <c r="N32" s="6"/>
      <c r="O32"/>
      <c r="P32" s="6"/>
      <c r="Q32"/>
      <c r="R32" s="41"/>
      <c r="S32" s="41"/>
      <c r="T32" s="5"/>
      <c r="U32" s="5"/>
      <c r="V32" s="16"/>
      <c r="W32" s="5"/>
      <c r="Y32" s="5"/>
      <c r="AB32" s="63"/>
    </row>
    <row r="33" spans="2:28" ht="12.75">
      <c r="B33" s="8" t="s">
        <v>122</v>
      </c>
      <c r="C33" s="9"/>
      <c r="D33" s="9" t="s">
        <v>27</v>
      </c>
      <c r="F33" s="64">
        <v>0.002</v>
      </c>
      <c r="G33" s="3"/>
      <c r="H33" s="63">
        <v>0.002</v>
      </c>
      <c r="I33" s="63"/>
      <c r="J33" s="63">
        <v>0.002</v>
      </c>
      <c r="L33" s="5"/>
      <c r="M33"/>
      <c r="N33" s="6"/>
      <c r="O33"/>
      <c r="P33" s="6"/>
      <c r="Q33"/>
      <c r="R33" s="41"/>
      <c r="S33" s="41"/>
      <c r="T33" s="5"/>
      <c r="U33" s="5"/>
      <c r="V33" s="16"/>
      <c r="W33" s="5"/>
      <c r="Y33" s="5"/>
      <c r="AB33" s="63"/>
    </row>
    <row r="34" spans="2:28" ht="12.75">
      <c r="B34" s="8" t="s">
        <v>74</v>
      </c>
      <c r="C34" s="9"/>
      <c r="D34" s="9" t="s">
        <v>27</v>
      </c>
      <c r="F34" s="64">
        <v>0.0095</v>
      </c>
      <c r="G34" s="3"/>
      <c r="H34" s="63">
        <v>0.0094</v>
      </c>
      <c r="I34" s="63"/>
      <c r="J34" s="63">
        <v>0.0095</v>
      </c>
      <c r="L34" s="5"/>
      <c r="M34"/>
      <c r="N34" s="6"/>
      <c r="O34"/>
      <c r="P34" s="6"/>
      <c r="Q34"/>
      <c r="R34" s="41"/>
      <c r="S34" s="41"/>
      <c r="T34" s="5"/>
      <c r="U34" s="5"/>
      <c r="V34" s="16"/>
      <c r="W34" s="5"/>
      <c r="Y34" s="5"/>
      <c r="AB34" s="63"/>
    </row>
    <row r="35" spans="2:28" ht="12.75">
      <c r="B35" s="8" t="s">
        <v>123</v>
      </c>
      <c r="C35" s="9"/>
      <c r="D35" s="9" t="s">
        <v>27</v>
      </c>
      <c r="F35" s="64">
        <v>0.009</v>
      </c>
      <c r="G35" s="3"/>
      <c r="H35" s="63">
        <v>0.0089</v>
      </c>
      <c r="I35" s="63"/>
      <c r="J35" s="63">
        <v>0.009</v>
      </c>
      <c r="L35" s="5"/>
      <c r="M35"/>
      <c r="N35" s="6"/>
      <c r="O35"/>
      <c r="P35" s="6"/>
      <c r="Q35"/>
      <c r="R35" s="41"/>
      <c r="S35" s="41"/>
      <c r="T35" s="5"/>
      <c r="U35" s="5"/>
      <c r="V35" s="16"/>
      <c r="W35" s="5"/>
      <c r="Y35" s="5"/>
      <c r="AB35" s="63"/>
    </row>
    <row r="36" spans="2:28" ht="12.75">
      <c r="B36" s="8" t="s">
        <v>153</v>
      </c>
      <c r="C36" s="9"/>
      <c r="D36" s="9" t="s">
        <v>27</v>
      </c>
      <c r="F36" s="64">
        <v>0.026</v>
      </c>
      <c r="G36" s="3"/>
      <c r="H36" s="63">
        <v>0.026</v>
      </c>
      <c r="I36" s="63"/>
      <c r="J36" s="63">
        <v>0.026</v>
      </c>
      <c r="L36" s="5"/>
      <c r="M36"/>
      <c r="N36" s="6"/>
      <c r="O36"/>
      <c r="P36" s="6"/>
      <c r="Q36"/>
      <c r="R36" s="41"/>
      <c r="S36" s="41"/>
      <c r="T36" s="5"/>
      <c r="U36" s="5"/>
      <c r="V36" s="16"/>
      <c r="W36" s="5"/>
      <c r="Y36" s="5"/>
      <c r="AB36" s="63"/>
    </row>
    <row r="37" spans="2:28" ht="12.75">
      <c r="B37" s="8" t="s">
        <v>154</v>
      </c>
      <c r="C37" s="9"/>
      <c r="D37" s="9" t="s">
        <v>27</v>
      </c>
      <c r="F37" s="64">
        <v>0.029</v>
      </c>
      <c r="G37" s="3"/>
      <c r="H37" s="63">
        <v>0.028</v>
      </c>
      <c r="I37" s="63"/>
      <c r="J37" s="63">
        <v>0.02</v>
      </c>
      <c r="L37" s="5"/>
      <c r="M37"/>
      <c r="N37" s="6"/>
      <c r="O37"/>
      <c r="P37" s="6"/>
      <c r="Q37"/>
      <c r="R37" s="41"/>
      <c r="S37" s="41"/>
      <c r="T37" s="5"/>
      <c r="U37" s="5"/>
      <c r="V37" s="16"/>
      <c r="W37" s="5"/>
      <c r="Y37" s="5"/>
      <c r="AB37" s="63"/>
    </row>
    <row r="38" spans="2:23" ht="12.75">
      <c r="B38" s="9"/>
      <c r="C38" s="9"/>
      <c r="D38" s="9"/>
      <c r="E38"/>
      <c r="F38" s="42"/>
      <c r="G38" s="42"/>
      <c r="H38" s="42"/>
      <c r="I38" s="42"/>
      <c r="J38" s="41"/>
      <c r="K38" s="41"/>
      <c r="L38" s="5"/>
      <c r="M38" s="5"/>
      <c r="N38" s="29"/>
      <c r="O38" s="29"/>
      <c r="P38" s="41"/>
      <c r="Q38" s="41"/>
      <c r="R38" s="23"/>
      <c r="S38" s="23"/>
      <c r="T38" s="5"/>
      <c r="U38" s="5"/>
      <c r="V38" s="23"/>
      <c r="W38" s="23"/>
    </row>
    <row r="39" spans="2:28" ht="12.75">
      <c r="B39" s="9" t="s">
        <v>63</v>
      </c>
      <c r="D39" s="9" t="s">
        <v>17</v>
      </c>
      <c r="E39" s="25"/>
      <c r="F39" s="10">
        <v>22567</v>
      </c>
      <c r="G39" s="10"/>
      <c r="H39" s="23"/>
      <c r="I39" s="23"/>
      <c r="J39" s="43"/>
      <c r="K39" s="43"/>
      <c r="L39" s="23"/>
      <c r="M39" s="23"/>
      <c r="N39" s="23"/>
      <c r="O39" s="23"/>
      <c r="P39" s="43"/>
      <c r="Q39" s="43"/>
      <c r="R39" s="43"/>
      <c r="S39" s="43"/>
      <c r="T39" s="23"/>
      <c r="U39" s="23"/>
      <c r="V39" s="23"/>
      <c r="W39" s="23"/>
      <c r="AB39" s="87">
        <f>'emiss 1'!M41</f>
        <v>23082.666666666668</v>
      </c>
    </row>
    <row r="40" spans="2:28" ht="12.75">
      <c r="B40" s="9" t="s">
        <v>64</v>
      </c>
      <c r="D40" s="9" t="s">
        <v>18</v>
      </c>
      <c r="E40" s="25"/>
      <c r="F40" s="10">
        <v>9.166666666666666</v>
      </c>
      <c r="G40" s="10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AB40" s="5">
        <f>'emiss 1'!M42</f>
        <v>9.166666666666666</v>
      </c>
    </row>
    <row r="41" spans="2:23" ht="12.75">
      <c r="B41" s="9"/>
      <c r="D41" s="9"/>
      <c r="E41" s="25"/>
      <c r="F41" s="10"/>
      <c r="G41" s="1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8" ht="12.75">
      <c r="B42" s="9" t="s">
        <v>271</v>
      </c>
      <c r="D42" s="9" t="s">
        <v>70</v>
      </c>
      <c r="E42" s="25"/>
      <c r="F42" s="3"/>
      <c r="G42" s="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AB42" s="87">
        <f>AB39*60/9000*(21-AB40)/21</f>
        <v>86.7126631393298</v>
      </c>
    </row>
    <row r="43" spans="2:23" ht="12.75">
      <c r="B43" s="9"/>
      <c r="C43" s="9"/>
      <c r="D43" s="9"/>
      <c r="E43" s="25"/>
      <c r="F43" s="10"/>
      <c r="G43" s="1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ht="12.75">
      <c r="B44" s="33" t="s">
        <v>65</v>
      </c>
      <c r="C44" s="9"/>
      <c r="D44" s="9"/>
      <c r="E44" s="23"/>
      <c r="F44" s="10"/>
      <c r="G44" s="10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2:28" ht="12.75">
      <c r="B45" s="9" t="s">
        <v>23</v>
      </c>
      <c r="C45" s="9"/>
      <c r="D45" s="9" t="s">
        <v>32</v>
      </c>
      <c r="E45" s="23"/>
      <c r="F45" s="10">
        <f>F16*454/60/0.0283/$F$39*(21-7)/(21-$F$40)*1000</f>
        <v>7162.85526125469</v>
      </c>
      <c r="G45" s="10"/>
      <c r="H45" s="10">
        <f>H16*454/60/0.0283/$F$39*(21-7)/(21-$F$40)*1000</f>
        <v>7709.531103111702</v>
      </c>
      <c r="I45" s="10"/>
      <c r="J45" s="10">
        <f>J16*454/60/0.0283/$F$39*(21-7)/(21-$F$40)*1000</f>
        <v>3700.5749294936168</v>
      </c>
      <c r="K45" s="10"/>
      <c r="L45" s="10">
        <f>AVERAGE(J45,H45,F45)</f>
        <v>6190.987097953337</v>
      </c>
      <c r="M45" s="10"/>
      <c r="N45" s="10"/>
      <c r="O45" s="10"/>
      <c r="P45" s="10"/>
      <c r="Q45" s="10"/>
      <c r="R45" s="10"/>
      <c r="S45" s="10"/>
      <c r="T45" s="10"/>
      <c r="U45" s="10"/>
      <c r="V45" s="26">
        <f>N45+F45</f>
        <v>7162.85526125469</v>
      </c>
      <c r="W45" s="23"/>
      <c r="X45" s="26">
        <f>P45+H45</f>
        <v>7709.531103111702</v>
      </c>
      <c r="Z45" s="26">
        <f>R45+J45</f>
        <v>3700.5749294936168</v>
      </c>
      <c r="AB45" s="26">
        <f>T45+L45</f>
        <v>6190.987097953337</v>
      </c>
    </row>
    <row r="46" spans="2:28" ht="12.75">
      <c r="B46" s="9" t="s">
        <v>67</v>
      </c>
      <c r="C46" s="9"/>
      <c r="D46" s="9" t="s">
        <v>29</v>
      </c>
      <c r="E46" s="23"/>
      <c r="F46" s="10">
        <f>F17*454/60/0.0283/$F$39*(21-7)/(21-$F$40)*1000000</f>
        <v>119007.1255734879</v>
      </c>
      <c r="G46" s="10"/>
      <c r="H46" s="10">
        <f>H17*454/60/0.0283/$F$39*(21-7)/(21-$F$40)*1000000</f>
        <v>121810.59142916488</v>
      </c>
      <c r="I46" s="10"/>
      <c r="J46" s="10">
        <f aca="true" t="shared" si="0" ref="J46:J66">J17*454/60/0.0283/$F$39*(21-7)/(21-$F$40)*1000000</f>
        <v>62937.80845994826</v>
      </c>
      <c r="K46" s="10"/>
      <c r="L46" s="10">
        <f aca="true" t="shared" si="1" ref="L46:L69">AVERAGE(J46,H46,F46)</f>
        <v>101251.84182086702</v>
      </c>
      <c r="M46" s="10"/>
      <c r="N46" s="10">
        <f>N17*454/60/0.0283/$F$39*(21-7)/(21-$F$40)*1000000</f>
        <v>604707.5850695252</v>
      </c>
      <c r="O46" s="10"/>
      <c r="P46" s="10">
        <f>P17*454/60/0.0283/$F$39*(21-7)/(21-$F$40)*1000000</f>
        <v>624612.1926448317</v>
      </c>
      <c r="Q46" s="10"/>
      <c r="R46" s="10">
        <f>R17*454/60/0.0283/$F$39*(21-7)/(21-$F$40)*1000000</f>
        <v>616622.3149561522</v>
      </c>
      <c r="S46" s="10"/>
      <c r="T46" s="10">
        <f>AVERAGE(R46,P46,N46)</f>
        <v>615314.0308901697</v>
      </c>
      <c r="U46" s="10"/>
      <c r="V46" s="26">
        <f>N46+F46</f>
        <v>723714.710643013</v>
      </c>
      <c r="W46" s="23"/>
      <c r="X46" s="26">
        <f>P46+H46</f>
        <v>746422.7840739966</v>
      </c>
      <c r="Z46" s="26">
        <f>R46+J46</f>
        <v>679560.1234161005</v>
      </c>
      <c r="AB46" s="26">
        <f>T46+L46</f>
        <v>716565.8727110367</v>
      </c>
    </row>
    <row r="47" spans="2:29" ht="12.75">
      <c r="B47" s="8" t="s">
        <v>147</v>
      </c>
      <c r="D47" s="9" t="s">
        <v>29</v>
      </c>
      <c r="F47" s="10">
        <f aca="true" t="shared" si="2" ref="F47:H66">F18*454/60/0.0283/$F$39*(21-7)/(21-$F$40)*1000000</f>
        <v>4345.3720762993225</v>
      </c>
      <c r="G47" s="3"/>
      <c r="H47" s="10">
        <f t="shared" si="2"/>
        <v>4345.3720762993225</v>
      </c>
      <c r="J47" s="10">
        <f t="shared" si="0"/>
        <v>2803.4658556769823</v>
      </c>
      <c r="K47" s="56"/>
      <c r="L47" s="10">
        <f t="shared" si="1"/>
        <v>3831.403336091875</v>
      </c>
      <c r="M47"/>
      <c r="N47" s="56"/>
      <c r="O47"/>
      <c r="P47" s="56"/>
      <c r="Q47"/>
      <c r="R47" s="56"/>
      <c r="S47" s="56"/>
      <c r="T47" s="5"/>
      <c r="U47" s="5"/>
      <c r="V47" s="26">
        <f aca="true" t="shared" si="3" ref="V47:V66">N47+F47</f>
        <v>4345.3720762993225</v>
      </c>
      <c r="W47" s="23"/>
      <c r="X47" s="26">
        <f aca="true" t="shared" si="4" ref="X47:X66">P47+H47</f>
        <v>4345.3720762993225</v>
      </c>
      <c r="Z47" s="26">
        <f aca="true" t="shared" si="5" ref="Z47:Z66">R47+J47</f>
        <v>2803.4658556769823</v>
      </c>
      <c r="AB47" s="26">
        <f aca="true" t="shared" si="6" ref="AB47:AB66">T47+L47</f>
        <v>3831.403336091875</v>
      </c>
      <c r="AC47" s="64"/>
    </row>
    <row r="48" spans="2:29" ht="12.75">
      <c r="B48" s="8" t="s">
        <v>61</v>
      </c>
      <c r="D48" s="9" t="s">
        <v>29</v>
      </c>
      <c r="F48" s="10">
        <f t="shared" si="2"/>
        <v>252.31192701092837</v>
      </c>
      <c r="G48" s="3"/>
      <c r="H48" s="10">
        <f t="shared" si="2"/>
        <v>252.31192701092837</v>
      </c>
      <c r="J48" s="10">
        <f t="shared" si="0"/>
        <v>252.31192701092837</v>
      </c>
      <c r="K48" s="56"/>
      <c r="L48" s="10">
        <f t="shared" si="1"/>
        <v>252.31192701092837</v>
      </c>
      <c r="M48"/>
      <c r="N48" s="56"/>
      <c r="O48"/>
      <c r="P48" s="56"/>
      <c r="Q48"/>
      <c r="R48" s="56"/>
      <c r="S48" s="56"/>
      <c r="T48" s="5"/>
      <c r="U48" s="5"/>
      <c r="V48" s="26">
        <f t="shared" si="3"/>
        <v>252.31192701092837</v>
      </c>
      <c r="W48" s="23"/>
      <c r="X48" s="26">
        <f t="shared" si="4"/>
        <v>252.31192701092837</v>
      </c>
      <c r="Z48" s="26">
        <f t="shared" si="5"/>
        <v>252.31192701092837</v>
      </c>
      <c r="AB48" s="26">
        <f t="shared" si="6"/>
        <v>252.31192701092837</v>
      </c>
      <c r="AC48" s="64"/>
    </row>
    <row r="49" spans="2:29" ht="12.75">
      <c r="B49" s="8" t="s">
        <v>59</v>
      </c>
      <c r="D49" s="9" t="s">
        <v>29</v>
      </c>
      <c r="F49" s="10">
        <f t="shared" si="2"/>
        <v>72.89011224760154</v>
      </c>
      <c r="G49" s="3"/>
      <c r="H49" s="10">
        <f t="shared" si="2"/>
        <v>72.89011224760154</v>
      </c>
      <c r="J49" s="10">
        <f t="shared" si="0"/>
        <v>72.89011224760154</v>
      </c>
      <c r="K49" s="56"/>
      <c r="L49" s="10">
        <f t="shared" si="1"/>
        <v>72.89011224760154</v>
      </c>
      <c r="M49"/>
      <c r="N49" s="56"/>
      <c r="O49"/>
      <c r="P49" s="56"/>
      <c r="Q49"/>
      <c r="R49" s="56"/>
      <c r="S49" s="56"/>
      <c r="T49" s="5"/>
      <c r="U49" s="5"/>
      <c r="V49" s="26">
        <f t="shared" si="3"/>
        <v>72.89011224760154</v>
      </c>
      <c r="W49" s="23"/>
      <c r="X49" s="26">
        <f t="shared" si="4"/>
        <v>72.89011224760154</v>
      </c>
      <c r="Z49" s="26">
        <f t="shared" si="5"/>
        <v>72.89011224760154</v>
      </c>
      <c r="AB49" s="26">
        <f t="shared" si="6"/>
        <v>72.89011224760154</v>
      </c>
      <c r="AC49" s="64"/>
    </row>
    <row r="50" spans="2:29" ht="12.75">
      <c r="B50" s="8" t="s">
        <v>120</v>
      </c>
      <c r="D50" s="9" t="s">
        <v>29</v>
      </c>
      <c r="F50" s="10">
        <f t="shared" si="2"/>
        <v>16.82079513406189</v>
      </c>
      <c r="G50" s="3"/>
      <c r="H50" s="10">
        <f t="shared" si="2"/>
        <v>16.82079513406189</v>
      </c>
      <c r="J50" s="10">
        <f t="shared" si="0"/>
        <v>40.65025490731624</v>
      </c>
      <c r="K50" s="56"/>
      <c r="L50" s="10">
        <f t="shared" si="1"/>
        <v>24.76394839181334</v>
      </c>
      <c r="M50"/>
      <c r="N50" s="56"/>
      <c r="O50"/>
      <c r="P50" s="56"/>
      <c r="Q50"/>
      <c r="R50" s="56"/>
      <c r="S50" s="56"/>
      <c r="T50" s="5"/>
      <c r="U50" s="5"/>
      <c r="V50" s="26">
        <f t="shared" si="3"/>
        <v>16.82079513406189</v>
      </c>
      <c r="W50" s="23"/>
      <c r="X50" s="26">
        <f t="shared" si="4"/>
        <v>16.82079513406189</v>
      </c>
      <c r="Z50" s="26">
        <f t="shared" si="5"/>
        <v>40.65025490731624</v>
      </c>
      <c r="AB50" s="26">
        <f t="shared" si="6"/>
        <v>24.76394839181334</v>
      </c>
      <c r="AC50" s="64"/>
    </row>
    <row r="51" spans="2:29" ht="12.75">
      <c r="B51" s="8" t="s">
        <v>121</v>
      </c>
      <c r="D51" s="9" t="s">
        <v>29</v>
      </c>
      <c r="F51" s="10">
        <f t="shared" si="2"/>
        <v>29.436391484608308</v>
      </c>
      <c r="G51" s="3"/>
      <c r="H51" s="10">
        <f t="shared" si="2"/>
        <v>29.436391484608308</v>
      </c>
      <c r="J51" s="10">
        <f t="shared" si="0"/>
        <v>29.436391484608308</v>
      </c>
      <c r="K51" s="56"/>
      <c r="L51" s="10">
        <f t="shared" si="1"/>
        <v>29.436391484608308</v>
      </c>
      <c r="M51"/>
      <c r="N51" s="56"/>
      <c r="O51"/>
      <c r="P51" s="56"/>
      <c r="Q51"/>
      <c r="R51" s="56"/>
      <c r="S51" s="56"/>
      <c r="T51" s="5"/>
      <c r="U51" s="5"/>
      <c r="V51" s="26">
        <f t="shared" si="3"/>
        <v>29.436391484608308</v>
      </c>
      <c r="W51" s="23"/>
      <c r="X51" s="26">
        <f t="shared" si="4"/>
        <v>29.436391484608308</v>
      </c>
      <c r="Z51" s="26">
        <f t="shared" si="5"/>
        <v>29.436391484608308</v>
      </c>
      <c r="AB51" s="26">
        <f t="shared" si="6"/>
        <v>29.436391484608308</v>
      </c>
      <c r="AC51" s="64"/>
    </row>
    <row r="52" spans="2:29" ht="12.75">
      <c r="B52" s="8" t="s">
        <v>60</v>
      </c>
      <c r="D52" s="9" t="s">
        <v>29</v>
      </c>
      <c r="F52" s="10">
        <f t="shared" si="2"/>
        <v>33.64159026812378</v>
      </c>
      <c r="G52" s="3"/>
      <c r="H52" s="10">
        <f t="shared" si="2"/>
        <v>33.64159026812378</v>
      </c>
      <c r="J52" s="10">
        <f t="shared" si="0"/>
        <v>33.64159026812378</v>
      </c>
      <c r="K52" s="56"/>
      <c r="L52" s="10">
        <f t="shared" si="1"/>
        <v>33.64159026812378</v>
      </c>
      <c r="M52"/>
      <c r="N52" s="56"/>
      <c r="O52"/>
      <c r="P52" s="56"/>
      <c r="Q52"/>
      <c r="R52" s="56"/>
      <c r="S52" s="56"/>
      <c r="T52" s="5"/>
      <c r="U52" s="5"/>
      <c r="V52" s="26">
        <f t="shared" si="3"/>
        <v>33.64159026812378</v>
      </c>
      <c r="W52" s="23"/>
      <c r="X52" s="26">
        <f t="shared" si="4"/>
        <v>33.64159026812378</v>
      </c>
      <c r="Z52" s="26">
        <f t="shared" si="5"/>
        <v>33.64159026812378</v>
      </c>
      <c r="AB52" s="26">
        <f t="shared" si="6"/>
        <v>33.64159026812378</v>
      </c>
      <c r="AC52" s="64"/>
    </row>
    <row r="53" spans="2:29" ht="12.75">
      <c r="B53" s="8" t="s">
        <v>52</v>
      </c>
      <c r="D53" s="9" t="s">
        <v>29</v>
      </c>
      <c r="F53" s="10">
        <f t="shared" si="2"/>
        <v>36.44505612380077</v>
      </c>
      <c r="G53" s="3"/>
      <c r="H53" s="10">
        <f t="shared" si="2"/>
        <v>42.05198783515473</v>
      </c>
      <c r="J53" s="10">
        <f t="shared" si="0"/>
        <v>79.89877688679401</v>
      </c>
      <c r="K53" s="56"/>
      <c r="L53" s="10">
        <f t="shared" si="1"/>
        <v>52.79860694858317</v>
      </c>
      <c r="M53"/>
      <c r="N53" s="56"/>
      <c r="O53"/>
      <c r="P53" s="56"/>
      <c r="Q53"/>
      <c r="R53" s="56"/>
      <c r="S53" s="56"/>
      <c r="T53" s="5"/>
      <c r="U53" s="5"/>
      <c r="V53" s="26">
        <f t="shared" si="3"/>
        <v>36.44505612380077</v>
      </c>
      <c r="W53" s="23"/>
      <c r="X53" s="26">
        <f t="shared" si="4"/>
        <v>42.05198783515473</v>
      </c>
      <c r="Z53" s="26">
        <f t="shared" si="5"/>
        <v>79.89877688679401</v>
      </c>
      <c r="AB53" s="26">
        <f t="shared" si="6"/>
        <v>52.79860694858317</v>
      </c>
      <c r="AC53" s="64"/>
    </row>
    <row r="54" spans="2:29" ht="12.75">
      <c r="B54" s="8" t="s">
        <v>148</v>
      </c>
      <c r="D54" s="9" t="s">
        <v>29</v>
      </c>
      <c r="F54" s="10">
        <f t="shared" si="2"/>
        <v>50.46238540218568</v>
      </c>
      <c r="G54" s="3"/>
      <c r="H54" s="10">
        <f t="shared" si="2"/>
        <v>50.46238540218568</v>
      </c>
      <c r="J54" s="10">
        <f t="shared" si="0"/>
        <v>50.46238540218568</v>
      </c>
      <c r="K54" s="56"/>
      <c r="L54" s="10">
        <f t="shared" si="1"/>
        <v>50.46238540218568</v>
      </c>
      <c r="M54"/>
      <c r="N54" s="56"/>
      <c r="O54"/>
      <c r="P54" s="56"/>
      <c r="Q54"/>
      <c r="R54" s="56"/>
      <c r="S54" s="56"/>
      <c r="T54" s="5"/>
      <c r="U54" s="5"/>
      <c r="V54" s="26">
        <f t="shared" si="3"/>
        <v>50.46238540218568</v>
      </c>
      <c r="W54" s="23"/>
      <c r="X54" s="26">
        <f t="shared" si="4"/>
        <v>50.46238540218568</v>
      </c>
      <c r="Z54" s="26">
        <f t="shared" si="5"/>
        <v>50.46238540218568</v>
      </c>
      <c r="AB54" s="26">
        <f t="shared" si="6"/>
        <v>50.46238540218568</v>
      </c>
      <c r="AC54" s="64"/>
    </row>
    <row r="55" spans="2:29" ht="12.75">
      <c r="B55" s="8" t="s">
        <v>149</v>
      </c>
      <c r="D55" s="9" t="s">
        <v>29</v>
      </c>
      <c r="F55" s="10">
        <f t="shared" si="2"/>
        <v>364.45056123800765</v>
      </c>
      <c r="G55" s="3"/>
      <c r="H55" s="10">
        <f t="shared" si="2"/>
        <v>154.190622062234</v>
      </c>
      <c r="J55" s="10">
        <f t="shared" si="0"/>
        <v>280.3465855676983</v>
      </c>
      <c r="K55" s="56"/>
      <c r="L55" s="10">
        <f t="shared" si="1"/>
        <v>266.3292562893133</v>
      </c>
      <c r="M55"/>
      <c r="N55" s="56"/>
      <c r="O55"/>
      <c r="P55" s="56"/>
      <c r="Q55"/>
      <c r="R55" s="56"/>
      <c r="S55" s="56"/>
      <c r="T55" s="5"/>
      <c r="U55" s="5"/>
      <c r="V55" s="26">
        <f t="shared" si="3"/>
        <v>364.45056123800765</v>
      </c>
      <c r="W55" s="23"/>
      <c r="X55" s="26">
        <f t="shared" si="4"/>
        <v>154.190622062234</v>
      </c>
      <c r="Z55" s="26">
        <f t="shared" si="5"/>
        <v>280.3465855676983</v>
      </c>
      <c r="AB55" s="26">
        <f t="shared" si="6"/>
        <v>266.3292562893133</v>
      </c>
      <c r="AC55" s="64"/>
    </row>
    <row r="56" spans="2:29" ht="12.75">
      <c r="B56" s="8" t="s">
        <v>150</v>
      </c>
      <c r="D56" s="9" t="s">
        <v>29</v>
      </c>
      <c r="F56" s="10">
        <f t="shared" si="2"/>
        <v>4205.198783515473</v>
      </c>
      <c r="G56" s="3"/>
      <c r="H56" s="10">
        <f t="shared" si="2"/>
        <v>4205.198783515473</v>
      </c>
      <c r="J56" s="10">
        <f t="shared" si="0"/>
        <v>2242.7726845415864</v>
      </c>
      <c r="K56" s="56"/>
      <c r="L56" s="10">
        <f t="shared" si="1"/>
        <v>3551.056750524178</v>
      </c>
      <c r="M56"/>
      <c r="N56" s="56"/>
      <c r="O56"/>
      <c r="P56" s="56"/>
      <c r="Q56"/>
      <c r="R56" s="56"/>
      <c r="S56" s="56"/>
      <c r="T56" s="5"/>
      <c r="U56" s="5"/>
      <c r="V56" s="26">
        <f t="shared" si="3"/>
        <v>4205.198783515473</v>
      </c>
      <c r="W56" s="23"/>
      <c r="X56" s="26">
        <f t="shared" si="4"/>
        <v>4205.198783515473</v>
      </c>
      <c r="Z56" s="26">
        <f t="shared" si="5"/>
        <v>2242.7726845415864</v>
      </c>
      <c r="AB56" s="26">
        <f t="shared" si="6"/>
        <v>3551.056750524178</v>
      </c>
      <c r="AC56" s="64"/>
    </row>
    <row r="57" spans="2:29" ht="12.75">
      <c r="B57" s="8" t="s">
        <v>48</v>
      </c>
      <c r="D57" s="9" t="s">
        <v>29</v>
      </c>
      <c r="F57" s="10">
        <f t="shared" si="2"/>
        <v>40.65025490731624</v>
      </c>
      <c r="G57" s="3"/>
      <c r="H57" s="10">
        <f t="shared" si="2"/>
        <v>40.65025490731624</v>
      </c>
      <c r="J57" s="10">
        <f t="shared" si="0"/>
        <v>40.65025490731624</v>
      </c>
      <c r="K57" s="56"/>
      <c r="L57" s="10">
        <f t="shared" si="1"/>
        <v>40.65025490731624</v>
      </c>
      <c r="M57"/>
      <c r="N57" s="56"/>
      <c r="O57"/>
      <c r="P57" s="56"/>
      <c r="Q57"/>
      <c r="R57" s="56"/>
      <c r="S57" s="56"/>
      <c r="T57" s="5"/>
      <c r="U57" s="5"/>
      <c r="V57" s="26">
        <f t="shared" si="3"/>
        <v>40.65025490731624</v>
      </c>
      <c r="W57" s="23"/>
      <c r="X57" s="26">
        <f t="shared" si="4"/>
        <v>40.65025490731624</v>
      </c>
      <c r="Z57" s="26">
        <f t="shared" si="5"/>
        <v>40.65025490731624</v>
      </c>
      <c r="AB57" s="26">
        <f t="shared" si="6"/>
        <v>40.65025490731624</v>
      </c>
      <c r="AC57" s="64"/>
    </row>
    <row r="58" spans="2:29" ht="12.75">
      <c r="B58" s="8" t="s">
        <v>151</v>
      </c>
      <c r="D58" s="9" t="s">
        <v>29</v>
      </c>
      <c r="F58" s="10">
        <f t="shared" si="2"/>
        <v>78.4970439589555</v>
      </c>
      <c r="G58" s="3"/>
      <c r="H58" s="10">
        <f t="shared" si="2"/>
        <v>120.5490317941102</v>
      </c>
      <c r="J58" s="10">
        <f t="shared" si="0"/>
        <v>47.65891954650869</v>
      </c>
      <c r="K58" s="56"/>
      <c r="L58" s="10">
        <f t="shared" si="1"/>
        <v>82.23499843319148</v>
      </c>
      <c r="M58"/>
      <c r="N58" s="56"/>
      <c r="O58"/>
      <c r="P58" s="56"/>
      <c r="Q58"/>
      <c r="R58" s="56"/>
      <c r="S58" s="56"/>
      <c r="T58" s="5"/>
      <c r="U58" s="5"/>
      <c r="V58" s="26">
        <f t="shared" si="3"/>
        <v>78.4970439589555</v>
      </c>
      <c r="W58" s="23"/>
      <c r="X58" s="26">
        <f t="shared" si="4"/>
        <v>120.5490317941102</v>
      </c>
      <c r="Z58" s="26">
        <f t="shared" si="5"/>
        <v>47.65891954650869</v>
      </c>
      <c r="AB58" s="26">
        <f t="shared" si="6"/>
        <v>82.23499843319148</v>
      </c>
      <c r="AC58" s="64"/>
    </row>
    <row r="59" spans="2:29" ht="12.75">
      <c r="B59" s="8" t="s">
        <v>129</v>
      </c>
      <c r="D59" s="9" t="s">
        <v>29</v>
      </c>
      <c r="F59" s="10">
        <f t="shared" si="2"/>
        <v>7.569357810327853</v>
      </c>
      <c r="G59" s="3"/>
      <c r="H59" s="10">
        <f t="shared" si="2"/>
        <v>7.569357810327853</v>
      </c>
      <c r="J59" s="10">
        <f t="shared" si="0"/>
        <v>7.569357810327853</v>
      </c>
      <c r="K59" s="56"/>
      <c r="L59" s="10">
        <f t="shared" si="1"/>
        <v>7.569357810327854</v>
      </c>
      <c r="M59"/>
      <c r="N59" s="56"/>
      <c r="O59"/>
      <c r="P59" s="56"/>
      <c r="Q59"/>
      <c r="R59" s="56"/>
      <c r="S59" s="56"/>
      <c r="T59" s="5"/>
      <c r="U59" s="5"/>
      <c r="V59" s="26">
        <f t="shared" si="3"/>
        <v>7.569357810327853</v>
      </c>
      <c r="W59" s="23"/>
      <c r="X59" s="26">
        <f t="shared" si="4"/>
        <v>7.569357810327853</v>
      </c>
      <c r="Z59" s="26">
        <f t="shared" si="5"/>
        <v>7.569357810327853</v>
      </c>
      <c r="AB59" s="26">
        <f t="shared" si="6"/>
        <v>7.569357810327854</v>
      </c>
      <c r="AC59" s="64"/>
    </row>
    <row r="60" spans="2:28" ht="12.75">
      <c r="B60" s="8" t="s">
        <v>152</v>
      </c>
      <c r="D60" s="9" t="s">
        <v>29</v>
      </c>
      <c r="F60" s="10">
        <f t="shared" si="2"/>
        <v>210.25993917577367</v>
      </c>
      <c r="H60" s="10">
        <f t="shared" si="2"/>
        <v>210.25993917577367</v>
      </c>
      <c r="J60" s="10">
        <f t="shared" si="0"/>
        <v>210.25993917577367</v>
      </c>
      <c r="K60" s="65"/>
      <c r="L60" s="10">
        <f t="shared" si="1"/>
        <v>210.25993917577367</v>
      </c>
      <c r="N60" s="56"/>
      <c r="P60" s="56"/>
      <c r="Q60" s="56"/>
      <c r="R60" s="56"/>
      <c r="S60" s="56"/>
      <c r="T60" s="5"/>
      <c r="V60" s="26">
        <f t="shared" si="3"/>
        <v>210.25993917577367</v>
      </c>
      <c r="W60" s="23"/>
      <c r="X60" s="26">
        <f t="shared" si="4"/>
        <v>210.25993917577367</v>
      </c>
      <c r="Z60" s="26">
        <f t="shared" si="5"/>
        <v>210.25993917577367</v>
      </c>
      <c r="AB60" s="26">
        <f t="shared" si="6"/>
        <v>210.25993917577367</v>
      </c>
    </row>
    <row r="61" spans="2:28" ht="12.75">
      <c r="B61" s="8" t="s">
        <v>72</v>
      </c>
      <c r="D61" s="9" t="s">
        <v>29</v>
      </c>
      <c r="F61" s="10">
        <f t="shared" si="2"/>
        <v>224.27726845415856</v>
      </c>
      <c r="H61" s="10">
        <f t="shared" si="2"/>
        <v>210.25993917577367</v>
      </c>
      <c r="J61" s="10">
        <f t="shared" si="0"/>
        <v>117.74556593843323</v>
      </c>
      <c r="K61" s="65"/>
      <c r="L61" s="10">
        <f t="shared" si="1"/>
        <v>184.0942578561218</v>
      </c>
      <c r="N61" s="56"/>
      <c r="P61" s="56"/>
      <c r="Q61" s="56"/>
      <c r="R61" s="56"/>
      <c r="S61" s="56"/>
      <c r="T61" s="5"/>
      <c r="V61" s="26">
        <f t="shared" si="3"/>
        <v>224.27726845415856</v>
      </c>
      <c r="W61" s="23"/>
      <c r="X61" s="26">
        <f t="shared" si="4"/>
        <v>210.25993917577367</v>
      </c>
      <c r="Z61" s="26">
        <f t="shared" si="5"/>
        <v>117.74556593843323</v>
      </c>
      <c r="AB61" s="26">
        <f t="shared" si="6"/>
        <v>184.0942578561218</v>
      </c>
    </row>
    <row r="62" spans="2:28" ht="12.75">
      <c r="B62" s="8" t="s">
        <v>122</v>
      </c>
      <c r="D62" s="9" t="s">
        <v>29</v>
      </c>
      <c r="F62" s="10">
        <f t="shared" si="2"/>
        <v>28.03465855676982</v>
      </c>
      <c r="H62" s="10">
        <f t="shared" si="2"/>
        <v>28.03465855676982</v>
      </c>
      <c r="J62" s="10">
        <f t="shared" si="0"/>
        <v>28.03465855676982</v>
      </c>
      <c r="L62" s="10">
        <f t="shared" si="1"/>
        <v>28.034658556769823</v>
      </c>
      <c r="V62" s="26">
        <f t="shared" si="3"/>
        <v>28.03465855676982</v>
      </c>
      <c r="W62" s="23"/>
      <c r="X62" s="26">
        <f t="shared" si="4"/>
        <v>28.03465855676982</v>
      </c>
      <c r="Z62" s="26">
        <f t="shared" si="5"/>
        <v>28.03465855676982</v>
      </c>
      <c r="AB62" s="26">
        <f t="shared" si="6"/>
        <v>28.034658556769823</v>
      </c>
    </row>
    <row r="63" spans="2:28" ht="12.75">
      <c r="B63" s="8" t="s">
        <v>74</v>
      </c>
      <c r="D63" s="9" t="s">
        <v>29</v>
      </c>
      <c r="F63" s="10">
        <f t="shared" si="2"/>
        <v>133.16462814465663</v>
      </c>
      <c r="H63" s="10">
        <f t="shared" si="2"/>
        <v>131.76289521681815</v>
      </c>
      <c r="J63" s="10">
        <f t="shared" si="0"/>
        <v>133.16462814465663</v>
      </c>
      <c r="L63" s="10">
        <f t="shared" si="1"/>
        <v>132.6973838353771</v>
      </c>
      <c r="V63" s="26">
        <f t="shared" si="3"/>
        <v>133.16462814465663</v>
      </c>
      <c r="W63" s="23"/>
      <c r="X63" s="26">
        <f t="shared" si="4"/>
        <v>131.76289521681815</v>
      </c>
      <c r="Z63" s="26">
        <f t="shared" si="5"/>
        <v>133.16462814465663</v>
      </c>
      <c r="AB63" s="26">
        <f t="shared" si="6"/>
        <v>132.6973838353771</v>
      </c>
    </row>
    <row r="64" spans="2:28" ht="12.75">
      <c r="B64" s="8" t="s">
        <v>123</v>
      </c>
      <c r="D64" s="9" t="s">
        <v>29</v>
      </c>
      <c r="F64" s="10">
        <f t="shared" si="2"/>
        <v>126.15596350546419</v>
      </c>
      <c r="H64" s="10">
        <f t="shared" si="2"/>
        <v>124.75423057762568</v>
      </c>
      <c r="J64" s="10">
        <f t="shared" si="0"/>
        <v>126.15596350546419</v>
      </c>
      <c r="L64" s="10">
        <f t="shared" si="1"/>
        <v>125.68871919618469</v>
      </c>
      <c r="V64" s="26">
        <f t="shared" si="3"/>
        <v>126.15596350546419</v>
      </c>
      <c r="W64" s="23"/>
      <c r="X64" s="26">
        <f t="shared" si="4"/>
        <v>124.75423057762568</v>
      </c>
      <c r="Z64" s="26">
        <f t="shared" si="5"/>
        <v>126.15596350546419</v>
      </c>
      <c r="AB64" s="26">
        <f t="shared" si="6"/>
        <v>125.68871919618469</v>
      </c>
    </row>
    <row r="65" spans="2:28" ht="12.75">
      <c r="B65" s="8" t="s">
        <v>153</v>
      </c>
      <c r="D65" s="9" t="s">
        <v>29</v>
      </c>
      <c r="F65" s="10">
        <f t="shared" si="2"/>
        <v>364.45056123800765</v>
      </c>
      <c r="H65" s="10">
        <f t="shared" si="2"/>
        <v>364.45056123800765</v>
      </c>
      <c r="J65" s="10">
        <f t="shared" si="0"/>
        <v>364.45056123800765</v>
      </c>
      <c r="L65" s="10">
        <f t="shared" si="1"/>
        <v>364.45056123800765</v>
      </c>
      <c r="V65" s="26">
        <f t="shared" si="3"/>
        <v>364.45056123800765</v>
      </c>
      <c r="W65" s="23"/>
      <c r="X65" s="26">
        <f t="shared" si="4"/>
        <v>364.45056123800765</v>
      </c>
      <c r="Z65" s="26">
        <f t="shared" si="5"/>
        <v>364.45056123800765</v>
      </c>
      <c r="AB65" s="26">
        <f t="shared" si="6"/>
        <v>364.45056123800765</v>
      </c>
    </row>
    <row r="66" spans="2:28" ht="12.75">
      <c r="B66" s="8" t="s">
        <v>154</v>
      </c>
      <c r="D66" s="9" t="s">
        <v>29</v>
      </c>
      <c r="F66" s="10">
        <f t="shared" si="2"/>
        <v>406.5025490731624</v>
      </c>
      <c r="H66" s="10">
        <f t="shared" si="2"/>
        <v>392.4852197947775</v>
      </c>
      <c r="J66" s="10">
        <f t="shared" si="0"/>
        <v>280.3465855676983</v>
      </c>
      <c r="L66" s="10">
        <f t="shared" si="1"/>
        <v>359.77811814521266</v>
      </c>
      <c r="V66" s="26">
        <f t="shared" si="3"/>
        <v>406.5025490731624</v>
      </c>
      <c r="W66" s="23"/>
      <c r="X66" s="26">
        <f t="shared" si="4"/>
        <v>392.4852197947775</v>
      </c>
      <c r="Z66" s="26">
        <f t="shared" si="5"/>
        <v>280.3465855676983</v>
      </c>
      <c r="AB66" s="26">
        <f t="shared" si="6"/>
        <v>359.77811814521266</v>
      </c>
    </row>
    <row r="68" spans="2:28" ht="12.75">
      <c r="B68" s="2" t="s">
        <v>30</v>
      </c>
      <c r="D68" s="9" t="s">
        <v>29</v>
      </c>
      <c r="F68" s="68">
        <f>F57+F52</f>
        <v>74.29184517544002</v>
      </c>
      <c r="H68" s="68">
        <f>H57+H52</f>
        <v>74.29184517544002</v>
      </c>
      <c r="J68" s="68">
        <f>J57+J52</f>
        <v>74.29184517544002</v>
      </c>
      <c r="L68" s="10">
        <f t="shared" si="1"/>
        <v>74.29184517544002</v>
      </c>
      <c r="V68" s="26">
        <f aca="true" t="shared" si="7" ref="V68:AB69">N68+F68</f>
        <v>74.29184517544002</v>
      </c>
      <c r="X68" s="26">
        <f t="shared" si="7"/>
        <v>74.29184517544002</v>
      </c>
      <c r="Z68" s="26">
        <f t="shared" si="7"/>
        <v>74.29184517544002</v>
      </c>
      <c r="AB68" s="26">
        <f t="shared" si="7"/>
        <v>74.29184517544002</v>
      </c>
    </row>
    <row r="69" spans="2:28" ht="12.75">
      <c r="B69" s="2" t="s">
        <v>31</v>
      </c>
      <c r="D69" s="9" t="s">
        <v>29</v>
      </c>
      <c r="F69" s="68">
        <f>F53+F49+F51</f>
        <v>138.7715598560106</v>
      </c>
      <c r="H69" s="68">
        <f>H53+H49+H51</f>
        <v>144.37849156736456</v>
      </c>
      <c r="J69" s="68">
        <f>J53+J49+J51</f>
        <v>182.22528061900385</v>
      </c>
      <c r="L69" s="10">
        <f t="shared" si="1"/>
        <v>155.125110680793</v>
      </c>
      <c r="V69" s="26">
        <f t="shared" si="7"/>
        <v>138.7715598560106</v>
      </c>
      <c r="X69" s="26">
        <f t="shared" si="7"/>
        <v>144.37849156736456</v>
      </c>
      <c r="Z69" s="26">
        <f t="shared" si="7"/>
        <v>182.22528061900385</v>
      </c>
      <c r="AB69" s="26">
        <f t="shared" si="7"/>
        <v>155.125110680793</v>
      </c>
    </row>
    <row r="72" spans="1:29" ht="12.75">
      <c r="A72" s="3" t="s">
        <v>55</v>
      </c>
      <c r="B72" s="22" t="s">
        <v>178</v>
      </c>
      <c r="C72" s="22" t="s">
        <v>54</v>
      </c>
      <c r="D72" s="9"/>
      <c r="E72" s="23"/>
      <c r="F72" s="40" t="s">
        <v>205</v>
      </c>
      <c r="G72" s="40"/>
      <c r="H72" s="40" t="s">
        <v>206</v>
      </c>
      <c r="I72" s="40"/>
      <c r="J72" s="40" t="s">
        <v>207</v>
      </c>
      <c r="K72" s="40"/>
      <c r="L72" s="40" t="s">
        <v>124</v>
      </c>
      <c r="M72" s="40"/>
      <c r="N72" s="40" t="s">
        <v>205</v>
      </c>
      <c r="O72" s="40"/>
      <c r="P72" s="40" t="s">
        <v>206</v>
      </c>
      <c r="Q72" s="40"/>
      <c r="R72" s="40" t="s">
        <v>207</v>
      </c>
      <c r="S72" s="40"/>
      <c r="T72" s="40" t="s">
        <v>124</v>
      </c>
      <c r="U72" s="40"/>
      <c r="V72" s="40" t="s">
        <v>205</v>
      </c>
      <c r="W72" s="40"/>
      <c r="X72" s="40" t="s">
        <v>206</v>
      </c>
      <c r="Y72" s="40"/>
      <c r="Z72" s="40" t="s">
        <v>207</v>
      </c>
      <c r="AA72" s="40"/>
      <c r="AB72" s="40" t="s">
        <v>124</v>
      </c>
      <c r="AC72" s="23"/>
    </row>
    <row r="73" spans="2:29" ht="12.75">
      <c r="B73" s="22"/>
      <c r="C73" s="22"/>
      <c r="D73" s="9"/>
      <c r="E73" s="23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23"/>
    </row>
    <row r="74" spans="2:29" ht="12.75">
      <c r="B74" s="9" t="s">
        <v>260</v>
      </c>
      <c r="C74" s="9"/>
      <c r="D74" s="9"/>
      <c r="E74" s="23"/>
      <c r="F74" s="4" t="s">
        <v>262</v>
      </c>
      <c r="H74" s="4" t="s">
        <v>262</v>
      </c>
      <c r="J74" s="4" t="s">
        <v>262</v>
      </c>
      <c r="L74" s="4" t="s">
        <v>262</v>
      </c>
      <c r="N74" s="3" t="s">
        <v>264</v>
      </c>
      <c r="P74" s="3" t="s">
        <v>264</v>
      </c>
      <c r="R74" s="3" t="s">
        <v>264</v>
      </c>
      <c r="T74" s="3" t="s">
        <v>264</v>
      </c>
      <c r="V74" s="3" t="s">
        <v>265</v>
      </c>
      <c r="X74" s="3" t="s">
        <v>265</v>
      </c>
      <c r="Z74" s="3" t="s">
        <v>265</v>
      </c>
      <c r="AB74" s="3" t="s">
        <v>265</v>
      </c>
      <c r="AC74" s="23"/>
    </row>
    <row r="75" spans="2:29" ht="12.75">
      <c r="B75" s="9" t="s">
        <v>261</v>
      </c>
      <c r="C75" s="9"/>
      <c r="D75" s="9"/>
      <c r="E75" s="23"/>
      <c r="F75" s="4" t="s">
        <v>263</v>
      </c>
      <c r="H75" s="4" t="s">
        <v>263</v>
      </c>
      <c r="J75" s="4" t="s">
        <v>263</v>
      </c>
      <c r="L75" s="4" t="s">
        <v>263</v>
      </c>
      <c r="N75" s="3" t="s">
        <v>28</v>
      </c>
      <c r="P75" s="3" t="s">
        <v>28</v>
      </c>
      <c r="R75" s="3" t="s">
        <v>28</v>
      </c>
      <c r="T75" s="3" t="s">
        <v>28</v>
      </c>
      <c r="V75" s="3" t="s">
        <v>20</v>
      </c>
      <c r="X75" s="3" t="s">
        <v>20</v>
      </c>
      <c r="Z75" s="3" t="s">
        <v>20</v>
      </c>
      <c r="AB75" s="3" t="s">
        <v>20</v>
      </c>
      <c r="AC75" s="40"/>
    </row>
    <row r="76" spans="2:29" ht="12.75">
      <c r="B76" s="9" t="s">
        <v>269</v>
      </c>
      <c r="C76" s="9"/>
      <c r="D76" s="9"/>
      <c r="E76" s="23"/>
      <c r="F76" s="4" t="s">
        <v>33</v>
      </c>
      <c r="H76" s="4" t="s">
        <v>33</v>
      </c>
      <c r="J76" s="4" t="s">
        <v>33</v>
      </c>
      <c r="L76" s="4" t="s">
        <v>33</v>
      </c>
      <c r="N76" s="3" t="s">
        <v>28</v>
      </c>
      <c r="P76" s="3" t="s">
        <v>28</v>
      </c>
      <c r="R76" s="3" t="s">
        <v>28</v>
      </c>
      <c r="T76" s="3" t="s">
        <v>28</v>
      </c>
      <c r="V76" s="3" t="s">
        <v>20</v>
      </c>
      <c r="X76" s="3" t="s">
        <v>20</v>
      </c>
      <c r="Z76" s="3" t="s">
        <v>20</v>
      </c>
      <c r="AB76" s="3" t="s">
        <v>20</v>
      </c>
      <c r="AC76" s="40"/>
    </row>
    <row r="77" spans="2:29" s="44" customFormat="1" ht="12.75">
      <c r="B77" s="44" t="s">
        <v>22</v>
      </c>
      <c r="E77" s="45"/>
      <c r="F77" s="25" t="s">
        <v>159</v>
      </c>
      <c r="G77" s="25"/>
      <c r="H77" s="25" t="s">
        <v>159</v>
      </c>
      <c r="I77" s="25"/>
      <c r="J77" s="25" t="s">
        <v>159</v>
      </c>
      <c r="K77" s="25"/>
      <c r="L77" s="25" t="s">
        <v>159</v>
      </c>
      <c r="M77" s="25"/>
      <c r="N77" s="25" t="s">
        <v>28</v>
      </c>
      <c r="O77" s="25"/>
      <c r="P77" s="25" t="s">
        <v>28</v>
      </c>
      <c r="Q77" s="25"/>
      <c r="R77" s="25" t="s">
        <v>28</v>
      </c>
      <c r="S77" s="25"/>
      <c r="T77" s="25" t="s">
        <v>28</v>
      </c>
      <c r="U77" s="25"/>
      <c r="V77" s="59" t="s">
        <v>20</v>
      </c>
      <c r="W77" s="59"/>
      <c r="X77" s="59" t="s">
        <v>20</v>
      </c>
      <c r="Y77" s="59"/>
      <c r="Z77" s="59" t="s">
        <v>20</v>
      </c>
      <c r="AA77" s="59"/>
      <c r="AB77" s="59" t="s">
        <v>20</v>
      </c>
      <c r="AC77" s="59"/>
    </row>
    <row r="78" spans="2:29" ht="12.75">
      <c r="B78" s="9" t="s">
        <v>56</v>
      </c>
      <c r="C78" s="9"/>
      <c r="D78" s="9" t="s">
        <v>27</v>
      </c>
      <c r="E78"/>
      <c r="F78" s="4">
        <v>15360</v>
      </c>
      <c r="H78" s="3">
        <v>15360</v>
      </c>
      <c r="J78" s="3">
        <v>15360</v>
      </c>
      <c r="L78" s="10">
        <f>AVERAGE(J78,H78,F78)</f>
        <v>15360</v>
      </c>
      <c r="M78" s="5"/>
      <c r="N78" s="3">
        <v>120.2</v>
      </c>
      <c r="P78" s="3">
        <v>118.4</v>
      </c>
      <c r="R78" s="3">
        <v>124.2</v>
      </c>
      <c r="T78" s="5"/>
      <c r="U78" s="5"/>
      <c r="V78" s="26">
        <f>N78+F78</f>
        <v>15480.2</v>
      </c>
      <c r="X78" s="26">
        <f>P78+H78</f>
        <v>15478.4</v>
      </c>
      <c r="Z78" s="26">
        <f>R78+J78</f>
        <v>15484.2</v>
      </c>
      <c r="AB78" s="26">
        <f>T78+L78</f>
        <v>15360</v>
      </c>
      <c r="AC78" s="5"/>
    </row>
    <row r="79" spans="2:29" ht="12.75">
      <c r="B79" s="9" t="s">
        <v>56</v>
      </c>
      <c r="C79" s="9"/>
      <c r="D79" s="9" t="s">
        <v>160</v>
      </c>
      <c r="E79"/>
      <c r="F79" s="3"/>
      <c r="L79" s="5"/>
      <c r="M79" s="5"/>
      <c r="T79" s="5">
        <v>19250</v>
      </c>
      <c r="U79" s="5"/>
      <c r="AB79" s="5"/>
      <c r="AC79" s="5"/>
    </row>
    <row r="80" spans="2:10" ht="12.75">
      <c r="B80" s="9" t="s">
        <v>131</v>
      </c>
      <c r="C80" s="9"/>
      <c r="D80" s="9" t="s">
        <v>132</v>
      </c>
      <c r="E80"/>
      <c r="F80" s="4">
        <v>1.03</v>
      </c>
      <c r="H80" s="3">
        <v>1.03</v>
      </c>
      <c r="J80" s="3">
        <v>1.04</v>
      </c>
    </row>
    <row r="81" spans="2:10" ht="12.75">
      <c r="B81" s="9" t="s">
        <v>161</v>
      </c>
      <c r="C81" s="9"/>
      <c r="D81" s="9" t="s">
        <v>162</v>
      </c>
      <c r="E81"/>
      <c r="F81" s="4">
        <v>1.92</v>
      </c>
      <c r="H81" s="3">
        <v>1.75</v>
      </c>
      <c r="J81" s="3">
        <v>1.85</v>
      </c>
    </row>
    <row r="82" spans="2:23" ht="12.75">
      <c r="B82" s="9" t="s">
        <v>68</v>
      </c>
      <c r="C82" s="9"/>
      <c r="D82" s="9" t="s">
        <v>163</v>
      </c>
      <c r="E82"/>
      <c r="F82" s="6">
        <v>4940</v>
      </c>
      <c r="G82" s="46"/>
      <c r="H82">
        <v>3320</v>
      </c>
      <c r="I82"/>
      <c r="J82" s="69">
        <v>4220</v>
      </c>
      <c r="K82" s="41"/>
      <c r="L82" s="29"/>
      <c r="M82" s="29"/>
      <c r="N82" s="29"/>
      <c r="O82" s="29"/>
      <c r="P82" s="41"/>
      <c r="Q82" s="41"/>
      <c r="R82" s="23"/>
      <c r="S82" s="23"/>
      <c r="T82" s="23"/>
      <c r="U82" s="23"/>
      <c r="V82" s="23"/>
      <c r="W82" s="23"/>
    </row>
    <row r="83" spans="2:28" ht="12.75">
      <c r="B83" s="9" t="s">
        <v>69</v>
      </c>
      <c r="C83" s="9"/>
      <c r="D83" s="9" t="s">
        <v>70</v>
      </c>
      <c r="E83"/>
      <c r="F83" s="6">
        <v>86.9</v>
      </c>
      <c r="G83" s="46"/>
      <c r="H83">
        <v>86.7</v>
      </c>
      <c r="I83"/>
      <c r="J83" s="69">
        <v>87.8</v>
      </c>
      <c r="K83" s="41"/>
      <c r="L83" s="10">
        <f>AVERAGE(J83,H83,F83)</f>
        <v>87.13333333333333</v>
      </c>
      <c r="M83" s="29"/>
      <c r="N83" s="29"/>
      <c r="O83" s="29"/>
      <c r="P83" s="41"/>
      <c r="Q83" s="41"/>
      <c r="R83" s="23"/>
      <c r="S83" s="23"/>
      <c r="T83" s="23"/>
      <c r="U83" s="23"/>
      <c r="V83" s="26">
        <f>N83+F83</f>
        <v>86.9</v>
      </c>
      <c r="W83" s="23"/>
      <c r="X83" s="26">
        <f>P83+H83</f>
        <v>86.7</v>
      </c>
      <c r="Z83" s="26">
        <f>R83+J83</f>
        <v>87.8</v>
      </c>
      <c r="AB83" s="26">
        <f>T83+L83</f>
        <v>87.13333333333333</v>
      </c>
    </row>
    <row r="84" spans="2:21" ht="12.75">
      <c r="B84" s="9" t="s">
        <v>23</v>
      </c>
      <c r="C84" s="9"/>
      <c r="D84" s="9" t="s">
        <v>27</v>
      </c>
      <c r="E84"/>
      <c r="F84" s="6">
        <v>559</v>
      </c>
      <c r="G84" s="6"/>
      <c r="H84" s="6">
        <v>553</v>
      </c>
      <c r="I84" s="42"/>
      <c r="J84" s="69">
        <v>378</v>
      </c>
      <c r="K84" s="41"/>
      <c r="L84" s="5"/>
      <c r="M84" s="5"/>
      <c r="N84" s="26"/>
      <c r="O84" s="26"/>
      <c r="P84" s="41"/>
      <c r="Q84" s="41"/>
      <c r="R84" s="23"/>
      <c r="S84" s="23"/>
      <c r="T84" s="5"/>
      <c r="U84" s="5"/>
    </row>
    <row r="85" spans="2:23" ht="12.75">
      <c r="B85" s="9" t="s">
        <v>67</v>
      </c>
      <c r="C85" s="9"/>
      <c r="D85" s="9" t="s">
        <v>27</v>
      </c>
      <c r="E85"/>
      <c r="F85" s="6">
        <v>138.55</v>
      </c>
      <c r="G85" s="6"/>
      <c r="H85" s="6">
        <v>60.06</v>
      </c>
      <c r="I85" s="42"/>
      <c r="J85" s="41">
        <v>37.17</v>
      </c>
      <c r="K85" s="41"/>
      <c r="L85" s="5"/>
      <c r="M85" s="5"/>
      <c r="N85" s="29">
        <v>57.7</v>
      </c>
      <c r="O85" s="29"/>
      <c r="P85" s="41">
        <v>56.83</v>
      </c>
      <c r="Q85" s="41"/>
      <c r="R85" s="23">
        <v>59.62</v>
      </c>
      <c r="S85" s="23"/>
      <c r="T85" s="5"/>
      <c r="U85" s="5"/>
      <c r="V85" s="23"/>
      <c r="W85" s="23"/>
    </row>
    <row r="87" spans="2:28" ht="12.75">
      <c r="B87" s="9" t="s">
        <v>63</v>
      </c>
      <c r="D87" s="9" t="s">
        <v>17</v>
      </c>
      <c r="E87" s="25"/>
      <c r="F87" s="10">
        <v>17207</v>
      </c>
      <c r="G87" s="10"/>
      <c r="H87" s="23"/>
      <c r="I87" s="23"/>
      <c r="J87" s="43"/>
      <c r="K87" s="43"/>
      <c r="L87" s="23"/>
      <c r="M87" s="23"/>
      <c r="N87" s="23"/>
      <c r="O87" s="23"/>
      <c r="P87" s="43"/>
      <c r="Q87" s="43"/>
      <c r="R87" s="43"/>
      <c r="S87" s="43"/>
      <c r="T87" s="23"/>
      <c r="U87" s="23"/>
      <c r="V87" s="23"/>
      <c r="W87" s="23"/>
      <c r="AB87" s="3">
        <f>'emiss 1'!M90</f>
        <v>18060</v>
      </c>
    </row>
    <row r="88" spans="2:28" ht="12.75">
      <c r="B88" s="9" t="s">
        <v>64</v>
      </c>
      <c r="D88" s="9" t="s">
        <v>18</v>
      </c>
      <c r="E88" s="25"/>
      <c r="F88" s="10">
        <v>8.7</v>
      </c>
      <c r="G88" s="10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AB88" s="3">
        <f>'emiss 1'!M91</f>
        <v>8.7</v>
      </c>
    </row>
    <row r="89" spans="2:23" ht="12.75">
      <c r="B89" s="9"/>
      <c r="D89" s="9"/>
      <c r="E89" s="25"/>
      <c r="F89" s="10"/>
      <c r="G89" s="10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2:28" ht="12.75">
      <c r="B90" s="9" t="s">
        <v>271</v>
      </c>
      <c r="D90" s="9" t="s">
        <v>70</v>
      </c>
      <c r="E90" s="25"/>
      <c r="F90" s="3"/>
      <c r="G90" s="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AB90" s="87">
        <f>AB87*60/9000*(21-AB88)/21</f>
        <v>70.52000000000001</v>
      </c>
    </row>
    <row r="91" spans="2:23" ht="12.75">
      <c r="B91" s="9"/>
      <c r="C91" s="9"/>
      <c r="D91" s="9"/>
      <c r="E91" s="25"/>
      <c r="F91" s="10"/>
      <c r="G91" s="10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2:23" ht="12.75">
      <c r="B92" s="33" t="s">
        <v>65</v>
      </c>
      <c r="C92" s="9"/>
      <c r="D92" s="9"/>
      <c r="E92" s="23"/>
      <c r="F92" s="10"/>
      <c r="G92" s="10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2:28" ht="12.75">
      <c r="B93" s="9" t="s">
        <v>23</v>
      </c>
      <c r="C93" s="9"/>
      <c r="D93" s="9" t="s">
        <v>32</v>
      </c>
      <c r="E93" s="23"/>
      <c r="F93" s="10">
        <f>F84*454/60/0.0283/$F$87*(21-7)/(21-$F$88)*1000</f>
        <v>9886.617685763182</v>
      </c>
      <c r="G93" s="10"/>
      <c r="H93" s="10">
        <f>H84*454/60/0.0283/$F$87*(21-7)/(21-$F$88)*1000</f>
        <v>9780.500143518855</v>
      </c>
      <c r="I93" s="10"/>
      <c r="J93" s="10">
        <f>J84*454/60/0.0283/$F$87*(21-7)/(21-$F$88)*1000</f>
        <v>6685.405161392635</v>
      </c>
      <c r="K93" s="10"/>
      <c r="L93" s="10">
        <f>AVERAGE(J93,H93,F93)</f>
        <v>8784.174330224889</v>
      </c>
      <c r="M93" s="10"/>
      <c r="N93" s="10"/>
      <c r="O93" s="10"/>
      <c r="P93" s="10"/>
      <c r="Q93" s="10"/>
      <c r="R93" s="10"/>
      <c r="S93" s="10"/>
      <c r="T93" s="10"/>
      <c r="U93" s="10"/>
      <c r="V93" s="26">
        <f>N93+F93</f>
        <v>9886.617685763182</v>
      </c>
      <c r="W93" s="23"/>
      <c r="X93" s="26">
        <f>P93+H93</f>
        <v>9780.500143518855</v>
      </c>
      <c r="Z93" s="26">
        <f>R93+J93</f>
        <v>6685.405161392635</v>
      </c>
      <c r="AB93" s="26">
        <f>T93+L93</f>
        <v>8784.174330224889</v>
      </c>
    </row>
    <row r="94" spans="2:28" ht="12.75">
      <c r="B94" s="9" t="s">
        <v>67</v>
      </c>
      <c r="C94" s="9"/>
      <c r="D94" s="9" t="s">
        <v>29</v>
      </c>
      <c r="E94" s="23"/>
      <c r="F94" s="10">
        <f>F85*454/60/0.0283/$F$87*(21-7)/(21-$F$88)*1000000</f>
        <v>2450430.9129919303</v>
      </c>
      <c r="G94" s="10"/>
      <c r="H94" s="10">
        <f>H85*454/60/0.0283/$F$87*(21-7)/(21-$F$88)*1000000</f>
        <v>1062236.5978657189</v>
      </c>
      <c r="I94" s="10"/>
      <c r="J94" s="10">
        <f>J85*454/60/0.0283/$F$87*(21-7)/(21-$F$88)*1000000</f>
        <v>657398.1742036091</v>
      </c>
      <c r="K94" s="10"/>
      <c r="L94" s="10">
        <f>AVERAGE(J94,H94,F94)</f>
        <v>1390021.8950204195</v>
      </c>
      <c r="M94" s="10"/>
      <c r="N94" s="10">
        <f>N85*454/60/0.0283/$F$87*(21-7)/(21-$F$88)*1000000</f>
        <v>1020497.0312496166</v>
      </c>
      <c r="O94" s="10"/>
      <c r="P94" s="10">
        <f>P85*454/60/0.0283/$F$87*(21-7)/(21-$F$88)*1000000</f>
        <v>1005109.9876241891</v>
      </c>
      <c r="Q94" s="10"/>
      <c r="R94" s="10">
        <f>R85*454/60/0.0283/$F$87*(21-7)/(21-$F$88)*1000000</f>
        <v>1054454.644767801</v>
      </c>
      <c r="S94" s="10"/>
      <c r="T94" s="10">
        <f>AVERAGE(R94,P94,N94)</f>
        <v>1026687.2212138689</v>
      </c>
      <c r="U94" s="10"/>
      <c r="V94" s="26">
        <f>N94+F94</f>
        <v>3470927.944241547</v>
      </c>
      <c r="W94" s="23"/>
      <c r="X94" s="26">
        <f>P94+H94</f>
        <v>2067346.585489908</v>
      </c>
      <c r="Z94" s="26">
        <f>R94+J94</f>
        <v>1711852.8189714102</v>
      </c>
      <c r="AB94" s="26">
        <f>T94+L94</f>
        <v>2416709.1162342886</v>
      </c>
    </row>
    <row r="95" ht="12.75">
      <c r="J95" s="1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235"/>
  <sheetViews>
    <sheetView workbookViewId="0" topLeftCell="B1">
      <selection activeCell="B3" sqref="B3"/>
    </sheetView>
  </sheetViews>
  <sheetFormatPr defaultColWidth="9.140625" defaultRowHeight="12.75"/>
  <cols>
    <col min="1" max="1" width="9.140625" style="78" hidden="1" customWidth="1"/>
    <col min="2" max="2" width="21.00390625" style="78" customWidth="1"/>
    <col min="3" max="3" width="5.140625" style="78" customWidth="1"/>
    <col min="4" max="4" width="8.140625" style="78" customWidth="1"/>
    <col min="5" max="5" width="2.421875" style="78" customWidth="1"/>
    <col min="6" max="6" width="9.421875" style="78" customWidth="1"/>
    <col min="7" max="7" width="2.57421875" style="78" customWidth="1"/>
    <col min="8" max="8" width="10.28125" style="78" customWidth="1"/>
    <col min="9" max="9" width="2.28125" style="78" customWidth="1"/>
    <col min="10" max="10" width="12.00390625" style="78" bestFit="1" customWidth="1"/>
    <col min="11" max="11" width="1.7109375" style="78" customWidth="1"/>
    <col min="12" max="12" width="12.00390625" style="78" bestFit="1" customWidth="1"/>
    <col min="13" max="13" width="1.8515625" style="78" customWidth="1"/>
    <col min="14" max="14" width="12.00390625" style="78" bestFit="1" customWidth="1"/>
    <col min="15" max="15" width="2.140625" style="78" customWidth="1"/>
    <col min="16" max="16" width="12.00390625" style="78" bestFit="1" customWidth="1"/>
    <col min="17" max="17" width="2.421875" style="78" customWidth="1"/>
    <col min="18" max="18" width="12.00390625" style="78" bestFit="1" customWidth="1"/>
    <col min="19" max="19" width="2.28125" style="78" customWidth="1"/>
    <col min="20" max="20" width="12.00390625" style="78" bestFit="1" customWidth="1"/>
    <col min="21" max="21" width="2.421875" style="78" customWidth="1"/>
    <col min="22" max="22" width="12.00390625" style="78" bestFit="1" customWidth="1"/>
    <col min="23" max="23" width="2.57421875" style="78" customWidth="1"/>
    <col min="24" max="24" width="12.00390625" style="78" bestFit="1" customWidth="1"/>
    <col min="25" max="25" width="2.00390625" style="78" customWidth="1"/>
    <col min="26" max="26" width="12.00390625" style="78" bestFit="1" customWidth="1"/>
    <col min="27" max="27" width="2.00390625" style="78" customWidth="1"/>
    <col min="28" max="28" width="12.00390625" style="78" bestFit="1" customWidth="1"/>
    <col min="29" max="29" width="2.57421875" style="78" customWidth="1"/>
    <col min="30" max="30" width="10.7109375" style="78" customWidth="1"/>
    <col min="31" max="31" width="1.8515625" style="78" customWidth="1"/>
    <col min="32" max="32" width="10.28125" style="78" customWidth="1"/>
    <col min="33" max="33" width="2.421875" style="78" customWidth="1"/>
    <col min="34" max="34" width="11.00390625" style="78" customWidth="1"/>
    <col min="35" max="35" width="1.57421875" style="78" customWidth="1"/>
    <col min="36" max="36" width="10.421875" style="78" customWidth="1"/>
    <col min="37" max="37" width="3.00390625" style="78" customWidth="1"/>
    <col min="38" max="38" width="9.140625" style="78" customWidth="1"/>
    <col min="39" max="39" width="2.7109375" style="78" customWidth="1"/>
    <col min="40" max="40" width="9.140625" style="78" customWidth="1"/>
    <col min="41" max="41" width="3.00390625" style="78" customWidth="1"/>
    <col min="42" max="16384" width="9.140625" style="78" customWidth="1"/>
  </cols>
  <sheetData>
    <row r="1" ht="12.75">
      <c r="B1" s="15" t="s">
        <v>227</v>
      </c>
    </row>
    <row r="4" spans="2:36" ht="12.75">
      <c r="B4" s="15" t="s">
        <v>185</v>
      </c>
      <c r="C4" s="15"/>
      <c r="F4" s="81" t="s">
        <v>205</v>
      </c>
      <c r="G4" s="81"/>
      <c r="H4" s="81" t="s">
        <v>206</v>
      </c>
      <c r="I4" s="81"/>
      <c r="J4" s="81" t="s">
        <v>207</v>
      </c>
      <c r="K4" s="81"/>
      <c r="L4" s="81" t="s">
        <v>205</v>
      </c>
      <c r="M4" s="81"/>
      <c r="N4" s="81" t="s">
        <v>206</v>
      </c>
      <c r="O4" s="81"/>
      <c r="P4" s="81" t="s">
        <v>207</v>
      </c>
      <c r="Q4" s="81"/>
      <c r="R4" s="81" t="s">
        <v>205</v>
      </c>
      <c r="S4" s="81"/>
      <c r="T4" s="81" t="s">
        <v>206</v>
      </c>
      <c r="U4" s="81"/>
      <c r="V4" s="81" t="s">
        <v>207</v>
      </c>
      <c r="W4" s="81"/>
      <c r="X4" s="81" t="s">
        <v>205</v>
      </c>
      <c r="Y4" s="81"/>
      <c r="Z4" s="81" t="s">
        <v>206</v>
      </c>
      <c r="AA4" s="81"/>
      <c r="AB4" s="81" t="s">
        <v>207</v>
      </c>
      <c r="AC4" s="81"/>
      <c r="AD4" s="81" t="s">
        <v>205</v>
      </c>
      <c r="AE4" s="81"/>
      <c r="AF4" s="81" t="s">
        <v>206</v>
      </c>
      <c r="AG4" s="81"/>
      <c r="AH4" s="81" t="s">
        <v>207</v>
      </c>
      <c r="AI4" s="81"/>
      <c r="AJ4" s="81" t="s">
        <v>208</v>
      </c>
    </row>
    <row r="5" spans="6:28" ht="12.75"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</row>
    <row r="6" spans="2:36" ht="12.75">
      <c r="B6" s="78" t="s">
        <v>260</v>
      </c>
      <c r="F6" s="79" t="s">
        <v>262</v>
      </c>
      <c r="G6" s="79"/>
      <c r="H6" s="79" t="s">
        <v>262</v>
      </c>
      <c r="I6" s="79"/>
      <c r="J6" s="79" t="s">
        <v>262</v>
      </c>
      <c r="K6" s="79"/>
      <c r="L6" s="79" t="s">
        <v>264</v>
      </c>
      <c r="M6" s="79"/>
      <c r="N6" s="79" t="s">
        <v>264</v>
      </c>
      <c r="O6" s="79"/>
      <c r="P6" s="79" t="s">
        <v>264</v>
      </c>
      <c r="Q6" s="79"/>
      <c r="R6" s="79" t="s">
        <v>265</v>
      </c>
      <c r="S6" s="79"/>
      <c r="T6" s="79" t="s">
        <v>265</v>
      </c>
      <c r="U6" s="79"/>
      <c r="V6" s="79" t="s">
        <v>265</v>
      </c>
      <c r="W6" s="79"/>
      <c r="X6" s="79"/>
      <c r="Y6" s="79"/>
      <c r="Z6" s="79"/>
      <c r="AA6" s="79"/>
      <c r="AB6" s="79"/>
      <c r="AD6" s="78" t="s">
        <v>266</v>
      </c>
      <c r="AF6" s="78" t="s">
        <v>266</v>
      </c>
      <c r="AH6" s="78" t="s">
        <v>266</v>
      </c>
      <c r="AJ6" s="78" t="s">
        <v>266</v>
      </c>
    </row>
    <row r="7" spans="2:36" ht="12.75">
      <c r="B7" s="78" t="s">
        <v>261</v>
      </c>
      <c r="F7" s="79" t="s">
        <v>263</v>
      </c>
      <c r="G7" s="79"/>
      <c r="H7" s="79" t="s">
        <v>263</v>
      </c>
      <c r="I7" s="79"/>
      <c r="J7" s="79" t="s">
        <v>263</v>
      </c>
      <c r="K7" s="79"/>
      <c r="L7" s="79" t="s">
        <v>263</v>
      </c>
      <c r="M7" s="79"/>
      <c r="N7" s="79" t="s">
        <v>263</v>
      </c>
      <c r="O7" s="79"/>
      <c r="P7" s="79" t="s">
        <v>263</v>
      </c>
      <c r="Q7" s="79"/>
      <c r="R7" s="79" t="s">
        <v>263</v>
      </c>
      <c r="S7" s="79"/>
      <c r="T7" s="79" t="s">
        <v>263</v>
      </c>
      <c r="U7" s="79"/>
      <c r="V7" s="79" t="s">
        <v>263</v>
      </c>
      <c r="W7" s="79"/>
      <c r="X7" s="79"/>
      <c r="Y7" s="79"/>
      <c r="Z7" s="79"/>
      <c r="AA7" s="79"/>
      <c r="AB7" s="79"/>
      <c r="AD7" s="78" t="s">
        <v>20</v>
      </c>
      <c r="AF7" s="78" t="s">
        <v>20</v>
      </c>
      <c r="AH7" s="78" t="s">
        <v>20</v>
      </c>
      <c r="AJ7" s="78" t="s">
        <v>20</v>
      </c>
    </row>
    <row r="8" spans="2:36" ht="12.75">
      <c r="B8" s="78" t="s">
        <v>269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 t="s">
        <v>33</v>
      </c>
      <c r="Y8" s="79"/>
      <c r="Z8" s="79" t="s">
        <v>33</v>
      </c>
      <c r="AA8" s="79"/>
      <c r="AB8" s="79" t="s">
        <v>33</v>
      </c>
      <c r="AD8" s="78" t="s">
        <v>20</v>
      </c>
      <c r="AF8" s="78" t="s">
        <v>20</v>
      </c>
      <c r="AH8" s="78" t="s">
        <v>20</v>
      </c>
      <c r="AJ8" s="78" t="s">
        <v>20</v>
      </c>
    </row>
    <row r="9" spans="2:36" ht="12.75">
      <c r="B9" s="78" t="s">
        <v>22</v>
      </c>
      <c r="F9" s="78" t="s">
        <v>213</v>
      </c>
      <c r="H9" s="78" t="s">
        <v>213</v>
      </c>
      <c r="J9" s="78" t="s">
        <v>213</v>
      </c>
      <c r="L9" s="78" t="s">
        <v>214</v>
      </c>
      <c r="N9" s="78" t="s">
        <v>214</v>
      </c>
      <c r="P9" s="78" t="s">
        <v>214</v>
      </c>
      <c r="R9" s="78" t="s">
        <v>213</v>
      </c>
      <c r="T9" s="78" t="s">
        <v>213</v>
      </c>
      <c r="V9" s="78" t="s">
        <v>213</v>
      </c>
      <c r="AD9" s="78" t="s">
        <v>20</v>
      </c>
      <c r="AF9" s="78" t="s">
        <v>20</v>
      </c>
      <c r="AH9" s="78" t="s">
        <v>20</v>
      </c>
      <c r="AJ9" s="78" t="s">
        <v>20</v>
      </c>
    </row>
    <row r="10" spans="1:28" ht="12.75">
      <c r="A10" s="78" t="s">
        <v>185</v>
      </c>
      <c r="B10" s="78" t="s">
        <v>216</v>
      </c>
      <c r="D10" s="78" t="s">
        <v>169</v>
      </c>
      <c r="F10"/>
      <c r="G10"/>
      <c r="H10"/>
      <c r="I10"/>
      <c r="J10"/>
      <c r="K10" s="79"/>
      <c r="L10" s="79">
        <v>41</v>
      </c>
      <c r="M10" s="79"/>
      <c r="N10" s="79">
        <v>40</v>
      </c>
      <c r="O10" s="79"/>
      <c r="P10" s="79">
        <v>40</v>
      </c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1:28" ht="12.75">
      <c r="A11" s="78" t="s">
        <v>185</v>
      </c>
      <c r="B11" s="78" t="s">
        <v>217</v>
      </c>
      <c r="D11" s="78" t="s">
        <v>163</v>
      </c>
      <c r="F11"/>
      <c r="G11"/>
      <c r="H11"/>
      <c r="I11"/>
      <c r="J11"/>
      <c r="K11" s="79"/>
      <c r="L11" s="79">
        <v>0</v>
      </c>
      <c r="M11" s="79"/>
      <c r="N11" s="79">
        <v>0</v>
      </c>
      <c r="O11" s="79"/>
      <c r="P11" s="79">
        <v>0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</row>
    <row r="12" spans="1:28" ht="12.75">
      <c r="A12" s="78" t="s">
        <v>185</v>
      </c>
      <c r="B12" s="78" t="s">
        <v>23</v>
      </c>
      <c r="D12" s="78" t="s">
        <v>218</v>
      </c>
      <c r="F12" s="79">
        <v>0.01</v>
      </c>
      <c r="G12" s="79"/>
      <c r="H12" s="79">
        <v>0.01</v>
      </c>
      <c r="I12" s="79"/>
      <c r="J12" s="79">
        <v>0.01</v>
      </c>
      <c r="K12" s="79"/>
      <c r="L12" s="79">
        <v>2.54</v>
      </c>
      <c r="M12" s="79"/>
      <c r="N12" s="79">
        <v>3.31</v>
      </c>
      <c r="O12" s="79"/>
      <c r="P12" s="79">
        <v>2.38</v>
      </c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</row>
    <row r="13" spans="1:28" ht="12.75">
      <c r="A13" s="78" t="s">
        <v>185</v>
      </c>
      <c r="B13" s="78" t="s">
        <v>67</v>
      </c>
      <c r="D13" s="78" t="s">
        <v>219</v>
      </c>
      <c r="F13" s="79">
        <v>13500</v>
      </c>
      <c r="G13" s="79"/>
      <c r="H13" s="79">
        <v>14400</v>
      </c>
      <c r="I13" s="79"/>
      <c r="J13" s="79">
        <v>13500</v>
      </c>
      <c r="K13" s="79"/>
      <c r="L13" s="79">
        <v>21600</v>
      </c>
      <c r="M13" s="79"/>
      <c r="N13" s="79">
        <v>22300</v>
      </c>
      <c r="O13" s="79"/>
      <c r="P13" s="79">
        <v>21300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</row>
    <row r="14" spans="6:28" ht="12.75"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2:34" ht="12.75">
      <c r="B15" s="78" t="s">
        <v>23</v>
      </c>
      <c r="D15" s="78" t="s">
        <v>27</v>
      </c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D15" s="78">
        <v>540</v>
      </c>
      <c r="AF15" s="78">
        <v>686</v>
      </c>
      <c r="AH15" s="78">
        <v>493</v>
      </c>
    </row>
    <row r="16" spans="2:34" ht="12.75">
      <c r="B16" s="78" t="s">
        <v>67</v>
      </c>
      <c r="D16" s="78" t="s">
        <v>27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D16" s="78">
        <v>459</v>
      </c>
      <c r="AF16" s="78">
        <v>462</v>
      </c>
      <c r="AH16" s="78">
        <v>441</v>
      </c>
    </row>
    <row r="17" spans="6:28" ht="12.75"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2:36" ht="12.75">
      <c r="B18" s="78" t="s">
        <v>63</v>
      </c>
      <c r="D18" s="78" t="s">
        <v>17</v>
      </c>
      <c r="F18" s="79">
        <f>'emiss 2'!G12</f>
        <v>19350</v>
      </c>
      <c r="G18" s="79"/>
      <c r="H18" s="79">
        <f>'emiss 2'!I12</f>
        <v>20250</v>
      </c>
      <c r="I18" s="79"/>
      <c r="J18" s="79">
        <f>'emiss 2'!K12</f>
        <v>19400</v>
      </c>
      <c r="K18" s="79"/>
      <c r="L18" s="79">
        <f>F18</f>
        <v>19350</v>
      </c>
      <c r="M18" s="79"/>
      <c r="N18" s="79">
        <f>H18</f>
        <v>20250</v>
      </c>
      <c r="O18" s="79"/>
      <c r="P18" s="79">
        <f>J18</f>
        <v>19400</v>
      </c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D18" s="78">
        <f>'emiss 2'!G12</f>
        <v>19350</v>
      </c>
      <c r="AF18" s="78">
        <f>'emiss 2'!I12</f>
        <v>20250</v>
      </c>
      <c r="AH18" s="78">
        <f>'emiss 2'!K12</f>
        <v>19400</v>
      </c>
      <c r="AJ18" s="85">
        <f>AVERAGE(AH18,AF18,AD18)</f>
        <v>19666.666666666668</v>
      </c>
    </row>
    <row r="19" spans="2:36" ht="12.75">
      <c r="B19" s="78" t="s">
        <v>64</v>
      </c>
      <c r="D19" s="78" t="s">
        <v>18</v>
      </c>
      <c r="F19" s="80">
        <f>'emiss 2'!G13</f>
        <v>4</v>
      </c>
      <c r="G19" s="79"/>
      <c r="H19" s="80">
        <f>'emiss 2'!I13</f>
        <v>5.1</v>
      </c>
      <c r="I19" s="79"/>
      <c r="J19" s="80">
        <f>'emiss 2'!K13</f>
        <v>4.7</v>
      </c>
      <c r="K19" s="79"/>
      <c r="L19" s="80">
        <f>F19</f>
        <v>4</v>
      </c>
      <c r="M19" s="79"/>
      <c r="N19" s="80">
        <f>H19</f>
        <v>5.1</v>
      </c>
      <c r="O19" s="79"/>
      <c r="P19" s="80">
        <f>J19</f>
        <v>4.7</v>
      </c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D19" s="78">
        <f>'emiss 2'!G13</f>
        <v>4</v>
      </c>
      <c r="AF19" s="78">
        <f>'emiss 2'!I13</f>
        <v>5.1</v>
      </c>
      <c r="AH19" s="78">
        <f>'emiss 2'!K13</f>
        <v>4.7</v>
      </c>
      <c r="AJ19" s="80">
        <f>AVERAGE(AH19,AF19,AD19)</f>
        <v>4.6000000000000005</v>
      </c>
    </row>
    <row r="20" spans="6:28" ht="12.75"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36" ht="12.75">
      <c r="B21" s="78" t="s">
        <v>23</v>
      </c>
      <c r="D21" s="78" t="s">
        <v>32</v>
      </c>
      <c r="F21" s="80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D21" s="80">
        <f>AD15*454/60/0.0283/AD18*(21-7)/(21-AD19)*1000</f>
        <v>6144.832820136025</v>
      </c>
      <c r="AF21" s="80">
        <f>AF15*454/60/0.0283/AF18*(21-7)/(21-AF19)*1000</f>
        <v>7975.320897021851</v>
      </c>
      <c r="AH21" s="80">
        <f>AH15*454/60/0.0283/AH18*(21-7)/(21-AH19)*1000</f>
        <v>5835.845524790444</v>
      </c>
      <c r="AJ21" s="80">
        <f>AVERAGE(AH21,AF21,AD21)</f>
        <v>6651.999747316107</v>
      </c>
    </row>
    <row r="22" spans="2:36" ht="12.75">
      <c r="B22" s="78" t="s">
        <v>67</v>
      </c>
      <c r="D22" s="78" t="s">
        <v>29</v>
      </c>
      <c r="F22" s="80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D22" s="80">
        <f>AD16*454/60/0.0283/AD18*(21-7)/(21-AD19)*1000000</f>
        <v>5223107.897115622</v>
      </c>
      <c r="AF22" s="80">
        <f>AF16*454/60/0.0283/AF18*(21-7)/(21-AF19)*1000000</f>
        <v>5371134.4816677775</v>
      </c>
      <c r="AH22" s="80">
        <f>AH16*454/60/0.0283/AH18*(21-7)/(21-AH19)*1000000</f>
        <v>5220299.952195915</v>
      </c>
      <c r="AJ22" s="80">
        <f>AVERAGE(AH22,AF22,AD22)</f>
        <v>5271514.110326438</v>
      </c>
    </row>
    <row r="23" spans="6:28" ht="12.75"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</row>
    <row r="24" spans="6:28" ht="12.75"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6:28" ht="12.75"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</row>
    <row r="26" spans="2:36" ht="12.75">
      <c r="B26" s="15" t="s">
        <v>191</v>
      </c>
      <c r="C26" s="15"/>
      <c r="F26" s="81" t="s">
        <v>205</v>
      </c>
      <c r="G26" s="81"/>
      <c r="H26" s="81" t="s">
        <v>206</v>
      </c>
      <c r="I26" s="81"/>
      <c r="J26" s="81" t="s">
        <v>207</v>
      </c>
      <c r="K26" s="81"/>
      <c r="L26" s="81" t="s">
        <v>205</v>
      </c>
      <c r="M26" s="81"/>
      <c r="N26" s="81" t="s">
        <v>206</v>
      </c>
      <c r="O26" s="81"/>
      <c r="P26" s="81" t="s">
        <v>207</v>
      </c>
      <c r="Q26" s="81"/>
      <c r="R26" s="81" t="s">
        <v>205</v>
      </c>
      <c r="S26" s="81"/>
      <c r="T26" s="81" t="s">
        <v>206</v>
      </c>
      <c r="U26" s="81"/>
      <c r="V26" s="81" t="s">
        <v>207</v>
      </c>
      <c r="W26" s="81"/>
      <c r="X26" s="81" t="s">
        <v>205</v>
      </c>
      <c r="Y26" s="81"/>
      <c r="Z26" s="81" t="s">
        <v>206</v>
      </c>
      <c r="AA26" s="81"/>
      <c r="AB26" s="81" t="s">
        <v>207</v>
      </c>
      <c r="AC26" s="81"/>
      <c r="AD26" s="81" t="s">
        <v>205</v>
      </c>
      <c r="AE26" s="81"/>
      <c r="AF26" s="81" t="s">
        <v>206</v>
      </c>
      <c r="AG26" s="81"/>
      <c r="AH26" s="81" t="s">
        <v>207</v>
      </c>
      <c r="AI26" s="81"/>
      <c r="AJ26" s="81" t="s">
        <v>208</v>
      </c>
    </row>
    <row r="27" spans="6:28" ht="12.75"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36" ht="12.75">
      <c r="B28" s="78" t="s">
        <v>260</v>
      </c>
      <c r="F28" s="79" t="s">
        <v>262</v>
      </c>
      <c r="G28" s="79"/>
      <c r="H28" s="79" t="s">
        <v>262</v>
      </c>
      <c r="I28" s="79"/>
      <c r="J28" s="79" t="s">
        <v>262</v>
      </c>
      <c r="K28" s="79"/>
      <c r="L28" s="79" t="s">
        <v>264</v>
      </c>
      <c r="M28" s="79"/>
      <c r="N28" s="79" t="s">
        <v>264</v>
      </c>
      <c r="O28" s="79"/>
      <c r="P28" s="79" t="s">
        <v>264</v>
      </c>
      <c r="Q28" s="79"/>
      <c r="R28" s="79" t="s">
        <v>265</v>
      </c>
      <c r="S28" s="79"/>
      <c r="T28" s="79" t="s">
        <v>265</v>
      </c>
      <c r="U28" s="79"/>
      <c r="V28" s="79" t="s">
        <v>265</v>
      </c>
      <c r="W28" s="79"/>
      <c r="X28" s="79"/>
      <c r="Y28" s="79"/>
      <c r="Z28" s="79"/>
      <c r="AA28" s="79"/>
      <c r="AB28" s="79"/>
      <c r="AD28" s="78" t="s">
        <v>266</v>
      </c>
      <c r="AF28" s="78" t="s">
        <v>266</v>
      </c>
      <c r="AH28" s="78" t="s">
        <v>266</v>
      </c>
      <c r="AJ28" s="78" t="s">
        <v>266</v>
      </c>
    </row>
    <row r="29" spans="2:36" ht="12.75">
      <c r="B29" s="78" t="s">
        <v>261</v>
      </c>
      <c r="F29" s="79" t="s">
        <v>263</v>
      </c>
      <c r="G29" s="79"/>
      <c r="H29" s="79" t="s">
        <v>263</v>
      </c>
      <c r="I29" s="79"/>
      <c r="J29" s="79" t="s">
        <v>263</v>
      </c>
      <c r="K29" s="79"/>
      <c r="L29" s="79" t="s">
        <v>263</v>
      </c>
      <c r="M29" s="79"/>
      <c r="N29" s="79" t="s">
        <v>263</v>
      </c>
      <c r="O29" s="79"/>
      <c r="P29" s="79" t="s">
        <v>263</v>
      </c>
      <c r="Q29" s="79"/>
      <c r="R29" s="79" t="s">
        <v>263</v>
      </c>
      <c r="S29" s="79"/>
      <c r="T29" s="79" t="s">
        <v>263</v>
      </c>
      <c r="U29" s="79"/>
      <c r="V29" s="79" t="s">
        <v>263</v>
      </c>
      <c r="W29" s="79"/>
      <c r="X29" s="79"/>
      <c r="Y29" s="79"/>
      <c r="Z29" s="79"/>
      <c r="AA29" s="79"/>
      <c r="AB29" s="79"/>
      <c r="AD29" s="78" t="s">
        <v>20</v>
      </c>
      <c r="AF29" s="78" t="s">
        <v>20</v>
      </c>
      <c r="AH29" s="78" t="s">
        <v>20</v>
      </c>
      <c r="AJ29" s="78" t="s">
        <v>20</v>
      </c>
    </row>
    <row r="30" spans="2:36" ht="12.75">
      <c r="B30" s="78" t="s">
        <v>269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 t="s">
        <v>33</v>
      </c>
      <c r="Y30" s="79"/>
      <c r="Z30" s="79" t="s">
        <v>33</v>
      </c>
      <c r="AA30" s="79"/>
      <c r="AB30" s="79" t="s">
        <v>33</v>
      </c>
      <c r="AD30" s="78" t="s">
        <v>20</v>
      </c>
      <c r="AF30" s="78" t="s">
        <v>20</v>
      </c>
      <c r="AH30" s="78" t="s">
        <v>20</v>
      </c>
      <c r="AJ30" s="78" t="s">
        <v>20</v>
      </c>
    </row>
    <row r="31" spans="2:36" ht="12.75">
      <c r="B31" s="78" t="s">
        <v>22</v>
      </c>
      <c r="F31" s="78" t="s">
        <v>213</v>
      </c>
      <c r="H31" s="78" t="s">
        <v>213</v>
      </c>
      <c r="J31" s="78" t="s">
        <v>213</v>
      </c>
      <c r="L31" s="78" t="s">
        <v>214</v>
      </c>
      <c r="N31" s="78" t="s">
        <v>214</v>
      </c>
      <c r="P31" s="78" t="s">
        <v>214</v>
      </c>
      <c r="R31" s="78" t="s">
        <v>213</v>
      </c>
      <c r="T31" s="78" t="s">
        <v>213</v>
      </c>
      <c r="V31" s="78" t="s">
        <v>213</v>
      </c>
      <c r="AD31" s="78" t="s">
        <v>20</v>
      </c>
      <c r="AF31" s="78" t="s">
        <v>20</v>
      </c>
      <c r="AH31" s="78" t="s">
        <v>20</v>
      </c>
      <c r="AJ31" s="78" t="s">
        <v>20</v>
      </c>
    </row>
    <row r="32" spans="1:28" ht="12.75">
      <c r="A32" s="78" t="s">
        <v>191</v>
      </c>
      <c r="B32" s="78" t="s">
        <v>216</v>
      </c>
      <c r="D32" s="78" t="s">
        <v>27</v>
      </c>
      <c r="F32" s="79">
        <v>1528.479792</v>
      </c>
      <c r="G32" s="79"/>
      <c r="H32" s="79">
        <v>1485.11286</v>
      </c>
      <c r="I32" s="79"/>
      <c r="J32" s="79">
        <v>1531.752768</v>
      </c>
      <c r="K32" s="79"/>
      <c r="L32" s="79">
        <v>19686.30888</v>
      </c>
      <c r="M32" s="79"/>
      <c r="N32" s="79">
        <v>19686.30888</v>
      </c>
      <c r="O32" s="79"/>
      <c r="P32" s="79">
        <v>18687.73032</v>
      </c>
      <c r="Q32" s="79"/>
      <c r="R32" s="79">
        <v>142.165884</v>
      </c>
      <c r="S32" s="79"/>
      <c r="T32" s="79">
        <v>142.358412</v>
      </c>
      <c r="U32" s="79"/>
      <c r="V32" s="79">
        <v>145.35864</v>
      </c>
      <c r="W32" s="79"/>
      <c r="X32" s="79"/>
      <c r="Y32" s="79"/>
      <c r="Z32" s="79"/>
      <c r="AA32" s="79"/>
      <c r="AB32" s="79"/>
    </row>
    <row r="33" spans="1:28" ht="12.75">
      <c r="A33" s="78" t="s">
        <v>191</v>
      </c>
      <c r="B33" s="78" t="s">
        <v>217</v>
      </c>
      <c r="D33" s="78" t="s">
        <v>163</v>
      </c>
      <c r="F33" s="79">
        <v>17280</v>
      </c>
      <c r="G33" s="79"/>
      <c r="H33" s="79">
        <v>16365</v>
      </c>
      <c r="I33" s="79"/>
      <c r="J33" s="79">
        <v>15933</v>
      </c>
      <c r="K33" s="79"/>
      <c r="L33" s="79">
        <v>776</v>
      </c>
      <c r="M33" s="79"/>
      <c r="N33" s="79">
        <v>805</v>
      </c>
      <c r="O33" s="79"/>
      <c r="P33" s="79">
        <v>635</v>
      </c>
      <c r="Q33" s="79"/>
      <c r="R33" s="79">
        <v>6660</v>
      </c>
      <c r="S33" s="79"/>
      <c r="T33" s="79">
        <v>7040</v>
      </c>
      <c r="U33" s="79"/>
      <c r="V33" s="79">
        <v>5827</v>
      </c>
      <c r="W33" s="79"/>
      <c r="X33" s="79"/>
      <c r="Y33" s="79"/>
      <c r="Z33" s="79"/>
      <c r="AA33" s="79"/>
      <c r="AB33" s="79"/>
    </row>
    <row r="34" spans="1:28" ht="12.75">
      <c r="A34" s="78" t="s">
        <v>191</v>
      </c>
      <c r="B34" s="78" t="s">
        <v>23</v>
      </c>
      <c r="D34" s="78" t="s">
        <v>218</v>
      </c>
      <c r="F34" s="79">
        <v>0.07</v>
      </c>
      <c r="G34" s="79"/>
      <c r="H34" s="79">
        <v>0.01</v>
      </c>
      <c r="I34" s="79"/>
      <c r="J34" s="79">
        <v>0.02</v>
      </c>
      <c r="K34" s="79"/>
      <c r="L34" s="79">
        <v>3.22</v>
      </c>
      <c r="M34" s="79"/>
      <c r="N34" s="79">
        <v>3.73</v>
      </c>
      <c r="O34" s="79"/>
      <c r="P34" s="79">
        <v>3.49</v>
      </c>
      <c r="Q34" s="79"/>
      <c r="R34" s="79">
        <v>0.01</v>
      </c>
      <c r="S34" s="79"/>
      <c r="T34" s="79">
        <v>0.02</v>
      </c>
      <c r="U34" s="79"/>
      <c r="V34" s="79">
        <v>0.01</v>
      </c>
      <c r="W34" s="79"/>
      <c r="X34" s="79"/>
      <c r="Y34" s="79"/>
      <c r="Z34" s="79"/>
      <c r="AA34" s="79"/>
      <c r="AB34" s="79"/>
    </row>
    <row r="35" spans="1:28" ht="12.75">
      <c r="A35" s="78" t="s">
        <v>191</v>
      </c>
      <c r="B35" s="78" t="s">
        <v>67</v>
      </c>
      <c r="D35" s="78" t="s">
        <v>219</v>
      </c>
      <c r="F35" s="79">
        <v>13100</v>
      </c>
      <c r="G35" s="79"/>
      <c r="H35" s="79">
        <v>14000</v>
      </c>
      <c r="I35" s="79"/>
      <c r="J35" s="79">
        <v>8900</v>
      </c>
      <c r="K35" s="79"/>
      <c r="L35" s="79">
        <v>23900</v>
      </c>
      <c r="M35" s="79"/>
      <c r="N35" s="79">
        <v>18800</v>
      </c>
      <c r="O35" s="79"/>
      <c r="P35" s="79">
        <v>22300</v>
      </c>
      <c r="Q35" s="79"/>
      <c r="R35" s="79">
        <v>642000</v>
      </c>
      <c r="S35" s="79"/>
      <c r="T35" s="79">
        <v>643000</v>
      </c>
      <c r="U35" s="79"/>
      <c r="V35" s="79">
        <v>746000</v>
      </c>
      <c r="W35" s="79"/>
      <c r="X35" s="79"/>
      <c r="Y35" s="79"/>
      <c r="Z35" s="79"/>
      <c r="AA35" s="79"/>
      <c r="AB35" s="79"/>
    </row>
    <row r="36" spans="6:28" ht="12.75"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34" ht="12.75">
      <c r="B37" s="78" t="s">
        <v>23</v>
      </c>
      <c r="D37" s="78" t="s">
        <v>27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D37" s="78">
        <v>633</v>
      </c>
      <c r="AF37" s="78">
        <v>732</v>
      </c>
      <c r="AH37" s="78">
        <v>651</v>
      </c>
    </row>
    <row r="38" spans="2:34" ht="12.75">
      <c r="B38" s="78" t="s">
        <v>67</v>
      </c>
      <c r="D38" s="78" t="s">
        <v>27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D38" s="78">
        <v>581</v>
      </c>
      <c r="AF38" s="78">
        <v>482</v>
      </c>
      <c r="AH38" s="78">
        <v>530</v>
      </c>
    </row>
    <row r="39" spans="6:28" ht="12.75"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</row>
    <row r="40" spans="2:34" ht="12.75">
      <c r="B40" s="78" t="s">
        <v>63</v>
      </c>
      <c r="D40" s="78" t="s">
        <v>17</v>
      </c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D40" s="78">
        <f>'emiss 2'!G27</f>
        <v>19616.6667</v>
      </c>
      <c r="AF40" s="78">
        <f>'emiss 2'!I27</f>
        <v>20450</v>
      </c>
      <c r="AH40" s="78">
        <f>'emiss 2'!K27</f>
        <v>19733.3333</v>
      </c>
    </row>
    <row r="41" spans="2:34" ht="12.75">
      <c r="B41" s="78" t="s">
        <v>64</v>
      </c>
      <c r="D41" s="78" t="s">
        <v>18</v>
      </c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D41" s="78">
        <f>'emiss 2'!G28</f>
        <v>5.3</v>
      </c>
      <c r="AF41" s="78">
        <f>'emiss 2'!I28</f>
        <v>5.9</v>
      </c>
      <c r="AH41" s="78">
        <f>'emiss 2'!K28</f>
        <v>5.3</v>
      </c>
    </row>
    <row r="42" spans="6:28" ht="12.75"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2:36" ht="12.75">
      <c r="B43" s="78" t="s">
        <v>23</v>
      </c>
      <c r="D43" s="78" t="s">
        <v>32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D43" s="80">
        <f>AD37*454/60/0.0283/AD40*(21-7)/(21-AD41)*1000</f>
        <v>7693.5192901099945</v>
      </c>
      <c r="AF43" s="80">
        <f>AF37*454/60/0.0283/AF40*(21-7)/(21-AF41)*1000</f>
        <v>8873.33798418645</v>
      </c>
      <c r="AH43" s="80">
        <f>AH37*454/60/0.0283/AH40*(21-7)/(21-AH41)*1000</f>
        <v>7865.513621693425</v>
      </c>
      <c r="AJ43" s="80">
        <f>AVERAGE(AH43,AF43,AD43)</f>
        <v>8144.123631996623</v>
      </c>
    </row>
    <row r="44" spans="2:36" ht="12.75">
      <c r="B44" s="78" t="s">
        <v>67</v>
      </c>
      <c r="D44" s="78" t="s">
        <v>29</v>
      </c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D44" s="80">
        <f>AD38*454/60/0.0283/AD40*(21-7)/(21-AD41)*1000000</f>
        <v>7061508.226783426</v>
      </c>
      <c r="AF44" s="80">
        <f>AF38*454/60/0.0283/AF40*(21-7)/(21-AF41)*1000000</f>
        <v>5842826.377565396</v>
      </c>
      <c r="AH44" s="80">
        <f>AH38*454/60/0.0283/AH40*(21-7)/(21-AH41)*1000000</f>
        <v>6403567.157446261</v>
      </c>
      <c r="AJ44" s="80">
        <f>AVERAGE(AH44,AF44,AD44)</f>
        <v>6435967.253931694</v>
      </c>
    </row>
    <row r="45" spans="6:28" ht="12.75"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</row>
    <row r="46" spans="6:28" ht="12.75"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6:28" ht="12.75"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</row>
    <row r="48" spans="2:36" ht="12.75">
      <c r="B48" s="15" t="s">
        <v>193</v>
      </c>
      <c r="C48" s="15"/>
      <c r="F48" s="81"/>
      <c r="G48" s="81"/>
      <c r="H48" s="81"/>
      <c r="I48" s="81"/>
      <c r="J48" s="81"/>
      <c r="K48" s="81"/>
      <c r="L48" s="81" t="s">
        <v>205</v>
      </c>
      <c r="M48" s="81"/>
      <c r="N48" s="81" t="s">
        <v>206</v>
      </c>
      <c r="O48" s="81"/>
      <c r="P48" s="81" t="s">
        <v>207</v>
      </c>
      <c r="Q48" s="81"/>
      <c r="R48" s="81" t="s">
        <v>205</v>
      </c>
      <c r="S48" s="81"/>
      <c r="T48" s="81" t="s">
        <v>206</v>
      </c>
      <c r="U48" s="81"/>
      <c r="V48" s="81" t="s">
        <v>207</v>
      </c>
      <c r="W48" s="81"/>
      <c r="X48" s="81" t="s">
        <v>205</v>
      </c>
      <c r="Y48" s="81"/>
      <c r="Z48" s="81" t="s">
        <v>206</v>
      </c>
      <c r="AA48" s="81"/>
      <c r="AB48" s="81" t="s">
        <v>207</v>
      </c>
      <c r="AC48" s="81"/>
      <c r="AD48" s="81" t="s">
        <v>205</v>
      </c>
      <c r="AE48" s="81"/>
      <c r="AF48" s="81" t="s">
        <v>206</v>
      </c>
      <c r="AG48" s="81"/>
      <c r="AH48" s="81" t="s">
        <v>207</v>
      </c>
      <c r="AI48" s="81"/>
      <c r="AJ48" s="81" t="s">
        <v>208</v>
      </c>
    </row>
    <row r="49" spans="6:28" ht="12.75"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</row>
    <row r="50" spans="2:36" ht="12.75">
      <c r="B50" s="78" t="s">
        <v>260</v>
      </c>
      <c r="F50" s="79"/>
      <c r="G50" s="79"/>
      <c r="H50" s="79"/>
      <c r="I50" s="79"/>
      <c r="J50" s="79"/>
      <c r="K50" s="79"/>
      <c r="L50" s="79" t="s">
        <v>262</v>
      </c>
      <c r="M50" s="79"/>
      <c r="N50" s="79" t="s">
        <v>262</v>
      </c>
      <c r="O50" s="79"/>
      <c r="P50" s="79" t="s">
        <v>262</v>
      </c>
      <c r="Q50" s="79"/>
      <c r="R50" s="79" t="s">
        <v>264</v>
      </c>
      <c r="S50" s="79"/>
      <c r="T50" s="79" t="s">
        <v>264</v>
      </c>
      <c r="U50" s="79"/>
      <c r="V50" s="79" t="s">
        <v>264</v>
      </c>
      <c r="W50" s="79"/>
      <c r="X50" s="79"/>
      <c r="Y50" s="79"/>
      <c r="Z50" s="79"/>
      <c r="AA50" s="79"/>
      <c r="AB50" s="79"/>
      <c r="AD50" s="78" t="s">
        <v>265</v>
      </c>
      <c r="AF50" s="78" t="s">
        <v>265</v>
      </c>
      <c r="AH50" s="78" t="s">
        <v>265</v>
      </c>
      <c r="AJ50" s="78" t="s">
        <v>265</v>
      </c>
    </row>
    <row r="51" spans="2:36" ht="12.75">
      <c r="B51" s="78" t="s">
        <v>261</v>
      </c>
      <c r="F51" s="79"/>
      <c r="G51" s="79"/>
      <c r="H51" s="79"/>
      <c r="I51" s="79"/>
      <c r="J51" s="79"/>
      <c r="K51" s="79"/>
      <c r="L51" s="79" t="s">
        <v>263</v>
      </c>
      <c r="M51" s="79"/>
      <c r="N51" s="79" t="s">
        <v>263</v>
      </c>
      <c r="O51" s="79"/>
      <c r="P51" s="79" t="s">
        <v>263</v>
      </c>
      <c r="Q51" s="79"/>
      <c r="R51" s="79" t="s">
        <v>263</v>
      </c>
      <c r="S51" s="79"/>
      <c r="T51" s="79" t="s">
        <v>263</v>
      </c>
      <c r="U51" s="79"/>
      <c r="V51" s="79" t="s">
        <v>263</v>
      </c>
      <c r="W51" s="79"/>
      <c r="X51" s="79"/>
      <c r="Y51" s="79"/>
      <c r="Z51" s="79"/>
      <c r="AA51" s="79"/>
      <c r="AB51" s="79"/>
      <c r="AD51" s="78" t="s">
        <v>20</v>
      </c>
      <c r="AF51" s="78" t="s">
        <v>20</v>
      </c>
      <c r="AH51" s="78" t="s">
        <v>20</v>
      </c>
      <c r="AJ51" s="78" t="s">
        <v>20</v>
      </c>
    </row>
    <row r="52" spans="2:36" ht="12.75">
      <c r="B52" s="78" t="s">
        <v>269</v>
      </c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 t="s">
        <v>33</v>
      </c>
      <c r="Y52" s="79"/>
      <c r="Z52" s="79" t="s">
        <v>33</v>
      </c>
      <c r="AA52" s="79"/>
      <c r="AB52" s="79" t="s">
        <v>33</v>
      </c>
      <c r="AD52" s="78" t="s">
        <v>20</v>
      </c>
      <c r="AF52" s="78" t="s">
        <v>20</v>
      </c>
      <c r="AH52" s="78" t="s">
        <v>20</v>
      </c>
      <c r="AJ52" s="78" t="s">
        <v>20</v>
      </c>
    </row>
    <row r="53" spans="2:36" ht="12.75">
      <c r="B53" s="78" t="s">
        <v>22</v>
      </c>
      <c r="L53" s="78" t="s">
        <v>214</v>
      </c>
      <c r="N53" s="78" t="s">
        <v>214</v>
      </c>
      <c r="P53" s="78" t="s">
        <v>214</v>
      </c>
      <c r="R53" s="78" t="s">
        <v>213</v>
      </c>
      <c r="T53" s="78" t="s">
        <v>213</v>
      </c>
      <c r="V53" s="78" t="s">
        <v>213</v>
      </c>
      <c r="AD53" s="78" t="s">
        <v>20</v>
      </c>
      <c r="AF53" s="78" t="s">
        <v>20</v>
      </c>
      <c r="AH53" s="78" t="s">
        <v>20</v>
      </c>
      <c r="AJ53" s="78" t="s">
        <v>20</v>
      </c>
    </row>
    <row r="54" spans="1:28" ht="12.75">
      <c r="A54" s="78" t="s">
        <v>193</v>
      </c>
      <c r="B54" s="78" t="s">
        <v>216</v>
      </c>
      <c r="D54" s="78" t="s">
        <v>27</v>
      </c>
      <c r="F54" s="79"/>
      <c r="G54" s="79"/>
      <c r="H54" s="79"/>
      <c r="I54" s="79"/>
      <c r="J54" s="79"/>
      <c r="K54" s="79"/>
      <c r="L54" s="79">
        <v>21283.24842</v>
      </c>
      <c r="M54" s="79"/>
      <c r="N54" s="79">
        <v>20722.4304</v>
      </c>
      <c r="O54" s="79"/>
      <c r="P54" s="79">
        <v>21220.75704</v>
      </c>
      <c r="Q54" s="79"/>
      <c r="R54" s="79">
        <v>144.668748</v>
      </c>
      <c r="S54" s="79"/>
      <c r="T54" s="79">
        <v>143.657976</v>
      </c>
      <c r="U54" s="79"/>
      <c r="V54" s="79">
        <v>142.855776</v>
      </c>
      <c r="W54" s="79"/>
      <c r="X54" s="79"/>
      <c r="Y54" s="79"/>
      <c r="Z54" s="79"/>
      <c r="AA54" s="79"/>
      <c r="AB54" s="79"/>
    </row>
    <row r="55" spans="1:28" ht="12.75">
      <c r="A55" s="78" t="s">
        <v>193</v>
      </c>
      <c r="B55" s="78" t="s">
        <v>217</v>
      </c>
      <c r="D55" s="78" t="s">
        <v>163</v>
      </c>
      <c r="F55" s="79"/>
      <c r="G55" s="79"/>
      <c r="H55" s="79"/>
      <c r="I55" s="79"/>
      <c r="J55" s="79"/>
      <c r="K55" s="79"/>
      <c r="L55" s="79">
        <v>823</v>
      </c>
      <c r="M55" s="79"/>
      <c r="N55" s="79">
        <v>766</v>
      </c>
      <c r="O55" s="79"/>
      <c r="P55" s="79">
        <v>897</v>
      </c>
      <c r="Q55" s="79"/>
      <c r="R55" s="79">
        <v>8433</v>
      </c>
      <c r="S55" s="79"/>
      <c r="T55" s="79">
        <v>8816</v>
      </c>
      <c r="U55" s="79"/>
      <c r="V55" s="79">
        <v>6854</v>
      </c>
      <c r="W55" s="79"/>
      <c r="X55" s="79"/>
      <c r="Y55" s="79"/>
      <c r="Z55" s="79"/>
      <c r="AA55" s="79"/>
      <c r="AB55" s="79"/>
    </row>
    <row r="56" spans="1:28" ht="12.75">
      <c r="A56" s="78" t="s">
        <v>193</v>
      </c>
      <c r="B56" s="78" t="s">
        <v>23</v>
      </c>
      <c r="D56" s="78" t="s">
        <v>218</v>
      </c>
      <c r="F56" s="79"/>
      <c r="G56" s="79"/>
      <c r="H56" s="79"/>
      <c r="I56" s="79"/>
      <c r="J56" s="79"/>
      <c r="K56" s="79"/>
      <c r="L56" s="79">
        <v>2.49</v>
      </c>
      <c r="M56" s="79"/>
      <c r="N56" s="79">
        <v>3.92</v>
      </c>
      <c r="O56" s="79"/>
      <c r="P56" s="79">
        <v>3.49</v>
      </c>
      <c r="Q56" s="79"/>
      <c r="R56" s="79">
        <v>0.01</v>
      </c>
      <c r="S56" s="79"/>
      <c r="T56" s="79">
        <v>0.01</v>
      </c>
      <c r="U56" s="79"/>
      <c r="V56" s="79">
        <v>0.01</v>
      </c>
      <c r="W56" s="79"/>
      <c r="X56" s="79"/>
      <c r="Y56" s="79"/>
      <c r="Z56" s="79"/>
      <c r="AA56" s="79"/>
      <c r="AB56" s="79"/>
    </row>
    <row r="57" spans="1:28" ht="12.75">
      <c r="A57" s="78" t="s">
        <v>193</v>
      </c>
      <c r="B57" s="78" t="s">
        <v>67</v>
      </c>
      <c r="D57" s="78" t="s">
        <v>219</v>
      </c>
      <c r="F57" s="79"/>
      <c r="G57" s="79"/>
      <c r="H57" s="79"/>
      <c r="I57" s="79"/>
      <c r="J57" s="79"/>
      <c r="K57" s="79"/>
      <c r="L57" s="79">
        <v>22000</v>
      </c>
      <c r="M57" s="79"/>
      <c r="N57" s="79">
        <v>21000</v>
      </c>
      <c r="O57" s="79"/>
      <c r="P57" s="79">
        <v>21900</v>
      </c>
      <c r="Q57" s="79"/>
      <c r="R57" s="79">
        <v>703000</v>
      </c>
      <c r="S57" s="79"/>
      <c r="T57" s="79">
        <v>629000</v>
      </c>
      <c r="U57" s="79"/>
      <c r="V57" s="79">
        <v>681000</v>
      </c>
      <c r="W57" s="79"/>
      <c r="X57" s="79"/>
      <c r="Y57" s="79"/>
      <c r="Z57" s="79"/>
      <c r="AA57" s="79"/>
      <c r="AB57" s="79"/>
    </row>
    <row r="58" spans="6:28" ht="12.75"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2:34" ht="12.75">
      <c r="B59" s="78" t="s">
        <v>23</v>
      </c>
      <c r="D59" s="78" t="s">
        <v>27</v>
      </c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D59" s="78">
        <v>528</v>
      </c>
      <c r="AF59" s="78">
        <v>810</v>
      </c>
      <c r="AH59" s="78">
        <v>739</v>
      </c>
    </row>
    <row r="60" spans="2:34" ht="12.75">
      <c r="B60" s="78" t="s">
        <v>67</v>
      </c>
      <c r="D60" s="78" t="s">
        <v>27</v>
      </c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D60" s="78">
        <v>569</v>
      </c>
      <c r="AF60" s="78">
        <v>523</v>
      </c>
      <c r="AH60" s="78">
        <v>535</v>
      </c>
    </row>
    <row r="61" spans="6:28" ht="12.75"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</row>
    <row r="62" spans="2:34" ht="12.75">
      <c r="B62" s="78" t="s">
        <v>63</v>
      </c>
      <c r="D62" s="78" t="s">
        <v>17</v>
      </c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D62" s="80">
        <f>'emiss 2'!G42</f>
        <v>19883.3333</v>
      </c>
      <c r="AF62" s="80">
        <f>'emiss 2'!I42</f>
        <v>20633.3333</v>
      </c>
      <c r="AH62" s="80">
        <f>'emiss 2'!K42</f>
        <v>19350</v>
      </c>
    </row>
    <row r="63" spans="2:34" ht="12.75">
      <c r="B63" s="78" t="s">
        <v>64</v>
      </c>
      <c r="D63" s="78" t="s">
        <v>18</v>
      </c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D63" s="80">
        <f>'emiss 2'!G43</f>
        <v>6</v>
      </c>
      <c r="AF63" s="80">
        <f>'emiss 2'!I43</f>
        <v>4.6</v>
      </c>
      <c r="AH63" s="80">
        <f>'emiss 2'!K43</f>
        <v>4.8</v>
      </c>
    </row>
    <row r="64" spans="6:28" ht="12.75"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2:36" ht="12.75">
      <c r="B65" s="78" t="s">
        <v>23</v>
      </c>
      <c r="D65" s="78" t="s">
        <v>32</v>
      </c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D65" s="80">
        <f>AD59*454/60/0.0283/AD62*(21-7)/(21-AD63)*1000</f>
        <v>6626.736065656059</v>
      </c>
      <c r="AF65" s="80">
        <f>AF59*454/60/0.0283/AF62*(21-7)/(21-AF63)*1000</f>
        <v>8960.205699122891</v>
      </c>
      <c r="AH65" s="80">
        <f>AH59*454/60/0.0283/AH62*(21-7)/(21-AH63)*1000</f>
        <v>8824.592446201292</v>
      </c>
      <c r="AJ65" s="80">
        <f>AVERAGE(AH65,AF65,AD65)</f>
        <v>8137.178070326747</v>
      </c>
    </row>
    <row r="66" spans="2:36" ht="12.75">
      <c r="B66" s="78" t="s">
        <v>67</v>
      </c>
      <c r="D66" s="78" t="s">
        <v>29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D66" s="80">
        <f>AD60*454/60/0.0283/AD62*(21-7)/(21-AD63)*1000000</f>
        <v>7141312.161663442</v>
      </c>
      <c r="AF66" s="80">
        <f>AF60*454/60/0.0283/AF62*(21-7)/(21-AF63)*1000000</f>
        <v>5785416.766223793</v>
      </c>
      <c r="AH66" s="80">
        <f>AH60*454/60/0.0283/AH62*(21-7)/(21-AH63)*1000000</f>
        <v>6388575.045626103</v>
      </c>
      <c r="AJ66" s="80">
        <f>AVERAGE(AH66,AF66,AD66)</f>
        <v>6438434.657837779</v>
      </c>
    </row>
    <row r="67" spans="6:28" ht="12.75"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6:28" ht="12.75"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</row>
    <row r="69" spans="6:28" ht="12.75"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</row>
    <row r="70" spans="2:36" ht="12.75">
      <c r="B70" s="15" t="s">
        <v>194</v>
      </c>
      <c r="C70" s="15"/>
      <c r="F70" s="81" t="s">
        <v>205</v>
      </c>
      <c r="G70" s="81"/>
      <c r="H70" s="81" t="s">
        <v>206</v>
      </c>
      <c r="I70" s="81"/>
      <c r="J70" s="81" t="s">
        <v>207</v>
      </c>
      <c r="K70" s="81"/>
      <c r="L70" s="81" t="s">
        <v>205</v>
      </c>
      <c r="M70" s="81"/>
      <c r="N70" s="81" t="s">
        <v>206</v>
      </c>
      <c r="O70" s="81"/>
      <c r="P70" s="81" t="s">
        <v>207</v>
      </c>
      <c r="Q70" s="81"/>
      <c r="R70" s="81" t="s">
        <v>205</v>
      </c>
      <c r="S70" s="81"/>
      <c r="T70" s="81" t="s">
        <v>206</v>
      </c>
      <c r="U70" s="81"/>
      <c r="V70" s="81" t="s">
        <v>207</v>
      </c>
      <c r="W70" s="81"/>
      <c r="X70" s="81" t="s">
        <v>205</v>
      </c>
      <c r="Y70" s="81"/>
      <c r="Z70" s="81" t="s">
        <v>206</v>
      </c>
      <c r="AA70" s="81"/>
      <c r="AB70" s="81" t="s">
        <v>207</v>
      </c>
      <c r="AC70" s="81"/>
      <c r="AD70" s="81" t="s">
        <v>205</v>
      </c>
      <c r="AE70" s="81"/>
      <c r="AF70" s="81" t="s">
        <v>206</v>
      </c>
      <c r="AG70" s="81"/>
      <c r="AH70" s="81" t="s">
        <v>207</v>
      </c>
      <c r="AI70" s="81"/>
      <c r="AJ70" s="81" t="s">
        <v>208</v>
      </c>
    </row>
    <row r="71" spans="6:28" ht="12.75"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</row>
    <row r="72" spans="2:36" ht="12.75">
      <c r="B72" s="78" t="s">
        <v>260</v>
      </c>
      <c r="F72" s="79" t="s">
        <v>262</v>
      </c>
      <c r="G72" s="79"/>
      <c r="H72" s="79" t="s">
        <v>262</v>
      </c>
      <c r="I72" s="79"/>
      <c r="J72" s="79" t="s">
        <v>262</v>
      </c>
      <c r="K72" s="79"/>
      <c r="L72" s="79" t="s">
        <v>264</v>
      </c>
      <c r="M72" s="79"/>
      <c r="N72" s="79" t="s">
        <v>264</v>
      </c>
      <c r="O72" s="79"/>
      <c r="P72" s="79" t="s">
        <v>264</v>
      </c>
      <c r="Q72" s="79"/>
      <c r="R72" s="79" t="s">
        <v>265</v>
      </c>
      <c r="S72" s="79"/>
      <c r="T72" s="79" t="s">
        <v>265</v>
      </c>
      <c r="U72" s="79"/>
      <c r="V72" s="79" t="s">
        <v>265</v>
      </c>
      <c r="W72" s="79"/>
      <c r="X72" s="79"/>
      <c r="Y72" s="79"/>
      <c r="Z72" s="79"/>
      <c r="AA72" s="79"/>
      <c r="AB72" s="79"/>
      <c r="AD72" s="79" t="s">
        <v>266</v>
      </c>
      <c r="AF72" s="79" t="s">
        <v>266</v>
      </c>
      <c r="AH72" s="79" t="s">
        <v>266</v>
      </c>
      <c r="AJ72" s="79" t="s">
        <v>266</v>
      </c>
    </row>
    <row r="73" spans="2:36" ht="12.75">
      <c r="B73" s="78" t="s">
        <v>261</v>
      </c>
      <c r="F73" s="79" t="s">
        <v>263</v>
      </c>
      <c r="G73" s="79"/>
      <c r="H73" s="79" t="s">
        <v>263</v>
      </c>
      <c r="I73" s="79"/>
      <c r="J73" s="79" t="s">
        <v>263</v>
      </c>
      <c r="K73" s="79"/>
      <c r="L73" s="79" t="s">
        <v>263</v>
      </c>
      <c r="M73" s="79"/>
      <c r="N73" s="79" t="s">
        <v>263</v>
      </c>
      <c r="O73" s="79"/>
      <c r="P73" s="79" t="s">
        <v>263</v>
      </c>
      <c r="Q73" s="79"/>
      <c r="R73" s="79" t="s">
        <v>263</v>
      </c>
      <c r="S73" s="79"/>
      <c r="T73" s="79" t="s">
        <v>263</v>
      </c>
      <c r="U73" s="79"/>
      <c r="V73" s="79" t="s">
        <v>263</v>
      </c>
      <c r="W73" s="79"/>
      <c r="X73" s="79"/>
      <c r="Y73" s="79"/>
      <c r="Z73" s="79"/>
      <c r="AA73" s="79"/>
      <c r="AB73" s="79"/>
      <c r="AD73" s="78" t="s">
        <v>20</v>
      </c>
      <c r="AF73" s="78" t="s">
        <v>20</v>
      </c>
      <c r="AH73" s="78" t="s">
        <v>20</v>
      </c>
      <c r="AJ73" s="78" t="s">
        <v>20</v>
      </c>
    </row>
    <row r="74" spans="2:36" ht="12.75">
      <c r="B74" s="78" t="s">
        <v>269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 t="s">
        <v>33</v>
      </c>
      <c r="Y74" s="79"/>
      <c r="Z74" s="79" t="s">
        <v>33</v>
      </c>
      <c r="AA74" s="79"/>
      <c r="AB74" s="79" t="s">
        <v>33</v>
      </c>
      <c r="AD74" s="78" t="s">
        <v>20</v>
      </c>
      <c r="AF74" s="78" t="s">
        <v>20</v>
      </c>
      <c r="AH74" s="78" t="s">
        <v>20</v>
      </c>
      <c r="AJ74" s="78" t="s">
        <v>20</v>
      </c>
    </row>
    <row r="75" spans="2:36" ht="12.75">
      <c r="B75" s="78" t="s">
        <v>22</v>
      </c>
      <c r="F75" s="78" t="s">
        <v>213</v>
      </c>
      <c r="H75" s="78" t="s">
        <v>213</v>
      </c>
      <c r="J75" s="78" t="s">
        <v>213</v>
      </c>
      <c r="L75" s="78" t="s">
        <v>214</v>
      </c>
      <c r="N75" s="78" t="s">
        <v>214</v>
      </c>
      <c r="P75" s="78" t="s">
        <v>214</v>
      </c>
      <c r="R75" s="78" t="s">
        <v>213</v>
      </c>
      <c r="T75" s="78" t="s">
        <v>213</v>
      </c>
      <c r="V75" s="78" t="s">
        <v>213</v>
      </c>
      <c r="AD75" s="78" t="s">
        <v>20</v>
      </c>
      <c r="AF75" s="78" t="s">
        <v>20</v>
      </c>
      <c r="AH75" s="78" t="s">
        <v>20</v>
      </c>
      <c r="AJ75" s="78" t="s">
        <v>20</v>
      </c>
    </row>
    <row r="76" spans="1:28" ht="12.75">
      <c r="A76" s="78" t="s">
        <v>194</v>
      </c>
      <c r="B76" s="78" t="s">
        <v>216</v>
      </c>
      <c r="D76" s="78" t="s">
        <v>169</v>
      </c>
      <c r="F76" s="79">
        <v>2315</v>
      </c>
      <c r="G76" s="79"/>
      <c r="H76" s="79">
        <v>2361</v>
      </c>
      <c r="I76" s="79"/>
      <c r="J76" s="79">
        <v>2361</v>
      </c>
      <c r="K76" s="79"/>
      <c r="L76" s="79">
        <v>21076.04016</v>
      </c>
      <c r="M76" s="79"/>
      <c r="N76" s="79">
        <v>21613.6746</v>
      </c>
      <c r="O76" s="79"/>
      <c r="P76" s="79">
        <v>21637.25928</v>
      </c>
      <c r="Q76" s="79"/>
      <c r="R76" s="79">
        <v>146.16084</v>
      </c>
      <c r="S76" s="79"/>
      <c r="T76" s="79">
        <v>0.2</v>
      </c>
      <c r="U76" s="79"/>
      <c r="V76" s="79">
        <v>0.2</v>
      </c>
      <c r="W76" s="79"/>
      <c r="X76" s="79"/>
      <c r="Y76" s="79"/>
      <c r="Z76" s="79"/>
      <c r="AA76" s="79"/>
      <c r="AB76" s="79"/>
    </row>
    <row r="77" spans="1:28" ht="12.75">
      <c r="A77" s="78" t="s">
        <v>194</v>
      </c>
      <c r="B77" s="78" t="s">
        <v>217</v>
      </c>
      <c r="D77" s="78" t="s">
        <v>163</v>
      </c>
      <c r="F77" s="79">
        <v>19254</v>
      </c>
      <c r="G77" s="79"/>
      <c r="H77" s="79">
        <v>17271</v>
      </c>
      <c r="I77" s="79"/>
      <c r="J77" s="79">
        <v>19262</v>
      </c>
      <c r="K77" s="79"/>
      <c r="L77" s="79">
        <v>1028</v>
      </c>
      <c r="M77" s="79"/>
      <c r="N77" s="79">
        <v>1064</v>
      </c>
      <c r="O77" s="79"/>
      <c r="P77" s="79">
        <v>1090</v>
      </c>
      <c r="Q77" s="79"/>
      <c r="R77" s="79">
        <v>7058</v>
      </c>
      <c r="S77" s="79"/>
      <c r="T77" s="79">
        <v>0</v>
      </c>
      <c r="U77" s="79"/>
      <c r="V77" s="79">
        <v>0</v>
      </c>
      <c r="W77" s="79"/>
      <c r="X77" s="79"/>
      <c r="Y77" s="79"/>
      <c r="Z77" s="79"/>
      <c r="AA77" s="79"/>
      <c r="AB77" s="79"/>
    </row>
    <row r="78" spans="1:28" ht="12.75">
      <c r="A78" s="78" t="s">
        <v>194</v>
      </c>
      <c r="B78" s="78" t="s">
        <v>23</v>
      </c>
      <c r="D78" s="78" t="s">
        <v>218</v>
      </c>
      <c r="F78" s="79">
        <v>0.01</v>
      </c>
      <c r="G78" s="79"/>
      <c r="H78" s="79">
        <v>0.02</v>
      </c>
      <c r="I78" s="79"/>
      <c r="J78" s="79">
        <v>0.03</v>
      </c>
      <c r="K78" s="79"/>
      <c r="L78" s="79">
        <v>3.04</v>
      </c>
      <c r="M78" s="79"/>
      <c r="N78" s="79">
        <v>3.12</v>
      </c>
      <c r="O78" s="79"/>
      <c r="P78" s="79">
        <v>3.14</v>
      </c>
      <c r="Q78" s="79"/>
      <c r="R78" s="79">
        <v>0.01</v>
      </c>
      <c r="S78" s="79"/>
      <c r="T78" s="79">
        <v>0</v>
      </c>
      <c r="U78" s="79"/>
      <c r="V78" s="79">
        <v>0</v>
      </c>
      <c r="W78" s="79"/>
      <c r="X78" s="79"/>
      <c r="Y78" s="79"/>
      <c r="Z78" s="79"/>
      <c r="AA78" s="79"/>
      <c r="AB78" s="79"/>
    </row>
    <row r="79" spans="1:28" ht="12.75">
      <c r="A79" s="78" t="s">
        <v>194</v>
      </c>
      <c r="B79" s="78" t="s">
        <v>67</v>
      </c>
      <c r="D79" s="78" t="s">
        <v>219</v>
      </c>
      <c r="F79" s="79">
        <v>14700</v>
      </c>
      <c r="G79" s="79"/>
      <c r="H79" s="79">
        <v>16400</v>
      </c>
      <c r="I79" s="79"/>
      <c r="J79" s="79">
        <v>11600</v>
      </c>
      <c r="K79" s="79"/>
      <c r="L79" s="79">
        <v>18100</v>
      </c>
      <c r="M79" s="79"/>
      <c r="N79" s="79">
        <v>17800</v>
      </c>
      <c r="O79" s="79"/>
      <c r="P79" s="79">
        <v>17600</v>
      </c>
      <c r="Q79" s="79"/>
      <c r="R79" s="79">
        <v>727000</v>
      </c>
      <c r="S79" s="79"/>
      <c r="T79" s="79">
        <v>0</v>
      </c>
      <c r="U79" s="79"/>
      <c r="V79" s="79"/>
      <c r="W79" s="79"/>
      <c r="X79" s="79"/>
      <c r="Y79" s="79"/>
      <c r="Z79" s="79"/>
      <c r="AA79" s="79"/>
      <c r="AB79" s="79"/>
    </row>
    <row r="80" spans="6:28" ht="12.75"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</row>
    <row r="81" spans="2:34" ht="12.75">
      <c r="B81" s="78" t="s">
        <v>23</v>
      </c>
      <c r="D81" s="78" t="s">
        <v>27</v>
      </c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D81" s="78">
        <v>639</v>
      </c>
      <c r="AF81" s="78">
        <v>673</v>
      </c>
      <c r="AH81" s="78">
        <v>679</v>
      </c>
    </row>
    <row r="82" spans="2:34" ht="12.75">
      <c r="B82" s="78" t="s">
        <v>67</v>
      </c>
      <c r="D82" s="78" t="s">
        <v>27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D82" s="78">
        <v>524</v>
      </c>
      <c r="AF82" s="78">
        <v>519</v>
      </c>
      <c r="AH82" s="78">
        <v>531</v>
      </c>
    </row>
    <row r="83" spans="6:28" ht="12.75"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2:36" ht="12.75">
      <c r="B84" s="78" t="s">
        <v>63</v>
      </c>
      <c r="D84" s="78" t="s">
        <v>17</v>
      </c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D84" s="78">
        <f>'emiss 2'!G54</f>
        <v>20050</v>
      </c>
      <c r="AF84" s="78">
        <f>'emiss 2'!I54</f>
        <v>20100</v>
      </c>
      <c r="AH84" s="78">
        <f>'emiss 2'!K54</f>
        <v>19633.3333</v>
      </c>
      <c r="AJ84" s="85">
        <f>AVERAGE(AD84,AF84,AH84)</f>
        <v>19927.777766666666</v>
      </c>
    </row>
    <row r="85" spans="2:36" ht="12.75">
      <c r="B85" s="78" t="s">
        <v>64</v>
      </c>
      <c r="D85" s="78" t="s">
        <v>18</v>
      </c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D85" s="78">
        <f>'emiss 2'!G55</f>
        <v>7.8</v>
      </c>
      <c r="AF85" s="78">
        <f>'emiss 2'!I55</f>
        <v>6.3</v>
      </c>
      <c r="AH85" s="78">
        <f>'emiss 2'!K55</f>
        <v>5.6</v>
      </c>
      <c r="AJ85" s="86">
        <f>AVERAGE(AD85,AF85,AH85)</f>
        <v>6.566666666666666</v>
      </c>
    </row>
    <row r="86" spans="6:28" ht="12.75"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</row>
    <row r="87" spans="2:36" ht="12.75">
      <c r="B87" s="78" t="s">
        <v>23</v>
      </c>
      <c r="D87" s="78" t="s">
        <v>32</v>
      </c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D87" s="80">
        <f>AD81*454/60/0.0283/AD84*(21-7)/(21-AD85)*1000</f>
        <v>9037.717303272499</v>
      </c>
      <c r="AF87" s="80">
        <f>AF81*454/60/0.0283/AF84*(21-7)/(21-AF85)*1000</f>
        <v>8526.049990107793</v>
      </c>
      <c r="AH87" s="80">
        <f>AH81*454/60/0.0283/AH84*(21-7)/(21-AH85)*1000</f>
        <v>8406.228999790348</v>
      </c>
      <c r="AJ87" s="80">
        <f>AVERAGE(AH87,AF87,AD87)</f>
        <v>8656.66543105688</v>
      </c>
    </row>
    <row r="88" spans="2:36" ht="12.75">
      <c r="B88" s="78" t="s">
        <v>67</v>
      </c>
      <c r="D88" s="78" t="s">
        <v>29</v>
      </c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D88" s="80">
        <f>AD82*454/60/0.0283/AD84*(21-7)/(21-AD85)*1000000</f>
        <v>7411211.059334567</v>
      </c>
      <c r="AF88" s="80">
        <f>AF82*454/60/0.0283/AF84*(21-7)/(21-AF85)*1000000</f>
        <v>6575066.782861732</v>
      </c>
      <c r="AH88" s="80">
        <f>AH82*454/60/0.0283/AH84*(21-7)/(21-AH85)*1000000</f>
        <v>6573943.444607768</v>
      </c>
      <c r="AJ88" s="80">
        <f>AVERAGE(AH88,AF88,AD88)</f>
        <v>6853407.095601355</v>
      </c>
    </row>
    <row r="89" spans="6:28" ht="12.75"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</row>
    <row r="90" spans="6:28" ht="12.75"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</row>
    <row r="91" spans="6:28" ht="12.75"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2:36" ht="12.75">
      <c r="B92" s="15" t="s">
        <v>195</v>
      </c>
      <c r="C92" s="15"/>
      <c r="F92" s="81"/>
      <c r="G92" s="81"/>
      <c r="H92" s="81"/>
      <c r="I92" s="81"/>
      <c r="J92" s="81"/>
      <c r="K92" s="81"/>
      <c r="L92" s="81" t="s">
        <v>205</v>
      </c>
      <c r="M92" s="81"/>
      <c r="N92" s="81" t="s">
        <v>206</v>
      </c>
      <c r="O92" s="81"/>
      <c r="P92" s="81" t="s">
        <v>207</v>
      </c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 t="s">
        <v>205</v>
      </c>
      <c r="AE92" s="81"/>
      <c r="AF92" s="81" t="s">
        <v>206</v>
      </c>
      <c r="AG92" s="81"/>
      <c r="AH92" s="81" t="s">
        <v>207</v>
      </c>
      <c r="AI92" s="81"/>
      <c r="AJ92" s="81" t="s">
        <v>208</v>
      </c>
    </row>
    <row r="93" spans="2:36" ht="12.75">
      <c r="B93" s="15"/>
      <c r="C93" s="15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</row>
    <row r="94" spans="2:36" ht="12.75">
      <c r="B94" s="78" t="s">
        <v>260</v>
      </c>
      <c r="C94" s="15"/>
      <c r="F94" s="81"/>
      <c r="G94" s="81"/>
      <c r="H94" s="81"/>
      <c r="I94" s="81"/>
      <c r="J94" s="81"/>
      <c r="K94" s="81"/>
      <c r="L94" s="81" t="s">
        <v>262</v>
      </c>
      <c r="M94" s="81"/>
      <c r="N94" s="81" t="s">
        <v>262</v>
      </c>
      <c r="O94" s="81"/>
      <c r="P94" s="81" t="s">
        <v>262</v>
      </c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 t="s">
        <v>264</v>
      </c>
      <c r="AE94" s="81"/>
      <c r="AF94" s="81" t="s">
        <v>264</v>
      </c>
      <c r="AG94" s="81"/>
      <c r="AH94" s="81" t="s">
        <v>264</v>
      </c>
      <c r="AI94" s="81"/>
      <c r="AJ94" s="81" t="s">
        <v>264</v>
      </c>
    </row>
    <row r="95" spans="2:36" ht="12.75">
      <c r="B95" s="78" t="s">
        <v>261</v>
      </c>
      <c r="F95" s="79"/>
      <c r="G95" s="79"/>
      <c r="H95" s="79"/>
      <c r="I95" s="79"/>
      <c r="J95" s="79"/>
      <c r="K95" s="79"/>
      <c r="L95" s="79" t="s">
        <v>263</v>
      </c>
      <c r="M95" s="79"/>
      <c r="N95" s="79" t="s">
        <v>263</v>
      </c>
      <c r="O95" s="79"/>
      <c r="P95" s="79" t="s">
        <v>263</v>
      </c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D95" s="78" t="s">
        <v>20</v>
      </c>
      <c r="AF95" s="78" t="s">
        <v>20</v>
      </c>
      <c r="AH95" s="78" t="s">
        <v>20</v>
      </c>
      <c r="AJ95" s="78" t="s">
        <v>20</v>
      </c>
    </row>
    <row r="96" spans="2:36" ht="12.75">
      <c r="B96" s="78" t="s">
        <v>269</v>
      </c>
      <c r="F96" s="79"/>
      <c r="G96" s="79"/>
      <c r="H96" s="79"/>
      <c r="I96" s="79"/>
      <c r="J96" s="79"/>
      <c r="K96" s="79"/>
      <c r="L96" s="79" t="s">
        <v>33</v>
      </c>
      <c r="M96" s="79"/>
      <c r="N96" s="79" t="s">
        <v>33</v>
      </c>
      <c r="O96" s="79"/>
      <c r="P96" s="79" t="s">
        <v>33</v>
      </c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D96" s="78" t="s">
        <v>20</v>
      </c>
      <c r="AF96" s="78" t="s">
        <v>20</v>
      </c>
      <c r="AH96" s="78" t="s">
        <v>20</v>
      </c>
      <c r="AJ96" s="78" t="s">
        <v>20</v>
      </c>
    </row>
    <row r="97" spans="2:36" ht="12.75">
      <c r="B97" s="78" t="s">
        <v>22</v>
      </c>
      <c r="L97" s="78" t="s">
        <v>214</v>
      </c>
      <c r="N97" s="78" t="s">
        <v>214</v>
      </c>
      <c r="P97" s="78" t="s">
        <v>214</v>
      </c>
      <c r="AD97" s="78" t="s">
        <v>20</v>
      </c>
      <c r="AF97" s="78" t="s">
        <v>20</v>
      </c>
      <c r="AH97" s="78" t="s">
        <v>20</v>
      </c>
      <c r="AJ97" s="78" t="s">
        <v>20</v>
      </c>
    </row>
    <row r="98" spans="1:28" ht="12.75">
      <c r="A98" s="78" t="s">
        <v>195</v>
      </c>
      <c r="B98" s="78" t="s">
        <v>216</v>
      </c>
      <c r="D98" s="78" t="s">
        <v>169</v>
      </c>
      <c r="F98" s="79"/>
      <c r="G98" s="79"/>
      <c r="H98" s="79"/>
      <c r="I98" s="79"/>
      <c r="J98" s="79"/>
      <c r="K98" s="79"/>
      <c r="L98" s="79">
        <v>49</v>
      </c>
      <c r="M98" s="79"/>
      <c r="N98" s="79">
        <v>48</v>
      </c>
      <c r="O98" s="79"/>
      <c r="P98" s="79">
        <v>48</v>
      </c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</row>
    <row r="99" spans="1:28" ht="12.75">
      <c r="A99" s="78" t="s">
        <v>195</v>
      </c>
      <c r="B99" s="78" t="s">
        <v>217</v>
      </c>
      <c r="D99" s="78" t="s">
        <v>163</v>
      </c>
      <c r="F99" s="79"/>
      <c r="G99" s="79"/>
      <c r="H99" s="79"/>
      <c r="I99" s="79"/>
      <c r="J99" s="79"/>
      <c r="K99" s="79"/>
      <c r="L99" s="79">
        <v>0</v>
      </c>
      <c r="M99" s="79"/>
      <c r="N99" s="79">
        <v>0</v>
      </c>
      <c r="O99" s="79"/>
      <c r="P99" s="79">
        <v>0</v>
      </c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</row>
    <row r="100" spans="1:28" ht="12.75">
      <c r="A100" s="78" t="s">
        <v>195</v>
      </c>
      <c r="B100" s="78" t="s">
        <v>23</v>
      </c>
      <c r="D100" s="78" t="s">
        <v>218</v>
      </c>
      <c r="F100" s="79"/>
      <c r="G100" s="79"/>
      <c r="H100" s="79"/>
      <c r="I100" s="79"/>
      <c r="J100" s="79"/>
      <c r="K100" s="79"/>
      <c r="L100" s="79">
        <v>4.19</v>
      </c>
      <c r="M100" s="79"/>
      <c r="N100" s="79">
        <v>3.92</v>
      </c>
      <c r="O100" s="79"/>
      <c r="P100" s="79">
        <v>3.96</v>
      </c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</row>
    <row r="101" spans="1:28" ht="12.75">
      <c r="A101" s="78" t="s">
        <v>195</v>
      </c>
      <c r="B101" s="78" t="s">
        <v>67</v>
      </c>
      <c r="D101" s="78" t="s">
        <v>219</v>
      </c>
      <c r="F101" s="79"/>
      <c r="G101" s="79"/>
      <c r="H101" s="79"/>
      <c r="I101" s="79"/>
      <c r="J101" s="79"/>
      <c r="K101" s="79"/>
      <c r="L101" s="79">
        <v>23200</v>
      </c>
      <c r="M101" s="79"/>
      <c r="N101" s="79">
        <v>23300</v>
      </c>
      <c r="O101" s="79"/>
      <c r="P101" s="79">
        <v>23600</v>
      </c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</row>
    <row r="102" spans="6:28" ht="12.75"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2:34" ht="12.75">
      <c r="B103" s="78" t="s">
        <v>23</v>
      </c>
      <c r="D103" s="78" t="s">
        <v>27</v>
      </c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D103" s="78">
        <v>1064</v>
      </c>
      <c r="AF103" s="78">
        <v>975</v>
      </c>
      <c r="AH103" s="78">
        <v>985</v>
      </c>
    </row>
    <row r="104" spans="2:34" ht="12.75">
      <c r="B104" s="78" t="s">
        <v>67</v>
      </c>
      <c r="D104" s="78" t="s">
        <v>27</v>
      </c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D104" s="78">
        <v>589</v>
      </c>
      <c r="AF104" s="78">
        <v>579</v>
      </c>
      <c r="AH104" s="78">
        <v>587</v>
      </c>
    </row>
    <row r="105" spans="6:28" ht="12.75"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</row>
    <row r="106" spans="2:34" ht="12.75">
      <c r="B106" s="78" t="s">
        <v>63</v>
      </c>
      <c r="D106" s="78" t="s">
        <v>17</v>
      </c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D106" s="80">
        <f>'emiss 2'!G69</f>
        <v>20816.6667</v>
      </c>
      <c r="AF106" s="80">
        <f>'emiss 2'!I69</f>
        <v>20850</v>
      </c>
      <c r="AH106" s="80">
        <f>'emiss 2'!K69</f>
        <v>21383.3333</v>
      </c>
    </row>
    <row r="107" spans="2:34" ht="12.75">
      <c r="B107" s="78" t="s">
        <v>64</v>
      </c>
      <c r="D107" s="78" t="s">
        <v>18</v>
      </c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D107" s="80">
        <f>'emiss 2'!G70</f>
        <v>4.5</v>
      </c>
      <c r="AF107" s="80">
        <f>'emiss 2'!I70</f>
        <v>5.5</v>
      </c>
      <c r="AH107" s="80">
        <f>'emiss 2'!K70</f>
        <v>5.1</v>
      </c>
    </row>
    <row r="108" spans="6:28" ht="12.75"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</row>
    <row r="109" spans="2:36" ht="12.75">
      <c r="B109" s="78" t="s">
        <v>23</v>
      </c>
      <c r="D109" s="78" t="s">
        <v>32</v>
      </c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D109" s="80">
        <f>AD103*454/60/0.0283/AD106*(21-7)/(21-AD107)*1000</f>
        <v>11595.585905144944</v>
      </c>
      <c r="AF109" s="80">
        <f>AF103*454/60/0.0283/AF106*(21-7)/(21-AF107)*1000</f>
        <v>11293.097062302286</v>
      </c>
      <c r="AH109" s="80">
        <f>AH103*454/60/0.0283/AH106*(21-7)/(21-AH107)*1000</f>
        <v>10844.509249017758</v>
      </c>
      <c r="AJ109" s="80">
        <f>AVERAGE(AH109,AF109,AD109)</f>
        <v>11244.39740548833</v>
      </c>
    </row>
    <row r="110" spans="2:36" ht="12.75">
      <c r="B110" s="78" t="s">
        <v>67</v>
      </c>
      <c r="D110" s="78" t="s">
        <v>29</v>
      </c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D110" s="80">
        <f>AD104*454/60/0.0283/AD106*(21-7)/(21-AD107)*1000000</f>
        <v>6418985.054633808</v>
      </c>
      <c r="AF110" s="80">
        <f>AF104*454/60/0.0283/AF106*(21-7)/(21-AF107)*1000000</f>
        <v>6706362.255459511</v>
      </c>
      <c r="AH110" s="80">
        <f>AH104*454/60/0.0283/AH106*(21-7)/(21-AH107)*1000000</f>
        <v>6462666.933170989</v>
      </c>
      <c r="AJ110" s="80">
        <f>AVERAGE(AH110,AF110,AD110)</f>
        <v>6529338.081088102</v>
      </c>
    </row>
    <row r="111" spans="6:28" ht="12.75"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</row>
    <row r="112" spans="6:28" ht="12.75"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</row>
    <row r="113" spans="6:28" ht="12.75"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</row>
    <row r="114" spans="2:36" ht="12.75">
      <c r="B114" s="15" t="s">
        <v>197</v>
      </c>
      <c r="C114" s="15"/>
      <c r="F114" s="81" t="s">
        <v>205</v>
      </c>
      <c r="G114" s="81"/>
      <c r="H114" s="81" t="s">
        <v>206</v>
      </c>
      <c r="I114" s="81"/>
      <c r="J114" s="81" t="s">
        <v>207</v>
      </c>
      <c r="K114" s="81"/>
      <c r="L114" s="81" t="s">
        <v>205</v>
      </c>
      <c r="M114" s="81"/>
      <c r="N114" s="81" t="s">
        <v>206</v>
      </c>
      <c r="O114" s="81"/>
      <c r="P114" s="81" t="s">
        <v>207</v>
      </c>
      <c r="Q114" s="81"/>
      <c r="R114" s="81" t="s">
        <v>205</v>
      </c>
      <c r="S114" s="81"/>
      <c r="T114" s="81" t="s">
        <v>206</v>
      </c>
      <c r="U114" s="81"/>
      <c r="V114" s="81" t="s">
        <v>207</v>
      </c>
      <c r="W114" s="81"/>
      <c r="X114" s="81" t="s">
        <v>205</v>
      </c>
      <c r="Y114" s="81"/>
      <c r="Z114" s="81" t="s">
        <v>206</v>
      </c>
      <c r="AA114" s="81"/>
      <c r="AB114" s="81" t="s">
        <v>207</v>
      </c>
      <c r="AC114" s="81"/>
      <c r="AD114" s="81" t="s">
        <v>205</v>
      </c>
      <c r="AE114" s="81"/>
      <c r="AF114" s="81" t="s">
        <v>206</v>
      </c>
      <c r="AG114" s="81"/>
      <c r="AH114" s="81" t="s">
        <v>207</v>
      </c>
      <c r="AI114" s="81"/>
      <c r="AJ114" s="81" t="s">
        <v>208</v>
      </c>
    </row>
    <row r="115" spans="6:28" ht="12.75"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</row>
    <row r="116" spans="2:36" ht="12.75">
      <c r="B116" s="78" t="s">
        <v>260</v>
      </c>
      <c r="F116" s="79"/>
      <c r="G116" s="79"/>
      <c r="H116" s="79"/>
      <c r="I116" s="79"/>
      <c r="J116" s="79"/>
      <c r="K116" s="79"/>
      <c r="L116" s="79" t="s">
        <v>262</v>
      </c>
      <c r="M116" s="79"/>
      <c r="N116" s="79" t="s">
        <v>262</v>
      </c>
      <c r="O116" s="79"/>
      <c r="P116" s="79" t="s">
        <v>262</v>
      </c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D116" s="78" t="s">
        <v>264</v>
      </c>
      <c r="AF116" s="78" t="s">
        <v>264</v>
      </c>
      <c r="AH116" s="78" t="s">
        <v>264</v>
      </c>
      <c r="AJ116" s="78" t="s">
        <v>264</v>
      </c>
    </row>
    <row r="117" spans="2:36" ht="12.75">
      <c r="B117" s="78" t="s">
        <v>261</v>
      </c>
      <c r="F117" s="79"/>
      <c r="G117" s="79"/>
      <c r="H117" s="79"/>
      <c r="I117" s="79"/>
      <c r="J117" s="79"/>
      <c r="K117" s="79"/>
      <c r="L117" s="79" t="s">
        <v>263</v>
      </c>
      <c r="M117" s="79"/>
      <c r="N117" s="79" t="s">
        <v>263</v>
      </c>
      <c r="O117" s="79"/>
      <c r="P117" s="79" t="s">
        <v>263</v>
      </c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D117" s="78" t="s">
        <v>20</v>
      </c>
      <c r="AF117" s="78" t="s">
        <v>20</v>
      </c>
      <c r="AH117" s="78" t="s">
        <v>20</v>
      </c>
      <c r="AJ117" s="78" t="s">
        <v>20</v>
      </c>
    </row>
    <row r="118" spans="2:36" ht="12.75">
      <c r="B118" s="78" t="s">
        <v>269</v>
      </c>
      <c r="F118" s="79"/>
      <c r="G118" s="79"/>
      <c r="H118" s="79"/>
      <c r="I118" s="79"/>
      <c r="J118" s="79"/>
      <c r="K118" s="79"/>
      <c r="L118" s="79" t="s">
        <v>33</v>
      </c>
      <c r="M118" s="79"/>
      <c r="N118" s="79" t="s">
        <v>33</v>
      </c>
      <c r="O118" s="79"/>
      <c r="P118" s="79" t="s">
        <v>33</v>
      </c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D118" s="78" t="s">
        <v>20</v>
      </c>
      <c r="AF118" s="78" t="s">
        <v>20</v>
      </c>
      <c r="AH118" s="78" t="s">
        <v>20</v>
      </c>
      <c r="AJ118" s="78" t="s">
        <v>20</v>
      </c>
    </row>
    <row r="119" spans="2:36" ht="12.75">
      <c r="B119" s="78" t="s">
        <v>22</v>
      </c>
      <c r="L119" s="78" t="s">
        <v>214</v>
      </c>
      <c r="R119" s="78" t="s">
        <v>213</v>
      </c>
      <c r="X119" s="78" t="s">
        <v>215</v>
      </c>
      <c r="AD119" s="78" t="s">
        <v>20</v>
      </c>
      <c r="AF119" s="78" t="s">
        <v>20</v>
      </c>
      <c r="AH119" s="78" t="s">
        <v>20</v>
      </c>
      <c r="AJ119" s="78" t="s">
        <v>20</v>
      </c>
    </row>
    <row r="120" spans="1:28" ht="12.75">
      <c r="A120" s="78" t="s">
        <v>197</v>
      </c>
      <c r="B120" s="78" t="s">
        <v>216</v>
      </c>
      <c r="D120" s="78" t="s">
        <v>169</v>
      </c>
      <c r="F120" s="79"/>
      <c r="G120" s="79"/>
      <c r="H120" s="79"/>
      <c r="I120" s="79"/>
      <c r="J120" s="79"/>
      <c r="K120" s="79"/>
      <c r="L120" s="79">
        <v>49</v>
      </c>
      <c r="M120" s="79"/>
      <c r="N120" s="79">
        <v>46</v>
      </c>
      <c r="O120" s="79"/>
      <c r="P120" s="79">
        <v>48</v>
      </c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</row>
    <row r="121" spans="1:28" ht="12.75">
      <c r="A121" s="78" t="s">
        <v>197</v>
      </c>
      <c r="B121" s="78" t="s">
        <v>217</v>
      </c>
      <c r="D121" s="78" t="s">
        <v>163</v>
      </c>
      <c r="F121" s="79"/>
      <c r="G121" s="79"/>
      <c r="H121" s="79"/>
      <c r="I121" s="79"/>
      <c r="J121" s="79"/>
      <c r="K121" s="79"/>
      <c r="L121" s="79">
        <v>0</v>
      </c>
      <c r="M121" s="79"/>
      <c r="N121" s="79">
        <v>0</v>
      </c>
      <c r="O121" s="79"/>
      <c r="P121" s="79">
        <v>0</v>
      </c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</row>
    <row r="122" spans="1:28" ht="12.75">
      <c r="A122" s="78" t="s">
        <v>197</v>
      </c>
      <c r="B122" s="78" t="s">
        <v>23</v>
      </c>
      <c r="D122" s="78" t="s">
        <v>218</v>
      </c>
      <c r="F122" s="79"/>
      <c r="G122" s="79"/>
      <c r="H122" s="79"/>
      <c r="I122" s="79"/>
      <c r="J122" s="79"/>
      <c r="K122" s="79"/>
      <c r="L122" s="79">
        <v>4.11</v>
      </c>
      <c r="M122" s="79"/>
      <c r="N122" s="79">
        <v>4.03</v>
      </c>
      <c r="O122" s="79"/>
      <c r="P122" s="79">
        <v>4.17</v>
      </c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</row>
    <row r="123" spans="1:28" ht="12.75">
      <c r="A123" s="78" t="s">
        <v>197</v>
      </c>
      <c r="B123" s="78" t="s">
        <v>67</v>
      </c>
      <c r="D123" s="78" t="s">
        <v>219</v>
      </c>
      <c r="F123" s="79"/>
      <c r="G123" s="79"/>
      <c r="H123" s="79"/>
      <c r="I123" s="79"/>
      <c r="J123" s="79"/>
      <c r="K123" s="79"/>
      <c r="L123" s="79">
        <v>23100</v>
      </c>
      <c r="M123" s="79"/>
      <c r="N123" s="79">
        <v>24200</v>
      </c>
      <c r="O123" s="79"/>
      <c r="P123" s="79">
        <v>23500</v>
      </c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</row>
    <row r="124" spans="6:28" ht="12.75"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</row>
    <row r="125" spans="2:34" ht="12.75">
      <c r="B125" s="78" t="s">
        <v>23</v>
      </c>
      <c r="D125" s="78" t="s">
        <v>27</v>
      </c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D125" s="78">
        <v>1043</v>
      </c>
      <c r="AF125" s="78">
        <v>960</v>
      </c>
      <c r="AH125" s="78">
        <v>1037</v>
      </c>
    </row>
    <row r="126" spans="2:34" ht="12.75">
      <c r="B126" s="78" t="s">
        <v>67</v>
      </c>
      <c r="D126" s="78" t="s">
        <v>27</v>
      </c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D126" s="78">
        <v>586</v>
      </c>
      <c r="AF126" s="78">
        <v>577</v>
      </c>
      <c r="AH126" s="78">
        <v>584</v>
      </c>
    </row>
    <row r="127" spans="6:28" ht="12.75"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</row>
    <row r="128" spans="2:34" ht="12.75">
      <c r="B128" s="78" t="s">
        <v>63</v>
      </c>
      <c r="D128" s="78" t="s">
        <v>17</v>
      </c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D128" s="80">
        <f>'emiss 2'!G81</f>
        <v>20316.6667</v>
      </c>
      <c r="AF128" s="80">
        <f>'emiss 2'!I81</f>
        <v>19816.6667</v>
      </c>
      <c r="AH128" s="80">
        <f>'emiss 2'!K81</f>
        <v>19933.3333</v>
      </c>
    </row>
    <row r="129" spans="2:34" ht="12.75">
      <c r="B129" s="78" t="s">
        <v>64</v>
      </c>
      <c r="D129" s="78" t="s">
        <v>18</v>
      </c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D129" s="80">
        <f>'emiss 2'!G82</f>
        <v>4.9</v>
      </c>
      <c r="AF129" s="80">
        <f>'emiss 2'!I82</f>
        <v>6</v>
      </c>
      <c r="AH129" s="80">
        <f>'emiss 2'!K82</f>
        <v>8.3</v>
      </c>
    </row>
    <row r="130" spans="6:28" ht="12.75"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</row>
    <row r="131" spans="2:36" ht="12.75">
      <c r="B131" s="78" t="s">
        <v>23</v>
      </c>
      <c r="D131" s="78" t="s">
        <v>32</v>
      </c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D131" s="80">
        <f>AD125*454/60/0.0283/AD128*(21-7)/(21-AD129)*1000</f>
        <v>11935.817755792354</v>
      </c>
      <c r="AF131" s="80">
        <f>AF125*454/60/0.0283/AF128*(21-7)/(21-AF129)*1000</f>
        <v>12089.144582576871</v>
      </c>
      <c r="AH131" s="80">
        <f>AH125*454/60/0.0283/AH128*(21-7)/(21-AH129)*1000</f>
        <v>15333.500423310885</v>
      </c>
      <c r="AJ131" s="80">
        <f>AVERAGE(AH131,AF131,AD131)</f>
        <v>13119.487587226702</v>
      </c>
    </row>
    <row r="132" spans="2:36" ht="12.75">
      <c r="B132" s="78" t="s">
        <v>67</v>
      </c>
      <c r="D132" s="78" t="s">
        <v>29</v>
      </c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D132" s="80">
        <f>AD126*454/60/0.0283/AD128*(21-7)/(21-AD129)*1000000</f>
        <v>6706029.918402991</v>
      </c>
      <c r="AF132" s="80">
        <f>AF126*454/60/0.0283/AF128*(21-7)/(21-AF129)*1000000</f>
        <v>7266079.608486308</v>
      </c>
      <c r="AH132" s="80">
        <f>AH126*454/60/0.0283/AH128*(21-7)/(21-AH129)*1000000</f>
        <v>8635259.640514519</v>
      </c>
      <c r="AJ132" s="80">
        <f>AVERAGE(AH132,AF132,AD132)</f>
        <v>7535789.722467939</v>
      </c>
    </row>
    <row r="133" spans="6:28" ht="12.75"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</row>
    <row r="134" spans="6:28" ht="12.75"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</row>
    <row r="135" spans="2:36" ht="12.75">
      <c r="B135" s="15" t="s">
        <v>198</v>
      </c>
      <c r="C135" s="15"/>
      <c r="F135" s="81" t="s">
        <v>205</v>
      </c>
      <c r="G135" s="81"/>
      <c r="H135" s="81" t="s">
        <v>206</v>
      </c>
      <c r="I135" s="81"/>
      <c r="J135" s="81" t="s">
        <v>207</v>
      </c>
      <c r="K135" s="81"/>
      <c r="L135" s="81" t="s">
        <v>205</v>
      </c>
      <c r="M135" s="81"/>
      <c r="N135" s="81" t="s">
        <v>206</v>
      </c>
      <c r="O135" s="81"/>
      <c r="P135" s="81" t="s">
        <v>207</v>
      </c>
      <c r="Q135" s="81"/>
      <c r="R135" s="81" t="s">
        <v>205</v>
      </c>
      <c r="S135" s="81"/>
      <c r="T135" s="81" t="s">
        <v>206</v>
      </c>
      <c r="U135" s="81"/>
      <c r="V135" s="81" t="s">
        <v>207</v>
      </c>
      <c r="W135" s="81"/>
      <c r="X135" s="81" t="s">
        <v>205</v>
      </c>
      <c r="Y135" s="81"/>
      <c r="Z135" s="81" t="s">
        <v>206</v>
      </c>
      <c r="AA135" s="81"/>
      <c r="AB135" s="81" t="s">
        <v>207</v>
      </c>
      <c r="AC135" s="81"/>
      <c r="AD135" s="81" t="s">
        <v>205</v>
      </c>
      <c r="AE135" s="81"/>
      <c r="AF135" s="81" t="s">
        <v>206</v>
      </c>
      <c r="AG135" s="81"/>
      <c r="AH135" s="81" t="s">
        <v>207</v>
      </c>
      <c r="AI135" s="81"/>
      <c r="AJ135" s="81" t="s">
        <v>208</v>
      </c>
    </row>
    <row r="136" spans="6:28" ht="12.75"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</row>
    <row r="137" spans="2:36" ht="12.75">
      <c r="B137" s="78" t="s">
        <v>260</v>
      </c>
      <c r="F137" s="79" t="s">
        <v>262</v>
      </c>
      <c r="G137" s="79"/>
      <c r="H137" s="79" t="s">
        <v>262</v>
      </c>
      <c r="I137" s="79"/>
      <c r="J137" s="79" t="s">
        <v>262</v>
      </c>
      <c r="K137" s="79"/>
      <c r="L137" s="79" t="s">
        <v>264</v>
      </c>
      <c r="M137" s="79"/>
      <c r="N137" s="79" t="s">
        <v>264</v>
      </c>
      <c r="O137" s="79"/>
      <c r="P137" s="79" t="s">
        <v>264</v>
      </c>
      <c r="Q137" s="79"/>
      <c r="R137" s="79" t="s">
        <v>265</v>
      </c>
      <c r="S137" s="79"/>
      <c r="T137" s="79" t="s">
        <v>265</v>
      </c>
      <c r="U137" s="79"/>
      <c r="V137" s="79" t="s">
        <v>265</v>
      </c>
      <c r="W137" s="79"/>
      <c r="X137" s="79"/>
      <c r="Y137" s="79"/>
      <c r="Z137" s="79"/>
      <c r="AA137" s="79"/>
      <c r="AB137" s="79"/>
      <c r="AD137" s="78" t="s">
        <v>266</v>
      </c>
      <c r="AF137" s="78" t="s">
        <v>266</v>
      </c>
      <c r="AH137" s="78" t="s">
        <v>266</v>
      </c>
      <c r="AJ137" s="78" t="s">
        <v>266</v>
      </c>
    </row>
    <row r="138" spans="2:36" ht="12.75">
      <c r="B138" s="78" t="s">
        <v>261</v>
      </c>
      <c r="F138" s="79" t="s">
        <v>263</v>
      </c>
      <c r="G138" s="79"/>
      <c r="H138" s="79" t="s">
        <v>263</v>
      </c>
      <c r="I138" s="79"/>
      <c r="J138" s="79" t="s">
        <v>263</v>
      </c>
      <c r="K138" s="79"/>
      <c r="L138" s="79" t="s">
        <v>263</v>
      </c>
      <c r="M138" s="79"/>
      <c r="N138" s="79" t="s">
        <v>263</v>
      </c>
      <c r="O138" s="79"/>
      <c r="P138" s="79" t="s">
        <v>263</v>
      </c>
      <c r="Q138" s="79"/>
      <c r="R138" s="79" t="s">
        <v>263</v>
      </c>
      <c r="S138" s="79"/>
      <c r="T138" s="79" t="s">
        <v>263</v>
      </c>
      <c r="U138" s="79"/>
      <c r="V138" s="79" t="s">
        <v>263</v>
      </c>
      <c r="W138" s="79"/>
      <c r="X138" s="79"/>
      <c r="Y138" s="79"/>
      <c r="Z138" s="79"/>
      <c r="AA138" s="79"/>
      <c r="AB138" s="79"/>
      <c r="AD138" s="78" t="s">
        <v>20</v>
      </c>
      <c r="AF138" s="78" t="s">
        <v>20</v>
      </c>
      <c r="AH138" s="78" t="s">
        <v>20</v>
      </c>
      <c r="AJ138" s="78" t="s">
        <v>20</v>
      </c>
    </row>
    <row r="139" spans="2:36" ht="12.75">
      <c r="B139" s="78" t="s">
        <v>269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 t="s">
        <v>33</v>
      </c>
      <c r="Y139" s="79"/>
      <c r="Z139" s="79" t="s">
        <v>33</v>
      </c>
      <c r="AA139" s="79"/>
      <c r="AB139" s="79" t="s">
        <v>33</v>
      </c>
      <c r="AD139" s="78" t="s">
        <v>20</v>
      </c>
      <c r="AF139" s="78" t="s">
        <v>20</v>
      </c>
      <c r="AH139" s="78" t="s">
        <v>20</v>
      </c>
      <c r="AJ139" s="78" t="s">
        <v>20</v>
      </c>
    </row>
    <row r="140" spans="2:36" ht="12.75">
      <c r="B140" s="78" t="s">
        <v>22</v>
      </c>
      <c r="F140" s="78" t="s">
        <v>213</v>
      </c>
      <c r="H140" s="78" t="s">
        <v>213</v>
      </c>
      <c r="J140" s="78" t="s">
        <v>213</v>
      </c>
      <c r="L140" s="78" t="s">
        <v>214</v>
      </c>
      <c r="N140" s="78" t="s">
        <v>214</v>
      </c>
      <c r="P140" s="78" t="s">
        <v>214</v>
      </c>
      <c r="R140" s="78" t="s">
        <v>213</v>
      </c>
      <c r="T140" s="78" t="s">
        <v>213</v>
      </c>
      <c r="V140" s="78" t="s">
        <v>213</v>
      </c>
      <c r="AD140" s="78" t="s">
        <v>20</v>
      </c>
      <c r="AF140" s="78" t="s">
        <v>20</v>
      </c>
      <c r="AH140" s="78" t="s">
        <v>20</v>
      </c>
      <c r="AJ140" s="78" t="s">
        <v>20</v>
      </c>
    </row>
    <row r="141" spans="1:28" ht="12.75">
      <c r="A141" s="78" t="s">
        <v>198</v>
      </c>
      <c r="B141" s="78" t="s">
        <v>216</v>
      </c>
      <c r="D141" s="78" t="s">
        <v>27</v>
      </c>
      <c r="F141" s="79">
        <v>1941.356088</v>
      </c>
      <c r="G141" s="79"/>
      <c r="H141" s="79">
        <v>1896.208272</v>
      </c>
      <c r="I141" s="79"/>
      <c r="J141" s="79">
        <v>1896.208272</v>
      </c>
      <c r="K141" s="79"/>
      <c r="L141" s="79">
        <v>21782.1366</v>
      </c>
      <c r="M141" s="79"/>
      <c r="N141" s="79">
        <v>22321.45566</v>
      </c>
      <c r="O141" s="79"/>
      <c r="P141" s="79">
        <v>22321.45566</v>
      </c>
      <c r="Q141" s="79"/>
      <c r="R141" s="79">
        <v>147.171612</v>
      </c>
      <c r="S141" s="79"/>
      <c r="T141" s="79">
        <v>147.171612</v>
      </c>
      <c r="U141" s="79"/>
      <c r="V141" s="79">
        <v>144.460176</v>
      </c>
      <c r="W141" s="79"/>
      <c r="X141" s="79"/>
      <c r="Y141" s="79"/>
      <c r="Z141" s="79"/>
      <c r="AA141" s="79"/>
      <c r="AB141" s="79"/>
    </row>
    <row r="142" spans="1:28" ht="12.75">
      <c r="A142" s="78" t="s">
        <v>198</v>
      </c>
      <c r="B142" s="78" t="s">
        <v>217</v>
      </c>
      <c r="D142" s="78" t="s">
        <v>163</v>
      </c>
      <c r="F142" s="79">
        <v>15966</v>
      </c>
      <c r="G142" s="79"/>
      <c r="H142" s="79">
        <v>18892</v>
      </c>
      <c r="I142" s="79"/>
      <c r="J142" s="79">
        <v>15820</v>
      </c>
      <c r="K142" s="79"/>
      <c r="L142" s="79">
        <v>1115</v>
      </c>
      <c r="M142" s="79"/>
      <c r="N142" s="79">
        <v>1332</v>
      </c>
      <c r="O142" s="79"/>
      <c r="P142" s="79">
        <v>1004</v>
      </c>
      <c r="Q142" s="79"/>
      <c r="R142" s="79">
        <v>6960</v>
      </c>
      <c r="S142" s="79"/>
      <c r="T142" s="79">
        <v>7074</v>
      </c>
      <c r="U142" s="79"/>
      <c r="V142" s="79">
        <v>7378</v>
      </c>
      <c r="W142" s="79"/>
      <c r="X142" s="79"/>
      <c r="Y142" s="79"/>
      <c r="Z142" s="79"/>
      <c r="AA142" s="79"/>
      <c r="AB142" s="79"/>
    </row>
    <row r="143" spans="1:28" ht="12.75">
      <c r="A143" s="78" t="s">
        <v>198</v>
      </c>
      <c r="B143" s="78" t="s">
        <v>23</v>
      </c>
      <c r="D143" s="78" t="s">
        <v>218</v>
      </c>
      <c r="F143" s="79">
        <v>0.03</v>
      </c>
      <c r="G143" s="79"/>
      <c r="H143" s="79">
        <v>0.02</v>
      </c>
      <c r="I143" s="79"/>
      <c r="J143" s="79">
        <v>0.02</v>
      </c>
      <c r="K143" s="79"/>
      <c r="L143" s="79">
        <v>4.14</v>
      </c>
      <c r="M143" s="79"/>
      <c r="N143" s="79">
        <v>4.14</v>
      </c>
      <c r="O143" s="79"/>
      <c r="P143" s="79">
        <v>4.12</v>
      </c>
      <c r="Q143" s="79"/>
      <c r="R143" s="79">
        <v>0.01</v>
      </c>
      <c r="S143" s="79"/>
      <c r="T143" s="79">
        <v>0.01</v>
      </c>
      <c r="U143" s="79"/>
      <c r="V143" s="79">
        <v>0.01</v>
      </c>
      <c r="W143" s="79"/>
      <c r="X143" s="79"/>
      <c r="Y143" s="79"/>
      <c r="Z143" s="79"/>
      <c r="AA143" s="79"/>
      <c r="AB143" s="79"/>
    </row>
    <row r="144" spans="1:28" ht="12.75">
      <c r="A144" s="78" t="s">
        <v>198</v>
      </c>
      <c r="B144" s="78" t="s">
        <v>67</v>
      </c>
      <c r="D144" s="78" t="s">
        <v>219</v>
      </c>
      <c r="F144" s="79">
        <v>14900</v>
      </c>
      <c r="G144" s="79"/>
      <c r="H144" s="79">
        <v>15500</v>
      </c>
      <c r="I144" s="79"/>
      <c r="J144" s="79">
        <v>15000</v>
      </c>
      <c r="K144" s="79"/>
      <c r="L144" s="79">
        <v>21400</v>
      </c>
      <c r="M144" s="79"/>
      <c r="N144" s="79">
        <v>23200</v>
      </c>
      <c r="O144" s="79"/>
      <c r="P144" s="79">
        <v>24100</v>
      </c>
      <c r="Q144" s="79"/>
      <c r="R144" s="79">
        <v>741000</v>
      </c>
      <c r="S144" s="79"/>
      <c r="T144" s="79">
        <v>736000</v>
      </c>
      <c r="U144" s="79"/>
      <c r="V144" s="79">
        <v>699000</v>
      </c>
      <c r="W144" s="79"/>
      <c r="X144" s="79"/>
      <c r="Y144" s="79"/>
      <c r="Z144" s="79"/>
      <c r="AA144" s="79"/>
      <c r="AB144" s="79"/>
    </row>
    <row r="145" spans="6:28" ht="12.75"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</row>
    <row r="146" spans="2:34" ht="12.75">
      <c r="B146" s="78" t="s">
        <v>23</v>
      </c>
      <c r="D146" s="78" t="s">
        <v>27</v>
      </c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D146" s="78">
        <v>900</v>
      </c>
      <c r="AF146" s="78">
        <v>931</v>
      </c>
      <c r="AH146" s="78">
        <v>917</v>
      </c>
    </row>
    <row r="147" spans="2:34" ht="12.75">
      <c r="B147" s="78" t="s">
        <v>67</v>
      </c>
      <c r="D147" s="78" t="s">
        <v>27</v>
      </c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D147" s="78">
        <v>614</v>
      </c>
      <c r="AF147" s="78">
        <v>661</v>
      </c>
      <c r="AH147" s="78">
        <v>666</v>
      </c>
    </row>
    <row r="148" spans="6:28" ht="12.75"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2:34" ht="12.75">
      <c r="B149" s="78" t="s">
        <v>63</v>
      </c>
      <c r="D149" s="78" t="s">
        <v>17</v>
      </c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D149" s="80">
        <f>'emiss 2'!G93</f>
        <v>19833.3333</v>
      </c>
      <c r="AF149" s="80">
        <f>'emiss 2'!I93</f>
        <v>19683.3333</v>
      </c>
      <c r="AH149" s="80">
        <f>'emiss 2'!K93</f>
        <v>20200</v>
      </c>
    </row>
    <row r="150" spans="2:34" ht="12.75">
      <c r="B150" s="78" t="s">
        <v>64</v>
      </c>
      <c r="D150" s="78" t="s">
        <v>18</v>
      </c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D150" s="80">
        <f>'emiss 2'!G94</f>
        <v>6.9</v>
      </c>
      <c r="AF150" s="80">
        <f>'emiss 2'!I94</f>
        <v>6.3</v>
      </c>
      <c r="AH150" s="80">
        <f>'emiss 2'!K94</f>
        <v>5.4</v>
      </c>
    </row>
    <row r="151" spans="6:34" ht="12.75"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D151" s="80"/>
      <c r="AF151" s="80"/>
      <c r="AH151" s="80"/>
    </row>
    <row r="152" spans="2:36" ht="12.75">
      <c r="B152" s="78" t="s">
        <v>23</v>
      </c>
      <c r="D152" s="78" t="s">
        <v>32</v>
      </c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D152" s="80">
        <f>AD146*454/60/0.0283/AD149*(21-7)/(21-AD150)*1000</f>
        <v>12046.860716258183</v>
      </c>
      <c r="AF152" s="80">
        <f>AF146*454/60/0.0283/AF149*(21-7)/(21-AF150)*1000</f>
        <v>12044.253906773965</v>
      </c>
      <c r="AH152" s="80">
        <f>AH146*454/60/0.0283/AH149*(21-7)/(21-AH150)*1000</f>
        <v>10892.801022423526</v>
      </c>
      <c r="AJ152" s="80">
        <f>AVERAGE(AH152,AF152,AD152)</f>
        <v>11661.305215151891</v>
      </c>
    </row>
    <row r="153" spans="2:36" ht="12.75">
      <c r="B153" s="78" t="s">
        <v>67</v>
      </c>
      <c r="D153" s="78" t="s">
        <v>29</v>
      </c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D153" s="80">
        <f>AD147*454/60/0.0283/AD149*(21-7)/(21-AD150)*1000000</f>
        <v>8218636.088647249</v>
      </c>
      <c r="AF153" s="80">
        <f>AF147*454/60/0.0283/AF149*(21-7)/(21-AF150)*1000000</f>
        <v>8551290.904809443</v>
      </c>
      <c r="AH153" s="80">
        <f>AH147*454/60/0.0283/AH149*(21-7)/(21-AH150)*1000000</f>
        <v>7911238.256198548</v>
      </c>
      <c r="AJ153" s="80">
        <f>AVERAGE(AH153,AF153,AD153)</f>
        <v>8227055.083218413</v>
      </c>
    </row>
    <row r="155" spans="2:36" ht="12.75">
      <c r="B155" s="15" t="s">
        <v>199</v>
      </c>
      <c r="C155" s="15"/>
      <c r="F155" s="81" t="s">
        <v>205</v>
      </c>
      <c r="G155" s="81"/>
      <c r="H155" s="81" t="s">
        <v>206</v>
      </c>
      <c r="I155" s="81"/>
      <c r="J155" s="81" t="s">
        <v>207</v>
      </c>
      <c r="K155" s="81"/>
      <c r="L155" s="81" t="s">
        <v>205</v>
      </c>
      <c r="M155" s="81"/>
      <c r="N155" s="81" t="s">
        <v>206</v>
      </c>
      <c r="O155" s="81"/>
      <c r="P155" s="81" t="s">
        <v>207</v>
      </c>
      <c r="Q155" s="81"/>
      <c r="R155" s="81" t="s">
        <v>205</v>
      </c>
      <c r="S155" s="81"/>
      <c r="T155" s="81" t="s">
        <v>206</v>
      </c>
      <c r="U155" s="81"/>
      <c r="V155" s="81" t="s">
        <v>207</v>
      </c>
      <c r="W155" s="81"/>
      <c r="X155" s="81" t="s">
        <v>205</v>
      </c>
      <c r="Y155" s="81"/>
      <c r="Z155" s="81" t="s">
        <v>206</v>
      </c>
      <c r="AA155" s="81"/>
      <c r="AB155" s="81" t="s">
        <v>207</v>
      </c>
      <c r="AC155" s="81"/>
      <c r="AD155" s="81" t="s">
        <v>205</v>
      </c>
      <c r="AE155" s="81"/>
      <c r="AF155" s="81" t="s">
        <v>206</v>
      </c>
      <c r="AG155" s="81"/>
      <c r="AH155" s="81" t="s">
        <v>207</v>
      </c>
      <c r="AI155" s="81"/>
      <c r="AJ155" s="81" t="s">
        <v>208</v>
      </c>
    </row>
    <row r="157" spans="2:36" ht="12.75">
      <c r="B157" s="78" t="s">
        <v>260</v>
      </c>
      <c r="F157" s="79" t="s">
        <v>262</v>
      </c>
      <c r="G157" s="79"/>
      <c r="H157" s="79" t="s">
        <v>262</v>
      </c>
      <c r="I157" s="79"/>
      <c r="J157" s="79" t="s">
        <v>262</v>
      </c>
      <c r="K157" s="79"/>
      <c r="L157" s="79" t="s">
        <v>264</v>
      </c>
      <c r="M157" s="79"/>
      <c r="N157" s="79" t="s">
        <v>264</v>
      </c>
      <c r="O157" s="79"/>
      <c r="P157" s="79" t="s">
        <v>264</v>
      </c>
      <c r="Q157" s="79"/>
      <c r="R157" s="79" t="s">
        <v>265</v>
      </c>
      <c r="S157" s="79"/>
      <c r="T157" s="79" t="s">
        <v>265</v>
      </c>
      <c r="U157" s="79"/>
      <c r="V157" s="79" t="s">
        <v>265</v>
      </c>
      <c r="W157" s="79"/>
      <c r="AD157" s="79" t="s">
        <v>266</v>
      </c>
      <c r="AE157" s="79"/>
      <c r="AF157" s="79" t="s">
        <v>266</v>
      </c>
      <c r="AG157" s="79"/>
      <c r="AH157" s="79" t="s">
        <v>266</v>
      </c>
      <c r="AJ157" s="78" t="s">
        <v>266</v>
      </c>
    </row>
    <row r="158" spans="2:36" ht="12.75">
      <c r="B158" s="78" t="s">
        <v>261</v>
      </c>
      <c r="F158" s="79" t="s">
        <v>263</v>
      </c>
      <c r="G158" s="79"/>
      <c r="H158" s="79" t="s">
        <v>263</v>
      </c>
      <c r="I158" s="79"/>
      <c r="J158" s="79" t="s">
        <v>263</v>
      </c>
      <c r="K158" s="79"/>
      <c r="L158" s="79" t="s">
        <v>263</v>
      </c>
      <c r="M158" s="79"/>
      <c r="N158" s="79" t="s">
        <v>263</v>
      </c>
      <c r="O158" s="79"/>
      <c r="P158" s="79" t="s">
        <v>263</v>
      </c>
      <c r="Q158" s="79"/>
      <c r="R158" s="79" t="s">
        <v>263</v>
      </c>
      <c r="S158" s="79"/>
      <c r="T158" s="79" t="s">
        <v>263</v>
      </c>
      <c r="U158" s="79"/>
      <c r="V158" s="79" t="s">
        <v>263</v>
      </c>
      <c r="W158" s="79"/>
      <c r="X158" s="79"/>
      <c r="Y158" s="79"/>
      <c r="Z158" s="79"/>
      <c r="AA158" s="79"/>
      <c r="AB158" s="79"/>
      <c r="AD158" s="78" t="s">
        <v>20</v>
      </c>
      <c r="AF158" s="78" t="s">
        <v>20</v>
      </c>
      <c r="AH158" s="78" t="s">
        <v>20</v>
      </c>
      <c r="AJ158" s="78" t="s">
        <v>20</v>
      </c>
    </row>
    <row r="159" spans="2:36" ht="12.75">
      <c r="B159" s="78" t="s">
        <v>269</v>
      </c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 t="s">
        <v>33</v>
      </c>
      <c r="Y159" s="79"/>
      <c r="Z159" s="79" t="s">
        <v>33</v>
      </c>
      <c r="AA159" s="79"/>
      <c r="AB159" s="79" t="s">
        <v>33</v>
      </c>
      <c r="AD159" s="78" t="s">
        <v>20</v>
      </c>
      <c r="AF159" s="78" t="s">
        <v>20</v>
      </c>
      <c r="AH159" s="78" t="s">
        <v>20</v>
      </c>
      <c r="AJ159" s="78" t="s">
        <v>20</v>
      </c>
    </row>
    <row r="160" spans="2:36" ht="12.75">
      <c r="B160" s="78" t="s">
        <v>22</v>
      </c>
      <c r="F160" s="78" t="s">
        <v>213</v>
      </c>
      <c r="H160" s="78" t="s">
        <v>213</v>
      </c>
      <c r="J160" s="78" t="s">
        <v>213</v>
      </c>
      <c r="L160" s="78" t="s">
        <v>214</v>
      </c>
      <c r="N160" s="78" t="s">
        <v>214</v>
      </c>
      <c r="P160" s="78" t="s">
        <v>214</v>
      </c>
      <c r="R160" s="78" t="s">
        <v>213</v>
      </c>
      <c r="T160" s="78" t="s">
        <v>213</v>
      </c>
      <c r="V160" s="78" t="s">
        <v>213</v>
      </c>
      <c r="AD160" s="78" t="s">
        <v>20</v>
      </c>
      <c r="AF160" s="78" t="s">
        <v>20</v>
      </c>
      <c r="AH160" s="78" t="s">
        <v>20</v>
      </c>
      <c r="AJ160" s="78" t="s">
        <v>20</v>
      </c>
    </row>
    <row r="161" spans="1:28" ht="12.75">
      <c r="A161" s="78" t="s">
        <v>199</v>
      </c>
      <c r="B161" s="78" t="s">
        <v>216</v>
      </c>
      <c r="D161" s="78" t="s">
        <v>169</v>
      </c>
      <c r="F161" s="79">
        <v>4.1</v>
      </c>
      <c r="G161" s="79"/>
      <c r="H161" s="79">
        <v>4.1</v>
      </c>
      <c r="I161" s="79"/>
      <c r="J161" s="79">
        <v>4.1</v>
      </c>
      <c r="K161" s="79"/>
      <c r="L161" s="79">
        <v>43</v>
      </c>
      <c r="M161" s="79"/>
      <c r="N161" s="79">
        <v>43</v>
      </c>
      <c r="O161" s="79"/>
      <c r="P161" s="79">
        <v>43</v>
      </c>
      <c r="Q161" s="79"/>
      <c r="R161" s="79">
        <v>0.2</v>
      </c>
      <c r="S161" s="79"/>
      <c r="T161" s="79">
        <v>0.2</v>
      </c>
      <c r="U161" s="79"/>
      <c r="V161" s="79">
        <v>0.2</v>
      </c>
      <c r="W161" s="79"/>
      <c r="X161" s="79"/>
      <c r="Y161" s="79"/>
      <c r="Z161" s="79"/>
      <c r="AA161" s="79"/>
      <c r="AB161" s="79"/>
    </row>
    <row r="162" spans="1:28" ht="12.75">
      <c r="A162" s="78" t="s">
        <v>199</v>
      </c>
      <c r="B162" s="78" t="s">
        <v>217</v>
      </c>
      <c r="D162" s="78" t="s">
        <v>163</v>
      </c>
      <c r="F162" s="79">
        <v>0</v>
      </c>
      <c r="G162" s="79"/>
      <c r="H162" s="79">
        <v>0</v>
      </c>
      <c r="I162" s="79"/>
      <c r="J162" s="79">
        <v>0</v>
      </c>
      <c r="K162" s="79"/>
      <c r="L162" s="79">
        <v>0</v>
      </c>
      <c r="M162" s="79"/>
      <c r="N162" s="79">
        <v>0</v>
      </c>
      <c r="O162" s="79"/>
      <c r="P162" s="79">
        <v>0</v>
      </c>
      <c r="Q162" s="79"/>
      <c r="R162" s="79">
        <v>0</v>
      </c>
      <c r="S162" s="79"/>
      <c r="T162" s="79">
        <v>0</v>
      </c>
      <c r="U162" s="79"/>
      <c r="V162" s="79">
        <v>0</v>
      </c>
      <c r="W162" s="79"/>
      <c r="X162" s="79"/>
      <c r="Y162" s="79"/>
      <c r="Z162" s="79"/>
      <c r="AA162" s="79"/>
      <c r="AB162" s="79"/>
    </row>
    <row r="163" spans="1:28" ht="12.75">
      <c r="A163" s="78" t="s">
        <v>199</v>
      </c>
      <c r="B163" s="78" t="s">
        <v>23</v>
      </c>
      <c r="D163" s="78" t="s">
        <v>218</v>
      </c>
      <c r="F163" s="79">
        <v>0.05</v>
      </c>
      <c r="G163" s="79"/>
      <c r="H163" s="79">
        <v>0.02</v>
      </c>
      <c r="I163" s="79"/>
      <c r="J163" s="79">
        <v>0.03</v>
      </c>
      <c r="K163" s="79"/>
      <c r="L163" s="79">
        <v>3.42</v>
      </c>
      <c r="M163" s="79"/>
      <c r="N163" s="79">
        <v>3.68</v>
      </c>
      <c r="O163" s="79"/>
      <c r="P163" s="79">
        <v>3.72</v>
      </c>
      <c r="Q163" s="79"/>
      <c r="R163" s="79">
        <v>0.01</v>
      </c>
      <c r="S163" s="79"/>
      <c r="T163" s="79">
        <v>0.01</v>
      </c>
      <c r="U163" s="79"/>
      <c r="V163" s="79">
        <v>0.03</v>
      </c>
      <c r="W163" s="79"/>
      <c r="X163" s="79"/>
      <c r="Y163" s="79"/>
      <c r="Z163" s="79"/>
      <c r="AA163" s="79"/>
      <c r="AB163" s="79"/>
    </row>
    <row r="164" spans="1:28" ht="12.75">
      <c r="A164" s="78" t="s">
        <v>199</v>
      </c>
      <c r="B164" s="78" t="s">
        <v>67</v>
      </c>
      <c r="D164" s="78" t="s">
        <v>219</v>
      </c>
      <c r="F164" s="79">
        <v>17500</v>
      </c>
      <c r="G164" s="79"/>
      <c r="H164" s="79">
        <v>22100</v>
      </c>
      <c r="I164" s="79"/>
      <c r="J164" s="79">
        <v>17600</v>
      </c>
      <c r="K164" s="79"/>
      <c r="L164" s="79">
        <v>24000</v>
      </c>
      <c r="M164" s="79"/>
      <c r="N164" s="79">
        <v>24300</v>
      </c>
      <c r="O164" s="79"/>
      <c r="P164" s="79">
        <v>23500</v>
      </c>
      <c r="Q164" s="79"/>
      <c r="R164" s="79">
        <v>666000</v>
      </c>
      <c r="S164" s="79"/>
      <c r="T164" s="79">
        <v>632000</v>
      </c>
      <c r="U164" s="79"/>
      <c r="V164" s="79">
        <v>695000</v>
      </c>
      <c r="W164" s="79"/>
      <c r="X164" s="79"/>
      <c r="Y164" s="79"/>
      <c r="Z164" s="79"/>
      <c r="AA164" s="79"/>
      <c r="AB164" s="79"/>
    </row>
    <row r="165" spans="6:28" ht="12.75"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</row>
    <row r="166" spans="2:34" ht="12.75">
      <c r="B166" s="78" t="s">
        <v>23</v>
      </c>
      <c r="D166" s="78" t="s">
        <v>27</v>
      </c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D166" s="78">
        <v>830</v>
      </c>
      <c r="AF166" s="78">
        <v>820</v>
      </c>
      <c r="AH166" s="78">
        <v>829</v>
      </c>
    </row>
    <row r="167" spans="2:34" ht="12.75">
      <c r="B167" s="78" t="s">
        <v>67</v>
      </c>
      <c r="D167" s="78" t="s">
        <v>27</v>
      </c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D167" s="78">
        <v>554</v>
      </c>
      <c r="AF167" s="78">
        <v>574</v>
      </c>
      <c r="AH167" s="78">
        <v>555</v>
      </c>
    </row>
    <row r="168" spans="6:28" ht="12.75"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</row>
    <row r="169" spans="2:34" ht="12.75">
      <c r="B169" s="78" t="s">
        <v>63</v>
      </c>
      <c r="D169" s="78" t="s">
        <v>17</v>
      </c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D169" s="78">
        <f>'emiss 2'!G108</f>
        <v>20066.6667</v>
      </c>
      <c r="AF169" s="78">
        <f>'emiss 2'!I108</f>
        <v>19466.6667</v>
      </c>
      <c r="AH169" s="78">
        <f>'emiss 2'!K108</f>
        <v>19133.3333</v>
      </c>
    </row>
    <row r="170" spans="2:34" ht="12.75">
      <c r="B170" s="78" t="s">
        <v>64</v>
      </c>
      <c r="D170" s="78" t="s">
        <v>18</v>
      </c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D170" s="78">
        <f>'emiss 2'!G109</f>
        <v>6.1</v>
      </c>
      <c r="AF170" s="78">
        <f>'emiss 2'!I109</f>
        <v>5.8</v>
      </c>
      <c r="AH170" s="78">
        <f>'emiss 2'!K109</f>
        <v>6</v>
      </c>
    </row>
    <row r="171" spans="6:28" ht="12.75"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</row>
    <row r="172" spans="2:36" ht="12.75">
      <c r="B172" s="78" t="s">
        <v>23</v>
      </c>
      <c r="D172" s="78" t="s">
        <v>32</v>
      </c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D172" s="80">
        <f>AD166*454/60/0.0283/AD169*(21-7)/(21-AD170)*1000</f>
        <v>10391.130267029412</v>
      </c>
      <c r="AF172" s="80">
        <f>AF166*454/60/0.0283/AF169*(21-7)/(21-AF170)*1000</f>
        <v>10373.489553495783</v>
      </c>
      <c r="AH172" s="80">
        <f>AH166*454/60/0.0283/AH169*(21-7)/(21-AH170)*1000</f>
        <v>10812.31867205866</v>
      </c>
      <c r="AJ172" s="80">
        <f>AVERAGE(AH172,AF172,AD172)</f>
        <v>10525.646164194617</v>
      </c>
    </row>
    <row r="173" spans="2:36" ht="12.75">
      <c r="B173" s="78" t="s">
        <v>67</v>
      </c>
      <c r="D173" s="78" t="s">
        <v>29</v>
      </c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D173" s="80">
        <f>AD167*454/60/0.0283/AD169*(21-7)/(21-AD170)*1000000</f>
        <v>6935766.467390715</v>
      </c>
      <c r="AF173" s="80">
        <f>AF167*454/60/0.0283/AF169*(21-7)/(21-AF170)*1000000</f>
        <v>7261442.68744705</v>
      </c>
      <c r="AH173" s="80">
        <f>AH167*454/60/0.0283/AH169*(21-7)/(21-AH170)*1000000</f>
        <v>7238645.190582096</v>
      </c>
      <c r="AJ173" s="80">
        <f>AVERAGE(AH173,AF173,AD173)</f>
        <v>7145284.781806621</v>
      </c>
    </row>
    <row r="174" spans="6:28" ht="12.75"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</row>
    <row r="175" spans="2:36" ht="12.75">
      <c r="B175" s="15" t="s">
        <v>200</v>
      </c>
      <c r="C175" s="15"/>
      <c r="F175" s="81" t="s">
        <v>205</v>
      </c>
      <c r="G175" s="81"/>
      <c r="H175" s="81" t="s">
        <v>206</v>
      </c>
      <c r="I175" s="81"/>
      <c r="J175" s="81" t="s">
        <v>207</v>
      </c>
      <c r="K175" s="81"/>
      <c r="L175" s="81" t="s">
        <v>205</v>
      </c>
      <c r="M175" s="81"/>
      <c r="N175" s="81" t="s">
        <v>206</v>
      </c>
      <c r="O175" s="81"/>
      <c r="P175" s="81" t="s">
        <v>207</v>
      </c>
      <c r="Q175" s="81"/>
      <c r="R175" s="81" t="s">
        <v>205</v>
      </c>
      <c r="S175" s="81"/>
      <c r="T175" s="81" t="s">
        <v>206</v>
      </c>
      <c r="U175" s="81"/>
      <c r="V175" s="81" t="s">
        <v>207</v>
      </c>
      <c r="W175" s="81"/>
      <c r="X175" s="81" t="s">
        <v>205</v>
      </c>
      <c r="Y175" s="81"/>
      <c r="Z175" s="81" t="s">
        <v>206</v>
      </c>
      <c r="AA175" s="81"/>
      <c r="AB175" s="81" t="s">
        <v>207</v>
      </c>
      <c r="AC175" s="81"/>
      <c r="AD175" s="81" t="s">
        <v>205</v>
      </c>
      <c r="AE175" s="81"/>
      <c r="AF175" s="81" t="s">
        <v>206</v>
      </c>
      <c r="AG175" s="81"/>
      <c r="AH175" s="81" t="s">
        <v>207</v>
      </c>
      <c r="AI175" s="81"/>
      <c r="AJ175" s="81" t="s">
        <v>208</v>
      </c>
    </row>
    <row r="176" spans="6:28" ht="12.75"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</row>
    <row r="177" spans="2:42" ht="12.75">
      <c r="B177" s="78" t="s">
        <v>260</v>
      </c>
      <c r="F177" s="79" t="s">
        <v>262</v>
      </c>
      <c r="G177" s="79"/>
      <c r="H177" s="79" t="s">
        <v>262</v>
      </c>
      <c r="I177" s="79"/>
      <c r="J177" s="79" t="s">
        <v>262</v>
      </c>
      <c r="K177" s="79"/>
      <c r="L177" s="79" t="s">
        <v>264</v>
      </c>
      <c r="M177" s="79"/>
      <c r="N177" s="79" t="s">
        <v>264</v>
      </c>
      <c r="O177" s="79"/>
      <c r="P177" s="79" t="s">
        <v>264</v>
      </c>
      <c r="Q177" s="79"/>
      <c r="R177" s="79" t="s">
        <v>265</v>
      </c>
      <c r="S177" s="79"/>
      <c r="T177" s="79" t="s">
        <v>265</v>
      </c>
      <c r="U177" s="79"/>
      <c r="V177" s="79" t="s">
        <v>265</v>
      </c>
      <c r="W177" s="79"/>
      <c r="AD177" s="79" t="s">
        <v>266</v>
      </c>
      <c r="AE177" s="79"/>
      <c r="AF177" s="79" t="s">
        <v>266</v>
      </c>
      <c r="AG177" s="79"/>
      <c r="AH177" s="79" t="s">
        <v>266</v>
      </c>
      <c r="AJ177" s="78" t="s">
        <v>268</v>
      </c>
      <c r="AL177" s="78" t="s">
        <v>268</v>
      </c>
      <c r="AN177" s="78" t="s">
        <v>268</v>
      </c>
      <c r="AP177" s="78" t="s">
        <v>268</v>
      </c>
    </row>
    <row r="178" spans="2:42" ht="12.75">
      <c r="B178" s="78" t="s">
        <v>261</v>
      </c>
      <c r="F178" s="79" t="s">
        <v>263</v>
      </c>
      <c r="G178" s="79"/>
      <c r="H178" s="79" t="s">
        <v>263</v>
      </c>
      <c r="I178" s="79"/>
      <c r="J178" s="79" t="s">
        <v>263</v>
      </c>
      <c r="K178" s="79"/>
      <c r="L178" s="79" t="s">
        <v>263</v>
      </c>
      <c r="M178" s="79"/>
      <c r="N178" s="79" t="s">
        <v>263</v>
      </c>
      <c r="O178" s="79"/>
      <c r="P178" s="79" t="s">
        <v>263</v>
      </c>
      <c r="Q178" s="79"/>
      <c r="R178" s="79" t="s">
        <v>263</v>
      </c>
      <c r="S178" s="79"/>
      <c r="T178" s="79" t="s">
        <v>263</v>
      </c>
      <c r="U178" s="79"/>
      <c r="V178" s="79" t="s">
        <v>263</v>
      </c>
      <c r="W178" s="79"/>
      <c r="AD178" s="79" t="s">
        <v>267</v>
      </c>
      <c r="AE178" s="79"/>
      <c r="AF178" s="79" t="s">
        <v>267</v>
      </c>
      <c r="AG178" s="79"/>
      <c r="AH178" s="79" t="s">
        <v>267</v>
      </c>
      <c r="AJ178" s="78" t="s">
        <v>20</v>
      </c>
      <c r="AL178" s="78" t="s">
        <v>20</v>
      </c>
      <c r="AN178" s="78" t="s">
        <v>20</v>
      </c>
      <c r="AP178" s="78" t="s">
        <v>20</v>
      </c>
    </row>
    <row r="179" spans="2:42" ht="12.75">
      <c r="B179" s="78" t="s">
        <v>269</v>
      </c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8" t="s">
        <v>33</v>
      </c>
      <c r="Z179" s="78" t="s">
        <v>33</v>
      </c>
      <c r="AB179" s="78" t="s">
        <v>33</v>
      </c>
      <c r="AD179" s="79" t="s">
        <v>270</v>
      </c>
      <c r="AE179" s="79"/>
      <c r="AF179" s="79" t="s">
        <v>270</v>
      </c>
      <c r="AG179" s="79"/>
      <c r="AH179" s="79" t="s">
        <v>270</v>
      </c>
      <c r="AJ179" s="78" t="s">
        <v>20</v>
      </c>
      <c r="AL179" s="78" t="s">
        <v>20</v>
      </c>
      <c r="AN179" s="78" t="s">
        <v>20</v>
      </c>
      <c r="AP179" s="78" t="s">
        <v>20</v>
      </c>
    </row>
    <row r="180" spans="2:42" ht="12.75">
      <c r="B180" s="78" t="s">
        <v>22</v>
      </c>
      <c r="F180" s="78" t="s">
        <v>213</v>
      </c>
      <c r="H180" s="78" t="s">
        <v>213</v>
      </c>
      <c r="J180" s="78" t="s">
        <v>213</v>
      </c>
      <c r="L180" s="78" t="s">
        <v>214</v>
      </c>
      <c r="N180" s="78" t="s">
        <v>214</v>
      </c>
      <c r="P180" s="78" t="s">
        <v>214</v>
      </c>
      <c r="R180" s="78" t="s">
        <v>213</v>
      </c>
      <c r="T180" s="78" t="s">
        <v>213</v>
      </c>
      <c r="V180" s="78" t="s">
        <v>213</v>
      </c>
      <c r="AD180" s="78" t="s">
        <v>215</v>
      </c>
      <c r="AF180" s="78" t="s">
        <v>215</v>
      </c>
      <c r="AH180" s="78" t="s">
        <v>215</v>
      </c>
      <c r="AJ180" s="78" t="s">
        <v>20</v>
      </c>
      <c r="AL180" s="78" t="s">
        <v>20</v>
      </c>
      <c r="AN180" s="78" t="s">
        <v>20</v>
      </c>
      <c r="AP180" s="78" t="s">
        <v>20</v>
      </c>
    </row>
    <row r="181" spans="1:34" ht="12.75">
      <c r="A181" s="78" t="s">
        <v>200</v>
      </c>
      <c r="B181" s="78" t="s">
        <v>216</v>
      </c>
      <c r="D181" s="78" t="s">
        <v>169</v>
      </c>
      <c r="F181" s="79"/>
      <c r="G181" s="79"/>
      <c r="H181" s="79"/>
      <c r="I181" s="79"/>
      <c r="J181" s="79"/>
      <c r="K181" s="79"/>
      <c r="L181" s="79">
        <v>40</v>
      </c>
      <c r="M181" s="79"/>
      <c r="N181" s="79">
        <v>40</v>
      </c>
      <c r="O181" s="79"/>
      <c r="P181" s="79">
        <v>40</v>
      </c>
      <c r="Q181" s="79"/>
      <c r="R181" s="79">
        <v>0.2</v>
      </c>
      <c r="S181" s="79"/>
      <c r="T181" s="79">
        <v>0.2</v>
      </c>
      <c r="U181" s="79"/>
      <c r="V181" s="79">
        <v>0.2</v>
      </c>
      <c r="W181" s="79"/>
      <c r="AD181" s="79">
        <v>3528.909888</v>
      </c>
      <c r="AE181" s="79"/>
      <c r="AF181" s="79">
        <v>3574.28232</v>
      </c>
      <c r="AG181" s="79"/>
      <c r="AH181" s="79">
        <v>3574.28232</v>
      </c>
    </row>
    <row r="182" spans="1:34" ht="12.75">
      <c r="A182" s="78" t="s">
        <v>200</v>
      </c>
      <c r="B182" s="78" t="s">
        <v>217</v>
      </c>
      <c r="D182" s="78" t="s">
        <v>163</v>
      </c>
      <c r="F182" s="79"/>
      <c r="G182" s="79"/>
      <c r="H182" s="79"/>
      <c r="I182" s="79"/>
      <c r="J182" s="79"/>
      <c r="K182" s="79"/>
      <c r="L182" s="79">
        <v>0</v>
      </c>
      <c r="M182" s="79"/>
      <c r="N182" s="79">
        <v>0</v>
      </c>
      <c r="O182" s="79"/>
      <c r="P182" s="79">
        <v>0</v>
      </c>
      <c r="Q182" s="79"/>
      <c r="R182" s="79">
        <v>0</v>
      </c>
      <c r="S182" s="79"/>
      <c r="T182" s="79">
        <v>0</v>
      </c>
      <c r="U182" s="79"/>
      <c r="V182" s="79">
        <v>0</v>
      </c>
      <c r="W182" s="79"/>
      <c r="AD182" s="79">
        <v>0</v>
      </c>
      <c r="AE182" s="79"/>
      <c r="AF182" s="79">
        <v>0</v>
      </c>
      <c r="AG182" s="79"/>
      <c r="AH182" s="79">
        <v>0</v>
      </c>
    </row>
    <row r="183" spans="1:34" ht="12.75">
      <c r="A183" s="78" t="s">
        <v>200</v>
      </c>
      <c r="B183" s="78" t="s">
        <v>23</v>
      </c>
      <c r="D183" s="78" t="s">
        <v>218</v>
      </c>
      <c r="F183" s="79"/>
      <c r="G183" s="79"/>
      <c r="H183" s="79"/>
      <c r="I183" s="79"/>
      <c r="J183" s="79"/>
      <c r="K183" s="79"/>
      <c r="L183" s="79">
        <v>3.3</v>
      </c>
      <c r="M183" s="79"/>
      <c r="N183" s="79">
        <v>3.26</v>
      </c>
      <c r="O183" s="79"/>
      <c r="P183" s="79">
        <v>3.22</v>
      </c>
      <c r="Q183" s="79"/>
      <c r="R183" s="79">
        <v>0</v>
      </c>
      <c r="S183" s="79"/>
      <c r="T183" s="79">
        <v>0.04</v>
      </c>
      <c r="U183" s="79"/>
      <c r="V183" s="79">
        <v>0.01</v>
      </c>
      <c r="W183" s="79"/>
      <c r="AD183" s="79">
        <v>25.93</v>
      </c>
      <c r="AE183" s="79"/>
      <c r="AF183" s="79">
        <v>25.68</v>
      </c>
      <c r="AG183" s="79"/>
      <c r="AH183" s="79">
        <v>0</v>
      </c>
    </row>
    <row r="184" spans="1:34" ht="12.75">
      <c r="A184" s="78" t="s">
        <v>200</v>
      </c>
      <c r="B184" s="78" t="s">
        <v>67</v>
      </c>
      <c r="D184" s="78" t="s">
        <v>219</v>
      </c>
      <c r="F184" s="79"/>
      <c r="G184" s="79"/>
      <c r="H184" s="79"/>
      <c r="I184" s="79"/>
      <c r="J184" s="79"/>
      <c r="K184" s="79"/>
      <c r="L184" s="79">
        <v>18500</v>
      </c>
      <c r="M184" s="79"/>
      <c r="N184" s="79">
        <v>19200</v>
      </c>
      <c r="O184" s="79"/>
      <c r="P184" s="79">
        <v>20900</v>
      </c>
      <c r="Q184" s="79"/>
      <c r="R184" s="79">
        <v>0</v>
      </c>
      <c r="S184" s="79"/>
      <c r="T184" s="79">
        <v>696000</v>
      </c>
      <c r="U184" s="79"/>
      <c r="V184" s="79">
        <v>694000</v>
      </c>
      <c r="W184" s="79"/>
      <c r="AD184" s="79">
        <v>152000</v>
      </c>
      <c r="AE184" s="79"/>
      <c r="AF184" s="79">
        <v>151000</v>
      </c>
      <c r="AG184" s="79"/>
      <c r="AH184" s="79">
        <v>156000</v>
      </c>
    </row>
    <row r="185" spans="6:34" ht="12.75"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AD185" s="79"/>
      <c r="AE185" s="79"/>
      <c r="AF185" s="79"/>
      <c r="AG185" s="79"/>
      <c r="AH185" s="79"/>
    </row>
    <row r="186" spans="2:40" ht="12.75">
      <c r="B186" s="78" t="s">
        <v>23</v>
      </c>
      <c r="D186" s="78" t="s">
        <v>27</v>
      </c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AD186" s="79"/>
      <c r="AE186" s="79"/>
      <c r="AF186" s="79"/>
      <c r="AG186" s="79"/>
      <c r="AH186" s="79"/>
      <c r="AJ186" s="78">
        <v>1598</v>
      </c>
      <c r="AL186" s="78">
        <v>1596</v>
      </c>
      <c r="AN186" s="78">
        <v>1598</v>
      </c>
    </row>
    <row r="187" spans="2:40" ht="12.75">
      <c r="B187" s="78" t="s">
        <v>67</v>
      </c>
      <c r="D187" s="78" t="s">
        <v>27</v>
      </c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AD187" s="79"/>
      <c r="AE187" s="79"/>
      <c r="AF187" s="79"/>
      <c r="AG187" s="79"/>
      <c r="AH187" s="79"/>
      <c r="AJ187" s="78">
        <v>1021</v>
      </c>
      <c r="AL187" s="78">
        <v>1041</v>
      </c>
      <c r="AN187" s="78">
        <v>1095</v>
      </c>
    </row>
    <row r="188" spans="6:34" ht="12.75"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AD188" s="79"/>
      <c r="AE188" s="79"/>
      <c r="AF188" s="79"/>
      <c r="AG188" s="79"/>
      <c r="AH188" s="79"/>
    </row>
    <row r="189" spans="2:40" ht="12.75">
      <c r="B189" s="78" t="s">
        <v>63</v>
      </c>
      <c r="D189" s="78" t="s">
        <v>17</v>
      </c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AD189" s="79"/>
      <c r="AE189" s="79"/>
      <c r="AF189" s="79"/>
      <c r="AG189" s="79"/>
      <c r="AH189" s="79"/>
      <c r="AJ189" s="78">
        <f>'emiss 2'!G120</f>
        <v>19250</v>
      </c>
      <c r="AL189" s="78">
        <f>'emiss 2'!I120</f>
        <v>19550</v>
      </c>
      <c r="AN189" s="78">
        <f>'emiss 2'!K120</f>
        <v>19550</v>
      </c>
    </row>
    <row r="190" spans="2:40" ht="12.75">
      <c r="B190" s="78" t="s">
        <v>64</v>
      </c>
      <c r="D190" s="78" t="s">
        <v>18</v>
      </c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AD190" s="79"/>
      <c r="AE190" s="79"/>
      <c r="AF190" s="79"/>
      <c r="AG190" s="79"/>
      <c r="AH190" s="79"/>
      <c r="AJ190" s="78">
        <f>'emiss 2'!G121</f>
        <v>8.9</v>
      </c>
      <c r="AL190" s="78">
        <f>'emiss 2'!I121</f>
        <v>6.9</v>
      </c>
      <c r="AN190" s="78">
        <f>'emiss 2'!K121</f>
        <v>6.3</v>
      </c>
    </row>
    <row r="191" spans="6:34" ht="12.75"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AD191" s="79"/>
      <c r="AE191" s="79"/>
      <c r="AF191" s="79"/>
      <c r="AG191" s="79"/>
      <c r="AH191" s="79"/>
    </row>
    <row r="192" spans="2:42" ht="12.75">
      <c r="B192" s="78" t="s">
        <v>23</v>
      </c>
      <c r="D192" s="78" t="s">
        <v>32</v>
      </c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AD192" s="79"/>
      <c r="AE192" s="79"/>
      <c r="AF192" s="79"/>
      <c r="AG192" s="79"/>
      <c r="AH192" s="79"/>
      <c r="AJ192" s="80">
        <f>AJ186*454/60/0.0283/AJ189*(21-7)/(21-AJ190)*1000</f>
        <v>25680.700943966433</v>
      </c>
      <c r="AL192" s="80">
        <f>AL186*454/60/0.0283/AL189*(21-7)/(21-AL190)*1000</f>
        <v>21672.709773887094</v>
      </c>
      <c r="AN192" s="80">
        <f>AN186*454/60/0.0283/AN189*(21-7)/(21-AN190)*1000</f>
        <v>20814.15963732756</v>
      </c>
      <c r="AP192" s="80">
        <f>AVERAGE(AN192,AL192,AJ192)</f>
        <v>22722.52345172703</v>
      </c>
    </row>
    <row r="193" spans="2:42" ht="12.75">
      <c r="B193" s="78" t="s">
        <v>67</v>
      </c>
      <c r="D193" s="78" t="s">
        <v>29</v>
      </c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AD193" s="79"/>
      <c r="AE193" s="79"/>
      <c r="AF193" s="79"/>
      <c r="AG193" s="79"/>
      <c r="AH193" s="79"/>
      <c r="AJ193" s="88">
        <f>AJ187*454/60/0.0283/AJ189*(21-7)/(21-AJ190)*1000000</f>
        <v>16408007.29899232</v>
      </c>
      <c r="AK193" s="88"/>
      <c r="AL193" s="88">
        <f>AL187*454/60/0.0283/AL189*(21-7)/(21-AL190)*1000000</f>
        <v>14136147.164546661</v>
      </c>
      <c r="AM193" s="88"/>
      <c r="AN193" s="88">
        <f>AN187*454/60/0.0283/AN189*(21-7)/(21-AN190)*1000000</f>
        <v>14262518.650108686</v>
      </c>
      <c r="AO193" s="88"/>
      <c r="AP193" s="88">
        <f>AVERAGE(AN193,AL193,AJ193)</f>
        <v>14935557.704549223</v>
      </c>
    </row>
    <row r="194" spans="6:34" ht="12.75"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AD194" s="79"/>
      <c r="AE194" s="79"/>
      <c r="AF194" s="79"/>
      <c r="AG194" s="79"/>
      <c r="AH194" s="79"/>
    </row>
    <row r="195" spans="6:28" ht="12.75"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</row>
    <row r="196" spans="6:28" ht="12.75"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</row>
    <row r="197" spans="2:28" ht="12.75">
      <c r="B197" s="15" t="s">
        <v>201</v>
      </c>
      <c r="C197" s="15"/>
      <c r="F197" s="79"/>
      <c r="G197" s="79"/>
      <c r="H197" s="79"/>
      <c r="I197" s="79"/>
      <c r="J197" s="79"/>
      <c r="K197" s="79"/>
      <c r="L197" s="79" t="s">
        <v>205</v>
      </c>
      <c r="M197" s="79"/>
      <c r="N197" s="79" t="s">
        <v>206</v>
      </c>
      <c r="O197" s="79"/>
      <c r="P197" s="79" t="s">
        <v>207</v>
      </c>
      <c r="Q197" s="79"/>
      <c r="R197" s="79" t="s">
        <v>205</v>
      </c>
      <c r="S197" s="79"/>
      <c r="T197" s="79" t="s">
        <v>206</v>
      </c>
      <c r="U197" s="79"/>
      <c r="V197" s="79" t="s">
        <v>207</v>
      </c>
      <c r="W197" s="79"/>
      <c r="X197" s="79" t="s">
        <v>205</v>
      </c>
      <c r="Y197" s="79"/>
      <c r="Z197" s="79" t="s">
        <v>206</v>
      </c>
      <c r="AA197" s="79"/>
      <c r="AB197" s="79" t="s">
        <v>207</v>
      </c>
    </row>
    <row r="198" spans="2:28" ht="12.75">
      <c r="B198" s="78" t="s">
        <v>260</v>
      </c>
      <c r="F198" s="79"/>
      <c r="G198" s="79"/>
      <c r="H198" s="79"/>
      <c r="I198" s="79"/>
      <c r="J198" s="79"/>
      <c r="K198" s="79"/>
      <c r="L198" s="79" t="s">
        <v>262</v>
      </c>
      <c r="M198" s="79"/>
      <c r="N198" s="79" t="s">
        <v>262</v>
      </c>
      <c r="O198" s="79"/>
      <c r="P198" s="79" t="s">
        <v>262</v>
      </c>
      <c r="Q198" s="79"/>
      <c r="R198" s="79" t="s">
        <v>264</v>
      </c>
      <c r="S198" s="79"/>
      <c r="T198" s="79" t="s">
        <v>264</v>
      </c>
      <c r="U198" s="79"/>
      <c r="V198" s="79" t="s">
        <v>264</v>
      </c>
      <c r="W198" s="79"/>
      <c r="X198" s="79"/>
      <c r="Y198" s="79"/>
      <c r="Z198" s="79"/>
      <c r="AA198" s="79"/>
      <c r="AB198" s="79"/>
    </row>
    <row r="199" spans="2:28" ht="12.75">
      <c r="B199" s="78" t="s">
        <v>261</v>
      </c>
      <c r="F199" s="79"/>
      <c r="G199" s="79"/>
      <c r="H199" s="79"/>
      <c r="I199" s="79"/>
      <c r="J199" s="79"/>
      <c r="K199" s="79"/>
      <c r="L199" s="79" t="s">
        <v>263</v>
      </c>
      <c r="M199" s="79"/>
      <c r="N199" s="79" t="s">
        <v>263</v>
      </c>
      <c r="O199" s="79"/>
      <c r="P199" s="79" t="s">
        <v>263</v>
      </c>
      <c r="Q199" s="79"/>
      <c r="R199" s="79" t="s">
        <v>263</v>
      </c>
      <c r="S199" s="79"/>
      <c r="T199" s="79" t="s">
        <v>263</v>
      </c>
      <c r="U199" s="79"/>
      <c r="V199" s="79" t="s">
        <v>263</v>
      </c>
      <c r="W199" s="79"/>
      <c r="X199" s="79"/>
      <c r="Y199" s="79"/>
      <c r="Z199" s="79"/>
      <c r="AA199" s="79"/>
      <c r="AB199" s="79"/>
    </row>
    <row r="200" spans="2:28" ht="12.75">
      <c r="B200" s="78" t="s">
        <v>269</v>
      </c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 t="s">
        <v>33</v>
      </c>
      <c r="Y200" s="79"/>
      <c r="Z200" s="79" t="s">
        <v>33</v>
      </c>
      <c r="AA200" s="79"/>
      <c r="AB200" s="79" t="s">
        <v>33</v>
      </c>
    </row>
    <row r="201" spans="2:28" ht="12.75">
      <c r="B201" s="78" t="s">
        <v>22</v>
      </c>
      <c r="L201" s="78" t="s">
        <v>214</v>
      </c>
      <c r="N201" s="78" t="s">
        <v>214</v>
      </c>
      <c r="P201" s="78" t="s">
        <v>214</v>
      </c>
      <c r="Q201" s="79"/>
      <c r="R201" s="78" t="s">
        <v>213</v>
      </c>
      <c r="S201" s="79"/>
      <c r="T201" s="78" t="s">
        <v>213</v>
      </c>
      <c r="U201" s="79"/>
      <c r="V201" s="78" t="s">
        <v>213</v>
      </c>
      <c r="W201" s="79"/>
      <c r="X201" s="79"/>
      <c r="Y201" s="79"/>
      <c r="Z201" s="79"/>
      <c r="AA201" s="79"/>
      <c r="AB201" s="79"/>
    </row>
    <row r="202" spans="1:28" ht="12.75">
      <c r="A202" s="78" t="s">
        <v>201</v>
      </c>
      <c r="B202" s="78" t="s">
        <v>216</v>
      </c>
      <c r="D202" s="78" t="s">
        <v>169</v>
      </c>
      <c r="F202" s="79"/>
      <c r="G202" s="79"/>
      <c r="H202" s="79"/>
      <c r="I202" s="79"/>
      <c r="J202" s="79"/>
      <c r="K202" s="79"/>
      <c r="L202" s="79">
        <v>25534.34688</v>
      </c>
      <c r="M202" s="79"/>
      <c r="N202" s="79">
        <v>25581.51624</v>
      </c>
      <c r="O202" s="79"/>
      <c r="P202" s="79">
        <v>25534.34688</v>
      </c>
      <c r="Q202" s="79"/>
      <c r="R202" s="79">
        <v>145.166112</v>
      </c>
      <c r="S202" s="79"/>
      <c r="T202" s="79">
        <v>145.166112</v>
      </c>
      <c r="U202" s="79"/>
      <c r="V202" s="79">
        <v>145.166112</v>
      </c>
      <c r="W202" s="79"/>
      <c r="X202" s="79"/>
      <c r="Y202" s="79"/>
      <c r="Z202" s="79"/>
      <c r="AA202" s="79"/>
      <c r="AB202" s="79"/>
    </row>
    <row r="203" spans="1:28" ht="12.75">
      <c r="A203" s="78" t="s">
        <v>201</v>
      </c>
      <c r="B203" s="78" t="s">
        <v>217</v>
      </c>
      <c r="D203" s="78" t="s">
        <v>163</v>
      </c>
      <c r="F203" s="79"/>
      <c r="G203" s="79"/>
      <c r="H203" s="79"/>
      <c r="I203" s="79"/>
      <c r="J203" s="79"/>
      <c r="K203" s="79"/>
      <c r="L203" s="79">
        <v>1104</v>
      </c>
      <c r="M203" s="79"/>
      <c r="N203" s="79">
        <v>865</v>
      </c>
      <c r="O203" s="79"/>
      <c r="P203" s="79">
        <v>1236</v>
      </c>
      <c r="Q203" s="79"/>
      <c r="R203" s="79">
        <v>7491</v>
      </c>
      <c r="S203" s="79"/>
      <c r="T203" s="79">
        <v>7292</v>
      </c>
      <c r="U203" s="79"/>
      <c r="V203" s="79">
        <v>7580</v>
      </c>
      <c r="W203" s="79"/>
      <c r="X203" s="79"/>
      <c r="Y203" s="79"/>
      <c r="Z203" s="79"/>
      <c r="AA203" s="79"/>
      <c r="AB203" s="79"/>
    </row>
    <row r="204" spans="1:28" ht="12.75">
      <c r="A204" s="78" t="s">
        <v>201</v>
      </c>
      <c r="B204" s="78" t="s">
        <v>23</v>
      </c>
      <c r="D204" s="78" t="s">
        <v>218</v>
      </c>
      <c r="F204" s="79"/>
      <c r="G204" s="79"/>
      <c r="H204" s="79"/>
      <c r="I204" s="79"/>
      <c r="J204" s="79"/>
      <c r="K204" s="79"/>
      <c r="L204" s="79">
        <v>4.3</v>
      </c>
      <c r="M204" s="79"/>
      <c r="N204" s="79">
        <v>4.13</v>
      </c>
      <c r="O204" s="79"/>
      <c r="P204" s="79">
        <v>4.35</v>
      </c>
      <c r="Q204" s="79"/>
      <c r="R204" s="79">
        <v>0.01</v>
      </c>
      <c r="S204" s="79"/>
      <c r="T204" s="79">
        <v>0.01</v>
      </c>
      <c r="U204" s="79"/>
      <c r="V204" s="79">
        <v>0.01</v>
      </c>
      <c r="W204" s="79"/>
      <c r="X204" s="79"/>
      <c r="Y204" s="79"/>
      <c r="Z204" s="79"/>
      <c r="AA204" s="79"/>
      <c r="AB204" s="79"/>
    </row>
    <row r="205" spans="1:28" ht="12.75">
      <c r="A205" s="78" t="s">
        <v>201</v>
      </c>
      <c r="B205" s="78" t="s">
        <v>67</v>
      </c>
      <c r="D205" s="78" t="s">
        <v>219</v>
      </c>
      <c r="F205" s="79"/>
      <c r="G205" s="79"/>
      <c r="H205" s="79"/>
      <c r="I205" s="79"/>
      <c r="J205" s="79"/>
      <c r="K205" s="79"/>
      <c r="L205" s="79">
        <v>25100</v>
      </c>
      <c r="M205" s="79"/>
      <c r="N205" s="79">
        <v>25100</v>
      </c>
      <c r="O205" s="79"/>
      <c r="P205" s="79">
        <v>22200</v>
      </c>
      <c r="Q205" s="79"/>
      <c r="R205" s="79">
        <v>601000</v>
      </c>
      <c r="S205" s="79"/>
      <c r="T205" s="79">
        <v>672000</v>
      </c>
      <c r="U205" s="79"/>
      <c r="V205" s="79">
        <v>687000</v>
      </c>
      <c r="W205" s="79"/>
      <c r="X205" s="79"/>
      <c r="Y205" s="79"/>
      <c r="Z205" s="79"/>
      <c r="AA205" s="79"/>
      <c r="AB205" s="79"/>
    </row>
    <row r="206" spans="6:28" ht="12.75"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</row>
    <row r="207" spans="2:28" ht="12.75">
      <c r="B207" s="15" t="s">
        <v>202</v>
      </c>
      <c r="C207" s="15"/>
      <c r="F207" s="79"/>
      <c r="G207" s="79"/>
      <c r="H207" s="79"/>
      <c r="I207" s="79"/>
      <c r="J207" s="79"/>
      <c r="K207" s="79"/>
      <c r="L207" s="79" t="s">
        <v>205</v>
      </c>
      <c r="M207" s="79"/>
      <c r="N207" s="79" t="s">
        <v>206</v>
      </c>
      <c r="O207" s="79"/>
      <c r="P207" s="79" t="s">
        <v>207</v>
      </c>
      <c r="Q207" s="79"/>
      <c r="R207" s="79" t="s">
        <v>205</v>
      </c>
      <c r="S207" s="79"/>
      <c r="T207" s="79" t="s">
        <v>206</v>
      </c>
      <c r="U207" s="79"/>
      <c r="V207" s="79" t="s">
        <v>207</v>
      </c>
      <c r="W207" s="79"/>
      <c r="X207" s="79" t="s">
        <v>205</v>
      </c>
      <c r="Y207" s="79"/>
      <c r="Z207" s="79" t="s">
        <v>206</v>
      </c>
      <c r="AA207" s="79"/>
      <c r="AB207" s="79" t="s">
        <v>207</v>
      </c>
    </row>
    <row r="208" spans="2:28" ht="12.75">
      <c r="B208" s="78" t="s">
        <v>260</v>
      </c>
      <c r="F208" s="79"/>
      <c r="G208" s="79"/>
      <c r="H208" s="79"/>
      <c r="I208" s="79"/>
      <c r="J208" s="79"/>
      <c r="K208" s="79"/>
      <c r="L208" s="79" t="s">
        <v>262</v>
      </c>
      <c r="M208" s="79"/>
      <c r="N208" s="79" t="s">
        <v>262</v>
      </c>
      <c r="O208" s="79"/>
      <c r="P208" s="79" t="s">
        <v>262</v>
      </c>
      <c r="Q208" s="79"/>
      <c r="R208" s="79" t="s">
        <v>264</v>
      </c>
      <c r="S208" s="79"/>
      <c r="T208" s="79" t="s">
        <v>264</v>
      </c>
      <c r="U208" s="79"/>
      <c r="V208" s="79" t="s">
        <v>264</v>
      </c>
      <c r="W208" s="79"/>
      <c r="X208" s="79"/>
      <c r="Y208" s="79"/>
      <c r="Z208" s="79"/>
      <c r="AA208" s="79"/>
      <c r="AB208" s="79"/>
    </row>
    <row r="209" spans="2:28" ht="12.75">
      <c r="B209" s="78" t="s">
        <v>261</v>
      </c>
      <c r="F209" s="79"/>
      <c r="G209" s="79"/>
      <c r="H209" s="79"/>
      <c r="I209" s="79"/>
      <c r="J209" s="79"/>
      <c r="K209" s="79"/>
      <c r="L209" s="79" t="s">
        <v>263</v>
      </c>
      <c r="M209" s="79"/>
      <c r="N209" s="79" t="s">
        <v>263</v>
      </c>
      <c r="O209" s="79"/>
      <c r="P209" s="79" t="s">
        <v>263</v>
      </c>
      <c r="Q209" s="79"/>
      <c r="R209" s="79" t="s">
        <v>263</v>
      </c>
      <c r="S209" s="79"/>
      <c r="T209" s="79" t="s">
        <v>263</v>
      </c>
      <c r="U209" s="79"/>
      <c r="V209" s="79" t="s">
        <v>263</v>
      </c>
      <c r="W209" s="79"/>
      <c r="X209" s="79"/>
      <c r="Y209" s="79"/>
      <c r="Z209" s="79"/>
      <c r="AA209" s="79"/>
      <c r="AB209" s="79"/>
    </row>
    <row r="210" spans="2:28" ht="12.75">
      <c r="B210" s="78" t="s">
        <v>269</v>
      </c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 t="s">
        <v>33</v>
      </c>
      <c r="Y210" s="79"/>
      <c r="Z210" s="79" t="s">
        <v>33</v>
      </c>
      <c r="AA210" s="79"/>
      <c r="AB210" s="79" t="s">
        <v>33</v>
      </c>
    </row>
    <row r="211" spans="2:28" ht="12.75">
      <c r="B211" s="78" t="s">
        <v>22</v>
      </c>
      <c r="F211" s="79"/>
      <c r="G211" s="79"/>
      <c r="H211" s="79"/>
      <c r="I211" s="79"/>
      <c r="J211" s="79"/>
      <c r="K211" s="79"/>
      <c r="L211" s="78" t="s">
        <v>214</v>
      </c>
      <c r="N211" s="78" t="s">
        <v>214</v>
      </c>
      <c r="P211" s="78" t="s">
        <v>214</v>
      </c>
      <c r="Q211" s="79"/>
      <c r="R211" s="78" t="s">
        <v>213</v>
      </c>
      <c r="S211" s="79"/>
      <c r="T211" s="78" t="s">
        <v>213</v>
      </c>
      <c r="U211" s="79"/>
      <c r="V211" s="78" t="s">
        <v>213</v>
      </c>
      <c r="W211" s="79"/>
      <c r="X211" s="79"/>
      <c r="Y211" s="79"/>
      <c r="Z211" s="79"/>
      <c r="AA211" s="79"/>
      <c r="AB211" s="79"/>
    </row>
    <row r="212" spans="1:28" ht="12.75">
      <c r="A212" s="78" t="s">
        <v>202</v>
      </c>
      <c r="B212" s="78" t="s">
        <v>216</v>
      </c>
      <c r="D212" s="78" t="s">
        <v>169</v>
      </c>
      <c r="F212" s="79"/>
      <c r="G212" s="79"/>
      <c r="H212" s="79"/>
      <c r="I212" s="79"/>
      <c r="J212" s="79"/>
      <c r="K212" s="79"/>
      <c r="L212" s="79">
        <v>24469.5066</v>
      </c>
      <c r="M212" s="79"/>
      <c r="N212" s="79">
        <v>24492.12864</v>
      </c>
      <c r="O212" s="79"/>
      <c r="P212" s="79">
        <v>24469.5066</v>
      </c>
      <c r="Q212" s="79"/>
      <c r="R212" s="79">
        <v>145.069848</v>
      </c>
      <c r="S212" s="79"/>
      <c r="T212" s="79">
        <v>144.668748</v>
      </c>
      <c r="U212" s="79"/>
      <c r="V212" s="79">
        <v>144.973584</v>
      </c>
      <c r="W212" s="79"/>
      <c r="X212" s="79"/>
      <c r="Y212" s="79"/>
      <c r="Z212" s="79"/>
      <c r="AA212" s="79"/>
      <c r="AB212" s="79"/>
    </row>
    <row r="213" spans="1:28" ht="12.75">
      <c r="A213" s="78" t="s">
        <v>202</v>
      </c>
      <c r="B213" s="78" t="s">
        <v>217</v>
      </c>
      <c r="D213" s="78" t="s">
        <v>163</v>
      </c>
      <c r="F213" s="79"/>
      <c r="G213" s="79"/>
      <c r="H213" s="79"/>
      <c r="I213" s="79"/>
      <c r="J213" s="79"/>
      <c r="K213" s="79"/>
      <c r="L213" s="79">
        <v>1103</v>
      </c>
      <c r="M213" s="79"/>
      <c r="N213" s="79">
        <v>1057</v>
      </c>
      <c r="O213" s="79"/>
      <c r="P213" s="79">
        <v>850</v>
      </c>
      <c r="Q213" s="79"/>
      <c r="R213" s="79">
        <v>7795</v>
      </c>
      <c r="S213" s="79"/>
      <c r="T213" s="79">
        <v>7756</v>
      </c>
      <c r="U213" s="79"/>
      <c r="V213" s="79">
        <v>7848</v>
      </c>
      <c r="W213" s="79"/>
      <c r="X213" s="79"/>
      <c r="Y213" s="79"/>
      <c r="Z213" s="79"/>
      <c r="AA213" s="79"/>
      <c r="AB213" s="79"/>
    </row>
    <row r="214" spans="1:28" ht="12.75">
      <c r="A214" s="78" t="s">
        <v>202</v>
      </c>
      <c r="B214" s="78" t="s">
        <v>23</v>
      </c>
      <c r="D214" s="78" t="s">
        <v>218</v>
      </c>
      <c r="F214" s="79"/>
      <c r="G214" s="79"/>
      <c r="H214" s="79"/>
      <c r="I214" s="79"/>
      <c r="J214" s="79"/>
      <c r="K214" s="79"/>
      <c r="L214" s="79">
        <v>4.32</v>
      </c>
      <c r="M214" s="79"/>
      <c r="N214" s="79">
        <v>4.29</v>
      </c>
      <c r="O214" s="79"/>
      <c r="P214" s="79">
        <v>4.32</v>
      </c>
      <c r="Q214" s="79"/>
      <c r="R214" s="79">
        <v>0.01</v>
      </c>
      <c r="S214" s="79"/>
      <c r="T214" s="79">
        <v>0.01</v>
      </c>
      <c r="U214" s="79"/>
      <c r="V214" s="79">
        <v>0.01</v>
      </c>
      <c r="W214" s="79"/>
      <c r="X214" s="79"/>
      <c r="Y214" s="79"/>
      <c r="Z214" s="79"/>
      <c r="AA214" s="79"/>
      <c r="AB214" s="79"/>
    </row>
    <row r="215" spans="1:28" ht="12.75">
      <c r="A215" s="78" t="s">
        <v>202</v>
      </c>
      <c r="B215" s="78" t="s">
        <v>67</v>
      </c>
      <c r="D215" s="78" t="s">
        <v>219</v>
      </c>
      <c r="F215" s="79"/>
      <c r="G215" s="79"/>
      <c r="H215" s="79"/>
      <c r="I215" s="79"/>
      <c r="J215" s="79"/>
      <c r="K215" s="79"/>
      <c r="L215" s="79">
        <v>25200</v>
      </c>
      <c r="M215" s="79"/>
      <c r="N215" s="79">
        <v>24500</v>
      </c>
      <c r="O215" s="79"/>
      <c r="P215" s="79">
        <v>25400</v>
      </c>
      <c r="Q215" s="79"/>
      <c r="R215" s="79">
        <v>693000</v>
      </c>
      <c r="S215" s="79"/>
      <c r="T215" s="79">
        <v>632000</v>
      </c>
      <c r="U215" s="79"/>
      <c r="V215" s="79">
        <v>695000</v>
      </c>
      <c r="W215" s="79"/>
      <c r="X215" s="79"/>
      <c r="Y215" s="79"/>
      <c r="Z215" s="79"/>
      <c r="AA215" s="79"/>
      <c r="AB215" s="79"/>
    </row>
    <row r="216" spans="6:28" ht="12.75"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</row>
    <row r="217" spans="2:28" ht="12.75">
      <c r="B217" s="15" t="s">
        <v>203</v>
      </c>
      <c r="C217" s="15"/>
      <c r="F217" s="79"/>
      <c r="G217" s="79"/>
      <c r="H217" s="79"/>
      <c r="I217" s="79"/>
      <c r="J217" s="79"/>
      <c r="K217" s="79"/>
      <c r="L217" s="79" t="s">
        <v>205</v>
      </c>
      <c r="M217" s="79"/>
      <c r="N217" s="79" t="s">
        <v>206</v>
      </c>
      <c r="O217" s="79"/>
      <c r="P217" s="79" t="s">
        <v>207</v>
      </c>
      <c r="Q217" s="79"/>
      <c r="R217" s="79" t="s">
        <v>205</v>
      </c>
      <c r="S217" s="79"/>
      <c r="T217" s="79" t="s">
        <v>206</v>
      </c>
      <c r="U217" s="79"/>
      <c r="V217" s="79" t="s">
        <v>207</v>
      </c>
      <c r="W217" s="79"/>
      <c r="X217" s="79" t="s">
        <v>205</v>
      </c>
      <c r="Y217" s="79"/>
      <c r="Z217" s="79" t="s">
        <v>206</v>
      </c>
      <c r="AA217" s="79"/>
      <c r="AB217" s="79" t="s">
        <v>207</v>
      </c>
    </row>
    <row r="218" spans="2:28" ht="12.75">
      <c r="B218" s="78" t="s">
        <v>260</v>
      </c>
      <c r="F218" s="79"/>
      <c r="G218" s="79"/>
      <c r="H218" s="79"/>
      <c r="I218" s="79"/>
      <c r="J218" s="79"/>
      <c r="K218" s="79"/>
      <c r="L218" s="79" t="s">
        <v>262</v>
      </c>
      <c r="M218" s="79"/>
      <c r="N218" s="79" t="s">
        <v>262</v>
      </c>
      <c r="O218" s="79"/>
      <c r="P218" s="79" t="s">
        <v>262</v>
      </c>
      <c r="Q218" s="79"/>
      <c r="R218" s="79" t="s">
        <v>264</v>
      </c>
      <c r="S218" s="79"/>
      <c r="T218" s="79" t="s">
        <v>264</v>
      </c>
      <c r="U218" s="79"/>
      <c r="V218" s="79" t="s">
        <v>264</v>
      </c>
      <c r="W218" s="79"/>
      <c r="X218" s="79"/>
      <c r="Y218" s="79"/>
      <c r="Z218" s="79"/>
      <c r="AA218" s="79"/>
      <c r="AB218" s="79"/>
    </row>
    <row r="219" spans="2:28" ht="12.75">
      <c r="B219" s="78" t="s">
        <v>261</v>
      </c>
      <c r="F219" s="79"/>
      <c r="G219" s="79"/>
      <c r="H219" s="79"/>
      <c r="I219" s="79"/>
      <c r="J219" s="79"/>
      <c r="K219" s="79"/>
      <c r="L219" s="79" t="s">
        <v>263</v>
      </c>
      <c r="M219" s="79"/>
      <c r="N219" s="79" t="s">
        <v>263</v>
      </c>
      <c r="O219" s="79"/>
      <c r="P219" s="79" t="s">
        <v>263</v>
      </c>
      <c r="Q219" s="79"/>
      <c r="R219" s="79" t="s">
        <v>263</v>
      </c>
      <c r="S219" s="79"/>
      <c r="T219" s="79" t="s">
        <v>263</v>
      </c>
      <c r="U219" s="79"/>
      <c r="V219" s="79" t="s">
        <v>263</v>
      </c>
      <c r="W219" s="79"/>
      <c r="X219" s="79"/>
      <c r="Y219" s="79"/>
      <c r="Z219" s="79"/>
      <c r="AA219" s="79"/>
      <c r="AB219" s="79"/>
    </row>
    <row r="220" spans="2:28" ht="12.75">
      <c r="B220" s="78" t="s">
        <v>269</v>
      </c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 t="s">
        <v>33</v>
      </c>
      <c r="Y220" s="79"/>
      <c r="Z220" s="79" t="s">
        <v>33</v>
      </c>
      <c r="AA220" s="79"/>
      <c r="AB220" s="79" t="s">
        <v>33</v>
      </c>
    </row>
    <row r="221" spans="2:28" ht="12.75">
      <c r="B221" s="78" t="s">
        <v>22</v>
      </c>
      <c r="F221" s="79"/>
      <c r="G221" s="79"/>
      <c r="H221" s="79"/>
      <c r="I221" s="79"/>
      <c r="J221" s="79"/>
      <c r="K221" s="79"/>
      <c r="L221" s="78" t="s">
        <v>214</v>
      </c>
      <c r="N221" s="78" t="s">
        <v>214</v>
      </c>
      <c r="P221" s="78" t="s">
        <v>214</v>
      </c>
      <c r="Q221" s="79"/>
      <c r="R221" s="78" t="s">
        <v>213</v>
      </c>
      <c r="S221" s="79"/>
      <c r="T221" s="78" t="s">
        <v>213</v>
      </c>
      <c r="U221" s="79"/>
      <c r="V221" s="78" t="s">
        <v>213</v>
      </c>
      <c r="W221" s="79"/>
      <c r="X221" s="79"/>
      <c r="Y221" s="79"/>
      <c r="Z221" s="79"/>
      <c r="AA221" s="79"/>
      <c r="AB221" s="79"/>
    </row>
    <row r="222" spans="1:28" ht="12.75">
      <c r="A222" s="78" t="s">
        <v>203</v>
      </c>
      <c r="B222" s="78" t="s">
        <v>216</v>
      </c>
      <c r="D222" s="78" t="s">
        <v>169</v>
      </c>
      <c r="F222" s="79"/>
      <c r="G222" s="79"/>
      <c r="H222" s="79"/>
      <c r="I222" s="79"/>
      <c r="J222" s="79"/>
      <c r="K222" s="79"/>
      <c r="L222" s="79">
        <v>21866.3676</v>
      </c>
      <c r="M222" s="79"/>
      <c r="N222" s="79">
        <v>21866.3676</v>
      </c>
      <c r="O222" s="79"/>
      <c r="P222" s="79">
        <v>21842.78292</v>
      </c>
      <c r="Q222" s="79"/>
      <c r="R222" s="79">
        <v>145.166112</v>
      </c>
      <c r="S222" s="79"/>
      <c r="T222" s="79">
        <v>145.069848</v>
      </c>
      <c r="U222" s="79"/>
      <c r="V222" s="79">
        <v>145.134024</v>
      </c>
      <c r="W222" s="79"/>
      <c r="X222" s="79"/>
      <c r="Y222" s="79"/>
      <c r="Z222" s="79"/>
      <c r="AA222" s="79"/>
      <c r="AB222" s="79"/>
    </row>
    <row r="223" spans="1:28" ht="12.75">
      <c r="A223" s="78" t="s">
        <v>203</v>
      </c>
      <c r="B223" s="78" t="s">
        <v>217</v>
      </c>
      <c r="D223" s="78" t="s">
        <v>163</v>
      </c>
      <c r="F223" s="79"/>
      <c r="G223" s="79"/>
      <c r="H223" s="79"/>
      <c r="I223" s="79"/>
      <c r="J223" s="79"/>
      <c r="K223" s="79"/>
      <c r="L223" s="79">
        <v>925</v>
      </c>
      <c r="M223" s="79"/>
      <c r="N223" s="79">
        <v>1061</v>
      </c>
      <c r="O223" s="79"/>
      <c r="P223" s="79">
        <v>1053</v>
      </c>
      <c r="Q223" s="79"/>
      <c r="R223" s="79">
        <v>7645</v>
      </c>
      <c r="S223" s="79"/>
      <c r="T223" s="79">
        <v>6897</v>
      </c>
      <c r="U223" s="79"/>
      <c r="V223" s="79">
        <v>7525</v>
      </c>
      <c r="W223" s="79"/>
      <c r="X223" s="79"/>
      <c r="Y223" s="79"/>
      <c r="Z223" s="79"/>
      <c r="AA223" s="79"/>
      <c r="AB223" s="79"/>
    </row>
    <row r="224" spans="1:28" ht="12.75">
      <c r="A224" s="78" t="s">
        <v>203</v>
      </c>
      <c r="B224" s="78" t="s">
        <v>23</v>
      </c>
      <c r="D224" s="78" t="s">
        <v>218</v>
      </c>
      <c r="F224" s="79"/>
      <c r="G224" s="79"/>
      <c r="H224" s="79"/>
      <c r="I224" s="79"/>
      <c r="J224" s="79"/>
      <c r="K224" s="79"/>
      <c r="L224" s="79">
        <v>4.32</v>
      </c>
      <c r="M224" s="79"/>
      <c r="N224" s="79">
        <v>4.35</v>
      </c>
      <c r="O224" s="79"/>
      <c r="P224" s="79">
        <v>4.48</v>
      </c>
      <c r="Q224" s="79"/>
      <c r="R224" s="79">
        <v>0.01</v>
      </c>
      <c r="S224" s="79"/>
      <c r="T224" s="79">
        <v>0.01</v>
      </c>
      <c r="U224" s="79"/>
      <c r="V224" s="79">
        <v>0.01</v>
      </c>
      <c r="W224" s="79"/>
      <c r="X224" s="79"/>
      <c r="Y224" s="79"/>
      <c r="Z224" s="79"/>
      <c r="AA224" s="79"/>
      <c r="AB224" s="79"/>
    </row>
    <row r="225" spans="1:28" ht="12.75">
      <c r="A225" s="78" t="s">
        <v>203</v>
      </c>
      <c r="B225" s="78" t="s">
        <v>67</v>
      </c>
      <c r="D225" s="78" t="s">
        <v>219</v>
      </c>
      <c r="F225" s="79"/>
      <c r="G225" s="79"/>
      <c r="H225" s="79"/>
      <c r="I225" s="79"/>
      <c r="J225" s="79"/>
      <c r="K225" s="79"/>
      <c r="L225" s="79">
        <v>25100</v>
      </c>
      <c r="M225" s="79"/>
      <c r="N225" s="79">
        <v>25300</v>
      </c>
      <c r="O225" s="79"/>
      <c r="P225" s="79">
        <v>24000</v>
      </c>
      <c r="Q225" s="79"/>
      <c r="R225" s="79">
        <v>694000</v>
      </c>
      <c r="S225" s="79"/>
      <c r="T225" s="79">
        <v>697000</v>
      </c>
      <c r="U225" s="79"/>
      <c r="V225" s="79">
        <v>680000</v>
      </c>
      <c r="W225" s="79"/>
      <c r="X225" s="79"/>
      <c r="Y225" s="79"/>
      <c r="Z225" s="79"/>
      <c r="AA225" s="79"/>
      <c r="AB225" s="79"/>
    </row>
    <row r="226" spans="6:28" ht="12.75"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</row>
    <row r="227" spans="2:28" ht="12.75">
      <c r="B227" s="15" t="s">
        <v>204</v>
      </c>
      <c r="C227" s="15"/>
      <c r="F227" s="79"/>
      <c r="G227" s="79"/>
      <c r="H227" s="79"/>
      <c r="I227" s="79"/>
      <c r="J227" s="79"/>
      <c r="K227" s="79"/>
      <c r="L227" s="79" t="s">
        <v>205</v>
      </c>
      <c r="M227" s="79"/>
      <c r="N227" s="79" t="s">
        <v>206</v>
      </c>
      <c r="O227" s="79"/>
      <c r="P227" s="79" t="s">
        <v>207</v>
      </c>
      <c r="Q227" s="79"/>
      <c r="R227" s="79" t="s">
        <v>205</v>
      </c>
      <c r="S227" s="79"/>
      <c r="T227" s="79" t="s">
        <v>206</v>
      </c>
      <c r="U227" s="79"/>
      <c r="V227" s="79" t="s">
        <v>207</v>
      </c>
      <c r="W227" s="79"/>
      <c r="X227" s="79" t="s">
        <v>205</v>
      </c>
      <c r="Y227" s="79"/>
      <c r="Z227" s="79" t="s">
        <v>206</v>
      </c>
      <c r="AA227" s="79"/>
      <c r="AB227" s="79" t="s">
        <v>207</v>
      </c>
    </row>
    <row r="228" spans="2:28" ht="12.75">
      <c r="B228" s="78" t="s">
        <v>260</v>
      </c>
      <c r="F228" s="79"/>
      <c r="G228" s="79"/>
      <c r="H228" s="79"/>
      <c r="I228" s="79"/>
      <c r="J228" s="79"/>
      <c r="K228" s="79"/>
      <c r="L228" s="79" t="s">
        <v>262</v>
      </c>
      <c r="M228" s="79"/>
      <c r="N228" s="79" t="s">
        <v>262</v>
      </c>
      <c r="O228" s="79"/>
      <c r="P228" s="79" t="s">
        <v>262</v>
      </c>
      <c r="Q228" s="79"/>
      <c r="R228" s="79" t="s">
        <v>264</v>
      </c>
      <c r="S228" s="79"/>
      <c r="T228" s="79" t="s">
        <v>264</v>
      </c>
      <c r="U228" s="79"/>
      <c r="V228" s="79" t="s">
        <v>264</v>
      </c>
      <c r="W228" s="79"/>
      <c r="X228" s="79"/>
      <c r="Y228" s="79"/>
      <c r="Z228" s="79"/>
      <c r="AA228" s="79"/>
      <c r="AB228" s="79"/>
    </row>
    <row r="229" spans="2:28" ht="12.75">
      <c r="B229" s="78" t="s">
        <v>261</v>
      </c>
      <c r="F229" s="79"/>
      <c r="G229" s="79"/>
      <c r="H229" s="79"/>
      <c r="I229" s="79"/>
      <c r="J229" s="79"/>
      <c r="K229" s="79"/>
      <c r="L229" s="79" t="s">
        <v>263</v>
      </c>
      <c r="M229" s="79"/>
      <c r="N229" s="79" t="s">
        <v>263</v>
      </c>
      <c r="O229" s="79"/>
      <c r="P229" s="79" t="s">
        <v>263</v>
      </c>
      <c r="Q229" s="79"/>
      <c r="R229" s="79" t="s">
        <v>263</v>
      </c>
      <c r="S229" s="79"/>
      <c r="T229" s="79" t="s">
        <v>263</v>
      </c>
      <c r="U229" s="79"/>
      <c r="V229" s="79" t="s">
        <v>263</v>
      </c>
      <c r="W229" s="79"/>
      <c r="X229" s="79"/>
      <c r="Y229" s="79"/>
      <c r="Z229" s="79"/>
      <c r="AA229" s="79"/>
      <c r="AB229" s="79"/>
    </row>
    <row r="230" spans="2:28" ht="12.75">
      <c r="B230" s="78" t="s">
        <v>269</v>
      </c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 t="s">
        <v>33</v>
      </c>
      <c r="Y230" s="79"/>
      <c r="Z230" s="79" t="s">
        <v>33</v>
      </c>
      <c r="AA230" s="79"/>
      <c r="AB230" s="79" t="s">
        <v>33</v>
      </c>
    </row>
    <row r="231" spans="2:28" ht="12.75">
      <c r="B231" s="78" t="s">
        <v>22</v>
      </c>
      <c r="F231" s="79"/>
      <c r="G231" s="79"/>
      <c r="H231" s="79"/>
      <c r="I231" s="79"/>
      <c r="J231" s="79"/>
      <c r="K231" s="79"/>
      <c r="L231" s="78" t="s">
        <v>214</v>
      </c>
      <c r="N231" s="78" t="s">
        <v>214</v>
      </c>
      <c r="P231" s="78" t="s">
        <v>214</v>
      </c>
      <c r="Q231" s="79"/>
      <c r="R231" s="78" t="s">
        <v>213</v>
      </c>
      <c r="S231" s="79"/>
      <c r="T231" s="78" t="s">
        <v>213</v>
      </c>
      <c r="U231" s="79"/>
      <c r="V231" s="78" t="s">
        <v>213</v>
      </c>
      <c r="W231" s="79"/>
      <c r="X231" s="79"/>
      <c r="Y231" s="79"/>
      <c r="Z231" s="79"/>
      <c r="AA231" s="79"/>
      <c r="AB231" s="79"/>
    </row>
    <row r="232" spans="1:28" ht="12.75">
      <c r="A232" s="78" t="s">
        <v>204</v>
      </c>
      <c r="B232" s="78" t="s">
        <v>216</v>
      </c>
      <c r="D232" s="78" t="s">
        <v>169</v>
      </c>
      <c r="F232" s="79"/>
      <c r="G232" s="79"/>
      <c r="H232" s="79"/>
      <c r="I232" s="79"/>
      <c r="J232" s="79"/>
      <c r="K232" s="79"/>
      <c r="L232" s="79">
        <v>21802.35204</v>
      </c>
      <c r="M232" s="79"/>
      <c r="N232" s="79">
        <v>21866.3676</v>
      </c>
      <c r="O232" s="79"/>
      <c r="P232" s="79">
        <v>21822.56748</v>
      </c>
      <c r="Q232" s="79"/>
      <c r="R232" s="79">
        <v>145.166112</v>
      </c>
      <c r="S232" s="79"/>
      <c r="T232" s="79">
        <v>145.166112</v>
      </c>
      <c r="U232" s="79"/>
      <c r="V232" s="79">
        <v>145.166112</v>
      </c>
      <c r="W232" s="79"/>
      <c r="X232" s="79"/>
      <c r="Y232" s="79"/>
      <c r="Z232" s="79"/>
      <c r="AA232" s="79"/>
      <c r="AB232" s="79"/>
    </row>
    <row r="233" spans="1:28" ht="12.75">
      <c r="A233" s="78" t="s">
        <v>204</v>
      </c>
      <c r="B233" s="78" t="s">
        <v>217</v>
      </c>
      <c r="D233" s="78" t="s">
        <v>163</v>
      </c>
      <c r="F233" s="79"/>
      <c r="G233" s="79"/>
      <c r="H233" s="79"/>
      <c r="I233" s="79"/>
      <c r="J233" s="79"/>
      <c r="K233" s="79"/>
      <c r="L233" s="79">
        <v>1058</v>
      </c>
      <c r="M233" s="79"/>
      <c r="N233" s="79">
        <v>1178</v>
      </c>
      <c r="O233" s="79"/>
      <c r="P233" s="79">
        <v>1273</v>
      </c>
      <c r="Q233" s="79"/>
      <c r="R233" s="79">
        <v>5740</v>
      </c>
      <c r="S233" s="79"/>
      <c r="T233" s="79">
        <v>6956</v>
      </c>
      <c r="U233" s="79"/>
      <c r="V233" s="79">
        <v>7796</v>
      </c>
      <c r="W233" s="79"/>
      <c r="X233" s="79"/>
      <c r="Y233" s="79"/>
      <c r="Z233" s="79"/>
      <c r="AA233" s="79"/>
      <c r="AB233" s="79"/>
    </row>
    <row r="234" spans="1:28" ht="12.75">
      <c r="A234" s="78" t="s">
        <v>204</v>
      </c>
      <c r="B234" s="78" t="s">
        <v>23</v>
      </c>
      <c r="D234" s="78" t="s">
        <v>218</v>
      </c>
      <c r="F234" s="79"/>
      <c r="G234" s="79"/>
      <c r="H234" s="79"/>
      <c r="I234" s="79"/>
      <c r="J234" s="79"/>
      <c r="K234" s="79"/>
      <c r="L234" s="79">
        <v>4.03</v>
      </c>
      <c r="M234" s="79"/>
      <c r="N234" s="79">
        <v>4.21</v>
      </c>
      <c r="O234" s="79"/>
      <c r="P234" s="79">
        <v>4.22</v>
      </c>
      <c r="Q234" s="79"/>
      <c r="R234" s="79">
        <v>0.01</v>
      </c>
      <c r="S234" s="79"/>
      <c r="T234" s="79">
        <v>0.01</v>
      </c>
      <c r="U234" s="79"/>
      <c r="V234" s="79">
        <v>0.01</v>
      </c>
      <c r="W234" s="79"/>
      <c r="X234" s="79"/>
      <c r="Y234" s="79"/>
      <c r="Z234" s="79"/>
      <c r="AA234" s="79"/>
      <c r="AB234" s="79"/>
    </row>
    <row r="235" spans="1:28" ht="12.75">
      <c r="A235" s="78" t="s">
        <v>204</v>
      </c>
      <c r="B235" s="78" t="s">
        <v>67</v>
      </c>
      <c r="D235" s="78" t="s">
        <v>219</v>
      </c>
      <c r="F235" s="79"/>
      <c r="G235" s="79"/>
      <c r="H235" s="79"/>
      <c r="I235" s="79"/>
      <c r="J235" s="79"/>
      <c r="K235" s="79"/>
      <c r="L235" s="79">
        <v>25100</v>
      </c>
      <c r="M235" s="79"/>
      <c r="N235" s="79">
        <v>23900</v>
      </c>
      <c r="O235" s="79"/>
      <c r="P235" s="79">
        <v>24700</v>
      </c>
      <c r="Q235" s="79"/>
      <c r="R235" s="79">
        <v>684000</v>
      </c>
      <c r="S235" s="79"/>
      <c r="T235" s="79">
        <v>688000</v>
      </c>
      <c r="U235" s="79"/>
      <c r="V235" s="79">
        <v>688000</v>
      </c>
      <c r="W235" s="79"/>
      <c r="X235" s="79"/>
      <c r="Y235" s="79"/>
      <c r="Z235" s="79"/>
      <c r="AA235" s="79"/>
      <c r="AB235" s="79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B1">
      <selection activeCell="B2" sqref="B2"/>
    </sheetView>
  </sheetViews>
  <sheetFormatPr defaultColWidth="9.140625" defaultRowHeight="12.75"/>
  <cols>
    <col min="1" max="1" width="3.8515625" style="0" hidden="1" customWidth="1"/>
    <col min="2" max="2" width="32.421875" style="0" customWidth="1"/>
    <col min="3" max="3" width="12.5742187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7" t="s">
        <v>37</v>
      </c>
      <c r="C1" s="11"/>
      <c r="D1" s="11"/>
      <c r="E1" s="11"/>
      <c r="F1" s="11"/>
    </row>
    <row r="2" spans="2:8" ht="12.75">
      <c r="B2" s="11"/>
      <c r="C2" s="11"/>
      <c r="D2" s="11"/>
      <c r="E2" s="34"/>
      <c r="F2" s="34"/>
      <c r="G2" s="38"/>
      <c r="H2" s="38"/>
    </row>
    <row r="3" spans="1:7" ht="12.75">
      <c r="A3" t="s">
        <v>55</v>
      </c>
      <c r="B3" s="7" t="s">
        <v>177</v>
      </c>
      <c r="C3" s="11"/>
      <c r="D3" s="11"/>
      <c r="E3" s="34" t="s">
        <v>80</v>
      </c>
      <c r="F3" s="34" t="s">
        <v>117</v>
      </c>
      <c r="G3" s="38" t="s">
        <v>81</v>
      </c>
    </row>
    <row r="4" spans="2:4" ht="12.75">
      <c r="B4" s="7"/>
      <c r="C4" s="11"/>
      <c r="D4" s="11"/>
    </row>
    <row r="5" spans="2:7" ht="12.75">
      <c r="B5" t="s">
        <v>133</v>
      </c>
      <c r="C5" t="s">
        <v>167</v>
      </c>
      <c r="E5">
        <v>1951</v>
      </c>
      <c r="F5">
        <v>1949</v>
      </c>
      <c r="G5">
        <v>1950</v>
      </c>
    </row>
    <row r="6" spans="2:7" ht="12.75">
      <c r="B6" s="11" t="s">
        <v>164</v>
      </c>
      <c r="C6" t="s">
        <v>168</v>
      </c>
      <c r="E6">
        <v>96</v>
      </c>
      <c r="F6">
        <v>96</v>
      </c>
      <c r="G6">
        <v>96</v>
      </c>
    </row>
    <row r="7" spans="2:7" ht="12.75">
      <c r="B7" s="11" t="s">
        <v>165</v>
      </c>
      <c r="C7" t="s">
        <v>169</v>
      </c>
      <c r="E7">
        <v>1000</v>
      </c>
      <c r="F7">
        <v>1000</v>
      </c>
      <c r="G7">
        <v>1000</v>
      </c>
    </row>
    <row r="8" spans="2:7" ht="12.75">
      <c r="B8" s="11" t="s">
        <v>166</v>
      </c>
      <c r="C8" t="s">
        <v>170</v>
      </c>
      <c r="E8">
        <v>9.11</v>
      </c>
      <c r="F8">
        <v>8.59</v>
      </c>
      <c r="G8">
        <v>8.76</v>
      </c>
    </row>
    <row r="11" spans="2:7" ht="12.75">
      <c r="B11" s="7" t="s">
        <v>178</v>
      </c>
      <c r="C11" s="11"/>
      <c r="D11" s="11"/>
      <c r="E11" s="34" t="s">
        <v>80</v>
      </c>
      <c r="F11" s="34" t="s">
        <v>117</v>
      </c>
      <c r="G11" s="38" t="s">
        <v>81</v>
      </c>
    </row>
    <row r="12" spans="2:4" ht="12.75">
      <c r="B12" s="7"/>
      <c r="C12" s="11"/>
      <c r="D12" s="11"/>
    </row>
    <row r="13" spans="2:7" ht="12.75">
      <c r="B13" t="s">
        <v>133</v>
      </c>
      <c r="C13" t="s">
        <v>167</v>
      </c>
      <c r="E13">
        <v>1960</v>
      </c>
      <c r="F13">
        <v>1960</v>
      </c>
      <c r="G13">
        <v>1960</v>
      </c>
    </row>
    <row r="14" spans="2:7" ht="12.75">
      <c r="B14" s="11" t="s">
        <v>164</v>
      </c>
      <c r="C14" t="s">
        <v>168</v>
      </c>
      <c r="E14">
        <v>96</v>
      </c>
      <c r="F14">
        <v>96</v>
      </c>
      <c r="G14">
        <v>96</v>
      </c>
    </row>
    <row r="15" spans="2:7" ht="12.75">
      <c r="B15" s="11" t="s">
        <v>165</v>
      </c>
      <c r="C15" t="s">
        <v>169</v>
      </c>
      <c r="E15">
        <v>927</v>
      </c>
      <c r="F15">
        <v>879</v>
      </c>
      <c r="G15">
        <v>911</v>
      </c>
    </row>
    <row r="16" spans="2:7" ht="12.75">
      <c r="B16" s="11" t="s">
        <v>166</v>
      </c>
      <c r="C16" t="s">
        <v>170</v>
      </c>
      <c r="E16">
        <v>8.15</v>
      </c>
      <c r="F16">
        <v>8.18</v>
      </c>
      <c r="G16">
        <v>8.07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workbookViewId="0" topLeftCell="C1">
      <selection activeCell="C1" sqref="C1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30.57421875" style="0" customWidth="1"/>
  </cols>
  <sheetData>
    <row r="1" ht="12.75">
      <c r="C1" s="7" t="s">
        <v>236</v>
      </c>
    </row>
    <row r="3" ht="12.75">
      <c r="C3" s="7" t="str">
        <f>A5</f>
        <v>707C1</v>
      </c>
    </row>
    <row r="5" spans="1:31" s="78" customFormat="1" ht="12.75">
      <c r="A5" s="78" t="s">
        <v>185</v>
      </c>
      <c r="B5" s="78" t="s">
        <v>229</v>
      </c>
      <c r="C5" s="78" t="s">
        <v>230</v>
      </c>
      <c r="D5" s="78" t="s">
        <v>231</v>
      </c>
      <c r="E5" s="79">
        <v>1849</v>
      </c>
      <c r="F5" s="79">
        <v>1800</v>
      </c>
      <c r="G5" s="79">
        <v>1810</v>
      </c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</row>
    <row r="6" spans="1:23" s="78" customFormat="1" ht="12.75">
      <c r="A6" s="78" t="s">
        <v>185</v>
      </c>
      <c r="B6" s="78" t="s">
        <v>232</v>
      </c>
      <c r="C6" s="78" t="s">
        <v>235</v>
      </c>
      <c r="D6" s="78" t="s">
        <v>233</v>
      </c>
      <c r="E6" s="79">
        <v>88</v>
      </c>
      <c r="F6" s="79">
        <v>83</v>
      </c>
      <c r="G6" s="79">
        <v>83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2" s="78" customFormat="1" ht="12.75">
      <c r="A7" s="78" t="s">
        <v>185</v>
      </c>
      <c r="B7" s="78" t="s">
        <v>232</v>
      </c>
      <c r="C7" s="78" t="s">
        <v>234</v>
      </c>
      <c r="E7" s="79">
        <v>7.99</v>
      </c>
      <c r="F7" s="79">
        <v>7.6</v>
      </c>
      <c r="G7" s="79">
        <v>7.6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5:22" s="78" customFormat="1" ht="12.75"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3:22" s="78" customFormat="1" ht="12.75">
      <c r="C9" s="7" t="str">
        <f>A11</f>
        <v>707C2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5:22" s="78" customFormat="1" ht="12.75"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31" s="78" customFormat="1" ht="12.75">
      <c r="A11" s="78" t="s">
        <v>191</v>
      </c>
      <c r="B11" s="78" t="s">
        <v>229</v>
      </c>
      <c r="C11" s="78" t="s">
        <v>230</v>
      </c>
      <c r="D11" s="78" t="s">
        <v>231</v>
      </c>
      <c r="E11" s="79">
        <v>1874</v>
      </c>
      <c r="F11" s="79">
        <v>1866</v>
      </c>
      <c r="G11" s="79">
        <v>1815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23" s="78" customFormat="1" ht="12.75">
      <c r="A12" s="78" t="s">
        <v>191</v>
      </c>
      <c r="B12" s="78" t="s">
        <v>232</v>
      </c>
      <c r="C12" s="78" t="s">
        <v>235</v>
      </c>
      <c r="D12" s="78" t="s">
        <v>233</v>
      </c>
      <c r="E12" s="79">
        <v>90</v>
      </c>
      <c r="F12" s="79">
        <v>90</v>
      </c>
      <c r="G12" s="79">
        <v>85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2" s="78" customFormat="1" ht="12.75">
      <c r="A13" s="78" t="s">
        <v>191</v>
      </c>
      <c r="B13" s="78" t="s">
        <v>232</v>
      </c>
      <c r="C13" s="78" t="s">
        <v>234</v>
      </c>
      <c r="E13" s="79">
        <v>8</v>
      </c>
      <c r="F13" s="79">
        <v>7.98</v>
      </c>
      <c r="G13" s="79">
        <v>7.6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5:22" s="78" customFormat="1" ht="12.75"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3:22" s="78" customFormat="1" ht="12.75">
      <c r="C15" s="7" t="str">
        <f>A17</f>
        <v>707C3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5:22" s="78" customFormat="1" ht="12.75"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31" s="78" customFormat="1" ht="12.75">
      <c r="A17" s="78" t="s">
        <v>193</v>
      </c>
      <c r="B17" s="78" t="s">
        <v>229</v>
      </c>
      <c r="C17" s="78" t="s">
        <v>230</v>
      </c>
      <c r="D17" s="78" t="s">
        <v>231</v>
      </c>
      <c r="E17" s="79">
        <v>1868</v>
      </c>
      <c r="F17" s="79">
        <v>1805</v>
      </c>
      <c r="G17" s="79">
        <v>1859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</row>
    <row r="18" spans="1:23" s="78" customFormat="1" ht="12.75">
      <c r="A18" s="78" t="s">
        <v>193</v>
      </c>
      <c r="B18" s="78" t="s">
        <v>232</v>
      </c>
      <c r="C18" s="78" t="s">
        <v>235</v>
      </c>
      <c r="D18" s="78" t="s">
        <v>233</v>
      </c>
      <c r="E18" s="79">
        <v>89</v>
      </c>
      <c r="F18" s="79">
        <v>82</v>
      </c>
      <c r="G18" s="79">
        <v>90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2" s="78" customFormat="1" ht="12.75">
      <c r="A19" s="78" t="s">
        <v>193</v>
      </c>
      <c r="B19" s="78" t="s">
        <v>232</v>
      </c>
      <c r="C19" s="78" t="s">
        <v>234</v>
      </c>
      <c r="E19" s="79">
        <v>8.19</v>
      </c>
      <c r="F19" s="79">
        <v>7.7</v>
      </c>
      <c r="G19" s="79">
        <v>8.18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5:22" s="78" customFormat="1" ht="12.75"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3:22" s="78" customFormat="1" ht="12.75">
      <c r="C21" s="7" t="str">
        <f>A23</f>
        <v>707C4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5:22" s="78" customFormat="1" ht="12.75"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</row>
    <row r="23" spans="1:31" s="78" customFormat="1" ht="12.75">
      <c r="A23" s="78" t="s">
        <v>194</v>
      </c>
      <c r="B23" s="78" t="s">
        <v>229</v>
      </c>
      <c r="C23" s="78" t="s">
        <v>230</v>
      </c>
      <c r="D23" s="78" t="s">
        <v>231</v>
      </c>
      <c r="E23" s="79">
        <v>1862</v>
      </c>
      <c r="F23" s="79">
        <v>1888</v>
      </c>
      <c r="G23" s="79">
        <v>1886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</row>
    <row r="24" spans="1:23" s="78" customFormat="1" ht="12.75">
      <c r="A24" s="78" t="s">
        <v>194</v>
      </c>
      <c r="B24" s="78" t="s">
        <v>232</v>
      </c>
      <c r="C24" s="78" t="s">
        <v>235</v>
      </c>
      <c r="D24" s="78" t="s">
        <v>233</v>
      </c>
      <c r="E24" s="79">
        <v>94</v>
      </c>
      <c r="F24" s="79">
        <v>99</v>
      </c>
      <c r="G24" s="79">
        <v>99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2" s="78" customFormat="1" ht="12.75">
      <c r="A25" s="78" t="s">
        <v>194</v>
      </c>
      <c r="B25" s="78" t="s">
        <v>232</v>
      </c>
      <c r="C25" s="78" t="s">
        <v>234</v>
      </c>
      <c r="E25" s="79">
        <v>7.78</v>
      </c>
      <c r="F25" s="79">
        <v>8.11</v>
      </c>
      <c r="G25" s="79">
        <v>8.24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</row>
    <row r="26" spans="5:22" s="78" customFormat="1" ht="12.75"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</row>
    <row r="27" spans="3:22" s="78" customFormat="1" ht="12.75">
      <c r="C27" s="7" t="str">
        <f>A29</f>
        <v>707C7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</row>
    <row r="28" spans="5:22" s="78" customFormat="1" ht="12.75"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</row>
    <row r="29" spans="1:31" s="78" customFormat="1" ht="12.75">
      <c r="A29" s="78" t="s">
        <v>195</v>
      </c>
      <c r="B29" s="78" t="s">
        <v>229</v>
      </c>
      <c r="C29" s="78" t="s">
        <v>230</v>
      </c>
      <c r="D29" s="78" t="s">
        <v>231</v>
      </c>
      <c r="E29" s="79">
        <v>1798</v>
      </c>
      <c r="F29" s="79">
        <v>1800</v>
      </c>
      <c r="G29" s="79">
        <v>1807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23" s="78" customFormat="1" ht="12.75">
      <c r="A30" s="78" t="s">
        <v>195</v>
      </c>
      <c r="B30" s="78" t="s">
        <v>232</v>
      </c>
      <c r="C30" s="78" t="s">
        <v>235</v>
      </c>
      <c r="D30" s="78" t="s">
        <v>233</v>
      </c>
      <c r="E30" s="79">
        <v>93</v>
      </c>
      <c r="F30" s="79">
        <v>90</v>
      </c>
      <c r="G30" s="79">
        <v>90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2" s="78" customFormat="1" ht="12.75">
      <c r="A31" s="78" t="s">
        <v>195</v>
      </c>
      <c r="B31" s="78" t="s">
        <v>232</v>
      </c>
      <c r="C31" s="78" t="s">
        <v>234</v>
      </c>
      <c r="E31" s="79">
        <v>7.4</v>
      </c>
      <c r="F31" s="79">
        <v>7.3</v>
      </c>
      <c r="G31" s="79">
        <v>7.3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</row>
    <row r="32" spans="5:22" s="78" customFormat="1" ht="12.75"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3:22" s="78" customFormat="1" ht="12.75">
      <c r="C33" s="7" t="str">
        <f>A35</f>
        <v>707C8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5:22" s="78" customFormat="1" ht="12.75"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31" s="78" customFormat="1" ht="12.75">
      <c r="A35" s="78" t="s">
        <v>197</v>
      </c>
      <c r="B35" s="78" t="s">
        <v>229</v>
      </c>
      <c r="C35" s="78" t="s">
        <v>230</v>
      </c>
      <c r="D35" s="78" t="s">
        <v>231</v>
      </c>
      <c r="E35" s="79">
        <v>1867</v>
      </c>
      <c r="F35" s="79">
        <v>1812</v>
      </c>
      <c r="G35" s="79">
        <v>1867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1:23" s="78" customFormat="1" ht="12.75">
      <c r="A36" s="78" t="s">
        <v>197</v>
      </c>
      <c r="B36" s="78" t="s">
        <v>232</v>
      </c>
      <c r="C36" s="78" t="s">
        <v>235</v>
      </c>
      <c r="D36" s="78" t="s">
        <v>233</v>
      </c>
      <c r="E36" s="79">
        <v>80</v>
      </c>
      <c r="F36" s="79">
        <v>75</v>
      </c>
      <c r="G36" s="79">
        <v>79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2" s="78" customFormat="1" ht="12.75">
      <c r="A37" s="78" t="s">
        <v>197</v>
      </c>
      <c r="B37" s="78" t="s">
        <v>232</v>
      </c>
      <c r="C37" s="78" t="s">
        <v>234</v>
      </c>
      <c r="E37" s="79">
        <v>7.44</v>
      </c>
      <c r="F37" s="79">
        <v>7.3</v>
      </c>
      <c r="G37" s="79">
        <v>7.47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5:22" s="78" customFormat="1" ht="12.75"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3:22" s="78" customFormat="1" ht="12.75">
      <c r="C39" s="7" t="str">
        <f>A41</f>
        <v>707C9</v>
      </c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</row>
    <row r="40" spans="5:22" s="78" customFormat="1" ht="12.75"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31" s="78" customFormat="1" ht="12.75">
      <c r="A41" s="78" t="s">
        <v>198</v>
      </c>
      <c r="B41" s="78" t="s">
        <v>229</v>
      </c>
      <c r="C41" s="78" t="s">
        <v>230</v>
      </c>
      <c r="D41" s="78" t="s">
        <v>231</v>
      </c>
      <c r="E41" s="79">
        <v>1864</v>
      </c>
      <c r="F41" s="79">
        <v>1866</v>
      </c>
      <c r="G41" s="79">
        <v>1877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</row>
    <row r="42" spans="1:23" s="78" customFormat="1" ht="12.75">
      <c r="A42" s="78" t="s">
        <v>198</v>
      </c>
      <c r="B42" s="78" t="s">
        <v>232</v>
      </c>
      <c r="C42" s="78" t="s">
        <v>235</v>
      </c>
      <c r="D42" s="78" t="s">
        <v>233</v>
      </c>
      <c r="E42" s="79">
        <v>96</v>
      </c>
      <c r="F42" s="79">
        <v>93</v>
      </c>
      <c r="G42" s="79">
        <v>91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</row>
    <row r="43" spans="1:22" s="78" customFormat="1" ht="12.75">
      <c r="A43" s="78" t="s">
        <v>198</v>
      </c>
      <c r="B43" s="78" t="s">
        <v>232</v>
      </c>
      <c r="C43" s="78" t="s">
        <v>234</v>
      </c>
      <c r="E43" s="79">
        <v>6.9</v>
      </c>
      <c r="F43" s="79">
        <v>6.87</v>
      </c>
      <c r="G43" s="79">
        <v>6.82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5:22" s="78" customFormat="1" ht="12.75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</row>
    <row r="45" spans="3:22" s="78" customFormat="1" ht="12.75">
      <c r="C45" s="7" t="str">
        <f>A47</f>
        <v>707A1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</row>
    <row r="46" spans="5:22" s="78" customFormat="1" ht="12.75"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</row>
    <row r="47" spans="1:31" s="78" customFormat="1" ht="12.75">
      <c r="A47" s="78" t="s">
        <v>199</v>
      </c>
      <c r="B47" s="78" t="s">
        <v>229</v>
      </c>
      <c r="C47" s="78" t="s">
        <v>230</v>
      </c>
      <c r="D47" s="78" t="s">
        <v>231</v>
      </c>
      <c r="E47" s="79">
        <v>1862</v>
      </c>
      <c r="F47" s="79">
        <v>1855</v>
      </c>
      <c r="G47" s="79">
        <v>1860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</row>
    <row r="48" spans="1:23" s="78" customFormat="1" ht="12.75">
      <c r="A48" s="78" t="s">
        <v>199</v>
      </c>
      <c r="B48" s="78" t="s">
        <v>232</v>
      </c>
      <c r="C48" s="78" t="s">
        <v>235</v>
      </c>
      <c r="D48" s="78" t="s">
        <v>233</v>
      </c>
      <c r="E48" s="79">
        <v>93</v>
      </c>
      <c r="F48" s="79">
        <v>93</v>
      </c>
      <c r="G48" s="79">
        <v>93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2" s="78" customFormat="1" ht="12.75">
      <c r="A49" s="78" t="s">
        <v>199</v>
      </c>
      <c r="B49" s="78" t="s">
        <v>232</v>
      </c>
      <c r="C49" s="78" t="s">
        <v>234</v>
      </c>
      <c r="E49" s="79">
        <v>8.38</v>
      </c>
      <c r="F49" s="79">
        <v>8.37</v>
      </c>
      <c r="G49" s="79">
        <v>8.35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</row>
    <row r="50" spans="5:22" s="78" customFormat="1" ht="12.75"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</row>
    <row r="51" spans="3:22" s="78" customFormat="1" ht="12.75">
      <c r="C51" s="7" t="str">
        <f>A53</f>
        <v>707A2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</row>
    <row r="52" spans="5:22" s="78" customFormat="1" ht="12.75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31" s="78" customFormat="1" ht="12.75">
      <c r="A53" s="78" t="s">
        <v>200</v>
      </c>
      <c r="B53" s="78" t="s">
        <v>229</v>
      </c>
      <c r="C53" s="78" t="s">
        <v>230</v>
      </c>
      <c r="D53" s="78" t="s">
        <v>231</v>
      </c>
      <c r="E53" s="79">
        <v>1858</v>
      </c>
      <c r="F53" s="79">
        <v>1859</v>
      </c>
      <c r="G53" s="79">
        <v>1865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</row>
    <row r="54" spans="1:23" s="78" customFormat="1" ht="12.75">
      <c r="A54" s="78" t="s">
        <v>200</v>
      </c>
      <c r="B54" s="78" t="s">
        <v>232</v>
      </c>
      <c r="C54" s="78" t="s">
        <v>235</v>
      </c>
      <c r="D54" s="78" t="s">
        <v>233</v>
      </c>
      <c r="E54" s="79">
        <v>93</v>
      </c>
      <c r="F54" s="79">
        <v>92</v>
      </c>
      <c r="G54" s="79">
        <v>93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</row>
    <row r="55" spans="1:22" s="78" customFormat="1" ht="12.75">
      <c r="A55" s="78" t="s">
        <v>200</v>
      </c>
      <c r="B55" s="78" t="s">
        <v>232</v>
      </c>
      <c r="C55" s="78" t="s">
        <v>234</v>
      </c>
      <c r="E55" s="79">
        <v>7.82</v>
      </c>
      <c r="F55" s="79">
        <v>7.82</v>
      </c>
      <c r="G55" s="79">
        <v>7.79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</row>
    <row r="56" spans="5:22" s="78" customFormat="1" ht="12.75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3:22" s="78" customFormat="1" ht="12.75">
      <c r="C57" s="7" t="str">
        <f>A59</f>
        <v>707A3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5:22" s="78" customFormat="1" ht="12.75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1:31" s="78" customFormat="1" ht="12.75">
      <c r="A59" s="78" t="s">
        <v>201</v>
      </c>
      <c r="B59" s="78" t="s">
        <v>229</v>
      </c>
      <c r="C59" s="78" t="s">
        <v>230</v>
      </c>
      <c r="D59" s="78" t="s">
        <v>231</v>
      </c>
      <c r="E59" s="79">
        <v>1866</v>
      </c>
      <c r="F59" s="79">
        <v>1857</v>
      </c>
      <c r="G59" s="79">
        <v>1863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</row>
    <row r="60" spans="1:23" s="78" customFormat="1" ht="12.75">
      <c r="A60" s="78" t="s">
        <v>201</v>
      </c>
      <c r="B60" s="78" t="s">
        <v>232</v>
      </c>
      <c r="C60" s="78" t="s">
        <v>235</v>
      </c>
      <c r="D60" s="78" t="s">
        <v>233</v>
      </c>
      <c r="E60" s="79">
        <v>94</v>
      </c>
      <c r="F60" s="79">
        <v>94</v>
      </c>
      <c r="G60" s="79">
        <v>94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</row>
    <row r="61" spans="1:22" s="78" customFormat="1" ht="12.75">
      <c r="A61" s="78" t="s">
        <v>201</v>
      </c>
      <c r="B61" s="78" t="s">
        <v>232</v>
      </c>
      <c r="C61" s="78" t="s">
        <v>234</v>
      </c>
      <c r="E61" s="79">
        <v>7.82</v>
      </c>
      <c r="F61" s="79">
        <v>7.82</v>
      </c>
      <c r="G61" s="79">
        <v>7.82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5:22" s="78" customFormat="1" ht="12.75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</row>
    <row r="63" spans="3:22" s="78" customFormat="1" ht="12.75">
      <c r="C63" s="7" t="str">
        <f>A65</f>
        <v>707A4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</row>
    <row r="64" spans="5:22" s="78" customFormat="1" ht="12.75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</row>
    <row r="65" spans="1:31" s="78" customFormat="1" ht="12.75">
      <c r="A65" s="78" t="s">
        <v>202</v>
      </c>
      <c r="B65" s="78" t="s">
        <v>229</v>
      </c>
      <c r="C65" s="78" t="s">
        <v>230</v>
      </c>
      <c r="D65" s="78" t="s">
        <v>231</v>
      </c>
      <c r="E65" s="79">
        <v>1956</v>
      </c>
      <c r="F65" s="79">
        <v>1953</v>
      </c>
      <c r="G65" s="79">
        <v>1948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</row>
    <row r="66" spans="1:23" s="78" customFormat="1" ht="12.75">
      <c r="A66" s="78" t="s">
        <v>202</v>
      </c>
      <c r="B66" s="78" t="s">
        <v>232</v>
      </c>
      <c r="C66" s="78" t="s">
        <v>235</v>
      </c>
      <c r="D66" s="78" t="s">
        <v>233</v>
      </c>
      <c r="E66" s="79">
        <v>96</v>
      </c>
      <c r="F66" s="79">
        <v>96</v>
      </c>
      <c r="G66" s="79">
        <v>97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</row>
    <row r="67" spans="1:22" s="78" customFormat="1" ht="12.75">
      <c r="A67" s="78" t="s">
        <v>202</v>
      </c>
      <c r="B67" s="78" t="s">
        <v>232</v>
      </c>
      <c r="C67" s="78" t="s">
        <v>234</v>
      </c>
      <c r="E67" s="79">
        <v>7.84</v>
      </c>
      <c r="F67" s="79">
        <v>7.85</v>
      </c>
      <c r="G67" s="79">
        <v>7.83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</row>
    <row r="68" spans="5:22" s="78" customFormat="1" ht="12.75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</row>
    <row r="69" spans="3:22" s="78" customFormat="1" ht="12.75">
      <c r="C69" s="7" t="str">
        <f>A71</f>
        <v>707A5</v>
      </c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</row>
    <row r="70" spans="5:22" s="78" customFormat="1" ht="12.75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</row>
    <row r="71" spans="1:31" s="78" customFormat="1" ht="12.75">
      <c r="A71" s="78" t="s">
        <v>203</v>
      </c>
      <c r="B71" s="78" t="s">
        <v>229</v>
      </c>
      <c r="C71" s="78" t="s">
        <v>230</v>
      </c>
      <c r="D71" s="78" t="s">
        <v>231</v>
      </c>
      <c r="E71" s="79">
        <v>1960</v>
      </c>
      <c r="F71" s="79">
        <v>1966</v>
      </c>
      <c r="G71" s="79">
        <v>1967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</row>
    <row r="72" spans="1:23" s="78" customFormat="1" ht="12.75">
      <c r="A72" s="78" t="s">
        <v>203</v>
      </c>
      <c r="B72" s="78" t="s">
        <v>232</v>
      </c>
      <c r="C72" s="78" t="s">
        <v>235</v>
      </c>
      <c r="D72" s="78" t="s">
        <v>233</v>
      </c>
      <c r="E72" s="79">
        <v>97</v>
      </c>
      <c r="F72" s="79">
        <v>96</v>
      </c>
      <c r="G72" s="79">
        <v>95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</row>
    <row r="73" spans="1:22" s="78" customFormat="1" ht="12.75">
      <c r="A73" s="78" t="s">
        <v>203</v>
      </c>
      <c r="B73" s="78" t="s">
        <v>232</v>
      </c>
      <c r="C73" s="78" t="s">
        <v>234</v>
      </c>
      <c r="E73" s="79">
        <v>7.83</v>
      </c>
      <c r="F73" s="79">
        <v>7.84</v>
      </c>
      <c r="G73" s="79">
        <v>7.82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</row>
    <row r="74" spans="5:22" s="78" customFormat="1" ht="12.75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</row>
    <row r="75" spans="3:22" s="78" customFormat="1" ht="12.75">
      <c r="C75" s="7" t="str">
        <f>A77</f>
        <v>707A6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</row>
    <row r="76" spans="5:22" s="78" customFormat="1" ht="12.75"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</row>
    <row r="77" spans="1:31" s="78" customFormat="1" ht="12.75">
      <c r="A77" s="78" t="s">
        <v>204</v>
      </c>
      <c r="B77" s="78" t="s">
        <v>229</v>
      </c>
      <c r="C77" s="78" t="s">
        <v>230</v>
      </c>
      <c r="D77" s="78" t="s">
        <v>231</v>
      </c>
      <c r="E77" s="79">
        <v>1757</v>
      </c>
      <c r="F77" s="79">
        <v>1763</v>
      </c>
      <c r="G77" s="79">
        <v>1779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</row>
    <row r="78" spans="1:23" s="78" customFormat="1" ht="12.75">
      <c r="A78" s="78" t="s">
        <v>204</v>
      </c>
      <c r="B78" s="78" t="s">
        <v>232</v>
      </c>
      <c r="C78" s="78" t="s">
        <v>235</v>
      </c>
      <c r="D78" s="78" t="s">
        <v>233</v>
      </c>
      <c r="E78" s="79">
        <v>95</v>
      </c>
      <c r="F78" s="79">
        <v>94</v>
      </c>
      <c r="G78" s="79">
        <v>96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</row>
    <row r="79" spans="1:22" s="78" customFormat="1" ht="12.75">
      <c r="A79" s="78" t="s">
        <v>204</v>
      </c>
      <c r="B79" s="78" t="s">
        <v>232</v>
      </c>
      <c r="C79" s="78" t="s">
        <v>234</v>
      </c>
      <c r="E79" s="79">
        <v>7.82</v>
      </c>
      <c r="F79" s="79">
        <v>7.83</v>
      </c>
      <c r="G79" s="79">
        <v>7.82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</sheetData>
  <printOptions headings="1" horizontalCentered="1"/>
  <pageMargins left="0.25" right="0.25" top="0.5" bottom="0.5" header="0.25" footer="0.25"/>
  <pageSetup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2004-02-20T23:08:30Z</cp:lastPrinted>
  <dcterms:created xsi:type="dcterms:W3CDTF">2000-01-10T00:44:42Z</dcterms:created>
  <dcterms:modified xsi:type="dcterms:W3CDTF">2004-02-20T23:08:36Z</dcterms:modified>
  <cp:category/>
  <cp:version/>
  <cp:contentType/>
  <cp:contentStatus/>
</cp:coreProperties>
</file>